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3719" i="1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<sst xmlns="http://schemas.openxmlformats.org/spreadsheetml/2006/main" count="71138" uniqueCount="3527">
  <si>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</si>
  <si>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</si>
  <si>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</si>
  <si>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</si>
  <si>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</si>
  <si>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</si>
  <si>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</si>
  <si>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</si>
  <si>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</si>
  <si>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</si>
  <si>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</si>
  <si>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</si>
  <si>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</si>
  <si>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</si>
  <si>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</si>
  <si>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</si>
  <si>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</si>
  <si>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</si>
  <si>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</si>
  <si>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</si>
  <si>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</si>
  <si>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</si>
  <si>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</si>
  <si>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</si>
  <si>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</si>
  <si>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</si>
  <si>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</si>
  <si>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</si>
  <si>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</si>
  <si>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</si>
  <si>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</si>
  <si>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</si>
  <si>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</si>
  <si>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</si>
  <si>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</si>
  <si>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</si>
  <si>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</si>
  <si>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</si>
  <si>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</si>
  <si>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</si>
  <si>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</si>
  <si>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</si>
  <si>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</si>
  <si>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</si>
  <si>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</si>
  <si>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</si>
  <si>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</si>
  <si>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</si>
  <si>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</si>
  <si>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</si>
  <si>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</si>
  <si>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</si>
  <si>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</si>
  <si>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</si>
  <si>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</si>
  <si>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</si>
  <si>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</si>
  <si>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</si>
  <si>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</si>
  <si>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</si>
  <si>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</si>
  <si>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</si>
  <si>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</si>
  <si>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</si>
  <si>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</si>
  <si>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</si>
  <si>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</si>
  <si>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</si>
  <si>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</si>
  <si>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</si>
  <si>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</si>
  <si>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</si>
  <si>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 xml:space="preserve">MA -FESTO DIRECT DELIVERIES        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</si>
  <si>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</si>
  <si>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</si>
  <si>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</si>
  <si>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</si>
  <si>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</si>
  <si>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MARGA</t>
  </si>
  <si>
    <t>MARGATE</t>
  </si>
  <si>
    <t xml:space="preserve">ALBANY BAKERIES A DIVISION OF      </t>
  </si>
  <si>
    <t>RD</t>
  </si>
  <si>
    <t>FRAGILE - OILS INSIDE THE BOX</t>
  </si>
  <si>
    <t>RECIEVING</t>
  </si>
  <si>
    <t>Lormbard Mkgabudi</t>
  </si>
  <si>
    <t>suz</t>
  </si>
  <si>
    <t>no</t>
  </si>
  <si>
    <t>Outlying delivery location</t>
  </si>
  <si>
    <t>col</t>
  </si>
  <si>
    <t>PARCEL</t>
  </si>
  <si>
    <t>RD3</t>
  </si>
  <si>
    <t>GERMI</t>
  </si>
  <si>
    <t>GERMISTON</t>
  </si>
  <si>
    <t xml:space="preserve">PATERSON HUGHES ENGINEERING        </t>
  </si>
  <si>
    <t>ROBERTO</t>
  </si>
  <si>
    <t>HAUS</t>
  </si>
  <si>
    <t>Consignee not available)</t>
  </si>
  <si>
    <t>sam</t>
  </si>
  <si>
    <t>RDL</t>
  </si>
  <si>
    <t>PORT3</t>
  </si>
  <si>
    <t>PORT ELIZABETH</t>
  </si>
  <si>
    <t xml:space="preserve">FEDERAL MOGUL SEALING SYSTEMS      </t>
  </si>
  <si>
    <t>QUINTIN</t>
  </si>
  <si>
    <t>Ryno</t>
  </si>
  <si>
    <t>Appointment required</t>
  </si>
  <si>
    <t>UAT</t>
  </si>
  <si>
    <t>POD received from cell 0844243445 M</t>
  </si>
  <si>
    <t>RD2</t>
  </si>
  <si>
    <t xml:space="preserve">JENDAMARK AUTOMATION PTY LTD       </t>
  </si>
  <si>
    <t>CARRISTON</t>
  </si>
  <si>
    <t>CARRISTEN</t>
  </si>
  <si>
    <t>yes</t>
  </si>
  <si>
    <t>PIET1</t>
  </si>
  <si>
    <t>PIETERMARITZBURG</t>
  </si>
  <si>
    <t xml:space="preserve">CLIFFORD WELDING SYSTEMS PTY L     </t>
  </si>
  <si>
    <t>ON1</t>
  </si>
  <si>
    <t>RECIEVER</t>
  </si>
  <si>
    <t>zanele</t>
  </si>
  <si>
    <t>Flyer</t>
  </si>
  <si>
    <t>RANDB</t>
  </si>
  <si>
    <t>RANDBURG</t>
  </si>
  <si>
    <t xml:space="preserve">ACCUTECH WEIGHING SERVICES         </t>
  </si>
  <si>
    <t>RECEIVER</t>
  </si>
  <si>
    <t>Lombard Mokgabudi</t>
  </si>
  <si>
    <t>SAM</t>
  </si>
  <si>
    <t>POD received from cell 0719806375 M</t>
  </si>
  <si>
    <t>WORCE</t>
  </si>
  <si>
    <t>WORCESTER</t>
  </si>
  <si>
    <t xml:space="preserve">RAINBOW FARMS (PTY) LTD - WOR      </t>
  </si>
  <si>
    <t>RECEIVING</t>
  </si>
  <si>
    <t>illeg</t>
  </si>
  <si>
    <t>CAPET</t>
  </si>
  <si>
    <t>CAPE TOWN</t>
  </si>
  <si>
    <t xml:space="preserve">POPS MINING SUPPLIES   SERVICE     </t>
  </si>
  <si>
    <t>BAKKER</t>
  </si>
  <si>
    <t>PARCEL PARCEL</t>
  </si>
  <si>
    <t xml:space="preserve">SPIRAX SARCO SA                    </t>
  </si>
  <si>
    <t>ZONIKA JACOBS</t>
  </si>
  <si>
    <t>PETER</t>
  </si>
  <si>
    <t>VERWO</t>
  </si>
  <si>
    <t>CENTURION</t>
  </si>
  <si>
    <t xml:space="preserve">PRODUCTIVE SYSTEMS CC              </t>
  </si>
  <si>
    <t>GERHARD STRYDOM</t>
  </si>
  <si>
    <t>STEVEN</t>
  </si>
  <si>
    <t>Flyer Flyer</t>
  </si>
  <si>
    <t>preto</t>
  </si>
  <si>
    <t>PRETORIA</t>
  </si>
  <si>
    <t xml:space="preserve">PROMAX                             </t>
  </si>
  <si>
    <t>YVONNE</t>
  </si>
  <si>
    <t>yvonne</t>
  </si>
  <si>
    <t>RDR</t>
  </si>
  <si>
    <t xml:space="preserve">CLURE PROJECTS CC                  </t>
  </si>
  <si>
    <t>CHRIS   DERICK</t>
  </si>
  <si>
    <t>CLURE PROJECTS CC</t>
  </si>
  <si>
    <t>POD received from cell 0784116818 M</t>
  </si>
  <si>
    <t xml:space="preserve">CIM SYSTEMS                        </t>
  </si>
  <si>
    <t xml:space="preserve">kathleen                      </t>
  </si>
  <si>
    <t>Driver late</t>
  </si>
  <si>
    <t>cha</t>
  </si>
  <si>
    <t xml:space="preserve">                                        </t>
  </si>
  <si>
    <t>EAST</t>
  </si>
  <si>
    <t>EAST LONDON</t>
  </si>
  <si>
    <t xml:space="preserve">LEAR SEWING PTY LTD                </t>
  </si>
  <si>
    <t>HILTON</t>
  </si>
  <si>
    <t>Late linehaul</t>
  </si>
  <si>
    <t>AVW</t>
  </si>
  <si>
    <t>JOHAN</t>
  </si>
  <si>
    <t>JOHANNESBURG</t>
  </si>
  <si>
    <t xml:space="preserve">BEARING MAN GROUP                  </t>
  </si>
  <si>
    <t>PIET KRUGER</t>
  </si>
  <si>
    <t>DAVID</t>
  </si>
  <si>
    <t>POD received from cell 0844988662 M</t>
  </si>
  <si>
    <t>BOX</t>
  </si>
  <si>
    <t xml:space="preserve">KDP HYDRAULIC SERVICES   ENG C     </t>
  </si>
  <si>
    <t>JACO VAN DER MIST</t>
  </si>
  <si>
    <t>JOYCE</t>
  </si>
  <si>
    <t>PAARL</t>
  </si>
  <si>
    <t xml:space="preserve">FILMATIC PACKAGING SYSTEM (PTY     </t>
  </si>
  <si>
    <t>LIZELLE</t>
  </si>
  <si>
    <t>gary</t>
  </si>
  <si>
    <t>DURBA</t>
  </si>
  <si>
    <t>DURBAN</t>
  </si>
  <si>
    <t xml:space="preserve">G.U.D. HOLDINGS (PTY) LTD          </t>
  </si>
  <si>
    <t>JILLIANE NAIDOO</t>
  </si>
  <si>
    <t>CONRUND</t>
  </si>
  <si>
    <t xml:space="preserve">BLENDCOR (PTY) LTD                 </t>
  </si>
  <si>
    <t xml:space="preserve">ILLEG                         </t>
  </si>
  <si>
    <t>PRETO</t>
  </si>
  <si>
    <t xml:space="preserve">NEOPAK                             </t>
  </si>
  <si>
    <t>D MASEMENE</t>
  </si>
  <si>
    <t>KRUGE</t>
  </si>
  <si>
    <t>KRUGERSDORP</t>
  </si>
  <si>
    <t xml:space="preserve">PMD PACKAGING SYSTEMS              </t>
  </si>
  <si>
    <t>MARLENE</t>
  </si>
  <si>
    <t>ANDRE</t>
  </si>
  <si>
    <t xml:space="preserve">ENTERPRISE FOOD AN DIV OF TIGE     </t>
  </si>
  <si>
    <t>THABI</t>
  </si>
  <si>
    <t xml:space="preserve">SIZEMECH VIBRATIONS                </t>
  </si>
  <si>
    <t>SIGNED</t>
  </si>
  <si>
    <t xml:space="preserve">MS INDUSTRIA SUPPLIERS   DIST      </t>
  </si>
  <si>
    <t xml:space="preserve">FESTO                              </t>
  </si>
  <si>
    <t>FESTO</t>
  </si>
  <si>
    <t>ANNELINE</t>
  </si>
  <si>
    <t xml:space="preserve">SUNBAKE BOERSTRA                   </t>
  </si>
  <si>
    <t>LOMBARD MOKGABUDI</t>
  </si>
  <si>
    <t>MAGI</t>
  </si>
  <si>
    <t xml:space="preserve">LION MATCH PRODUCTS                </t>
  </si>
  <si>
    <t>JOWI</t>
  </si>
  <si>
    <t xml:space="preserve">BELGOTEX FLOORCOVERINGS PTY LT     </t>
  </si>
  <si>
    <t>nazeer</t>
  </si>
  <si>
    <t>POD received from cell 0829778480 M</t>
  </si>
  <si>
    <t>RDX</t>
  </si>
  <si>
    <t>CULLI</t>
  </si>
  <si>
    <t>CULLINAN</t>
  </si>
  <si>
    <t xml:space="preserve">DALEIN AGRI PLAN PTY LTD           </t>
  </si>
  <si>
    <t>Marianne Grobler</t>
  </si>
  <si>
    <t>PARCEL PARCEL PARCEL PARCEL PARCEL PARCEL PARCEL</t>
  </si>
  <si>
    <t>RDD</t>
  </si>
  <si>
    <t xml:space="preserve">MARCOM PLASTICS CC                 </t>
  </si>
  <si>
    <t>OFENTSE BODIGELO</t>
  </si>
  <si>
    <t>GEORG</t>
  </si>
  <si>
    <t>GEORGE</t>
  </si>
  <si>
    <t xml:space="preserve">SANMIK AGENCIES CC                 </t>
  </si>
  <si>
    <t>THEO</t>
  </si>
  <si>
    <t xml:space="preserve">THEO                          </t>
  </si>
  <si>
    <t xml:space="preserve">ALBANY BAKERIES                    </t>
  </si>
  <si>
    <t>ANDRIES WILTZ</t>
  </si>
  <si>
    <t>jacky</t>
  </si>
  <si>
    <t xml:space="preserve">STRIDENT ENGINEERING CC            </t>
  </si>
  <si>
    <t>Renaldo October</t>
  </si>
  <si>
    <t xml:space="preserve">RENALDO                       </t>
  </si>
  <si>
    <t>BRIT1</t>
  </si>
  <si>
    <t>BRITS</t>
  </si>
  <si>
    <t xml:space="preserve">VENUS FURNITURE MANUFACTURES       </t>
  </si>
  <si>
    <t>DESPA</t>
  </si>
  <si>
    <t>DESPATCH</t>
  </si>
  <si>
    <t xml:space="preserve">DKT   PARTNERS                     </t>
  </si>
  <si>
    <t>URGENT COLLECTION READY NOW CLOSING AT 163:00</t>
  </si>
  <si>
    <t>KEVIN</t>
  </si>
  <si>
    <t xml:space="preserve">MAGNACORP 397 CC TA CONCEPT        </t>
  </si>
  <si>
    <t>NEIL</t>
  </si>
  <si>
    <t>CRAIG</t>
  </si>
  <si>
    <t xml:space="preserve">FILMATIC                           </t>
  </si>
  <si>
    <t>.</t>
  </si>
  <si>
    <t>MARIE</t>
  </si>
  <si>
    <t>ILLEG</t>
  </si>
  <si>
    <t xml:space="preserve">TRUDA SNACKS                       </t>
  </si>
  <si>
    <t>URGENT COLLECTION READY NOW CLOSING AT 16:45</t>
  </si>
  <si>
    <t xml:space="preserve">BUFFALO CITY TVT COLLEGE           </t>
  </si>
  <si>
    <t>TREVOR LOTS</t>
  </si>
  <si>
    <t>T LOTZ</t>
  </si>
  <si>
    <t>bbt</t>
  </si>
  <si>
    <t>RICHA</t>
  </si>
  <si>
    <t>RICHARDS BAY</t>
  </si>
  <si>
    <t xml:space="preserve">DICKINSON MARKETING                </t>
  </si>
  <si>
    <t>SDX</t>
  </si>
  <si>
    <t>SDX DELIVERY CALL ASHEN 083 256 2139  035 789 1303</t>
  </si>
  <si>
    <t>ASHEN GOVERNDER</t>
  </si>
  <si>
    <t>ASHEN</t>
  </si>
  <si>
    <t>FUE / DSD</t>
  </si>
  <si>
    <t>ALBE2</t>
  </si>
  <si>
    <t>ALBERTON</t>
  </si>
  <si>
    <t xml:space="preserve">DURASET                            </t>
  </si>
  <si>
    <t>URGENT COLLECTION READY NOE CLOSING AT 16:00</t>
  </si>
  <si>
    <t>SANDRA</t>
  </si>
  <si>
    <t xml:space="preserve">D44C-FUSE ISAP FIC ENGINEERING     </t>
  </si>
  <si>
    <t>STAMP</t>
  </si>
  <si>
    <t>ROODE</t>
  </si>
  <si>
    <t>ROODEPOORT</t>
  </si>
  <si>
    <t xml:space="preserve">REPMA ENGINEERING PTY LTD          </t>
  </si>
  <si>
    <t>ROLAND KAMPER</t>
  </si>
  <si>
    <t>SIGNATUE</t>
  </si>
  <si>
    <t xml:space="preserve">CAXTON WORKS                       </t>
  </si>
  <si>
    <t>JOHANNA SEKABATE</t>
  </si>
  <si>
    <t>HITEKANI</t>
  </si>
  <si>
    <t>AMANZ</t>
  </si>
  <si>
    <t>AMANZIMTOTI</t>
  </si>
  <si>
    <t xml:space="preserve">DIGN ENGINEERING PTY LTD           </t>
  </si>
  <si>
    <t>GLEN DE KLERK</t>
  </si>
  <si>
    <t>R V NZAMA</t>
  </si>
  <si>
    <t xml:space="preserve">SIGNAL INSTRUMENTATION CC          </t>
  </si>
  <si>
    <t>FAAN</t>
  </si>
  <si>
    <t>DENISE</t>
  </si>
  <si>
    <t xml:space="preserve">HYFLO SA PTY LTD                   </t>
  </si>
  <si>
    <t>JEFFREY</t>
  </si>
  <si>
    <t>Quintin Bothma</t>
  </si>
  <si>
    <t>iellg</t>
  </si>
  <si>
    <t>BOX BOX</t>
  </si>
  <si>
    <t xml:space="preserve">GENERAL PNEUMATICS NATAL           </t>
  </si>
  <si>
    <t>PRELENE NAIDOO</t>
  </si>
  <si>
    <t>SIGNATURE</t>
  </si>
  <si>
    <t xml:space="preserve">ECOWASH                            </t>
  </si>
  <si>
    <t>LINDA NJOKO</t>
  </si>
  <si>
    <t>LINDA</t>
  </si>
  <si>
    <t>PINET</t>
  </si>
  <si>
    <t>PINETOWN</t>
  </si>
  <si>
    <t xml:space="preserve">MAHLE BEHR SOUTH AFRCA (PTY) L     </t>
  </si>
  <si>
    <t>ELVIN PILLAY</t>
  </si>
  <si>
    <t>THOKO</t>
  </si>
  <si>
    <t>HAMMA</t>
  </si>
  <si>
    <t>HAMMANSKRAAL</t>
  </si>
  <si>
    <t xml:space="preserve">SHATTERPRUFE TRADING               </t>
  </si>
  <si>
    <t>JANN SCHNEPEL</t>
  </si>
  <si>
    <t>SINA</t>
  </si>
  <si>
    <t>HEID2</t>
  </si>
  <si>
    <t>HEIDELBERG (TVL)</t>
  </si>
  <si>
    <t xml:space="preserve">ESKORT MEAT                        </t>
  </si>
  <si>
    <t>URGENT COLLECTION READY NOW CLOSING AT 16:00</t>
  </si>
  <si>
    <t>MASHUDU</t>
  </si>
  <si>
    <t>TSE</t>
  </si>
  <si>
    <t>JACKY</t>
  </si>
  <si>
    <t xml:space="preserve">THE SAB BREWERIES PTY LTD          </t>
  </si>
  <si>
    <t>MABILI LUCAS TEMBE</t>
  </si>
  <si>
    <t xml:space="preserve">TENNECO RIDE CONTROL SA            </t>
  </si>
  <si>
    <t>Merryl Wynford</t>
  </si>
  <si>
    <t>GOVIN BAATJIES</t>
  </si>
  <si>
    <t xml:space="preserve">BRIDGESTONE FIRESTONE SA PTY L     </t>
  </si>
  <si>
    <t>NSEDI</t>
  </si>
  <si>
    <t>M FOURIE</t>
  </si>
  <si>
    <t>ire</t>
  </si>
  <si>
    <t xml:space="preserve">TONGAAT HULETTS GROUP LIMITED      </t>
  </si>
  <si>
    <t>PAT</t>
  </si>
  <si>
    <t>MIDRA</t>
  </si>
  <si>
    <t>MIDRAND</t>
  </si>
  <si>
    <t xml:space="preserve">BOTTLE PRINTER OF SA               </t>
  </si>
  <si>
    <t>ANNA</t>
  </si>
  <si>
    <t xml:space="preserve">THE SOUTH AFRICAN BREWERIES LT     </t>
  </si>
  <si>
    <t>JACKSON MODIBA</t>
  </si>
  <si>
    <t>samson</t>
  </si>
  <si>
    <t xml:space="preserve">DG IMPEX CC                        </t>
  </si>
  <si>
    <t>MARIUS DERCKSEN</t>
  </si>
  <si>
    <t>SKHUMBUZO</t>
  </si>
  <si>
    <t xml:space="preserve">WINTERTIDE TRADING 69 CC           </t>
  </si>
  <si>
    <t>MAY</t>
  </si>
  <si>
    <t xml:space="preserve">PLASTIC OMNIUM AUTO INERGY SA      </t>
  </si>
  <si>
    <t>SHARLOTTE</t>
  </si>
  <si>
    <t xml:space="preserve">ANDERSON ENGINEERING               </t>
  </si>
  <si>
    <t>URGENT COLLECTION READY NOE CLOSING AT 16:30</t>
  </si>
  <si>
    <t>BONGANI</t>
  </si>
  <si>
    <t xml:space="preserve">H.G MOLENAAR (PTY) LTD             </t>
  </si>
  <si>
    <t>MARELISE WERNER</t>
  </si>
  <si>
    <t>ALVIZO</t>
  </si>
  <si>
    <t xml:space="preserve">CONSUMER A DIV OF TIGER BRANDS     </t>
  </si>
  <si>
    <t>NASTASIA</t>
  </si>
  <si>
    <t>BUHLE</t>
  </si>
  <si>
    <t xml:space="preserve">UNIVERSAL PAPER MANUFATUCRERS      </t>
  </si>
  <si>
    <t>JACKIE DE VILLIER</t>
  </si>
  <si>
    <t>jessica</t>
  </si>
  <si>
    <t xml:space="preserve">UNILEVER SOUTH AFRICA (PTY) LT     </t>
  </si>
  <si>
    <t>Yattish Jugaroop</t>
  </si>
  <si>
    <t>PAMELA</t>
  </si>
  <si>
    <t xml:space="preserve">ROV DURRANT ENGINEERING (PTY)      </t>
  </si>
  <si>
    <t>LETTAUW</t>
  </si>
  <si>
    <t xml:space="preserve">NAMPAK LIQUID PACKAGING            </t>
  </si>
  <si>
    <t>ARTHUR HLONGWANE</t>
  </si>
  <si>
    <t>SIMON</t>
  </si>
  <si>
    <t xml:space="preserve">WAMATHA LOGISTICS PTY LTD          </t>
  </si>
  <si>
    <t>ABEL</t>
  </si>
  <si>
    <t>UITEN</t>
  </si>
  <si>
    <t>UITENHAGE</t>
  </si>
  <si>
    <t xml:space="preserve">GOODYEAR SOUTH AFRICA PTY LTD      </t>
  </si>
  <si>
    <t>RYAN GALLAND</t>
  </si>
  <si>
    <t xml:space="preserve">NORMAN                        </t>
  </si>
  <si>
    <t xml:space="preserve">ACEPAK PACKAGING SYSTEMS           </t>
  </si>
  <si>
    <t>wilber</t>
  </si>
  <si>
    <t xml:space="preserve">ENERGY   DENSIFICATION SYSTEMS     </t>
  </si>
  <si>
    <t xml:space="preserve">STEPHENS VALVES                    </t>
  </si>
  <si>
    <t>MIKE</t>
  </si>
  <si>
    <t>sbu</t>
  </si>
  <si>
    <t>PORT4</t>
  </si>
  <si>
    <t>PORT SHEPSTONE</t>
  </si>
  <si>
    <t xml:space="preserve">ILLOVO SUGAR LTD-UMZIMKULU         </t>
  </si>
  <si>
    <t>jason</t>
  </si>
  <si>
    <t>shantel</t>
  </si>
  <si>
    <t>P009932187246 0001</t>
  </si>
  <si>
    <t xml:space="preserve">DIGN ENGINEERING                   </t>
  </si>
  <si>
    <t>MARCEL@DESIGN</t>
  </si>
  <si>
    <t>Marcel</t>
  </si>
  <si>
    <t>POD received from cell 0725929193 M</t>
  </si>
  <si>
    <t xml:space="preserve">VIDEX WIRE PRODUCTS PTY LTD        </t>
  </si>
  <si>
    <t>ELIZABETH</t>
  </si>
  <si>
    <t xml:space="preserve">ARCH WATER PRODUCTS SA             </t>
  </si>
  <si>
    <t>sizwe</t>
  </si>
  <si>
    <t>POD received from cell 0837323487 M</t>
  </si>
  <si>
    <t xml:space="preserve">HYFLO SOUTHERN AFRICA (PTY) LT     </t>
  </si>
  <si>
    <t>ilelg</t>
  </si>
  <si>
    <t xml:space="preserve">EGLI PRECISION ENGINEERING PTY     </t>
  </si>
  <si>
    <t xml:space="preserve">thushni                       </t>
  </si>
  <si>
    <t xml:space="preserve">BOWLER PLASTICS (PTY) LTD          </t>
  </si>
  <si>
    <t>L LAKAY</t>
  </si>
  <si>
    <t xml:space="preserve">COCA - COLA FORTUNE (PTY) LTD      </t>
  </si>
  <si>
    <t>URGENT COLLECTION READY NOW CLOSING AT 16:30</t>
  </si>
  <si>
    <t>SANET SARGE</t>
  </si>
  <si>
    <t>CRAIA</t>
  </si>
  <si>
    <t xml:space="preserve">SAM                           </t>
  </si>
  <si>
    <t xml:space="preserve">POD received from cell 0719806375 M     </t>
  </si>
  <si>
    <t>UMHLA</t>
  </si>
  <si>
    <t>UMHLANGA ROCKS</t>
  </si>
  <si>
    <t xml:space="preserve">COMPRESSED AIR EQUIPMENT           </t>
  </si>
  <si>
    <t>SEELAN</t>
  </si>
  <si>
    <t>BAIB</t>
  </si>
  <si>
    <t>ISIPI</t>
  </si>
  <si>
    <t>ISIPINGO</t>
  </si>
  <si>
    <t xml:space="preserve">ISEGEN S. A                        </t>
  </si>
  <si>
    <t>PRINCESS</t>
  </si>
  <si>
    <t>BOX BOX PARCEL BOX BOX PARCEL</t>
  </si>
  <si>
    <t xml:space="preserve">INNOMATIC                          </t>
  </si>
  <si>
    <t>DANIEL</t>
  </si>
  <si>
    <t xml:space="preserve">PAK 2000 (PTY) LTD                 </t>
  </si>
  <si>
    <t>SHAUN   ANDREW</t>
  </si>
  <si>
    <t>KURESHA</t>
  </si>
  <si>
    <t xml:space="preserve">SENIOR FLEXONICS (SA) (PTY) LT     </t>
  </si>
  <si>
    <t>m zuma</t>
  </si>
  <si>
    <t xml:space="preserve">DNH MANUFACTURING (PTY) LTD        </t>
  </si>
  <si>
    <t>ROBERT</t>
  </si>
  <si>
    <t>DNH MANUFACTURING  PTY  LTD</t>
  </si>
  <si>
    <t xml:space="preserve">PNEUMATIC AID                      </t>
  </si>
  <si>
    <t>AUDREY BERGSTROM</t>
  </si>
  <si>
    <t>AUDREY</t>
  </si>
  <si>
    <t xml:space="preserve">KENZEL ENGINEERING TRUST           </t>
  </si>
  <si>
    <t>KENZEL ENGINEERING TRUST</t>
  </si>
  <si>
    <t xml:space="preserve">AMKA PRODUCTS                      </t>
  </si>
  <si>
    <t>SHAHID</t>
  </si>
  <si>
    <t xml:space="preserve">khutso                        </t>
  </si>
  <si>
    <t xml:space="preserve">BAGTECH INTERNATIONAL PTY LTD      </t>
  </si>
  <si>
    <t>FRED   GARETH</t>
  </si>
  <si>
    <t>grant</t>
  </si>
  <si>
    <t xml:space="preserve">FORD MOTORING CO OF SA             </t>
  </si>
  <si>
    <t>DIVAN   RENIER</t>
  </si>
  <si>
    <t xml:space="preserve">ka moloto                     </t>
  </si>
  <si>
    <t xml:space="preserve">CBI ELECTRIC TELECOM CABLES        </t>
  </si>
  <si>
    <t>NARISKA EVELEIGH</t>
  </si>
  <si>
    <t>JOHANNES</t>
  </si>
  <si>
    <t xml:space="preserve">FORD MOTOR CO. SA MANUFACTURIN     </t>
  </si>
  <si>
    <t>MICHAEL</t>
  </si>
  <si>
    <t>KURT</t>
  </si>
  <si>
    <t xml:space="preserve">AUTO INDUSTRIAL MACHINING          </t>
  </si>
  <si>
    <t>JEAN BANCKEN</t>
  </si>
  <si>
    <t>OUPA</t>
  </si>
  <si>
    <t xml:space="preserve">TOPLINE TOOLING (PTY) LTD          </t>
  </si>
  <si>
    <t>maxwell</t>
  </si>
  <si>
    <t xml:space="preserve">B.T. ENTERPRISES                   </t>
  </si>
  <si>
    <t>GERHARD</t>
  </si>
  <si>
    <t>SOME2</t>
  </si>
  <si>
    <t>SOMERSET WEST</t>
  </si>
  <si>
    <t xml:space="preserve">SOUTHERN PULP MACHINERY            </t>
  </si>
  <si>
    <t xml:space="preserve">a paulse                      </t>
  </si>
  <si>
    <t xml:space="preserve">TOYOTA SA MOTORS PTY LTD           </t>
  </si>
  <si>
    <t xml:space="preserve">MAKHOSI                       </t>
  </si>
  <si>
    <t>ROMANO</t>
  </si>
  <si>
    <t>rjoice</t>
  </si>
  <si>
    <t xml:space="preserve">M.STEYN DESIGN   ENGINEERING (     </t>
  </si>
  <si>
    <t>MELANIE</t>
  </si>
  <si>
    <t>M STEYN DESIGN   ENGINEERING</t>
  </si>
  <si>
    <t xml:space="preserve">HULAMIN OPERATIONTS PTY LTD        </t>
  </si>
  <si>
    <t>Sandile Mdlangathi</t>
  </si>
  <si>
    <t xml:space="preserve">verona                        </t>
  </si>
  <si>
    <t xml:space="preserve">UNILEVER SA PTY LTD                </t>
  </si>
  <si>
    <t>MARLON PILLAY</t>
  </si>
  <si>
    <t xml:space="preserve">KARI                          </t>
  </si>
  <si>
    <t xml:space="preserve">HYDRAQUIP                          </t>
  </si>
  <si>
    <t>ERECH</t>
  </si>
  <si>
    <t>deawld</t>
  </si>
  <si>
    <t xml:space="preserve">HACKMACK ENTERPRISES               </t>
  </si>
  <si>
    <t>AFRIKA</t>
  </si>
  <si>
    <t xml:space="preserve">HYDROMATIC ENTERPRISES PTY LTD     </t>
  </si>
  <si>
    <t>Sharishna</t>
  </si>
  <si>
    <t>bryson</t>
  </si>
  <si>
    <t>LYDIA PRESTON</t>
  </si>
  <si>
    <t>mark</t>
  </si>
  <si>
    <t xml:space="preserve">UMOYA AUTOMATION CC                </t>
  </si>
  <si>
    <t>SASH</t>
  </si>
  <si>
    <t>COLIN</t>
  </si>
  <si>
    <t>POD received from cell 0723863877 M</t>
  </si>
  <si>
    <t>HOWIC</t>
  </si>
  <si>
    <t>HOWICK</t>
  </si>
  <si>
    <t xml:space="preserve">HONEYDEW DAIRIES PTY LTD           </t>
  </si>
  <si>
    <t>prashan</t>
  </si>
  <si>
    <t xml:space="preserve">ABI DIV OF SAB LTD                 </t>
  </si>
  <si>
    <t>SUGAN</t>
  </si>
  <si>
    <t>SAB0002210</t>
  </si>
  <si>
    <t xml:space="preserve">WISE CRACKS                        </t>
  </si>
  <si>
    <t>MARK VAN ANTWERP</t>
  </si>
  <si>
    <t xml:space="preserve">ANDRE                         </t>
  </si>
  <si>
    <t>Missed cutoff</t>
  </si>
  <si>
    <t>NLG</t>
  </si>
  <si>
    <t xml:space="preserve">ADCOCK INGRSM CRITICAL CARE PT     </t>
  </si>
  <si>
    <t>Alta Marais</t>
  </si>
  <si>
    <t xml:space="preserve">AEL MINING SERVICES LTD            </t>
  </si>
  <si>
    <t>BRUCE   JOHN WEYMOUTH</t>
  </si>
  <si>
    <t>KHANYISO</t>
  </si>
  <si>
    <t>ROV DURRANT ENGINEERING  PTY</t>
  </si>
  <si>
    <t>STRAN</t>
  </si>
  <si>
    <t>STRAND</t>
  </si>
  <si>
    <t xml:space="preserve">STYROCUP (PTY) LTD                 </t>
  </si>
  <si>
    <t xml:space="preserve">jh viviers                    </t>
  </si>
  <si>
    <t>SPRI3</t>
  </si>
  <si>
    <t>SPRINGS</t>
  </si>
  <si>
    <t xml:space="preserve">KELLOGGS CO OF SA PTY LTD          </t>
  </si>
  <si>
    <t>ISAAC</t>
  </si>
  <si>
    <t xml:space="preserve">FILTEC AUTOMATION PTY LTD          </t>
  </si>
  <si>
    <t>Pooven   Darren</t>
  </si>
  <si>
    <t>pooven</t>
  </si>
  <si>
    <t>BENON</t>
  </si>
  <si>
    <t>BENONI</t>
  </si>
  <si>
    <t xml:space="preserve">MONITECH                           </t>
  </si>
  <si>
    <t>VRED3</t>
  </si>
  <si>
    <t>VREDENBURG</t>
  </si>
  <si>
    <t>YOLANDA</t>
  </si>
  <si>
    <t xml:space="preserve">CHANLOU TRADING CC                 </t>
  </si>
  <si>
    <t>BUSISIWE J MASEKO</t>
  </si>
  <si>
    <t>GUSTAN</t>
  </si>
  <si>
    <t>HYFLO SA PTY LTD</t>
  </si>
  <si>
    <t xml:space="preserve">FESTO PLZ                          </t>
  </si>
  <si>
    <t>DBC DELIVERY REQUESTED BY TONY  PHILEMON</t>
  </si>
  <si>
    <t>BARRY JANE</t>
  </si>
  <si>
    <t>BOKSB</t>
  </si>
  <si>
    <t>BOKSBURG</t>
  </si>
  <si>
    <t xml:space="preserve">AVENG GRINAKED LTA PTY LTD         </t>
  </si>
  <si>
    <t>AVENG GRINAKED LTA PTY LTD</t>
  </si>
  <si>
    <t>POD received from cell 0837842726 M</t>
  </si>
  <si>
    <t xml:space="preserve">GEDORE TOOLS (PTY) LTD             </t>
  </si>
  <si>
    <t>zama</t>
  </si>
  <si>
    <t xml:space="preserve">MAKSAL TUBE PTY LTD                </t>
  </si>
  <si>
    <t>SANDILE</t>
  </si>
  <si>
    <t>DELMA</t>
  </si>
  <si>
    <t>DELMAS</t>
  </si>
  <si>
    <t xml:space="preserve">MCCAIN FOOD SOUTH AFRICA PTY L     </t>
  </si>
  <si>
    <t>RAHUBE NKWANA</t>
  </si>
  <si>
    <t>DAPHNEY</t>
  </si>
  <si>
    <t xml:space="preserve">CSM ENGINEERING CC                 </t>
  </si>
  <si>
    <t>CHANTELLE BENADE</t>
  </si>
  <si>
    <t>CHRISTA</t>
  </si>
  <si>
    <t>sthembiso</t>
  </si>
  <si>
    <t xml:space="preserve">REVLON SA                          </t>
  </si>
  <si>
    <t>JEFF BARNARD</t>
  </si>
  <si>
    <t>TITUS</t>
  </si>
  <si>
    <t>VERUL</t>
  </si>
  <si>
    <t>VERULAM</t>
  </si>
  <si>
    <t xml:space="preserve">HP HOSE   FITTING SPECIALIST C     </t>
  </si>
  <si>
    <t>PLS EARLY DELIVERY BY 8:00AM</t>
  </si>
  <si>
    <t>MARK MOONEAN</t>
  </si>
  <si>
    <t>KIMONE</t>
  </si>
  <si>
    <t>EAR / FUE</t>
  </si>
  <si>
    <t>ILELG</t>
  </si>
  <si>
    <t>NATHAN</t>
  </si>
  <si>
    <t xml:space="preserve">COMPUSCAN                          </t>
  </si>
  <si>
    <t>DALEEN WAIT</t>
  </si>
  <si>
    <t xml:space="preserve">DALEEN WAIT                   </t>
  </si>
  <si>
    <t>HAMME</t>
  </si>
  <si>
    <t>OLD HAMMARSDALE</t>
  </si>
  <si>
    <t xml:space="preserve">GLODINA PTY LTD                    </t>
  </si>
  <si>
    <t>LOUREN ZEIDLER</t>
  </si>
  <si>
    <t>flynns</t>
  </si>
  <si>
    <t>micheal</t>
  </si>
  <si>
    <t xml:space="preserve">BRIDGESTONE FIRESTONE              </t>
  </si>
  <si>
    <t>GENERAL STORES</t>
  </si>
  <si>
    <t>BERNICE</t>
  </si>
  <si>
    <t>signed</t>
  </si>
  <si>
    <t xml:space="preserve">nikklous                      </t>
  </si>
  <si>
    <t xml:space="preserve">VEOLIA WATER SOLUTIONS             </t>
  </si>
  <si>
    <t>ROZITA SINGH</t>
  </si>
  <si>
    <t>TREVOR</t>
  </si>
  <si>
    <t xml:space="preserve">VELLIE                        </t>
  </si>
  <si>
    <t xml:space="preserve">FLUID SYSTEMS                      </t>
  </si>
  <si>
    <t>DANIELLE TRUTER</t>
  </si>
  <si>
    <t>DANIELLE</t>
  </si>
  <si>
    <t xml:space="preserve">wilber                        </t>
  </si>
  <si>
    <t xml:space="preserve">NON FERROUS METAL WORKS SA PTY     </t>
  </si>
  <si>
    <t>SHARMALA LACHMAN</t>
  </si>
  <si>
    <t>christopher</t>
  </si>
  <si>
    <t xml:space="preserve">TOYOTA SA MOTORS                   </t>
  </si>
  <si>
    <t>t khathi</t>
  </si>
  <si>
    <t xml:space="preserve">ABI BOTTLING PTY LTD               </t>
  </si>
  <si>
    <t>SOLOMON CHUMA</t>
  </si>
  <si>
    <t>ANDILE</t>
  </si>
  <si>
    <t>HYFLO SOUTHERN AFRICA  PTY  LT</t>
  </si>
  <si>
    <t xml:space="preserve">DISTELL                            </t>
  </si>
  <si>
    <t>SOLLY KWAPE</t>
  </si>
  <si>
    <t xml:space="preserve">COPPER TUBING AFRICA               </t>
  </si>
  <si>
    <t>COPPER TUBING AFRICA</t>
  </si>
  <si>
    <t xml:space="preserve">DURR SOUTH AFRICA                  </t>
  </si>
  <si>
    <t>Archie</t>
  </si>
  <si>
    <t xml:space="preserve">CONTINENTAL TYRE SA                </t>
  </si>
  <si>
    <t>OSCAR   ENGINEERING STORES</t>
  </si>
  <si>
    <t>CONTINENTAL TYRE SA</t>
  </si>
  <si>
    <t xml:space="preserve">NGK CERAMICS SOUTH AFRICA (PTY     </t>
  </si>
  <si>
    <t>adams</t>
  </si>
  <si>
    <t xml:space="preserve">NAMPAK PETPAK                      </t>
  </si>
  <si>
    <t xml:space="preserve">Returned to sender on waybill </t>
  </si>
  <si>
    <t>Returned to sender on waybill number RFE</t>
  </si>
  <si>
    <t>STEL2</t>
  </si>
  <si>
    <t>STELLENBOSCH</t>
  </si>
  <si>
    <t xml:space="preserve">DISTELL (PTY) LTD                  </t>
  </si>
  <si>
    <t>Spangenberg Kenny</t>
  </si>
  <si>
    <t>clifton</t>
  </si>
  <si>
    <t xml:space="preserve">TECHQUIP DEVELOPMENTS CC           </t>
  </si>
  <si>
    <t>krish</t>
  </si>
  <si>
    <t>LADYS</t>
  </si>
  <si>
    <t>LADYSMITH (NTL)</t>
  </si>
  <si>
    <t xml:space="preserve">LADYSMITH TRADING CO.              </t>
  </si>
  <si>
    <t>VEENA</t>
  </si>
  <si>
    <t>RIA</t>
  </si>
  <si>
    <t>PELSER CARL</t>
  </si>
  <si>
    <t>BEN</t>
  </si>
  <si>
    <t xml:space="preserve">NR EXTREME ENGINEERING   PIPIN     </t>
  </si>
  <si>
    <t>RICHARD NILLIAH</t>
  </si>
  <si>
    <t>NICHOLAS</t>
  </si>
  <si>
    <t xml:space="preserve">AUDREY                        </t>
  </si>
  <si>
    <t>VANDE</t>
  </si>
  <si>
    <t>VANDERBIJLPARK</t>
  </si>
  <si>
    <t xml:space="preserve">GRIEF SA                           </t>
  </si>
  <si>
    <t>R MORAKE</t>
  </si>
  <si>
    <t xml:space="preserve">SIME DARBY HUDSON   KINGHT         </t>
  </si>
  <si>
    <t>NATASHA STANDER</t>
  </si>
  <si>
    <t>SALLY</t>
  </si>
  <si>
    <t xml:space="preserve">JOHNSON MATTHEY PTY LTD            </t>
  </si>
  <si>
    <t>DONOVAN</t>
  </si>
  <si>
    <t>bem</t>
  </si>
  <si>
    <t xml:space="preserve">CLOVER S.A                         </t>
  </si>
  <si>
    <t>LUCILLE</t>
  </si>
  <si>
    <t xml:space="preserve">BOYSEN EXHAUST TECHNOLOGY RSA      </t>
  </si>
  <si>
    <t xml:space="preserve">sihle                         </t>
  </si>
  <si>
    <t xml:space="preserve">RG BROSE AUTOMOTIVE COMPONENTS     </t>
  </si>
  <si>
    <t>ROXANNE</t>
  </si>
  <si>
    <t xml:space="preserve">RADON PROJECTS                     </t>
  </si>
  <si>
    <t>BRUCE DEMMER   SHAUN</t>
  </si>
  <si>
    <t xml:space="preserve">GOSSAMER STRUCTURES CC             </t>
  </si>
  <si>
    <t>LOUW</t>
  </si>
  <si>
    <t xml:space="preserve">janine                        </t>
  </si>
  <si>
    <t>F RAS</t>
  </si>
  <si>
    <t>PACEL PACEL PACEL PACEL PACEL PACEL</t>
  </si>
  <si>
    <t xml:space="preserve">deez                          </t>
  </si>
  <si>
    <t>RANDF</t>
  </si>
  <si>
    <t>RANDFONTEIN</t>
  </si>
  <si>
    <t xml:space="preserve">RCL FOODCORP (PTY) LTD             </t>
  </si>
  <si>
    <t>SECURITY GATE</t>
  </si>
  <si>
    <t>LIABIUS</t>
  </si>
  <si>
    <t>SANDRA MOODLEY</t>
  </si>
  <si>
    <t>U VLD WATT</t>
  </si>
  <si>
    <t xml:space="preserve">nathanael                     </t>
  </si>
  <si>
    <t>HUMAN</t>
  </si>
  <si>
    <t>HUMANSDORP</t>
  </si>
  <si>
    <t xml:space="preserve">WOODLANDS DAIRY PTY LTD            </t>
  </si>
  <si>
    <t>CHRISTIAAN</t>
  </si>
  <si>
    <t xml:space="preserve">MAVTECH                            </t>
  </si>
  <si>
    <t>LIANA THERON</t>
  </si>
  <si>
    <t>NEO</t>
  </si>
  <si>
    <t>MCL BEARINGS   SEALS</t>
  </si>
  <si>
    <t xml:space="preserve">FESTO CPT                          </t>
  </si>
  <si>
    <t>PIETER RAUBENHEIMER</t>
  </si>
  <si>
    <t>BLOE1</t>
  </si>
  <si>
    <t>BLOEMFONTEIN</t>
  </si>
  <si>
    <t>CAVALLE SMIT</t>
  </si>
  <si>
    <t>RAYMOND</t>
  </si>
  <si>
    <t>ALVINO</t>
  </si>
  <si>
    <t xml:space="preserve">AER O CURE CC                      </t>
  </si>
  <si>
    <t>TORKASKY FEFI</t>
  </si>
  <si>
    <t>JADE</t>
  </si>
  <si>
    <t>ESTCO</t>
  </si>
  <si>
    <t>ESTCOURT</t>
  </si>
  <si>
    <t xml:space="preserve">ESKORT LTD                         </t>
  </si>
  <si>
    <t>thobeka</t>
  </si>
  <si>
    <t>TONGA</t>
  </si>
  <si>
    <t>TONGAAT</t>
  </si>
  <si>
    <t xml:space="preserve">MARLEY SA PTY LTD                  </t>
  </si>
  <si>
    <t>JERRY   DANIE</t>
  </si>
  <si>
    <t>HENNIE</t>
  </si>
  <si>
    <t>STHEL</t>
  </si>
  <si>
    <t>ST HELENABAAI</t>
  </si>
  <si>
    <t xml:space="preserve">WEST PIONT PROCESSORS              </t>
  </si>
  <si>
    <t xml:space="preserve">EXCEL TOOLING                      </t>
  </si>
  <si>
    <t>GWEN</t>
  </si>
  <si>
    <t xml:space="preserve">BOSAL AFRIKA                       </t>
  </si>
  <si>
    <t>SUSAN VAN ASWEGEN</t>
  </si>
  <si>
    <t xml:space="preserve">TF DESIGN (PTY) LTD                </t>
  </si>
  <si>
    <t>niki</t>
  </si>
  <si>
    <t xml:space="preserve">BIO CAPSULE PHARMACEUTICALS        </t>
  </si>
  <si>
    <t>Chris Gooding</t>
  </si>
  <si>
    <t>CHRIS</t>
  </si>
  <si>
    <t>SWELL</t>
  </si>
  <si>
    <t>SWELLENDAM</t>
  </si>
  <si>
    <t xml:space="preserve">AUTOMATION WORKS CAPE PTY LTD      </t>
  </si>
  <si>
    <t>AMANDA VAN ZYL</t>
  </si>
  <si>
    <t>NC  WILLEMSE</t>
  </si>
  <si>
    <t>keith</t>
  </si>
  <si>
    <t xml:space="preserve">ANALOG   DIGITAL POWER ELECTRO     </t>
  </si>
  <si>
    <t>AMANDA</t>
  </si>
  <si>
    <t xml:space="preserve">RHYNO                         </t>
  </si>
  <si>
    <t xml:space="preserve">RAINBOW FARMS PTY LTD P1           </t>
  </si>
  <si>
    <t>RAYMOND KISTAN</t>
  </si>
  <si>
    <t>linolo</t>
  </si>
  <si>
    <t xml:space="preserve">EBERSPACHER ROSSLYN                </t>
  </si>
  <si>
    <t>CLINTON AKOM</t>
  </si>
  <si>
    <t>sabelo</t>
  </si>
  <si>
    <t xml:space="preserve">EVEREST FLEXIBLES (PTY) LTD        </t>
  </si>
  <si>
    <t>sheryl</t>
  </si>
  <si>
    <t xml:space="preserve">DIRECTECH                          </t>
  </si>
  <si>
    <t>DAVID STRYDOM</t>
  </si>
  <si>
    <t>SEIN</t>
  </si>
  <si>
    <t xml:space="preserve">S4 AUTOMATION (PTY) LTD            </t>
  </si>
  <si>
    <t>Phillip Breytenbach</t>
  </si>
  <si>
    <t>DWAIN</t>
  </si>
  <si>
    <t xml:space="preserve">RICH PRODUCTS CORP OF SA           </t>
  </si>
  <si>
    <t>FREDRICK MADIBA</t>
  </si>
  <si>
    <t>ZETHU</t>
  </si>
  <si>
    <t xml:space="preserve">EIS ENGINEERING   IND SUPPLIES     </t>
  </si>
  <si>
    <t>EMMANUEL RAMSAAK</t>
  </si>
  <si>
    <t>LUCKY</t>
  </si>
  <si>
    <t xml:space="preserve">ISLAND VIEW STORAGE                </t>
  </si>
  <si>
    <t>mandla</t>
  </si>
  <si>
    <t xml:space="preserve">BARNES REINFORCING INDUSTRIES      </t>
  </si>
  <si>
    <t>TANYA ROOS</t>
  </si>
  <si>
    <t>quintin</t>
  </si>
  <si>
    <t>BRAKP</t>
  </si>
  <si>
    <t>BRAKPAN</t>
  </si>
  <si>
    <t xml:space="preserve">ERGO MINING                        </t>
  </si>
  <si>
    <t>JOHN SCHOEMAN</t>
  </si>
  <si>
    <t xml:space="preserve">G.R.W ENGINEERING (PTY) LTD        </t>
  </si>
  <si>
    <t>Wayne Burger</t>
  </si>
  <si>
    <t>randalll</t>
  </si>
  <si>
    <t>vincent</t>
  </si>
  <si>
    <t xml:space="preserve">BEVCAN A DIV OF NAMPAK PRODUCT     </t>
  </si>
  <si>
    <t>TUWANI MUTHAMBI</t>
  </si>
  <si>
    <t>OLEBO</t>
  </si>
  <si>
    <t xml:space="preserve">KRONIES SA PTY LTD                 </t>
  </si>
  <si>
    <t>SHARETTE KEN</t>
  </si>
  <si>
    <t>DEWALD</t>
  </si>
  <si>
    <t xml:space="preserve">NATIONAL PACKAGING SYSTEMS         </t>
  </si>
  <si>
    <t>VERONICA</t>
  </si>
  <si>
    <t>richman</t>
  </si>
  <si>
    <t xml:space="preserve">ALL ENGINEERING SERVICES CC        </t>
  </si>
  <si>
    <t>Mario</t>
  </si>
  <si>
    <t>LIZ</t>
  </si>
  <si>
    <t xml:space="preserve">ENTYCE BEVERAGES                   </t>
  </si>
  <si>
    <t>Matthew Orchard</t>
  </si>
  <si>
    <t>thembeka</t>
  </si>
  <si>
    <t xml:space="preserve">yvonne                        </t>
  </si>
  <si>
    <t xml:space="preserve">NESTLE SOUTH AFRICA PTY LTD        </t>
  </si>
  <si>
    <t>VIDESH RAJKUMAR</t>
  </si>
  <si>
    <t xml:space="preserve">l t nmaicker                  </t>
  </si>
  <si>
    <t xml:space="preserve">MERCEDES BENZ SOUTH AFRICA LIM     </t>
  </si>
  <si>
    <t>BUHLEKAZI MKHIZE</t>
  </si>
  <si>
    <t>R Strydom</t>
  </si>
  <si>
    <t xml:space="preserve">HYDROMATIC                         </t>
  </si>
  <si>
    <t>riaan</t>
  </si>
  <si>
    <t>HITEKENI</t>
  </si>
  <si>
    <t>rachard</t>
  </si>
  <si>
    <t>fikile</t>
  </si>
  <si>
    <t>REFER 2170557395</t>
  </si>
  <si>
    <t>ZIPHEWE</t>
  </si>
  <si>
    <t>solomon</t>
  </si>
  <si>
    <t xml:space="preserve">ACAP HYDRO PNEUMATIC SUPPLY CC     </t>
  </si>
  <si>
    <t>LISA</t>
  </si>
  <si>
    <t>adrian</t>
  </si>
  <si>
    <t xml:space="preserve">UNILIVER SA                        </t>
  </si>
  <si>
    <t>ELIAS</t>
  </si>
  <si>
    <t>NANDIPA</t>
  </si>
  <si>
    <t xml:space="preserve">IMP TECHNICAL SERVICES MANAGEM     </t>
  </si>
  <si>
    <t>PAMELA HERBST</t>
  </si>
  <si>
    <t>JONAS</t>
  </si>
  <si>
    <t>ESTHER</t>
  </si>
  <si>
    <t xml:space="preserve">KARMA SENSORS                      </t>
  </si>
  <si>
    <t>SCOTT</t>
  </si>
  <si>
    <t xml:space="preserve">AVION EAST RAND PTY LTD            </t>
  </si>
  <si>
    <t>JORGE DE AMORIN</t>
  </si>
  <si>
    <t>VILJOEN</t>
  </si>
  <si>
    <t>AMOS</t>
  </si>
  <si>
    <t xml:space="preserve">STARKE INDUSTRIES CC               </t>
  </si>
  <si>
    <t>KARIN MOOLMAN</t>
  </si>
  <si>
    <t xml:space="preserve">COHRAS                        </t>
  </si>
  <si>
    <t xml:space="preserve">TSHWANE UNIVERSITY OF TECHNOLO     </t>
  </si>
  <si>
    <t>JOHAN BENADE</t>
  </si>
  <si>
    <t>S NARID</t>
  </si>
  <si>
    <t>mun</t>
  </si>
  <si>
    <t>Box</t>
  </si>
  <si>
    <t xml:space="preserve">VOLKSWAGEN OF SA                   </t>
  </si>
  <si>
    <t>NOMAZIZI SABA</t>
  </si>
  <si>
    <t>GURTRONISHA HECKTOOR</t>
  </si>
  <si>
    <t xml:space="preserve">BEIER ENVIROTEC                    </t>
  </si>
  <si>
    <t>GOODMAN</t>
  </si>
  <si>
    <t xml:space="preserve">CITRASHINE                         </t>
  </si>
  <si>
    <t xml:space="preserve">KRISTIN                       </t>
  </si>
  <si>
    <t xml:space="preserve">T M ENGINEERING                    </t>
  </si>
  <si>
    <t xml:space="preserve">MECALC (PTY) L.T D                 </t>
  </si>
  <si>
    <t>LIZA</t>
  </si>
  <si>
    <t>teb</t>
  </si>
  <si>
    <t>HEILB</t>
  </si>
  <si>
    <t>HEILBRON</t>
  </si>
  <si>
    <t xml:space="preserve">PAKWORKS (PTY) LTD                 </t>
  </si>
  <si>
    <t>Theuns Botha</t>
  </si>
  <si>
    <t xml:space="preserve">ILENE                         </t>
  </si>
  <si>
    <t>MALME</t>
  </si>
  <si>
    <t>MALMESBURY</t>
  </si>
  <si>
    <t xml:space="preserve">GARAGISTA BEER CO PTY LTD          </t>
  </si>
  <si>
    <t>SE MIURL</t>
  </si>
  <si>
    <t>HUGO</t>
  </si>
  <si>
    <t xml:space="preserve">CLYDE BERGEMAN AFRICA (PTY)LTD     </t>
  </si>
  <si>
    <t>JACQUES FOURIE</t>
  </si>
  <si>
    <t>MAXWELL</t>
  </si>
  <si>
    <t xml:space="preserve">BENTELER AUTOMOTIVE SA (PTY) L     </t>
  </si>
  <si>
    <t>Bertina Bekker Busie Ngwalangw</t>
  </si>
  <si>
    <t>BELLOANA</t>
  </si>
  <si>
    <t>jeff</t>
  </si>
  <si>
    <t xml:space="preserve">lyntasha                      </t>
  </si>
  <si>
    <t xml:space="preserve">DEMOS CC                           </t>
  </si>
  <si>
    <t>DELMARIE</t>
  </si>
  <si>
    <t>KIMI</t>
  </si>
  <si>
    <t xml:space="preserve">UNILIVER SA PTY LTD                </t>
  </si>
  <si>
    <t>FUNDI</t>
  </si>
  <si>
    <t>RTS RFES1162541419</t>
  </si>
  <si>
    <t>Client refused delivery</t>
  </si>
  <si>
    <t>RMA</t>
  </si>
  <si>
    <t xml:space="preserve">PAILPAC PTY LTD                    </t>
  </si>
  <si>
    <t>shaun</t>
  </si>
  <si>
    <t xml:space="preserve">PAIL PAC                           </t>
  </si>
  <si>
    <t>CINDY MARQUISS</t>
  </si>
  <si>
    <t>STHE</t>
  </si>
  <si>
    <t>ALAN</t>
  </si>
  <si>
    <t>m heyns</t>
  </si>
  <si>
    <t xml:space="preserve">HYDRABERG HYDRAULICS CC            </t>
  </si>
  <si>
    <t>RECIVER</t>
  </si>
  <si>
    <t>patricia</t>
  </si>
  <si>
    <t>BEARING MAN GROUP</t>
  </si>
  <si>
    <t xml:space="preserve">BLACK SHEEP INDUSTRIES PTY LTD     </t>
  </si>
  <si>
    <t>MAVERICK</t>
  </si>
  <si>
    <t xml:space="preserve">ZIPCORD INDUSTRIES                 </t>
  </si>
  <si>
    <t>REX MAHLANGU</t>
  </si>
  <si>
    <t>a s botha</t>
  </si>
  <si>
    <t>RIYAD ABRAHAMS</t>
  </si>
  <si>
    <t>GURTRONISHA</t>
  </si>
  <si>
    <t xml:space="preserve">FELTEX AUTOMOTIVE TRIM             </t>
  </si>
  <si>
    <t xml:space="preserve">luvuyo                        </t>
  </si>
  <si>
    <t>sandisiwe</t>
  </si>
  <si>
    <t>SARIE</t>
  </si>
  <si>
    <t>vinessan</t>
  </si>
  <si>
    <t xml:space="preserve">TRU GAGE MACHINES                  </t>
  </si>
  <si>
    <t>PIETER</t>
  </si>
  <si>
    <t>TYRAN</t>
  </si>
  <si>
    <t xml:space="preserve">TIGER BRANDS SNACKS   TREATS       </t>
  </si>
  <si>
    <t>ARNEL RAMRAJ</t>
  </si>
  <si>
    <t>ERIC</t>
  </si>
  <si>
    <t xml:space="preserve">AMOS                          </t>
  </si>
  <si>
    <t xml:space="preserve">PARMALAT SA (PTY) LTD              </t>
  </si>
  <si>
    <t>JOHN</t>
  </si>
  <si>
    <t>PARMALAT SA  PTY  LTD</t>
  </si>
  <si>
    <t>P</t>
  </si>
  <si>
    <t>awor</t>
  </si>
  <si>
    <t xml:space="preserve">SCHAEFFLER SOUTH AFRICA            </t>
  </si>
  <si>
    <t>Danie Strydom</t>
  </si>
  <si>
    <t xml:space="preserve">BMW ROSSLYN                        </t>
  </si>
  <si>
    <t>ARTHUR GLAUM</t>
  </si>
  <si>
    <t>zulu</t>
  </si>
  <si>
    <t xml:space="preserve">derick                        </t>
  </si>
  <si>
    <t xml:space="preserve">niki                          </t>
  </si>
  <si>
    <t xml:space="preserve">KINETIC TECHNOLOGIES               </t>
  </si>
  <si>
    <t xml:space="preserve">LISH                          </t>
  </si>
  <si>
    <t>thului</t>
  </si>
  <si>
    <t xml:space="preserve">PROCON MACHINERY (PTY) LTD         </t>
  </si>
  <si>
    <t>nicky</t>
  </si>
  <si>
    <t>jmm</t>
  </si>
  <si>
    <t xml:space="preserve">BEARINGS ON CC                     </t>
  </si>
  <si>
    <t>JAY</t>
  </si>
  <si>
    <t>SOLLY</t>
  </si>
  <si>
    <t>c b zuke</t>
  </si>
  <si>
    <t>GRAHA</t>
  </si>
  <si>
    <t>GRAHAMSTOWN</t>
  </si>
  <si>
    <t xml:space="preserve">GRAHAMSTOWN BRICK PTL LTD          </t>
  </si>
  <si>
    <t>HEIMISH</t>
  </si>
  <si>
    <t xml:space="preserve">HANNES                        </t>
  </si>
  <si>
    <t xml:space="preserve">AUTOLIV SA                         </t>
  </si>
  <si>
    <t>HANLIE</t>
  </si>
  <si>
    <t>eddie</t>
  </si>
  <si>
    <t xml:space="preserve">BSN MEDICAL (PTY) LTD              </t>
  </si>
  <si>
    <t>SAGREN CHETTY</t>
  </si>
  <si>
    <t>GEORGIA</t>
  </si>
  <si>
    <t xml:space="preserve">EBERSPACHER SOUTH AFRICA (PTY)     </t>
  </si>
  <si>
    <t>Sonia Hufkie or deliver at sec</t>
  </si>
  <si>
    <t xml:space="preserve">MKH CONCEPT ENGINEERING CC         </t>
  </si>
  <si>
    <t xml:space="preserve">PFG BUILDING GLASS                 </t>
  </si>
  <si>
    <t>GAVIN COETZEE</t>
  </si>
  <si>
    <t>SINAH</t>
  </si>
  <si>
    <t>PATRICK</t>
  </si>
  <si>
    <t xml:space="preserve">TRELLEBORGVIBRACOUSTIC-IKHWEZI     </t>
  </si>
  <si>
    <t>FAITH</t>
  </si>
  <si>
    <t xml:space="preserve">THE SIMBA GROUP PTY LTD            </t>
  </si>
  <si>
    <t>ABRAM AT ENGINEERING STORES</t>
  </si>
  <si>
    <t xml:space="preserve">CONSOL GLASS (PTY) LTD             </t>
  </si>
  <si>
    <t>CIDNEY</t>
  </si>
  <si>
    <t xml:space="preserve">FLUID CONTROL SERVICES CC          </t>
  </si>
  <si>
    <t>LYDIA MAKHERA</t>
  </si>
  <si>
    <t>LYDIA</t>
  </si>
  <si>
    <t xml:space="preserve">POLYOAK PACKAGING PTY LTD          </t>
  </si>
  <si>
    <t>GEORGE PAPASTEFANOU</t>
  </si>
  <si>
    <t xml:space="preserve">FOXTEC-IKHWEZI PTY LTD             </t>
  </si>
  <si>
    <t>VUYO MALI</t>
  </si>
  <si>
    <t>TANYA</t>
  </si>
  <si>
    <t>KHANYISA</t>
  </si>
  <si>
    <t>TRUBISHE</t>
  </si>
  <si>
    <t>werner</t>
  </si>
  <si>
    <t>JACO1</t>
  </si>
  <si>
    <t>JACOBS</t>
  </si>
  <si>
    <t xml:space="preserve">AMS BEARING CC                     </t>
  </si>
  <si>
    <t>LENNY</t>
  </si>
  <si>
    <t xml:space="preserve">illeg                         </t>
  </si>
  <si>
    <t xml:space="preserve">ORION ENGINEERED CARDONS PTY L     </t>
  </si>
  <si>
    <t>MAHLEZA</t>
  </si>
  <si>
    <t xml:space="preserve">NESTLE SOUTH AFRICA (PTY) LTD      </t>
  </si>
  <si>
    <t>TREVOR GROENEWALD</t>
  </si>
  <si>
    <t>NWABISA</t>
  </si>
  <si>
    <t xml:space="preserve">LN AUTOMATION                      </t>
  </si>
  <si>
    <t>LOGESH NAIDOO</t>
  </si>
  <si>
    <t>shanaaz</t>
  </si>
  <si>
    <t>POD received from cell 0844848574 M</t>
  </si>
  <si>
    <t xml:space="preserve">PHARMACARE LTD T A ASPEN           </t>
  </si>
  <si>
    <t>GARETH</t>
  </si>
  <si>
    <t>NICOLAS</t>
  </si>
  <si>
    <t>MODISA</t>
  </si>
  <si>
    <t>MARK</t>
  </si>
  <si>
    <t xml:space="preserve">HYDRON HYDRAULICS                  </t>
  </si>
  <si>
    <t>QUINTON WILLIAMS</t>
  </si>
  <si>
    <t>LINDL</t>
  </si>
  <si>
    <t>LINDLEY</t>
  </si>
  <si>
    <t xml:space="preserve">DEW CRISP PTY                      </t>
  </si>
  <si>
    <t>RFES1162541369</t>
  </si>
  <si>
    <t>mol</t>
  </si>
  <si>
    <t xml:space="preserve">CEREBOS LTD                        </t>
  </si>
  <si>
    <t>JAMES</t>
  </si>
  <si>
    <t>BRENDA</t>
  </si>
  <si>
    <t xml:space="preserve">JFE ELECTRONIC ENGINEERING         </t>
  </si>
  <si>
    <t>WARRICK</t>
  </si>
  <si>
    <t xml:space="preserve">TONGAAT HULLETTS GROUP LTD         </t>
  </si>
  <si>
    <t>SECURITY</t>
  </si>
  <si>
    <t>sherondy</t>
  </si>
  <si>
    <t>VEREE</t>
  </si>
  <si>
    <t>VEREENIGING</t>
  </si>
  <si>
    <t xml:space="preserve">MAIN STREET 1310(PTY) L.T.D        </t>
  </si>
  <si>
    <t>DIANE NEWTON</t>
  </si>
  <si>
    <t>RODRICK</t>
  </si>
  <si>
    <t>let</t>
  </si>
  <si>
    <t xml:space="preserve">SHAUN TECHNICAL SOLUTION           </t>
  </si>
  <si>
    <t>TOY</t>
  </si>
  <si>
    <t xml:space="preserve">PAARL MEDIA                        </t>
  </si>
  <si>
    <t>SIYANBONGA MTSHINGILA</t>
  </si>
  <si>
    <t>SIYABONGA</t>
  </si>
  <si>
    <t xml:space="preserve">PROXA (PTY) LTD                    </t>
  </si>
  <si>
    <t>anthea</t>
  </si>
  <si>
    <t xml:space="preserve">FAMOUS BRANDS MANAGEMENT           </t>
  </si>
  <si>
    <t>PETROS MAKHANYA</t>
  </si>
  <si>
    <t xml:space="preserve">MAGDELIN                      </t>
  </si>
  <si>
    <t>MCEDISI</t>
  </si>
  <si>
    <t xml:space="preserve">G.U.D FITTERS                      </t>
  </si>
  <si>
    <t>STORES</t>
  </si>
  <si>
    <t xml:space="preserve">INVESTCHEM                         </t>
  </si>
  <si>
    <t>MARK FITZPATRICK</t>
  </si>
  <si>
    <t>AGGIE</t>
  </si>
  <si>
    <t xml:space="preserve">PARMALAT (PTY) LTD                 </t>
  </si>
  <si>
    <t>SCHALK LOEDOLFF</t>
  </si>
  <si>
    <t>SHERMAN</t>
  </si>
  <si>
    <t xml:space="preserve">RJK MACHINES SERVICES CC           </t>
  </si>
  <si>
    <t xml:space="preserve">LINDA                         </t>
  </si>
  <si>
    <t xml:space="preserve">FAURECIA EMISSIONS CONTROL TEC     </t>
  </si>
  <si>
    <t>CLEM GRUNWALD</t>
  </si>
  <si>
    <t>S KUS</t>
  </si>
  <si>
    <t>byron</t>
  </si>
  <si>
    <t>shareef</t>
  </si>
  <si>
    <t xml:space="preserve">NUWATER SOUTH AFRICA (PTY) LTD     </t>
  </si>
  <si>
    <t>JOHN FABER</t>
  </si>
  <si>
    <t>REAGAN</t>
  </si>
  <si>
    <t xml:space="preserve">REGRADE MASTERS                    </t>
  </si>
  <si>
    <t>ANGELA VAN SCHOOR</t>
  </si>
  <si>
    <t xml:space="preserve">DAVE                          </t>
  </si>
  <si>
    <t xml:space="preserve">DIGN ENGINEERING (PTY) LTD         </t>
  </si>
  <si>
    <t xml:space="preserve">R V NZAMA                     </t>
  </si>
  <si>
    <t xml:space="preserve">AFRIPOWER PTY LTD                  </t>
  </si>
  <si>
    <t>THANDO</t>
  </si>
  <si>
    <t xml:space="preserve">ASPEN NUTRITIONALS                 </t>
  </si>
  <si>
    <t>SIGANTURE</t>
  </si>
  <si>
    <t xml:space="preserve">J.J PRECISION PLASTICS             </t>
  </si>
  <si>
    <t xml:space="preserve">PIONEER PLASTICS                   </t>
  </si>
  <si>
    <t>YLIZMA CARSTENS</t>
  </si>
  <si>
    <t>wanda</t>
  </si>
  <si>
    <t xml:space="preserve">DIVFOOD A DIV OF NAMPAK PRODUC     </t>
  </si>
  <si>
    <t>SIG</t>
  </si>
  <si>
    <t xml:space="preserve">PRIMA INDUSTRIAL HOLDINGS          </t>
  </si>
  <si>
    <t>WEBSTER KOTELO</t>
  </si>
  <si>
    <t>NICO</t>
  </si>
  <si>
    <t>JASON</t>
  </si>
  <si>
    <t xml:space="preserve">HENDOK DISTRIBUTION (PTY) LTD      </t>
  </si>
  <si>
    <t>DEON</t>
  </si>
  <si>
    <t xml:space="preserve">bhekumusa                     </t>
  </si>
  <si>
    <t>WELLI</t>
  </si>
  <si>
    <t>WELLINGTON</t>
  </si>
  <si>
    <t xml:space="preserve">JLINC T A TAMASA TRADING 213 C     </t>
  </si>
  <si>
    <t>JURGEN LUTZELER</t>
  </si>
  <si>
    <t>j lutzeler</t>
  </si>
  <si>
    <t xml:space="preserve">KIM TAYLOR ENTEPRISE               </t>
  </si>
  <si>
    <t xml:space="preserve">ROBOTIC INNOVATIONS PTY            </t>
  </si>
  <si>
    <t>EBEN</t>
  </si>
  <si>
    <t>Abdul Goosein</t>
  </si>
  <si>
    <t xml:space="preserve">G HECKTOOR                    </t>
  </si>
  <si>
    <t xml:space="preserve">FAIRFIELD DAIRY PTY LTD            </t>
  </si>
  <si>
    <t>thato</t>
  </si>
  <si>
    <t xml:space="preserve">AUTO TRIM ROSSLYN AD DIV OF FE     </t>
  </si>
  <si>
    <t>DINEO</t>
  </si>
  <si>
    <t xml:space="preserve">FRIMAX FOODS (PTY) LTD             </t>
  </si>
  <si>
    <t>tracey</t>
  </si>
  <si>
    <t xml:space="preserve">Marcel                        </t>
  </si>
  <si>
    <t xml:space="preserve">POD received from cell 0725929193 M     </t>
  </si>
  <si>
    <t xml:space="preserve">FAURECIA EXHAUST SYSTEMS (PTY)     </t>
  </si>
  <si>
    <t>AKHONA NGAKA</t>
  </si>
  <si>
    <t xml:space="preserve">AL ZEHRI INVESTMENTS PTY LTD       </t>
  </si>
  <si>
    <t xml:space="preserve">joson                         </t>
  </si>
  <si>
    <t>ILENE</t>
  </si>
  <si>
    <t>ON2</t>
  </si>
  <si>
    <t xml:space="preserve">MEXAN PRODUCTS                     </t>
  </si>
  <si>
    <t>DAVE</t>
  </si>
  <si>
    <t xml:space="preserve">JADEC STEEL PROJECT CC             </t>
  </si>
  <si>
    <t>ERROL PETERS</t>
  </si>
  <si>
    <t xml:space="preserve">ALBANY BAKERY                      </t>
  </si>
  <si>
    <t>mervyn</t>
  </si>
  <si>
    <t xml:space="preserve">RHEINMETALL DENEL MUNITION         </t>
  </si>
  <si>
    <t>r j van wyk</t>
  </si>
  <si>
    <t xml:space="preserve">DIAGEO SA                          </t>
  </si>
  <si>
    <t>Diageo security</t>
  </si>
  <si>
    <t>AVINASH</t>
  </si>
  <si>
    <t>ATLAN</t>
  </si>
  <si>
    <t>ATLANTIS</t>
  </si>
  <si>
    <t xml:space="preserve">T.R.W OCCUPANT RESTRIANT SYST      </t>
  </si>
  <si>
    <t xml:space="preserve">LESTER                        </t>
  </si>
  <si>
    <t xml:space="preserve">MAXION WHEELS SA                   </t>
  </si>
  <si>
    <t>ERNEST MOREMEDI</t>
  </si>
  <si>
    <t>KINGW</t>
  </si>
  <si>
    <t>KINGWILLIAMSTOWN</t>
  </si>
  <si>
    <t xml:space="preserve">REHAU POLYMER (PTY) LTD            </t>
  </si>
  <si>
    <t>TERA</t>
  </si>
  <si>
    <t xml:space="preserve">sthembiso                     </t>
  </si>
  <si>
    <t>XOLI</t>
  </si>
  <si>
    <t>MAAN</t>
  </si>
  <si>
    <t>ELIZABERT</t>
  </si>
  <si>
    <t>xon</t>
  </si>
  <si>
    <t>POD received from cell 0817702259 M</t>
  </si>
  <si>
    <t xml:space="preserve">FIRST NATIONAL BATTERY             </t>
  </si>
  <si>
    <t>ELIZABETH TEMA</t>
  </si>
  <si>
    <t xml:space="preserve">buyile                        </t>
  </si>
  <si>
    <t xml:space="preserve">G.U.D HOLDINGS                     </t>
  </si>
  <si>
    <t>amitha</t>
  </si>
  <si>
    <t xml:space="preserve">STRANDFOAM GROUP (PTY) LTD         </t>
  </si>
  <si>
    <t xml:space="preserve">ziyaad                        </t>
  </si>
  <si>
    <t>VINCENT</t>
  </si>
  <si>
    <t xml:space="preserve">vincent                       </t>
  </si>
  <si>
    <t>BAIZ</t>
  </si>
  <si>
    <t xml:space="preserve">M THEART                      </t>
  </si>
  <si>
    <t xml:space="preserve">STAR BAKKER                        </t>
  </si>
  <si>
    <t>PAUL</t>
  </si>
  <si>
    <t xml:space="preserve">AGRIPLAS                           </t>
  </si>
  <si>
    <t>W SASSMAN</t>
  </si>
  <si>
    <t xml:space="preserve">SHATTERPRUFE TRADING SA            </t>
  </si>
  <si>
    <t>DURVESH</t>
  </si>
  <si>
    <t>Flyer PARCEL Flyer PARCEL</t>
  </si>
  <si>
    <t xml:space="preserve">KATHLEEN                      </t>
  </si>
  <si>
    <t xml:space="preserve">THANDI                        </t>
  </si>
  <si>
    <t xml:space="preserve">OILCO (PTY) LTD                    </t>
  </si>
  <si>
    <t>BRETT</t>
  </si>
  <si>
    <t>EGANIE</t>
  </si>
  <si>
    <t>WINTE</t>
  </si>
  <si>
    <t>WINTERTON</t>
  </si>
  <si>
    <t xml:space="preserve">PLANTKOR                           </t>
  </si>
  <si>
    <t>L SOLMS</t>
  </si>
  <si>
    <t xml:space="preserve">POLYOAK PACKAGING (PTY) LTD        </t>
  </si>
  <si>
    <t>SAMMIE</t>
  </si>
  <si>
    <t xml:space="preserve">IMANA FOODS SA (PTY) LTD           </t>
  </si>
  <si>
    <t>NORMAN</t>
  </si>
  <si>
    <t>SASOL</t>
  </si>
  <si>
    <t>SASOLBURG</t>
  </si>
  <si>
    <t xml:space="preserve">CQT   CONTROLS                     </t>
  </si>
  <si>
    <t>DOMINIQUE THEUNISSEN</t>
  </si>
  <si>
    <t>H HAASBROEK</t>
  </si>
  <si>
    <t>slie</t>
  </si>
  <si>
    <t xml:space="preserve">MEGA - PAK                         </t>
  </si>
  <si>
    <t>RICHARD</t>
  </si>
  <si>
    <t xml:space="preserve">KIMBERLEY-CLARK S.A                </t>
  </si>
  <si>
    <t>JOSEPH   CEPHES</t>
  </si>
  <si>
    <t>SIPHIMATSE</t>
  </si>
  <si>
    <t xml:space="preserve">FAIR PLASTICS PACKAGING            </t>
  </si>
  <si>
    <t>Redewaan Ryklief</t>
  </si>
  <si>
    <t xml:space="preserve">EDWINA                        </t>
  </si>
  <si>
    <t>M ZUMA</t>
  </si>
  <si>
    <t xml:space="preserve">INBAL VAAL                         </t>
  </si>
  <si>
    <t>MART-MARIE</t>
  </si>
  <si>
    <t xml:space="preserve">MONDI LIMITED                      </t>
  </si>
  <si>
    <t>ANWAR</t>
  </si>
  <si>
    <t>THOBILE</t>
  </si>
  <si>
    <t>ILLEG3</t>
  </si>
  <si>
    <t xml:space="preserve">HYGIENIC TISSUE MILL               </t>
  </si>
  <si>
    <t>IMTIAZ HOOSEN</t>
  </si>
  <si>
    <t>rahida</t>
  </si>
  <si>
    <t xml:space="preserve">OPEN DOOR TRADERS CC               </t>
  </si>
  <si>
    <t>Zahid</t>
  </si>
  <si>
    <t>ZAHIED</t>
  </si>
  <si>
    <t xml:space="preserve">STAMP                         </t>
  </si>
  <si>
    <t xml:space="preserve">OMNIA FERTILIZER                   </t>
  </si>
  <si>
    <t>ISMAIL MOLOI</t>
  </si>
  <si>
    <t>mmd</t>
  </si>
  <si>
    <t>jodi</t>
  </si>
  <si>
    <t xml:space="preserve">UMICORE CATALYST SA PTY LTD        </t>
  </si>
  <si>
    <t>RICARDO ASSAM</t>
  </si>
  <si>
    <t>UMICORE CATALYST SA PTY LTD</t>
  </si>
  <si>
    <t>sagren</t>
  </si>
  <si>
    <t>CHRISTO</t>
  </si>
  <si>
    <t xml:space="preserve">TRANSNET                           </t>
  </si>
  <si>
    <t>DIDACTIC SHIPMENT REQUESTED BY VILLY FESTO</t>
  </si>
  <si>
    <t>LESLEY MCGREGOR</t>
  </si>
  <si>
    <t>JEG</t>
  </si>
  <si>
    <t xml:space="preserve">A.R.B. ELECTRICAL WHOLESALERS      </t>
  </si>
  <si>
    <t>NITESH MAHARAJ</t>
  </si>
  <si>
    <t>IVY</t>
  </si>
  <si>
    <t>PORTIA</t>
  </si>
  <si>
    <t xml:space="preserve">ATLAS ELECTRO HYDRAULIC SYSTEM     </t>
  </si>
  <si>
    <t>RETHA VD MERWE</t>
  </si>
  <si>
    <t xml:space="preserve">MITTAL STEEL SOUTH AFRICA LIMI     </t>
  </si>
  <si>
    <t>COLLIN - CENTRAL RECEIVING</t>
  </si>
  <si>
    <t>BOIPELO</t>
  </si>
  <si>
    <t xml:space="preserve">PREMIER FOODS LTD                  </t>
  </si>
  <si>
    <t>Simo Qwabe</t>
  </si>
  <si>
    <t xml:space="preserve">CONVEYTRAC                         </t>
  </si>
  <si>
    <t>CHRIS SCHOEMAN</t>
  </si>
  <si>
    <t>boy</t>
  </si>
  <si>
    <t>VINESSAN</t>
  </si>
  <si>
    <t xml:space="preserve">SMITHS MANUFACTURING               </t>
  </si>
  <si>
    <t>CHRIS BOTHA</t>
  </si>
  <si>
    <t>neli</t>
  </si>
  <si>
    <t>vukani</t>
  </si>
  <si>
    <t xml:space="preserve">CLOVER SA (PTY) LTD                </t>
  </si>
  <si>
    <t>SANJAY GOVENDER</t>
  </si>
  <si>
    <t>v posthmus</t>
  </si>
  <si>
    <t>chris</t>
  </si>
  <si>
    <t>david</t>
  </si>
  <si>
    <t>frian</t>
  </si>
  <si>
    <t>RUBICON ELECTRICAL DISTRIBUTOR</t>
  </si>
  <si>
    <t>SHM</t>
  </si>
  <si>
    <t xml:space="preserve">DIYA VALVES INTERNATIONALS CC      </t>
  </si>
  <si>
    <t>DIYAVI</t>
  </si>
  <si>
    <t xml:space="preserve">niren                         </t>
  </si>
  <si>
    <t>CHANELLE</t>
  </si>
  <si>
    <t>ludin</t>
  </si>
  <si>
    <t xml:space="preserve">HEIDELBERG GRAPHIC SYSTEMS SA      </t>
  </si>
  <si>
    <t>JHB</t>
  </si>
  <si>
    <t>Returned to sender on waybill</t>
  </si>
  <si>
    <t xml:space="preserve">PREMIER PLASTICS                   </t>
  </si>
  <si>
    <t>bobo</t>
  </si>
  <si>
    <t>STUTT</t>
  </si>
  <si>
    <t>STUTTERHEIM</t>
  </si>
  <si>
    <t xml:space="preserve">BOARDMAN BROS PTY LTD              </t>
  </si>
  <si>
    <t>ELOISE</t>
  </si>
  <si>
    <t>hardus</t>
  </si>
  <si>
    <t xml:space="preserve">FRANCINA                      </t>
  </si>
  <si>
    <t xml:space="preserve">R   R ICE CREAM SA                 </t>
  </si>
  <si>
    <t>LOVENESS MUSENDO</t>
  </si>
  <si>
    <t xml:space="preserve">SIGNATURE                     </t>
  </si>
  <si>
    <t>EBERSPACHER SOUTH AFRICA  PTY</t>
  </si>
  <si>
    <t>BRONK</t>
  </si>
  <si>
    <t>BRONKHORSTSPRUIT</t>
  </si>
  <si>
    <t xml:space="preserve">SASOL DYNO NOBEL PTY LTD           </t>
  </si>
  <si>
    <t>MARTHA</t>
  </si>
  <si>
    <t xml:space="preserve">UNILAM PRESSINGS                   </t>
  </si>
  <si>
    <t>BRAD SINNETT</t>
  </si>
  <si>
    <t>ZINHLE</t>
  </si>
  <si>
    <t>MTHA</t>
  </si>
  <si>
    <t xml:space="preserve">ADLAM ENGINEERING PTY LTD          </t>
  </si>
  <si>
    <t>LETITIA</t>
  </si>
  <si>
    <t xml:space="preserve">ANDILE                        </t>
  </si>
  <si>
    <t xml:space="preserve">MYKAS PLASTICS CC                  </t>
  </si>
  <si>
    <t>SULIMAN</t>
  </si>
  <si>
    <t>ARIANA</t>
  </si>
  <si>
    <t>POD received from cell 0796216495 M</t>
  </si>
  <si>
    <t>audrey</t>
  </si>
  <si>
    <t xml:space="preserve">BANTEX SA                          </t>
  </si>
  <si>
    <t>TOM MANSFIELD</t>
  </si>
  <si>
    <t>ALIDA</t>
  </si>
  <si>
    <t xml:space="preserve">DISTELL LIMITED                    </t>
  </si>
  <si>
    <t>CEDRIC</t>
  </si>
  <si>
    <t>mohamed</t>
  </si>
  <si>
    <t>rudi</t>
  </si>
  <si>
    <t>GONUB</t>
  </si>
  <si>
    <t>GONUBIE</t>
  </si>
  <si>
    <t xml:space="preserve">AUTOPIPE (PTY) LTD                 </t>
  </si>
  <si>
    <t>ANTONIA</t>
  </si>
  <si>
    <t xml:space="preserve">BURHOSE (DIV OF ARWA PTY LTD)      </t>
  </si>
  <si>
    <t>MELIKATI</t>
  </si>
  <si>
    <t xml:space="preserve">CHRISTOPHER                   </t>
  </si>
  <si>
    <t>GRAAF</t>
  </si>
  <si>
    <t>GRAAFF-REINET</t>
  </si>
  <si>
    <t xml:space="preserve">MELAMINE CORNER                    </t>
  </si>
  <si>
    <t>nelmary</t>
  </si>
  <si>
    <t xml:space="preserve">RAINBOW FARMS PTY LTD P2           </t>
  </si>
  <si>
    <t>ENGINEERING STORES</t>
  </si>
  <si>
    <t xml:space="preserve">VICTORY ELECTRICAL CC              </t>
  </si>
  <si>
    <t>LEON CHRISTIANS</t>
  </si>
  <si>
    <t xml:space="preserve">CHARELS                       </t>
  </si>
  <si>
    <t xml:space="preserve">FEDERAL MOGUL VALVES (PTY) LTD     </t>
  </si>
  <si>
    <t>DENZIL</t>
  </si>
  <si>
    <t xml:space="preserve">KANSAI PLASCON (PTY) LTD           </t>
  </si>
  <si>
    <t>SUBESH</t>
  </si>
  <si>
    <t>ressoile</t>
  </si>
  <si>
    <t>leonie</t>
  </si>
  <si>
    <t xml:space="preserve">CONLOG PTY LTD                     </t>
  </si>
  <si>
    <t>deon</t>
  </si>
  <si>
    <t>EDDIE WAGNER</t>
  </si>
  <si>
    <t>k a moloto</t>
  </si>
  <si>
    <t>baid</t>
  </si>
  <si>
    <t xml:space="preserve">F   R CATAI TRANSPORT              </t>
  </si>
  <si>
    <t xml:space="preserve">SEECOR BLOW MOULDERS               </t>
  </si>
  <si>
    <t>C BOTHA</t>
  </si>
  <si>
    <t>JACQUELINE</t>
  </si>
  <si>
    <t>METIKAMP</t>
  </si>
  <si>
    <t>sanjiv</t>
  </si>
  <si>
    <t xml:space="preserve">K R INDUSTRIAL   AUTOMOTIVE SU     </t>
  </si>
  <si>
    <t>RAJEN</t>
  </si>
  <si>
    <t xml:space="preserve">zewede                        </t>
  </si>
  <si>
    <t xml:space="preserve">PAARL PNEUMATICS CC                </t>
  </si>
  <si>
    <t>ADAM</t>
  </si>
  <si>
    <t>DIDACTIC SHIPMENTS REQUESTED BY FESTO</t>
  </si>
  <si>
    <t>SHATTERPRUFE TRADING SA</t>
  </si>
  <si>
    <t xml:space="preserve">PRO PROJECT ENGINEERING            </t>
  </si>
  <si>
    <t>kathleen</t>
  </si>
  <si>
    <t>GREYT</t>
  </si>
  <si>
    <t>GREYTOWN</t>
  </si>
  <si>
    <t xml:space="preserve">ILLOVO SUGAR LTD-SEZELA            </t>
  </si>
  <si>
    <t>THEMBA NHLANGULELA</t>
  </si>
  <si>
    <t>DODO</t>
  </si>
  <si>
    <t>POD received from cell 0720743631 M</t>
  </si>
  <si>
    <t>PARCEL PARCEL PARCEL PARCEL</t>
  </si>
  <si>
    <t>JENELL</t>
  </si>
  <si>
    <t>BRYAN BELL</t>
  </si>
  <si>
    <t>aardus</t>
  </si>
  <si>
    <t xml:space="preserve">SA SUGAR ASSOCIATION               </t>
  </si>
  <si>
    <t>THULANI</t>
  </si>
  <si>
    <t xml:space="preserve">ORION INGENIEURSWERKE              </t>
  </si>
  <si>
    <t>louis</t>
  </si>
  <si>
    <t>GOVIN BAAITJIES</t>
  </si>
  <si>
    <t>v posthumus</t>
  </si>
  <si>
    <t>SIPHO</t>
  </si>
  <si>
    <t xml:space="preserve">FACTORY AUTOMATION   ENGINEERI     </t>
  </si>
  <si>
    <t>JOHAN WAGENAAR</t>
  </si>
  <si>
    <t xml:space="preserve">POLAR AIR                          </t>
  </si>
  <si>
    <t>MANDLA</t>
  </si>
  <si>
    <t xml:space="preserve">CAVALETTO 98                       </t>
  </si>
  <si>
    <t>garissa</t>
  </si>
  <si>
    <t xml:space="preserve">BRACE ABLE AMNUFACTURING           </t>
  </si>
  <si>
    <t>AYANDA</t>
  </si>
  <si>
    <t>VASI</t>
  </si>
  <si>
    <t xml:space="preserve">SILCOM                             </t>
  </si>
  <si>
    <t>RYNO</t>
  </si>
  <si>
    <t>oupa</t>
  </si>
  <si>
    <t xml:space="preserve">COCA COLA PENINSULA BEVERAGES      </t>
  </si>
  <si>
    <t>CINDY</t>
  </si>
  <si>
    <t>belinda</t>
  </si>
  <si>
    <t>jeromwe</t>
  </si>
  <si>
    <t xml:space="preserve">BANDINI CHEESE PTY LTD             </t>
  </si>
  <si>
    <t>SEAN</t>
  </si>
  <si>
    <t xml:space="preserve">GEBO CERMEX SA PTY LTD             </t>
  </si>
  <si>
    <t>denzil</t>
  </si>
  <si>
    <t xml:space="preserve">CAPE GATE                          </t>
  </si>
  <si>
    <t>Mercia Roets</t>
  </si>
  <si>
    <t>ILLAGE</t>
  </si>
  <si>
    <t>kfh</t>
  </si>
  <si>
    <t>CHING</t>
  </si>
  <si>
    <t>LISETTE</t>
  </si>
  <si>
    <t xml:space="preserve">FUSE - A - TRON CC                 </t>
  </si>
  <si>
    <t xml:space="preserve">TIGER BRANDS(CHOCOLATE UNIT)       </t>
  </si>
  <si>
    <t>LEANA</t>
  </si>
  <si>
    <t>Kelsey Noble</t>
  </si>
  <si>
    <t>randy</t>
  </si>
  <si>
    <t xml:space="preserve">FRESENIUS KABI MANUFACTURING       </t>
  </si>
  <si>
    <t>FRESENIUS KABI MANUFACTURING</t>
  </si>
  <si>
    <t xml:space="preserve">RHEINMETALL LAINGSDALE (PTY) L     </t>
  </si>
  <si>
    <t>GLEN</t>
  </si>
  <si>
    <t>lenny</t>
  </si>
  <si>
    <t>AMON</t>
  </si>
  <si>
    <t xml:space="preserve">RIDGE DISTRIBUTORS CC              </t>
  </si>
  <si>
    <t>SHAKEERA</t>
  </si>
  <si>
    <t xml:space="preserve">NATIONAL BRAND                     </t>
  </si>
  <si>
    <t xml:space="preserve">CHEMPULS CC                        </t>
  </si>
  <si>
    <t>MARIANA</t>
  </si>
  <si>
    <t xml:space="preserve">QUALITECHS                         </t>
  </si>
  <si>
    <t>samuel</t>
  </si>
  <si>
    <t xml:space="preserve">TOTAL SOURCE TRADING               </t>
  </si>
  <si>
    <t>KEITH</t>
  </si>
  <si>
    <t xml:space="preserve">SIGNED                        </t>
  </si>
  <si>
    <t>lucky</t>
  </si>
  <si>
    <t>LYNTHASHA</t>
  </si>
  <si>
    <t xml:space="preserve">THE SIMBA GROUP LTD                </t>
  </si>
  <si>
    <t>peter</t>
  </si>
  <si>
    <t xml:space="preserve">COMPAIR                            </t>
  </si>
  <si>
    <t xml:space="preserve">PRUDENCE                      </t>
  </si>
  <si>
    <t xml:space="preserve">ROLLMECH PTY LTD                   </t>
  </si>
  <si>
    <t>LEON</t>
  </si>
  <si>
    <t>FRANS</t>
  </si>
  <si>
    <t>KHENSANE</t>
  </si>
  <si>
    <t xml:space="preserve">REEF CONSTRUCTION MACHINERY        </t>
  </si>
  <si>
    <t>PINKY</t>
  </si>
  <si>
    <t xml:space="preserve">MASSAMATIC PTY LTD                 </t>
  </si>
  <si>
    <t>ARNOLD HOLMES</t>
  </si>
  <si>
    <t>ARNOLD</t>
  </si>
  <si>
    <t>R KOOPMAN</t>
  </si>
  <si>
    <t xml:space="preserve">MAINSTREET 1310                    </t>
  </si>
  <si>
    <t>RENSIA SCHOEMAN</t>
  </si>
  <si>
    <t>jacob</t>
  </si>
  <si>
    <t xml:space="preserve">PREMIER FMCG (PTY) LTD             </t>
  </si>
  <si>
    <t>SINAZO</t>
  </si>
  <si>
    <t xml:space="preserve">DK COURIERS                        </t>
  </si>
  <si>
    <t>ROZANO ALIE</t>
  </si>
  <si>
    <t xml:space="preserve">FREY   S FOOD BRANDS               </t>
  </si>
  <si>
    <t>godfrey</t>
  </si>
  <si>
    <t xml:space="preserve">TI GROUP AUTOMOTIVE SYSTEMS (P     </t>
  </si>
  <si>
    <t>FAROUK ADAMS</t>
  </si>
  <si>
    <t>AUBREY</t>
  </si>
  <si>
    <t>SDX DELIVERY</t>
  </si>
  <si>
    <t>MARINA   JOHAN</t>
  </si>
  <si>
    <t>MARINA</t>
  </si>
  <si>
    <t>DSD / FUE</t>
  </si>
  <si>
    <t>UMKOM</t>
  </si>
  <si>
    <t>UMKOMAAS</t>
  </si>
  <si>
    <t xml:space="preserve">UMKOMAAS LIGNIN                    </t>
  </si>
  <si>
    <t>leon</t>
  </si>
  <si>
    <t>UGIE</t>
  </si>
  <si>
    <t xml:space="preserve">PG BISON PTY LTD UGIE BOARD PL     </t>
  </si>
  <si>
    <t>RICARDO</t>
  </si>
  <si>
    <t xml:space="preserve">MA AUTOMOTIVE TOOL   DIE PTY L     </t>
  </si>
  <si>
    <t>JACOBUS</t>
  </si>
  <si>
    <t>POOVEN</t>
  </si>
  <si>
    <t>NICKY</t>
  </si>
  <si>
    <t>STANG</t>
  </si>
  <si>
    <t>STANGER</t>
  </si>
  <si>
    <t xml:space="preserve">SAPPI SA LTD                       </t>
  </si>
  <si>
    <t xml:space="preserve">vijay                         </t>
  </si>
  <si>
    <t xml:space="preserve">SIYABONGA                     </t>
  </si>
  <si>
    <t xml:space="preserve">HYSA SYSTEMS COMPETENCE CENTER     </t>
  </si>
  <si>
    <t>MAREK MALINOWSKI</t>
  </si>
  <si>
    <t>varity</t>
  </si>
  <si>
    <t>CERES</t>
  </si>
  <si>
    <t xml:space="preserve">PIONEER FOODS GROCERIES            </t>
  </si>
  <si>
    <t xml:space="preserve">Aldren </t>
  </si>
  <si>
    <t>muzi</t>
  </si>
  <si>
    <t>bradley</t>
  </si>
  <si>
    <t xml:space="preserve">NEXOR 575 PTY LTD                  </t>
  </si>
  <si>
    <t>MARIUS VAN DEN BERG</t>
  </si>
  <si>
    <t>MARCUS</t>
  </si>
  <si>
    <t>MIDD2</t>
  </si>
  <si>
    <t>MIDDELBURG (Mpumalanga)</t>
  </si>
  <si>
    <t xml:space="preserve">TECHNICRETE ISG                    </t>
  </si>
  <si>
    <t>TREVER</t>
  </si>
  <si>
    <t>PATISWA</t>
  </si>
  <si>
    <t xml:space="preserve">UNILIVER                           </t>
  </si>
  <si>
    <t>ANDREAS XABA</t>
  </si>
  <si>
    <t xml:space="preserve">GENERAL PNEUMATICS NATAL PTY L     </t>
  </si>
  <si>
    <t xml:space="preserve">BEVCAN                             </t>
  </si>
  <si>
    <t>NTLBOKOANE MASEMOLA</t>
  </si>
  <si>
    <t>SIMPHIWE</t>
  </si>
  <si>
    <t>KEIMO</t>
  </si>
  <si>
    <t>KEIMOES</t>
  </si>
  <si>
    <t xml:space="preserve">KEIMOS UPINGTON                    </t>
  </si>
  <si>
    <t>ELIZ MARIE</t>
  </si>
  <si>
    <t>ren</t>
  </si>
  <si>
    <t xml:space="preserve">PFISTERER PTY LTD                  </t>
  </si>
  <si>
    <t>George Sewepersadh</t>
  </si>
  <si>
    <t>stamp</t>
  </si>
  <si>
    <t xml:space="preserve">BEARINGS DISTRIBUTORS WESKUS       </t>
  </si>
  <si>
    <t>HEINRICH</t>
  </si>
  <si>
    <t>NGF</t>
  </si>
  <si>
    <t xml:space="preserve">THE SAB BREWERIES LTD              </t>
  </si>
  <si>
    <t>LERATO   THEMBA</t>
  </si>
  <si>
    <t>LERATO</t>
  </si>
  <si>
    <t xml:space="preserve">Basic Optical                      </t>
  </si>
  <si>
    <t>CHRISTELENE</t>
  </si>
  <si>
    <t xml:space="preserve">FOXOLUTION SYSTEMS ENG CC          </t>
  </si>
  <si>
    <t>CAMIN</t>
  </si>
  <si>
    <t>s clark</t>
  </si>
  <si>
    <t xml:space="preserve">ATLANTIS FOUNDRIES (PTY) LTD       </t>
  </si>
  <si>
    <t>CO STAMP</t>
  </si>
  <si>
    <t xml:space="preserve">PIONEER FOODS (PTY) LTD            </t>
  </si>
  <si>
    <t>devan</t>
  </si>
  <si>
    <t xml:space="preserve">PFERD SA PTY LTD                   </t>
  </si>
  <si>
    <t>MAINTENANCE STORES</t>
  </si>
  <si>
    <t>PAULINE</t>
  </si>
  <si>
    <t>wwerner</t>
  </si>
  <si>
    <t>SANTOS   MALI</t>
  </si>
  <si>
    <t>raymond</t>
  </si>
  <si>
    <t xml:space="preserve">DYNAMIC AUTOMATION TRUST           </t>
  </si>
  <si>
    <t>lousie</t>
  </si>
  <si>
    <t>NIKITA</t>
  </si>
  <si>
    <t>leoni</t>
  </si>
  <si>
    <t>SIGNATUER</t>
  </si>
  <si>
    <t xml:space="preserve">COREL INSTRUMENTATION   CONTRO     </t>
  </si>
  <si>
    <t>YOLANDA   JACKIE</t>
  </si>
  <si>
    <t xml:space="preserve">DENEL LAND SYSTEMS INC.MECHEM      </t>
  </si>
  <si>
    <t>OOSIE OOSTHUIZEN</t>
  </si>
  <si>
    <t>JABULILE</t>
  </si>
  <si>
    <t xml:space="preserve">J F EQUIPMENT                      </t>
  </si>
  <si>
    <t>ANTHONY SMITH</t>
  </si>
  <si>
    <t>EMMA</t>
  </si>
  <si>
    <t>POD received from cell 0612827599 M</t>
  </si>
  <si>
    <t xml:space="preserve">HYFLO SA                           </t>
  </si>
  <si>
    <t>zane</t>
  </si>
  <si>
    <t xml:space="preserve">PIONEER FOODS PTY LTD              </t>
  </si>
  <si>
    <t xml:space="preserve">rishi                         </t>
  </si>
  <si>
    <t>WEZIWE</t>
  </si>
  <si>
    <t>LIFE MECANTILE HOSPITAL</t>
  </si>
  <si>
    <t xml:space="preserve">MA AUTOMOTIVE                      </t>
  </si>
  <si>
    <t>SIBUSISO</t>
  </si>
  <si>
    <t xml:space="preserve">COCA COLA CANNERS OF SA            </t>
  </si>
  <si>
    <t>DEIRDRE PLINT</t>
  </si>
  <si>
    <t xml:space="preserve">VAN NIEKERK PACKAGING SUPPORT      </t>
  </si>
  <si>
    <t>gappie</t>
  </si>
  <si>
    <t xml:space="preserve">DIESEL ELECTRICAL INDUSTRIES       </t>
  </si>
  <si>
    <t>JOEL</t>
  </si>
  <si>
    <t xml:space="preserve">REITECH S.A.                       </t>
  </si>
  <si>
    <t>THANDI</t>
  </si>
  <si>
    <t xml:space="preserve">ACTOM MV SWITCHGEAR                </t>
  </si>
  <si>
    <t>PIET FERREIRA</t>
  </si>
  <si>
    <t>SINDISWA</t>
  </si>
  <si>
    <t>ZINDRE</t>
  </si>
  <si>
    <t>jnaine</t>
  </si>
  <si>
    <t>OLA</t>
  </si>
  <si>
    <t xml:space="preserve">UV + IR ENGINEERING PTY LTD        </t>
  </si>
  <si>
    <t xml:space="preserve">LUZOAN                        </t>
  </si>
  <si>
    <t>avilash</t>
  </si>
  <si>
    <t xml:space="preserve">BEARING   ACCESSORIES CC           </t>
  </si>
  <si>
    <t>Lenny</t>
  </si>
  <si>
    <t xml:space="preserve">elisha                        </t>
  </si>
  <si>
    <t>BEVERYLY</t>
  </si>
  <si>
    <t xml:space="preserve">LINDE + WIEMANN (PTY) LTD          </t>
  </si>
  <si>
    <t>kim</t>
  </si>
  <si>
    <t>nos</t>
  </si>
  <si>
    <t>MINTOOR</t>
  </si>
  <si>
    <t xml:space="preserve">BEARING MAN                        </t>
  </si>
  <si>
    <t>UR GENT COLLECTION READY NOW CLOSING AT 16:45</t>
  </si>
  <si>
    <t>LAVASHNI</t>
  </si>
  <si>
    <t xml:space="preserve">Liqui Box                          </t>
  </si>
  <si>
    <t>EMMAH</t>
  </si>
  <si>
    <t>JARROD</t>
  </si>
  <si>
    <t xml:space="preserve">COMPTECH ELECTRONICS               </t>
  </si>
  <si>
    <t>VELI   TANYAA</t>
  </si>
  <si>
    <t>Andrew</t>
  </si>
  <si>
    <t xml:space="preserve">STUARTS TRANSPORT                  </t>
  </si>
  <si>
    <t>OLIVIER JOHNNY</t>
  </si>
  <si>
    <t xml:space="preserve">ILLOVO SUGAR LTD-ESTON MILL        </t>
  </si>
  <si>
    <t>PRUNEL REDDY</t>
  </si>
  <si>
    <t>URGENT COLLECTION READY NOW   CLOSING BEFORE 16:00</t>
  </si>
  <si>
    <t>LOMBARD</t>
  </si>
  <si>
    <t>KHENSANI   CECILIA</t>
  </si>
  <si>
    <t>FLYER</t>
  </si>
  <si>
    <t xml:space="preserve">ATLANTIS FOUNDRY                   </t>
  </si>
  <si>
    <t xml:space="preserve">167 COBRA WATERTECH (PTY)LTD {     </t>
  </si>
  <si>
    <t>PERCY NDABA</t>
  </si>
  <si>
    <t>WATSON</t>
  </si>
  <si>
    <t>NELEILE</t>
  </si>
  <si>
    <t>J LUTZELER</t>
  </si>
  <si>
    <t xml:space="preserve">Rand Refinery                      </t>
  </si>
  <si>
    <t>Creditors Dpt</t>
  </si>
  <si>
    <t xml:space="preserve">SMT INDUSTRIAL CC                  </t>
  </si>
  <si>
    <t>CHERLY</t>
  </si>
  <si>
    <t>FRED</t>
  </si>
  <si>
    <t>n habech</t>
  </si>
  <si>
    <t xml:space="preserve">MASONITE AFRICA LTD                </t>
  </si>
  <si>
    <t>NEERASHA BEJARRETH</t>
  </si>
  <si>
    <t xml:space="preserve">BAKKER                        </t>
  </si>
  <si>
    <t xml:space="preserve">PBA EQUIPMENT PTY LTD              </t>
  </si>
  <si>
    <t>CHASE VAN GINKEL</t>
  </si>
  <si>
    <t>chase</t>
  </si>
  <si>
    <t xml:space="preserve">BAGSHAW GIBAUD (FOOTWEAR) PTY      </t>
  </si>
  <si>
    <t>GAIL</t>
  </si>
  <si>
    <t>NOUAH</t>
  </si>
  <si>
    <t xml:space="preserve">BEKKER                        </t>
  </si>
  <si>
    <t xml:space="preserve">CONSOL GLASS                       </t>
  </si>
  <si>
    <t>ISABELLA ROUX</t>
  </si>
  <si>
    <t xml:space="preserve">RCL FOODS CONSUMER (PTY) LTD       </t>
  </si>
  <si>
    <t>johnathan</t>
  </si>
  <si>
    <t xml:space="preserve">QUALIPAK PTY LTD                   </t>
  </si>
  <si>
    <t>THYS VAN WYK</t>
  </si>
  <si>
    <t>SIPHATMISE</t>
  </si>
  <si>
    <t>danielle</t>
  </si>
  <si>
    <t>SIPHATMATSE</t>
  </si>
  <si>
    <t xml:space="preserve">FRANS                         </t>
  </si>
  <si>
    <t xml:space="preserve">CONRO PRECISION                    </t>
  </si>
  <si>
    <t xml:space="preserve">PIONEER FOODS                      </t>
  </si>
  <si>
    <t>GARY</t>
  </si>
  <si>
    <t>PIONEER FOODS</t>
  </si>
  <si>
    <t xml:space="preserve">SMA ENGINEERING S.A. (PTY) LTD     </t>
  </si>
  <si>
    <t>noel</t>
  </si>
  <si>
    <t xml:space="preserve">COLGATE PALMOLIVE LTD              </t>
  </si>
  <si>
    <t>MANDLA NKOSI</t>
  </si>
  <si>
    <t>jandre</t>
  </si>
  <si>
    <t>SUSANNA GREEFF</t>
  </si>
  <si>
    <t>NANDIA</t>
  </si>
  <si>
    <t>LINDIE</t>
  </si>
  <si>
    <t xml:space="preserve">FAIR CAPE DAIRIES (PTY) LTD        </t>
  </si>
  <si>
    <t>OBIE MARTIN</t>
  </si>
  <si>
    <t>DOMINIC</t>
  </si>
  <si>
    <t>DALEEN</t>
  </si>
  <si>
    <t>BOX BOX BOX PARCEL BOX BOX BOX PARCEL</t>
  </si>
  <si>
    <t xml:space="preserve">GRIPPER   CO (PTY) LTD             </t>
  </si>
  <si>
    <t>TRACY</t>
  </si>
  <si>
    <t xml:space="preserve">MECHATRONICS                       </t>
  </si>
  <si>
    <t>KELVIN DOWNEY</t>
  </si>
  <si>
    <t>FASEEGH</t>
  </si>
  <si>
    <t xml:space="preserve">DE BEERS GROUP SERVICES            </t>
  </si>
  <si>
    <t>JOSEPH</t>
  </si>
  <si>
    <t>ILEG</t>
  </si>
  <si>
    <t xml:space="preserve">M.E.E PTY LTD                      </t>
  </si>
  <si>
    <t xml:space="preserve">ELECTRONIC   POWER                 </t>
  </si>
  <si>
    <t>MARIETTA POTGIETER</t>
  </si>
  <si>
    <t>MAVIS</t>
  </si>
  <si>
    <t xml:space="preserve">SKEG PRODUCT DEVELOPMENT           </t>
  </si>
  <si>
    <t>d cloete</t>
  </si>
  <si>
    <t>RANDY</t>
  </si>
  <si>
    <t xml:space="preserve">MAHLE BEHR SOUTH AFRICA (PTY)      </t>
  </si>
  <si>
    <t>JACO</t>
  </si>
  <si>
    <t>wian</t>
  </si>
  <si>
    <t>avilash b</t>
  </si>
  <si>
    <t xml:space="preserve">BOND STREET                        </t>
  </si>
  <si>
    <t>MAPHOSA</t>
  </si>
  <si>
    <t>GOVIN</t>
  </si>
  <si>
    <t>vinesh</t>
  </si>
  <si>
    <t>VINESH</t>
  </si>
  <si>
    <t>jaco</t>
  </si>
  <si>
    <t xml:space="preserve">BLUE CHIP LUBRICANTS PTY LTD       </t>
  </si>
  <si>
    <t>NATHALIE</t>
  </si>
  <si>
    <t>NTHABI</t>
  </si>
  <si>
    <t>ntokozo</t>
  </si>
  <si>
    <t>GAPPIE</t>
  </si>
  <si>
    <t>HENRY</t>
  </si>
  <si>
    <t>PARCEL Flyer Flyer PARCEL</t>
  </si>
  <si>
    <t xml:space="preserve">ACT LOGISTICS                      </t>
  </si>
  <si>
    <t>VENICA</t>
  </si>
  <si>
    <t>zahid</t>
  </si>
  <si>
    <t>elw</t>
  </si>
  <si>
    <t>R RANGAN</t>
  </si>
  <si>
    <t xml:space="preserve">RHEINMETALL DENEL MUNITION (PT     </t>
  </si>
  <si>
    <t>ANTHONIE KLUYTS</t>
  </si>
  <si>
    <t>leslie</t>
  </si>
  <si>
    <t xml:space="preserve">MCC LABEL PAARL SA                 </t>
  </si>
  <si>
    <t>MILLEM BEN FOURIE</t>
  </si>
  <si>
    <t>luzane</t>
  </si>
  <si>
    <t>rolene</t>
  </si>
  <si>
    <t>dominic</t>
  </si>
  <si>
    <t xml:space="preserve">METAL BADGE AND BUTTON MNFRS       </t>
  </si>
  <si>
    <t>JOHN HUNTER</t>
  </si>
  <si>
    <t>mary</t>
  </si>
  <si>
    <t>VINCENT JAN</t>
  </si>
  <si>
    <t xml:space="preserve">N   M METALWORKS                   </t>
  </si>
  <si>
    <t>AMERICO</t>
  </si>
  <si>
    <t xml:space="preserve">COMMUTER TRANSPORT ENGINEERING     </t>
  </si>
  <si>
    <t xml:space="preserve">romi                          </t>
  </si>
  <si>
    <t xml:space="preserve">TIGER CONSUMER BRANDS LTD          </t>
  </si>
  <si>
    <t>RENSBURG</t>
  </si>
  <si>
    <t>freddy</t>
  </si>
  <si>
    <t xml:space="preserve">MACSTEEL FUILD CONTROL             </t>
  </si>
  <si>
    <t>HEILA FOURIE</t>
  </si>
  <si>
    <t xml:space="preserve">heila                         </t>
  </si>
  <si>
    <t>BELINDA</t>
  </si>
  <si>
    <t xml:space="preserve">ACK SOLUTIONS PTY LTD              </t>
  </si>
  <si>
    <t>DANNY</t>
  </si>
  <si>
    <t xml:space="preserve">BEVCAN A DIVISION OF NAMPAK        </t>
  </si>
  <si>
    <t>ANDRE CRONJE</t>
  </si>
  <si>
    <t>SERENE</t>
  </si>
  <si>
    <t xml:space="preserve">SIPHATHISE                    </t>
  </si>
  <si>
    <t xml:space="preserve">CTP PRINTERS CPT                   </t>
  </si>
  <si>
    <t>alan</t>
  </si>
  <si>
    <t>ILKELG</t>
  </si>
  <si>
    <t>GIRLY</t>
  </si>
  <si>
    <t xml:space="preserve">ILLOVO SUGAR LTD - SEZELA          </t>
  </si>
  <si>
    <t>NAIDOO KAS</t>
  </si>
  <si>
    <t>sipho</t>
  </si>
  <si>
    <t>W THERA</t>
  </si>
  <si>
    <t>thobile</t>
  </si>
  <si>
    <t xml:space="preserve">TI GROUP AUTOMOTIVE SYSTEM         </t>
  </si>
  <si>
    <t>ROSCOE</t>
  </si>
  <si>
    <t>joyce</t>
  </si>
  <si>
    <t xml:space="preserve">ROBOTIC HANDLING SYSTEMS CC        </t>
  </si>
  <si>
    <t>Derek Albert</t>
  </si>
  <si>
    <t>N NEL</t>
  </si>
  <si>
    <t>SHANAAZ</t>
  </si>
  <si>
    <t xml:space="preserve">PPC CEMENT SA                      </t>
  </si>
  <si>
    <t>PERCY MASHISHI</t>
  </si>
  <si>
    <t>innocent</t>
  </si>
  <si>
    <t>SUNETH</t>
  </si>
  <si>
    <t>CHANTELLE</t>
  </si>
  <si>
    <t xml:space="preserve">CHILL BEVERAGES INTERNATIONAL      </t>
  </si>
  <si>
    <t>frauline</t>
  </si>
  <si>
    <t>RFES1162541637</t>
  </si>
  <si>
    <t>moo</t>
  </si>
  <si>
    <t xml:space="preserve">BRITISH AMERICAN TOBACCO SA (P     </t>
  </si>
  <si>
    <t>PRODUCTION PLANT</t>
  </si>
  <si>
    <t>BONG S</t>
  </si>
  <si>
    <t>d pillay</t>
  </si>
  <si>
    <t xml:space="preserve">SODECIA SA                         </t>
  </si>
  <si>
    <t>TSHEPO MAMPYA</t>
  </si>
  <si>
    <t>khutso</t>
  </si>
  <si>
    <t>WONDA</t>
  </si>
  <si>
    <t>m hyns</t>
  </si>
  <si>
    <t xml:space="preserve">FOODCORP PTY LTD MILLING           </t>
  </si>
  <si>
    <t>ANDRIES KOZA</t>
  </si>
  <si>
    <t xml:space="preserve">ZIMCO GROUP PTY LTD                </t>
  </si>
  <si>
    <t>sne</t>
  </si>
  <si>
    <t>Bakker Mahloko</t>
  </si>
  <si>
    <t>SOPHIE</t>
  </si>
  <si>
    <t xml:space="preserve">BRITS BAG MANUFACTURES             </t>
  </si>
  <si>
    <t>DESERE</t>
  </si>
  <si>
    <t>sue</t>
  </si>
  <si>
    <t>HARRI</t>
  </si>
  <si>
    <t>HARRISMITH</t>
  </si>
  <si>
    <t xml:space="preserve">NESTLE SA                          </t>
  </si>
  <si>
    <t>JACO VAN NIEKERK</t>
  </si>
  <si>
    <t>subesh</t>
  </si>
  <si>
    <t>QUALITECHS</t>
  </si>
  <si>
    <t xml:space="preserve">BALLENA TRADING 31 PTY LTD         </t>
  </si>
  <si>
    <t>RISHAL RAMKISSORE</t>
  </si>
  <si>
    <t xml:space="preserve">MOLAN PINO SOUTH AFRICA (PTY)      </t>
  </si>
  <si>
    <t>RICKEY</t>
  </si>
  <si>
    <t xml:space="preserve">MAGNET ELECTRICAL                  </t>
  </si>
  <si>
    <t xml:space="preserve">NAVIN                         </t>
  </si>
  <si>
    <t>PSSLYDAN</t>
  </si>
  <si>
    <t>sugan</t>
  </si>
  <si>
    <t xml:space="preserve">NEDBANK (NEDFLEET)                 </t>
  </si>
  <si>
    <t>FROM KAREN MULLER</t>
  </si>
  <si>
    <t>TREVOR MOODLEY</t>
  </si>
  <si>
    <t>BLESSING</t>
  </si>
  <si>
    <t xml:space="preserve">UNIVERSAL AUTOMATED SYSTEMS PT     </t>
  </si>
  <si>
    <t>RICHARD GRIBBLE</t>
  </si>
  <si>
    <t xml:space="preserve">CAPE OIL   MARGARINE (PTY) LTD     </t>
  </si>
  <si>
    <t>AZGAR MAHTHOO</t>
  </si>
  <si>
    <t>pliwe</t>
  </si>
  <si>
    <t xml:space="preserve">NALEDI FOUNDRY OPERATIONS          </t>
  </si>
  <si>
    <t xml:space="preserve">M BOTHA                       </t>
  </si>
  <si>
    <t xml:space="preserve">MCCAIN FOODS SA PTY LTD            </t>
  </si>
  <si>
    <t>REFILOE MOROPA</t>
  </si>
  <si>
    <t>SUMEETH</t>
  </si>
  <si>
    <t xml:space="preserve">KOOGAN PLASTICS                    </t>
  </si>
  <si>
    <t>Muhammed Ismail</t>
  </si>
  <si>
    <t>NOMBULELO</t>
  </si>
  <si>
    <t>STEVAN</t>
  </si>
  <si>
    <t xml:space="preserve">LEGACY MARINE (PTY) LTD            </t>
  </si>
  <si>
    <t>NICOLETTE</t>
  </si>
  <si>
    <t>SAMSON</t>
  </si>
  <si>
    <t>jenell</t>
  </si>
  <si>
    <t xml:space="preserve">DB  ENGINEERING                    </t>
  </si>
  <si>
    <t>NATASHA BRUYNS</t>
  </si>
  <si>
    <t>JABULANI</t>
  </si>
  <si>
    <t>lindo</t>
  </si>
  <si>
    <t xml:space="preserve">ELDERWOOD TRADING CC               </t>
  </si>
  <si>
    <t xml:space="preserve">TILODI ENGINEERING (PTY) LTD       </t>
  </si>
  <si>
    <t>OLIVIA</t>
  </si>
  <si>
    <t>LINCOLIN</t>
  </si>
  <si>
    <t>MOSES</t>
  </si>
  <si>
    <t xml:space="preserve">EVERITE BUILDING DIVISION          </t>
  </si>
  <si>
    <t>MUSA</t>
  </si>
  <si>
    <t>noluvuyo</t>
  </si>
  <si>
    <t xml:space="preserve">DENEL DYNAMICS                     </t>
  </si>
  <si>
    <t>URWIN NEL</t>
  </si>
  <si>
    <t>benjamin</t>
  </si>
  <si>
    <t xml:space="preserve">RAMSAY ENGINEERING PTY LTD         </t>
  </si>
  <si>
    <t>MARTIN RAPHUNGA</t>
  </si>
  <si>
    <t>nauen</t>
  </si>
  <si>
    <t>SHONTAL</t>
  </si>
  <si>
    <t>BETHL</t>
  </si>
  <si>
    <t>BETHLEHEM</t>
  </si>
  <si>
    <t>ZANDILE</t>
  </si>
  <si>
    <t xml:space="preserve">AFRICAN COMMERCE CAPE              </t>
  </si>
  <si>
    <t>VALENCIA</t>
  </si>
  <si>
    <t>S TAS</t>
  </si>
  <si>
    <t xml:space="preserve">SPICER AXLE (PTY) LTD              </t>
  </si>
  <si>
    <t>CARIKA</t>
  </si>
  <si>
    <t xml:space="preserve">CROSSLEY HOLDINGS                  </t>
  </si>
  <si>
    <t>VENOLA PILLAI</t>
  </si>
  <si>
    <t>mthoko</t>
  </si>
  <si>
    <t>SANET</t>
  </si>
  <si>
    <t xml:space="preserve">SIETECH CC                         </t>
  </si>
  <si>
    <t>evasha</t>
  </si>
  <si>
    <t xml:space="preserve">CHALK AIR CC                       </t>
  </si>
  <si>
    <t>D PIENAAR</t>
  </si>
  <si>
    <t xml:space="preserve">STEEL BEST MANUFACTURING PTY L     </t>
  </si>
  <si>
    <t>LUKE</t>
  </si>
  <si>
    <t xml:space="preserve">ILLOVO SUGAR LTD                   </t>
  </si>
  <si>
    <t>KATHERYN FINLAYSON</t>
  </si>
  <si>
    <t>Martin</t>
  </si>
  <si>
    <t>POD received from cell 0810382830 M</t>
  </si>
  <si>
    <t>jijay</t>
  </si>
  <si>
    <t xml:space="preserve">MARTIN   MARTIN (PTY) LTD          </t>
  </si>
  <si>
    <t>SONJA</t>
  </si>
  <si>
    <t>pamela</t>
  </si>
  <si>
    <t>UMBOG</t>
  </si>
  <si>
    <t>UMBOGINTWINI</t>
  </si>
  <si>
    <t xml:space="preserve">RAPID AIRTOOL REPAIRS CC           </t>
  </si>
  <si>
    <t>JOEY</t>
  </si>
  <si>
    <t>BRADLEY</t>
  </si>
  <si>
    <t xml:space="preserve">HULAMIN OPERATIONS PTY LTD         </t>
  </si>
  <si>
    <t>VIKASH SINGH</t>
  </si>
  <si>
    <t>OLGA NZIMANDE</t>
  </si>
  <si>
    <t>THOBEKA</t>
  </si>
  <si>
    <t>marco</t>
  </si>
  <si>
    <t xml:space="preserve">TECHNIKON LABORATORIES             </t>
  </si>
  <si>
    <t>LOUIS MORGAN</t>
  </si>
  <si>
    <t>SUSAN</t>
  </si>
  <si>
    <t xml:space="preserve">SIEMENS LTD                        </t>
  </si>
  <si>
    <t>ELIZA SENEKAL</t>
  </si>
  <si>
    <t>LAVELLE</t>
  </si>
  <si>
    <t>c uarissa</t>
  </si>
  <si>
    <t xml:space="preserve">REKS TRADING CC                    </t>
  </si>
  <si>
    <t xml:space="preserve">BME PACKAGING CC                   </t>
  </si>
  <si>
    <t>SARAH KGANYAGO</t>
  </si>
  <si>
    <t>POD received from cell 0739448817 M</t>
  </si>
  <si>
    <t xml:space="preserve">DANDO SPACE                        </t>
  </si>
  <si>
    <t>OWEN</t>
  </si>
  <si>
    <t>GIBSON</t>
  </si>
  <si>
    <t xml:space="preserve">CNC SERVICES   INTEGRATION         </t>
  </si>
  <si>
    <t xml:space="preserve">TROPICAL PLASTICS   PACKAGING      </t>
  </si>
  <si>
    <t>RAS</t>
  </si>
  <si>
    <t>MERINA</t>
  </si>
  <si>
    <t>rum</t>
  </si>
  <si>
    <t xml:space="preserve">ORBIT ELECT SUPP PTY LTD JHB       </t>
  </si>
  <si>
    <t xml:space="preserve">PAARL COLDSET (PTY) LTD            </t>
  </si>
  <si>
    <t>QUINTON JOOSTE</t>
  </si>
  <si>
    <t>wilhemiena</t>
  </si>
  <si>
    <t>SANJAY</t>
  </si>
  <si>
    <t xml:space="preserve">AUTOMA MULTI STYRENE               </t>
  </si>
  <si>
    <t xml:space="preserve">A DUVENGE                     </t>
  </si>
  <si>
    <t xml:space="preserve">POD received from cell 0738698647 M     </t>
  </si>
  <si>
    <t xml:space="preserve">MULTI-WEIGH TECHNOLOGIES           </t>
  </si>
  <si>
    <t>CHINA</t>
  </si>
  <si>
    <t xml:space="preserve">NEW CRISP PTY                      </t>
  </si>
  <si>
    <t>ANGELA</t>
  </si>
  <si>
    <t xml:space="preserve">SNS ENGINEERING   CONSTRUCTION     </t>
  </si>
  <si>
    <t xml:space="preserve">MACSTEEL COIL PROCESSING           </t>
  </si>
  <si>
    <t>HENRICH VAN DEN BERG</t>
  </si>
  <si>
    <t>PHILA</t>
  </si>
  <si>
    <t>BEVERLEY</t>
  </si>
  <si>
    <t>gitesh</t>
  </si>
  <si>
    <t>JAKO</t>
  </si>
  <si>
    <t>VERONA</t>
  </si>
  <si>
    <t xml:space="preserve">LYTTELTON DOLOMITE                 </t>
  </si>
  <si>
    <t>JUSTIN HUDSON</t>
  </si>
  <si>
    <t>LORRAINE</t>
  </si>
  <si>
    <t>?</t>
  </si>
  <si>
    <t xml:space="preserve">AVENG MANUFACTURING INFRASET       </t>
  </si>
  <si>
    <t>dewald</t>
  </si>
  <si>
    <t>NANDI</t>
  </si>
  <si>
    <t xml:space="preserve">NIKI                          </t>
  </si>
  <si>
    <t>CONDRUD</t>
  </si>
  <si>
    <t>FRANCINA</t>
  </si>
  <si>
    <t xml:space="preserve">shanaaz                       </t>
  </si>
  <si>
    <t xml:space="preserve">POD received from cell 0844848574 M     </t>
  </si>
  <si>
    <t>C CHICCARO</t>
  </si>
  <si>
    <t>POD received from cell 0833807574 M</t>
  </si>
  <si>
    <t>MDUDUZI</t>
  </si>
  <si>
    <t>VINESH HIRALALL</t>
  </si>
  <si>
    <t xml:space="preserve">SHERONDY                      </t>
  </si>
  <si>
    <t xml:space="preserve">thorne                        </t>
  </si>
  <si>
    <t>BOX PARCEL BOX PARCEL</t>
  </si>
  <si>
    <t>isaac</t>
  </si>
  <si>
    <t>janine</t>
  </si>
  <si>
    <t>kiri</t>
  </si>
  <si>
    <t>ronaldo</t>
  </si>
  <si>
    <t xml:space="preserve">ishara                        </t>
  </si>
  <si>
    <t xml:space="preserve">PRODUCTIVE ENGINEERING CC          </t>
  </si>
  <si>
    <t>SEAN IRWIN</t>
  </si>
  <si>
    <t xml:space="preserve">DALE SPIRAL SYSTEMS   BAKERY A     </t>
  </si>
  <si>
    <t>A SAKA</t>
  </si>
  <si>
    <t xml:space="preserve">S.A. LITHO PRINTINGS   PACK. (     </t>
  </si>
  <si>
    <t>a watters</t>
  </si>
  <si>
    <t xml:space="preserve">OFFSET PRESS SUPPLIES (PTY) LT     </t>
  </si>
  <si>
    <t>SHANE</t>
  </si>
  <si>
    <t>shane</t>
  </si>
  <si>
    <t>BOX BOX PARCEL PARCEL BOX BOX</t>
  </si>
  <si>
    <t xml:space="preserve">DIVFOOD   NAMPAK                   </t>
  </si>
  <si>
    <t>sean</t>
  </si>
  <si>
    <t>G LUNDALL</t>
  </si>
  <si>
    <t xml:space="preserve">edwina                        </t>
  </si>
  <si>
    <t>charles</t>
  </si>
  <si>
    <t>NOLUVUYO</t>
  </si>
  <si>
    <t>ROZELLE SCOTSON</t>
  </si>
  <si>
    <t>micarla</t>
  </si>
  <si>
    <t xml:space="preserve">ACTISOL CC T A EX-ES GENERAL       </t>
  </si>
  <si>
    <t>SHANE HUBSCH</t>
  </si>
  <si>
    <t>ACTISOL CC T A EX-ES GENERAL</t>
  </si>
  <si>
    <t xml:space="preserve">RCL FOODS SUGAR   MILLING          </t>
  </si>
  <si>
    <t>PATRICK NTULI</t>
  </si>
  <si>
    <t>ipeleng</t>
  </si>
  <si>
    <t xml:space="preserve">SMITHS MANUFACTURING PTY LTD       </t>
  </si>
  <si>
    <t>RASEN</t>
  </si>
  <si>
    <t xml:space="preserve">eddie                         </t>
  </si>
  <si>
    <t>zamokwakhe</t>
  </si>
  <si>
    <t xml:space="preserve">TRELLICOR (PTY) LTD                </t>
  </si>
  <si>
    <t>joey</t>
  </si>
  <si>
    <t>WAYNE</t>
  </si>
  <si>
    <t>merilyn</t>
  </si>
  <si>
    <t xml:space="preserve">SAMES CENTER PTY LTD               </t>
  </si>
  <si>
    <t>SARIE STRUMPHER</t>
  </si>
  <si>
    <t xml:space="preserve">l gorden                      </t>
  </si>
  <si>
    <t>FAUR1</t>
  </si>
  <si>
    <t>FAURE</t>
  </si>
  <si>
    <t xml:space="preserve">ITHEMBA LABS                       </t>
  </si>
  <si>
    <t>WAYNE KEARNS</t>
  </si>
  <si>
    <t>stone</t>
  </si>
  <si>
    <t>POD received from cell 0717422052 M</t>
  </si>
  <si>
    <t>fluans</t>
  </si>
  <si>
    <t xml:space="preserve">EFAMATIC MACHINE TOOLS             </t>
  </si>
  <si>
    <t>WALTER MEYER</t>
  </si>
  <si>
    <t>EFAMATIC MACHINE TOOLS</t>
  </si>
  <si>
    <t xml:space="preserve">SAR ELECTRONIC SA PTY LTD          </t>
  </si>
  <si>
    <t>zeldene</t>
  </si>
  <si>
    <t>POD received from cell 0820688138 M</t>
  </si>
  <si>
    <t xml:space="preserve">BLISS CHEMICALS                    </t>
  </si>
  <si>
    <t xml:space="preserve">ahir                          </t>
  </si>
  <si>
    <t xml:space="preserve">POD received from cell 0768370739 M     </t>
  </si>
  <si>
    <t xml:space="preserve">PRESSURE DIE CASTINGS PTY LTD      </t>
  </si>
  <si>
    <t>roy</t>
  </si>
  <si>
    <t xml:space="preserve">ashika                        </t>
  </si>
  <si>
    <t>LE RICHE</t>
  </si>
  <si>
    <t xml:space="preserve">RYMCO PTY LTD ACHOR YEAST          </t>
  </si>
  <si>
    <t xml:space="preserve">QUALITEC ENGINEERING CC            </t>
  </si>
  <si>
    <t>MONIQUE KUKLA</t>
  </si>
  <si>
    <t>RHOLLYWAY</t>
  </si>
  <si>
    <t xml:space="preserve">TRUST ENGINEERING                  </t>
  </si>
  <si>
    <t>ALICIA MARE PIETERSE</t>
  </si>
  <si>
    <t xml:space="preserve">CAPE OIL AND MARGRAINE             </t>
  </si>
  <si>
    <t xml:space="preserve">adilian                       </t>
  </si>
  <si>
    <t>SELLO</t>
  </si>
  <si>
    <t xml:space="preserve">WILSON STREET FURNITURE            </t>
  </si>
  <si>
    <t xml:space="preserve">MOSHABA                       </t>
  </si>
  <si>
    <t>r v nzama</t>
  </si>
  <si>
    <t xml:space="preserve">DEEZ                          </t>
  </si>
  <si>
    <t>NDUMISO</t>
  </si>
  <si>
    <t>juanita</t>
  </si>
  <si>
    <t xml:space="preserve">MICROMATH TRADING 168 CC           </t>
  </si>
  <si>
    <t>THEUNIS TALJAARD</t>
  </si>
  <si>
    <t>ELEO</t>
  </si>
  <si>
    <t>Box Box</t>
  </si>
  <si>
    <t>AUBEY</t>
  </si>
  <si>
    <t>BELLOANA MICHAELS</t>
  </si>
  <si>
    <t xml:space="preserve">MPACT PLASTICS                     </t>
  </si>
  <si>
    <t>MABORE</t>
  </si>
  <si>
    <t>TONNY</t>
  </si>
  <si>
    <t xml:space="preserve">ILLOVO SUGAR LTD DALTON            </t>
  </si>
  <si>
    <t>INBA KUPANANDUM</t>
  </si>
  <si>
    <t>lundi</t>
  </si>
  <si>
    <t>MARCIA</t>
  </si>
  <si>
    <t xml:space="preserve">DWAIN                         </t>
  </si>
  <si>
    <t xml:space="preserve">POD received from cell 0844243445 M     </t>
  </si>
  <si>
    <t>FREDA</t>
  </si>
  <si>
    <t xml:space="preserve">CULINARY  A DIVISION OF            </t>
  </si>
  <si>
    <t>keron</t>
  </si>
  <si>
    <t xml:space="preserve">MACHMAN PTY LTD                    </t>
  </si>
  <si>
    <t>KIM</t>
  </si>
  <si>
    <t xml:space="preserve">NATIONAL BRANDS BIS   SNK DIV      </t>
  </si>
  <si>
    <t>MEMORY OOSTHUIZEN</t>
  </si>
  <si>
    <t>FRANK</t>
  </si>
  <si>
    <t xml:space="preserve">FELTEX AUTOMOTIVE DIVISION         </t>
  </si>
  <si>
    <t xml:space="preserve">WILLIAM                       </t>
  </si>
  <si>
    <t>GIDEON</t>
  </si>
  <si>
    <t>zana</t>
  </si>
  <si>
    <t>ELSHAUN</t>
  </si>
  <si>
    <t>tarryn</t>
  </si>
  <si>
    <t xml:space="preserve">SHERANDY                      </t>
  </si>
  <si>
    <t>BOX PARCEL PARCEL BOX</t>
  </si>
  <si>
    <t>THILEBONA</t>
  </si>
  <si>
    <t xml:space="preserve">Supply Tech ENG                    </t>
  </si>
  <si>
    <t>Craig</t>
  </si>
  <si>
    <t>craig</t>
  </si>
  <si>
    <t xml:space="preserve">LUSH                          </t>
  </si>
  <si>
    <t>edwina</t>
  </si>
  <si>
    <t xml:space="preserve">NEVILLE CAMAY CC                   </t>
  </si>
  <si>
    <t>NEVILLE</t>
  </si>
  <si>
    <t>MUSSAH</t>
  </si>
  <si>
    <t>ka moloto</t>
  </si>
  <si>
    <t xml:space="preserve">MULTOTEC MANUFACTURING             </t>
  </si>
  <si>
    <t>DEVENDRAN</t>
  </si>
  <si>
    <t>MURIEL</t>
  </si>
  <si>
    <t>lyntasha</t>
  </si>
  <si>
    <t xml:space="preserve">NAMPAK GLASS                       </t>
  </si>
  <si>
    <t>JAN VAN WYK</t>
  </si>
  <si>
    <t>GUGU</t>
  </si>
  <si>
    <t>GEOFFREY PIGGOT</t>
  </si>
  <si>
    <t>MERILLE SOLOMONS</t>
  </si>
  <si>
    <t>CARISTEN</t>
  </si>
  <si>
    <t>ASHWIN</t>
  </si>
  <si>
    <t xml:space="preserve">NAMPAK I   CS (BEVCAN)             </t>
  </si>
  <si>
    <t>veronique</t>
  </si>
  <si>
    <t>CHASE</t>
  </si>
  <si>
    <t>SIMONI</t>
  </si>
  <si>
    <t>f ras</t>
  </si>
  <si>
    <t>ALDIZE</t>
  </si>
  <si>
    <t xml:space="preserve">L OREAL MANUFACTURING (PTY)LTD     </t>
  </si>
  <si>
    <t>WILLIAM</t>
  </si>
  <si>
    <t>ERMEL</t>
  </si>
  <si>
    <t>ERMELO</t>
  </si>
  <si>
    <t xml:space="preserve">DIMAG CC                           </t>
  </si>
  <si>
    <t>MARIUS</t>
  </si>
  <si>
    <t>GUSTAS</t>
  </si>
  <si>
    <t xml:space="preserve">BURKERT CONTROMATIC PTY LTD        </t>
  </si>
  <si>
    <t>A V ZYL</t>
  </si>
  <si>
    <t xml:space="preserve">AFROX GOC LTD                      </t>
  </si>
  <si>
    <t xml:space="preserve">SINDILE                       </t>
  </si>
  <si>
    <t xml:space="preserve">POD received from cell 0631962221 M     </t>
  </si>
  <si>
    <t>BOX PARCEL</t>
  </si>
  <si>
    <t xml:space="preserve">JISTIN                        </t>
  </si>
  <si>
    <t xml:space="preserve">BASEL READ CIVIL ENG PTY LTD       </t>
  </si>
  <si>
    <t xml:space="preserve">HIGH FORCE HYDRAULIC PNEUMATIC     </t>
  </si>
  <si>
    <t>MOSES KRUGER</t>
  </si>
  <si>
    <t>SHAWON</t>
  </si>
  <si>
    <t xml:space="preserve">LEONARD DINGLER PTY LTD            </t>
  </si>
  <si>
    <t>NTHABI MABOTHA</t>
  </si>
  <si>
    <t>PHILLIP</t>
  </si>
  <si>
    <t xml:space="preserve">AM SYSTEMS INTEGRATION             </t>
  </si>
  <si>
    <t>RIAAN COETZE</t>
  </si>
  <si>
    <t xml:space="preserve">TURN BAR                           </t>
  </si>
  <si>
    <t xml:space="preserve">john                          </t>
  </si>
  <si>
    <t>jarrod</t>
  </si>
  <si>
    <t>ZAKHELE</t>
  </si>
  <si>
    <t xml:space="preserve">AFRISAM SA PTY LTD                 </t>
  </si>
  <si>
    <t>TRISTAN</t>
  </si>
  <si>
    <t>JOSE</t>
  </si>
  <si>
    <t>PACERL PACERL</t>
  </si>
  <si>
    <t>ROBINA</t>
  </si>
  <si>
    <t xml:space="preserve">TONGAAT HULETT STARCH PTY LTD      </t>
  </si>
  <si>
    <t>MANIE ELS</t>
  </si>
  <si>
    <t>DESMOND</t>
  </si>
  <si>
    <t xml:space="preserve">THABI                         </t>
  </si>
  <si>
    <t>BEVERLY</t>
  </si>
  <si>
    <t xml:space="preserve">ABI BOTTLING                       </t>
  </si>
  <si>
    <t>Jay Moodley</t>
  </si>
  <si>
    <t>k gounden</t>
  </si>
  <si>
    <t xml:space="preserve">BRADCHER INDUSTRIAL WHOLESALER     </t>
  </si>
  <si>
    <t>wesley</t>
  </si>
  <si>
    <t>MARLON</t>
  </si>
  <si>
    <t>LEO</t>
  </si>
  <si>
    <t xml:space="preserve">ANGEL SHACK TRADING   INVESTME     </t>
  </si>
  <si>
    <t>CORNE</t>
  </si>
  <si>
    <t>ROLENE</t>
  </si>
  <si>
    <t xml:space="preserve">BEN                           </t>
  </si>
  <si>
    <t xml:space="preserve">SCAW SA                            </t>
  </si>
  <si>
    <t>LOBOHANG</t>
  </si>
  <si>
    <t>sanjin</t>
  </si>
  <si>
    <t>deqwald</t>
  </si>
  <si>
    <t xml:space="preserve">lerato                        </t>
  </si>
  <si>
    <t xml:space="preserve">VANESCO PTY LTD                    </t>
  </si>
  <si>
    <t>SAMANTHA</t>
  </si>
  <si>
    <t xml:space="preserve">SHEENDY                       </t>
  </si>
  <si>
    <t>Allain</t>
  </si>
  <si>
    <t>POD received from cell 0765349089 M</t>
  </si>
  <si>
    <t>KOBUS</t>
  </si>
  <si>
    <t>vish</t>
  </si>
  <si>
    <t>jones</t>
  </si>
  <si>
    <t xml:space="preserve">TRIPLE OPTION TRADING 583 CC       </t>
  </si>
  <si>
    <t>BRATSA</t>
  </si>
  <si>
    <t>Lynette</t>
  </si>
  <si>
    <t xml:space="preserve">DANE                          </t>
  </si>
  <si>
    <t>POD received from cell 0642054836 M</t>
  </si>
  <si>
    <t xml:space="preserve">SHERIF                        </t>
  </si>
  <si>
    <t xml:space="preserve">DYNAMIC   MAINTENANCE ENGINEER     </t>
  </si>
  <si>
    <t xml:space="preserve">RAGINI                        </t>
  </si>
  <si>
    <t xml:space="preserve">Slk Bolt And Nuts                  </t>
  </si>
  <si>
    <t>DAKUTA MUTARE</t>
  </si>
  <si>
    <t>SILIAS</t>
  </si>
  <si>
    <t xml:space="preserve">TAHLO                         </t>
  </si>
  <si>
    <t xml:space="preserve">TRUDA SNACKS CAPE CC               </t>
  </si>
  <si>
    <t>DEEN - AMIR GEORGE</t>
  </si>
  <si>
    <t>CLIVE</t>
  </si>
  <si>
    <t xml:space="preserve">SPLIT LINE MANUFACTURING CC        </t>
  </si>
  <si>
    <t>spasie</t>
  </si>
  <si>
    <t>theo</t>
  </si>
  <si>
    <t>BRYAN WEBER</t>
  </si>
  <si>
    <t xml:space="preserve">CHANTAY                       </t>
  </si>
  <si>
    <t>EVASHA</t>
  </si>
  <si>
    <t xml:space="preserve">RYDOM                         </t>
  </si>
  <si>
    <t xml:space="preserve">VENK PAC                           </t>
  </si>
  <si>
    <t>CANDICE</t>
  </si>
  <si>
    <t xml:space="preserve">zameer                        </t>
  </si>
  <si>
    <t xml:space="preserve">ALFONSO                       </t>
  </si>
  <si>
    <t>TARRYN</t>
  </si>
  <si>
    <t xml:space="preserve">EAST COAST INSTRUMENTATION SAL     </t>
  </si>
  <si>
    <t xml:space="preserve">VOLTMECH CC                        </t>
  </si>
  <si>
    <t>GORDON BACKSTAR</t>
  </si>
  <si>
    <t xml:space="preserve">FESTO DURBAN                       </t>
  </si>
  <si>
    <t>NICOLE</t>
  </si>
  <si>
    <t>strini</t>
  </si>
  <si>
    <t>PARCEL BOX BOX BOX PARCEL BOX BOX BOX</t>
  </si>
  <si>
    <t>BOX BOX BOX BOX</t>
  </si>
  <si>
    <t xml:space="preserve">ZENTIVA SA PTY LTD                 </t>
  </si>
  <si>
    <t>MIN PRITCHARDS</t>
  </si>
  <si>
    <t>daniel</t>
  </si>
  <si>
    <t>gertha</t>
  </si>
  <si>
    <t xml:space="preserve">RYDUN                         </t>
  </si>
  <si>
    <t xml:space="preserve">DANONE SA PTY LTD                  </t>
  </si>
  <si>
    <t>SAMUKELISIWE KOENAITE</t>
  </si>
  <si>
    <t xml:space="preserve">TMD FRICTION SA PTY LTD            </t>
  </si>
  <si>
    <t>tess</t>
  </si>
  <si>
    <t>C ROSSOUW</t>
  </si>
  <si>
    <t xml:space="preserve">MA AUTOMOTIVE TOOL   DIE           </t>
  </si>
  <si>
    <t>CHRISTELENE LUNDALL</t>
  </si>
  <si>
    <t xml:space="preserve">ABERDER CABLES                     </t>
  </si>
  <si>
    <t>COLLEN   FLOYD</t>
  </si>
  <si>
    <t>RUSTE</t>
  </si>
  <si>
    <t>RUSTENBURG</t>
  </si>
  <si>
    <t xml:space="preserve">SUNBAKE                            </t>
  </si>
  <si>
    <t>ANNETTE GROENEWALD</t>
  </si>
  <si>
    <t>KAREL</t>
  </si>
  <si>
    <t>rowan</t>
  </si>
  <si>
    <t>andrew</t>
  </si>
  <si>
    <t xml:space="preserve">GRANT                         </t>
  </si>
  <si>
    <t xml:space="preserve">PATRICK                       </t>
  </si>
  <si>
    <t>MPHO</t>
  </si>
  <si>
    <t xml:space="preserve">sheres                        </t>
  </si>
  <si>
    <t>sanet</t>
  </si>
  <si>
    <t>marias</t>
  </si>
  <si>
    <t>MOORR</t>
  </si>
  <si>
    <t>MOORREESBURG</t>
  </si>
  <si>
    <t xml:space="preserve">SWARTLAND INVESTMENTS PTY LTD      </t>
  </si>
  <si>
    <t>CHARL CLAASEN</t>
  </si>
  <si>
    <t>SHAROLDINE</t>
  </si>
  <si>
    <t>ADCOCK INGRSM CRITICAL CARE PT</t>
  </si>
  <si>
    <t>POD received from cell 0739633425 M</t>
  </si>
  <si>
    <t>JENDAMARK AUTOMATION PTY LTD</t>
  </si>
  <si>
    <t>msizi</t>
  </si>
  <si>
    <t xml:space="preserve">ALPHAPAX PACKAGING CC              </t>
  </si>
  <si>
    <t>CARISSA</t>
  </si>
  <si>
    <t>POD received from cell 0738698647 M</t>
  </si>
  <si>
    <t>THABO</t>
  </si>
  <si>
    <t>ALLY</t>
  </si>
  <si>
    <t>johanna</t>
  </si>
  <si>
    <t xml:space="preserve">BEVCAN A DIVISION OF NAMPAK  M     </t>
  </si>
  <si>
    <t>THEMBELANI</t>
  </si>
  <si>
    <t xml:space="preserve">ILELG                         </t>
  </si>
  <si>
    <t>MSA</t>
  </si>
  <si>
    <t xml:space="preserve">BEIR SAFETY FOOTWEAR A DIVISIO     </t>
  </si>
  <si>
    <t>Pieter Henning</t>
  </si>
  <si>
    <t xml:space="preserve">RCL FOODS CONSUMER                 </t>
  </si>
  <si>
    <t>WENDY SADLER</t>
  </si>
  <si>
    <t xml:space="preserve">JOY                           </t>
  </si>
  <si>
    <t>DYLAN WYNNE</t>
  </si>
  <si>
    <t xml:space="preserve">chris                         </t>
  </si>
  <si>
    <t xml:space="preserve">MR CARRIERS                        </t>
  </si>
  <si>
    <t>ARMSTRONG SETLOLELA</t>
  </si>
  <si>
    <t>D PERUMAL</t>
  </si>
  <si>
    <t>Moosa Mfomi</t>
  </si>
  <si>
    <t xml:space="preserve">NARROWTEX PTY LTD                  </t>
  </si>
  <si>
    <t xml:space="preserve">wilson                        </t>
  </si>
  <si>
    <t>L GORDEN</t>
  </si>
  <si>
    <t xml:space="preserve">BLAIZEPOINT TRADING 274 CC         </t>
  </si>
  <si>
    <t xml:space="preserve">SIFISO                        </t>
  </si>
  <si>
    <t>REVEN</t>
  </si>
  <si>
    <t xml:space="preserve">BIC SA PTY LTD                     </t>
  </si>
  <si>
    <t>SHAUN JAFTHA</t>
  </si>
  <si>
    <t>TSHIAMO</t>
  </si>
  <si>
    <t xml:space="preserve">FONTANA MANUFACTURERS PTY LTD      </t>
  </si>
  <si>
    <t>NELSP</t>
  </si>
  <si>
    <t>NELSPRUIT</t>
  </si>
  <si>
    <t xml:space="preserve">MANGANESE METAL CO.                </t>
  </si>
  <si>
    <t>RON CHETTY</t>
  </si>
  <si>
    <t>cynthia</t>
  </si>
  <si>
    <t xml:space="preserve">TIGER CONSUMER BRANDS              </t>
  </si>
  <si>
    <t>NAOMI</t>
  </si>
  <si>
    <t>KRUNAL</t>
  </si>
  <si>
    <t>VELI   TANYA</t>
  </si>
  <si>
    <t xml:space="preserve">SOUTH AFRICAN BANK NOTE CO.        </t>
  </si>
  <si>
    <t>JACOB BAHOLO</t>
  </si>
  <si>
    <t xml:space="preserve">DONALD                        </t>
  </si>
  <si>
    <t xml:space="preserve">L ESTER                       </t>
  </si>
  <si>
    <t xml:space="preserve">GOODMAN                       </t>
  </si>
  <si>
    <t>lsaac</t>
  </si>
  <si>
    <t xml:space="preserve">ELEMENT SIX PRODUCTION             </t>
  </si>
  <si>
    <t>SYDNEY PATEL</t>
  </si>
  <si>
    <t xml:space="preserve">PAULOS                        </t>
  </si>
  <si>
    <t xml:space="preserve">TRANSNET ENGINEERING               </t>
  </si>
  <si>
    <t xml:space="preserve">MINOVA SA                          </t>
  </si>
  <si>
    <t>KHOSI MSIMANGO</t>
  </si>
  <si>
    <t>NOEL</t>
  </si>
  <si>
    <t>K A MOLOTO</t>
  </si>
  <si>
    <t xml:space="preserve">IDWALA CARBONATES                  </t>
  </si>
  <si>
    <t>Saroop Suthurgam</t>
  </si>
  <si>
    <t>kerusha</t>
  </si>
  <si>
    <t>VELILE</t>
  </si>
  <si>
    <t>TERESA</t>
  </si>
  <si>
    <t>a pieterse</t>
  </si>
  <si>
    <t>ANDE</t>
  </si>
  <si>
    <t>alee</t>
  </si>
  <si>
    <t>SENTSHO</t>
  </si>
  <si>
    <t>KRUSH</t>
  </si>
  <si>
    <t xml:space="preserve">HANSENS ENGENNERING                </t>
  </si>
  <si>
    <t>MARKUS NOERTEMANN</t>
  </si>
  <si>
    <t>HANSENS ENGENNERING</t>
  </si>
  <si>
    <t xml:space="preserve">SAGREEN                       </t>
  </si>
  <si>
    <t xml:space="preserve">PRAGA TECHNICAL PTY LTD            </t>
  </si>
  <si>
    <t>LOOTIE VERMELULEN</t>
  </si>
  <si>
    <t xml:space="preserve">S.A. MINT                          </t>
  </si>
  <si>
    <t>REGINALD PHIYA</t>
  </si>
  <si>
    <t>SHORT SUPPLYED  AS PER ENOS</t>
  </si>
  <si>
    <t>mzo</t>
  </si>
  <si>
    <t xml:space="preserve">BENTELER SA                        </t>
  </si>
  <si>
    <t>CONSTANCE</t>
  </si>
  <si>
    <t>SANDT</t>
  </si>
  <si>
    <t>SANDTON</t>
  </si>
  <si>
    <t xml:space="preserve">PRIME INTERNATIONAL TRADING PT     </t>
  </si>
  <si>
    <t>E DELANEY</t>
  </si>
  <si>
    <t xml:space="preserve">PILP PRODUCTS                      </t>
  </si>
  <si>
    <t>ADRIAN</t>
  </si>
  <si>
    <t xml:space="preserve">PRECISION METAL PRODUCTS           </t>
  </si>
  <si>
    <t>DHAYA</t>
  </si>
  <si>
    <t>COMPANY STAMP</t>
  </si>
  <si>
    <t>OSCAR</t>
  </si>
  <si>
    <t xml:space="preserve">AIRCONDUCT CC                      </t>
  </si>
  <si>
    <t>MABEL</t>
  </si>
  <si>
    <t xml:space="preserve">thami                         </t>
  </si>
  <si>
    <t xml:space="preserve">H1 ENGINEERING                     </t>
  </si>
  <si>
    <t>DES HAETLEY</t>
  </si>
  <si>
    <t>D ELS</t>
  </si>
  <si>
    <t xml:space="preserve">EVEREADY (PTY) LTD                 </t>
  </si>
  <si>
    <t>RAW MATERIALS (FACTORY)</t>
  </si>
  <si>
    <t>EVEREADY  PTY  LTD</t>
  </si>
  <si>
    <t xml:space="preserve">SHATTERPRUFE TRADING AS A          </t>
  </si>
  <si>
    <t>DANIE NAUDE</t>
  </si>
  <si>
    <t xml:space="preserve">CTP STATIONERY MANUFECTURERS       </t>
  </si>
  <si>
    <t>V SCHUTTE</t>
  </si>
  <si>
    <t xml:space="preserve">CDP MANUFACTURING CC               </t>
  </si>
  <si>
    <t>CODY</t>
  </si>
  <si>
    <t>SHARON</t>
  </si>
  <si>
    <t xml:space="preserve">VINESSAN                      </t>
  </si>
  <si>
    <t>Veli</t>
  </si>
  <si>
    <t xml:space="preserve">RISHABA TRADING CC                 </t>
  </si>
  <si>
    <t>ARNEAL RAMJAS</t>
  </si>
  <si>
    <t>A RAMJOS</t>
  </si>
  <si>
    <t xml:space="preserve">TENOVA TAKRAF AFRICA               </t>
  </si>
  <si>
    <t>LINN BOYD</t>
  </si>
  <si>
    <t>PHUTHI</t>
  </si>
  <si>
    <t xml:space="preserve">GRINDING TECHNICS                  </t>
  </si>
  <si>
    <t>CHUCK</t>
  </si>
  <si>
    <t>BEYTEL</t>
  </si>
  <si>
    <t>andile</t>
  </si>
  <si>
    <t xml:space="preserve">SILVER CONTROL SYSTEMS CC          </t>
  </si>
  <si>
    <t>s smart</t>
  </si>
  <si>
    <t xml:space="preserve">AVENG TRIDENT STEEL ADIVISION      </t>
  </si>
  <si>
    <t>ISITH</t>
  </si>
  <si>
    <t>ISITHEBE</t>
  </si>
  <si>
    <t xml:space="preserve">WHIRLPOOL S.A                      </t>
  </si>
  <si>
    <t>davis</t>
  </si>
  <si>
    <t xml:space="preserve">WASSERTEC OZONE SYSTEMS            </t>
  </si>
  <si>
    <t>MARTIN</t>
  </si>
  <si>
    <t xml:space="preserve">SCHULLPAK CC                       </t>
  </si>
  <si>
    <t>Grant</t>
  </si>
  <si>
    <t>grant moses</t>
  </si>
  <si>
    <t xml:space="preserve">ARANDA TEXTILE MILLS (PTY) LTD     </t>
  </si>
  <si>
    <t>SIGN</t>
  </si>
  <si>
    <t xml:space="preserve">MARCE FIRE FIGHTING TECHNOLOGY     </t>
  </si>
  <si>
    <t>DANIE</t>
  </si>
  <si>
    <t>PRECIOUS</t>
  </si>
  <si>
    <t>GIVEN HLUNGWANI</t>
  </si>
  <si>
    <t xml:space="preserve">ERIC                          </t>
  </si>
  <si>
    <t>r gedulel</t>
  </si>
  <si>
    <t>pam</t>
  </si>
  <si>
    <t xml:space="preserve">VEES AUTOMATIVE PIPES   FITTIN     </t>
  </si>
  <si>
    <t>JUDELIZE ENSLIN</t>
  </si>
  <si>
    <t>TERENCE</t>
  </si>
  <si>
    <t xml:space="preserve">CULINARY A DIV OF TIGER CONSUM     </t>
  </si>
  <si>
    <t>MORRIS</t>
  </si>
  <si>
    <t>SHORT SUPPLIED</t>
  </si>
  <si>
    <t xml:space="preserve">Jestine                       </t>
  </si>
  <si>
    <t>EDDIE</t>
  </si>
  <si>
    <t xml:space="preserve">SUNBAKE BENONI                     </t>
  </si>
  <si>
    <t>JANUARY MASANGO</t>
  </si>
  <si>
    <t>MARIC</t>
  </si>
  <si>
    <t>merwy</t>
  </si>
  <si>
    <t xml:space="preserve">RCL FOODS CONSUMER PTY             </t>
  </si>
  <si>
    <t>FAHEEMAH AMERICA</t>
  </si>
  <si>
    <t>E ENGELAND</t>
  </si>
  <si>
    <t xml:space="preserve">UNILEVER ANDERBOLT HOMECARE LI     </t>
  </si>
  <si>
    <t>nditsheni</t>
  </si>
  <si>
    <t xml:space="preserve">DICKIE   STOCKLER                  </t>
  </si>
  <si>
    <t>MIKE BAROMEN</t>
  </si>
  <si>
    <t>N VAN DER MERWE</t>
  </si>
  <si>
    <t>anzi</t>
  </si>
  <si>
    <t>mynie</t>
  </si>
  <si>
    <t xml:space="preserve">BREWBEV                            </t>
  </si>
  <si>
    <t xml:space="preserve">FOODSERV SOLUTIONS                 </t>
  </si>
  <si>
    <t>TIAAN</t>
  </si>
  <si>
    <t xml:space="preserve">CSIR CENTRAL PROCUREMENT OFFIC     </t>
  </si>
  <si>
    <t>IPELEGENG MATHEBULA</t>
  </si>
  <si>
    <t>reneilwe</t>
  </si>
  <si>
    <t>CHANTA</t>
  </si>
  <si>
    <t>l lakey</t>
  </si>
  <si>
    <t xml:space="preserve">MSG SYSTEMS                        </t>
  </si>
  <si>
    <t xml:space="preserve">KOBOT TECHNICAL SERVICES CC        </t>
  </si>
  <si>
    <t>kobus</t>
  </si>
  <si>
    <t xml:space="preserve">INTERNATIONAL TUBE TECHNOLOGY      </t>
  </si>
  <si>
    <t>YUSUF</t>
  </si>
  <si>
    <t>CARMEN</t>
  </si>
  <si>
    <t>NIGEL</t>
  </si>
  <si>
    <t xml:space="preserve">SUPREME SPRING                     </t>
  </si>
  <si>
    <t>MUHAMMED MOOLLA</t>
  </si>
  <si>
    <t>MOHAMMED</t>
  </si>
  <si>
    <t>s cupido</t>
  </si>
  <si>
    <t xml:space="preserve">SASOL INFRACHEM                    </t>
  </si>
  <si>
    <t>MADELEINE</t>
  </si>
  <si>
    <t xml:space="preserve">CHANTAL                       </t>
  </si>
  <si>
    <t>NICKI</t>
  </si>
  <si>
    <t>CLINTON</t>
  </si>
  <si>
    <t xml:space="preserve">VARELEC DISTRIBUTORS CC            </t>
  </si>
  <si>
    <t xml:space="preserve">JW STRATON AGENICIES SA PTY LT     </t>
  </si>
  <si>
    <t>SIDWELL</t>
  </si>
  <si>
    <t xml:space="preserve">AVION PNEUMATICS   HYDRAULICS      </t>
  </si>
  <si>
    <t>EDWARD</t>
  </si>
  <si>
    <t>tse</t>
  </si>
  <si>
    <t xml:space="preserve">VAN RYN RUBBER HOLDINGS            </t>
  </si>
  <si>
    <t xml:space="preserve">A SINGH                       </t>
  </si>
  <si>
    <t>M A LYONS</t>
  </si>
  <si>
    <t>SITHOLE</t>
  </si>
  <si>
    <t>randu</t>
  </si>
  <si>
    <t xml:space="preserve">UNILEVER SOUTH AFRICA PTY LTD      </t>
  </si>
  <si>
    <t>marlin</t>
  </si>
  <si>
    <t xml:space="preserve">CONSUPAQ (PTY) LTD                 </t>
  </si>
  <si>
    <t>Shivesh Sohawan</t>
  </si>
  <si>
    <t>nicklous</t>
  </si>
  <si>
    <t xml:space="preserve">MAIN STREET 1310 PTY LTD           </t>
  </si>
  <si>
    <t>NOEL KING</t>
  </si>
  <si>
    <t>jean</t>
  </si>
  <si>
    <t>leani</t>
  </si>
  <si>
    <t>lida</t>
  </si>
  <si>
    <t>N SITHOLE</t>
  </si>
  <si>
    <t>POD received from cell 0767927780 M</t>
  </si>
  <si>
    <t xml:space="preserve">DELFLOW                            </t>
  </si>
  <si>
    <t>FRAN</t>
  </si>
  <si>
    <t>c17924</t>
  </si>
  <si>
    <t xml:space="preserve">FESTO PIETERMARITSBURG             </t>
  </si>
  <si>
    <t xml:space="preserve">FESTO ISANDO                       </t>
  </si>
  <si>
    <t>FESTO PTY LTD STPORES</t>
  </si>
  <si>
    <t>M PERKS</t>
  </si>
  <si>
    <t>rd1</t>
  </si>
  <si>
    <t xml:space="preserve">ILLOVO SUGAR                       </t>
  </si>
  <si>
    <t>andre</t>
  </si>
  <si>
    <t>ABIGAIL</t>
  </si>
  <si>
    <t>amt</t>
  </si>
  <si>
    <t xml:space="preserve">WEIR MINERALS AFRICA               </t>
  </si>
  <si>
    <t>ANNA DU TOIT</t>
  </si>
  <si>
    <t xml:space="preserve">pumzile                       </t>
  </si>
  <si>
    <t xml:space="preserve">POD received from cell 0727260126 M     </t>
  </si>
  <si>
    <t xml:space="preserve">WILMAR CONTINENTAL EDIBLE OILS     </t>
  </si>
  <si>
    <t>TAX INVOICE IS ATTACHED</t>
  </si>
  <si>
    <t>POD received from cell 0825431626 M</t>
  </si>
  <si>
    <t>capet</t>
  </si>
  <si>
    <t>VANESSA</t>
  </si>
  <si>
    <t>Fran De Bruto</t>
  </si>
  <si>
    <t>JEFF</t>
  </si>
  <si>
    <t xml:space="preserve">BULKMATIC SOLIDS MACH              </t>
  </si>
  <si>
    <t>TIMOTHY SMOUSE</t>
  </si>
  <si>
    <t>EDIAS</t>
  </si>
  <si>
    <t>PARCEL PARCEL PARCEL Flyer PARCEL PARCEL PARCEL F</t>
  </si>
  <si>
    <t xml:space="preserve">BARROWS DESIGN   MANUFACTURING     </t>
  </si>
  <si>
    <t>san</t>
  </si>
  <si>
    <t>BARTMAN</t>
  </si>
  <si>
    <t>BALF2</t>
  </si>
  <si>
    <t>BALFOUR (TVL)</t>
  </si>
  <si>
    <t xml:space="preserve">KARAN BEEF (PTY) LTD               </t>
  </si>
  <si>
    <t>SECHABA</t>
  </si>
  <si>
    <t>PARCEL PARCEL PARCEL PARCEL PARCEL PARCEL</t>
  </si>
  <si>
    <t xml:space="preserve">DIVFOOD                            </t>
  </si>
  <si>
    <t>robby</t>
  </si>
  <si>
    <t>POD received from cell 0727260126 M</t>
  </si>
  <si>
    <t>rdl</t>
  </si>
  <si>
    <t>ABSOLOM</t>
  </si>
  <si>
    <t>BOX BOX BOX BOX BOX BOX BOX BOX</t>
  </si>
  <si>
    <t xml:space="preserve">VAAL SANITARYWARE (PTY) LTD        </t>
  </si>
  <si>
    <t>SUZAN</t>
  </si>
  <si>
    <t>VINCENT   JAN</t>
  </si>
  <si>
    <t>WANDY</t>
  </si>
  <si>
    <t>GERT</t>
  </si>
  <si>
    <t xml:space="preserve">SASOL CHEMICALS SA                 </t>
  </si>
  <si>
    <t>LAZARUS</t>
  </si>
  <si>
    <t>rd2</t>
  </si>
  <si>
    <t xml:space="preserve">ELUMATEC SA                        </t>
  </si>
  <si>
    <t>CONRAD FOURIE</t>
  </si>
  <si>
    <t xml:space="preserve">ALAN                          </t>
  </si>
  <si>
    <t>ahika</t>
  </si>
  <si>
    <t>Company Closed</t>
  </si>
  <si>
    <t>rav</t>
  </si>
  <si>
    <t xml:space="preserve">SHUKELA TRAINING CENTRE P L        </t>
  </si>
  <si>
    <t>DIDACTIC SHIPMENT REQUESTED BY LUCIO FESTO   VC</t>
  </si>
  <si>
    <t>NICOLE SRILALL</t>
  </si>
  <si>
    <t>LORMBARD MKGABUDI</t>
  </si>
  <si>
    <t>nicole</t>
  </si>
  <si>
    <t>PARCEL PARCEL PARCEL</t>
  </si>
  <si>
    <t xml:space="preserve">METIX SMS GROUP                    </t>
  </si>
  <si>
    <t xml:space="preserve">NERSON                        </t>
  </si>
  <si>
    <t>REFER TO RFES1162543282</t>
  </si>
  <si>
    <t>URGENT COLLECTION READY NOW CLOSING AT 12:00</t>
  </si>
  <si>
    <t>WILHELM</t>
  </si>
  <si>
    <t xml:space="preserve">GUBB   INGGS                       </t>
  </si>
  <si>
    <t>VERNON</t>
  </si>
  <si>
    <t>DARRYL</t>
  </si>
  <si>
    <t xml:space="preserve">RAINBOW FARMS                      </t>
  </si>
  <si>
    <t>WENDAY</t>
  </si>
  <si>
    <t>joy</t>
  </si>
  <si>
    <t>Bronwen</t>
  </si>
  <si>
    <t>IVAN</t>
  </si>
  <si>
    <t xml:space="preserve">STRATEGY ELECTRICAL                </t>
  </si>
  <si>
    <t xml:space="preserve">CB PNEUMATICS PTY LTD              </t>
  </si>
  <si>
    <t>ELMARIE</t>
  </si>
  <si>
    <t xml:space="preserve">PRINCIPLE PLASTICS                 </t>
  </si>
  <si>
    <t>RODGER</t>
  </si>
  <si>
    <t>COMPTECH ELECTRONICS</t>
  </si>
  <si>
    <t>Govin</t>
  </si>
  <si>
    <t xml:space="preserve">HITEKANI                      </t>
  </si>
  <si>
    <t xml:space="preserve">AUBREY                        </t>
  </si>
  <si>
    <t xml:space="preserve">POD received from cell 0844988662 M     </t>
  </si>
  <si>
    <t xml:space="preserve">HENDLER   HART                     </t>
  </si>
  <si>
    <t>RECEPTION   NAINESH</t>
  </si>
  <si>
    <t xml:space="preserve">LERATO                        </t>
  </si>
  <si>
    <t>H BROWN</t>
  </si>
  <si>
    <t xml:space="preserve">DJ   W INDUSTRIAL                  </t>
  </si>
  <si>
    <t>MARISA</t>
  </si>
  <si>
    <t xml:space="preserve">JOHAN                         </t>
  </si>
  <si>
    <t xml:space="preserve">POD received from cell 0732937434 M     </t>
  </si>
  <si>
    <t xml:space="preserve">FRANK                         </t>
  </si>
  <si>
    <t>charyl</t>
  </si>
  <si>
    <t>SHARPO</t>
  </si>
  <si>
    <t xml:space="preserve">MICHAEL                       </t>
  </si>
  <si>
    <t xml:space="preserve">ARMANDO                       </t>
  </si>
  <si>
    <t xml:space="preserve">BROYNOR                       </t>
  </si>
  <si>
    <t xml:space="preserve">GKN SINTER METALS                  </t>
  </si>
  <si>
    <t>HELEN HARTZENBERG</t>
  </si>
  <si>
    <t>SIZWE</t>
  </si>
  <si>
    <t xml:space="preserve">LITTLE GREEN BEVERAGES             </t>
  </si>
  <si>
    <t>CAELIM</t>
  </si>
  <si>
    <t>danie</t>
  </si>
  <si>
    <t>DANRE</t>
  </si>
  <si>
    <t>A WALTERS</t>
  </si>
  <si>
    <t xml:space="preserve">UNITED AFRICA TOBACCO MANUFACT     </t>
  </si>
  <si>
    <t>MAPAKO</t>
  </si>
  <si>
    <t xml:space="preserve">HERAEUS ELECTRO NITE               </t>
  </si>
  <si>
    <t>ROCHELLE</t>
  </si>
  <si>
    <t xml:space="preserve">W OOSTHUIZEN                  </t>
  </si>
  <si>
    <t xml:space="preserve">TIGER BRANDS                       </t>
  </si>
  <si>
    <t>MAGLEN NAICKER</t>
  </si>
  <si>
    <t>sugesh</t>
  </si>
  <si>
    <t>ssh</t>
  </si>
  <si>
    <t xml:space="preserve">justin                        </t>
  </si>
  <si>
    <t xml:space="preserve">SUPERIOR PACKAGING INDUSTRIES      </t>
  </si>
  <si>
    <t>LANCE</t>
  </si>
  <si>
    <t>LF RICHE</t>
  </si>
  <si>
    <t>ashika</t>
  </si>
  <si>
    <t>THABILE</t>
  </si>
  <si>
    <t>vpa</t>
  </si>
  <si>
    <t>bilkish</t>
  </si>
  <si>
    <t>musa</t>
  </si>
  <si>
    <t>alex</t>
  </si>
  <si>
    <t>BRENDON</t>
  </si>
  <si>
    <t>SWAN ADAMS</t>
  </si>
  <si>
    <t xml:space="preserve">PRIDE MILLING CO PTY LTD           </t>
  </si>
  <si>
    <t>ANNEKE PUTTER</t>
  </si>
  <si>
    <t>MARIENE</t>
  </si>
  <si>
    <t xml:space="preserve">GELVENOR CONSOLIDATED FABRICS      </t>
  </si>
  <si>
    <t>princess</t>
  </si>
  <si>
    <t>LUNGILE</t>
  </si>
  <si>
    <t>WERNER</t>
  </si>
  <si>
    <t>bhalamusa</t>
  </si>
  <si>
    <t>LAWRANCE</t>
  </si>
  <si>
    <t xml:space="preserve">NATREF                             </t>
  </si>
  <si>
    <t>DIANA JANSE VAN RENSBURG</t>
  </si>
  <si>
    <t>LWV</t>
  </si>
  <si>
    <t>MARIO</t>
  </si>
  <si>
    <t>NIKI</t>
  </si>
  <si>
    <t>RWARI</t>
  </si>
  <si>
    <t>elize</t>
  </si>
  <si>
    <t>moses</t>
  </si>
  <si>
    <t>TSHABALALA</t>
  </si>
  <si>
    <t>redibone</t>
  </si>
  <si>
    <t>CLIFTON</t>
  </si>
  <si>
    <t>COLIN FILLIES</t>
  </si>
  <si>
    <t>JEROME</t>
  </si>
  <si>
    <t>dalou</t>
  </si>
  <si>
    <t>jimmy</t>
  </si>
  <si>
    <t>freda</t>
  </si>
  <si>
    <t xml:space="preserve">ALIDA                         </t>
  </si>
  <si>
    <t xml:space="preserve">UNIPALTE GROUP                     </t>
  </si>
  <si>
    <t>KATHLEEN O CONNOR</t>
  </si>
  <si>
    <t>kathreen</t>
  </si>
  <si>
    <t>GARRICK</t>
  </si>
  <si>
    <t>HERNIE</t>
  </si>
  <si>
    <t xml:space="preserve">NATIONAL CHICKS ADVISION OF AS     </t>
  </si>
  <si>
    <t xml:space="preserve">ABIGAIL                       </t>
  </si>
  <si>
    <t>sul</t>
  </si>
  <si>
    <t>jese</t>
  </si>
  <si>
    <t xml:space="preserve">SASOL COBALT CATALYST MNFR PTY     </t>
  </si>
  <si>
    <t xml:space="preserve">FEDERAL MOGUL FRICTION PRODUCT     </t>
  </si>
  <si>
    <t>MPUME NGOBESE</t>
  </si>
  <si>
    <t>SIHLE</t>
  </si>
  <si>
    <t>CHARLES NAIDOO</t>
  </si>
  <si>
    <t xml:space="preserve">BASF CONSTRUCTION CHEMICALS SA     </t>
  </si>
  <si>
    <t>LETLHOHONOLO MOTLABE</t>
  </si>
  <si>
    <t>DIDACTIC SHIPMENT REQUESTED BY LUCIO FESTO</t>
  </si>
  <si>
    <t>PETER   CHARLES</t>
  </si>
  <si>
    <t xml:space="preserve">LABOREM LAB SUPPLIES               </t>
  </si>
  <si>
    <t>nic</t>
  </si>
  <si>
    <t>BUTTE</t>
  </si>
  <si>
    <t>BUTTERWORTH</t>
  </si>
  <si>
    <t xml:space="preserve">SUNTEX PTY LTD                     </t>
  </si>
  <si>
    <t>LULU</t>
  </si>
  <si>
    <t xml:space="preserve">RAINBOW RCL FOODS SUGAR   MILL     </t>
  </si>
  <si>
    <t>EUGENE TRUTER</t>
  </si>
  <si>
    <t>D AVZIGT</t>
  </si>
  <si>
    <t>kari</t>
  </si>
  <si>
    <t>JACOB</t>
  </si>
  <si>
    <t xml:space="preserve">KROMBERG   SCHUBERT CABLE   WI     </t>
  </si>
  <si>
    <t>ANNATJIE VAN NIEKERK</t>
  </si>
  <si>
    <t>elisha</t>
  </si>
  <si>
    <t>TREVOR Adams</t>
  </si>
  <si>
    <t xml:space="preserve">KEMI                          </t>
  </si>
  <si>
    <t xml:space="preserve">SINAPI BIOMEDICAL                  </t>
  </si>
  <si>
    <t>donevan</t>
  </si>
  <si>
    <t>RICKY</t>
  </si>
  <si>
    <t xml:space="preserve">HENRED FRUEHAUF PART DIV TRAIL     </t>
  </si>
  <si>
    <t>BABALWA</t>
  </si>
  <si>
    <t>TRUBISHA</t>
  </si>
  <si>
    <t>f thorne</t>
  </si>
  <si>
    <t xml:space="preserve">BE-TEB PHARMACEUTICALS PTY LTD     </t>
  </si>
  <si>
    <t>PLS SATURDAY DELIVER  DELIVER AT THE SECURITY GATE</t>
  </si>
  <si>
    <t>RTS RFES1162543802</t>
  </si>
  <si>
    <t>SAT</t>
  </si>
  <si>
    <t>STOCHLER</t>
  </si>
  <si>
    <t xml:space="preserve">CLOVER S.A PTY LTD                 </t>
  </si>
  <si>
    <t>SIDNEY</t>
  </si>
  <si>
    <t>UMTAT</t>
  </si>
  <si>
    <t>UMTATA</t>
  </si>
  <si>
    <t xml:space="preserve">PREMIER FMCG PTY LTD               </t>
  </si>
  <si>
    <t>NONDUMISO</t>
  </si>
  <si>
    <t>ZAHID</t>
  </si>
  <si>
    <t xml:space="preserve">DUVA CHEMICALS                     </t>
  </si>
  <si>
    <t>SIGNATRE</t>
  </si>
  <si>
    <t>SIKHO</t>
  </si>
  <si>
    <t>DIGN ENGINEERING</t>
  </si>
  <si>
    <t>VISH</t>
  </si>
  <si>
    <t>mec0003428</t>
  </si>
  <si>
    <t>vus</t>
  </si>
  <si>
    <t>DIRK COETZEE</t>
  </si>
  <si>
    <t>ANNAH</t>
  </si>
  <si>
    <t xml:space="preserve">William </t>
  </si>
  <si>
    <t>GELUK</t>
  </si>
  <si>
    <t>GELUKWAARTS</t>
  </si>
  <si>
    <t>ATHELA</t>
  </si>
  <si>
    <t>NKOSINATHI</t>
  </si>
  <si>
    <t xml:space="preserve">OTT TECHNOLOGIES PTY LTD           </t>
  </si>
  <si>
    <t>sonti</t>
  </si>
  <si>
    <t xml:space="preserve">FESTO PMB                          </t>
  </si>
  <si>
    <t xml:space="preserve">BUILD IT BETHLEHEM                 </t>
  </si>
  <si>
    <t>CHARL BRITZ</t>
  </si>
  <si>
    <t xml:space="preserve">ROTO PLASTICS                      </t>
  </si>
  <si>
    <t>GARTH HART</t>
  </si>
  <si>
    <t xml:space="preserve">HENRED FRUEHAUF TRAILERS           </t>
  </si>
  <si>
    <t>LOUISE MEIRING</t>
  </si>
  <si>
    <t>dawn</t>
  </si>
  <si>
    <t xml:space="preserve">CLARE PROJECTS                     </t>
  </si>
  <si>
    <t>Abram</t>
  </si>
  <si>
    <t>POD received from cell 0739524922 M</t>
  </si>
  <si>
    <t xml:space="preserve">FESTO PZB                          </t>
  </si>
  <si>
    <t>JASON V D MERWE</t>
  </si>
  <si>
    <t xml:space="preserve">Noreen                        </t>
  </si>
  <si>
    <t xml:space="preserve">POD received from cell 0782274968 M     </t>
  </si>
  <si>
    <t xml:space="preserve">CBI ELECTRIC AFRICAN CABLES        </t>
  </si>
  <si>
    <t>CLIFFORD</t>
  </si>
  <si>
    <t>NELLY</t>
  </si>
  <si>
    <t>pat</t>
  </si>
  <si>
    <t xml:space="preserve">aaron                         </t>
  </si>
  <si>
    <t>nathanael</t>
  </si>
  <si>
    <t xml:space="preserve">sanjiv                        </t>
  </si>
  <si>
    <t>SAGREN</t>
  </si>
  <si>
    <t>deez</t>
  </si>
  <si>
    <t>SHERANDY</t>
  </si>
  <si>
    <t>C HANEKOM</t>
  </si>
  <si>
    <t xml:space="preserve">KLOMAC ENGINEERING CC              </t>
  </si>
  <si>
    <t>SHARIKA GOVENDER</t>
  </si>
  <si>
    <t>sivan</t>
  </si>
  <si>
    <t>N MASIKO</t>
  </si>
  <si>
    <t xml:space="preserve">CLYNDALL                      </t>
  </si>
  <si>
    <t>Dwain</t>
  </si>
  <si>
    <t xml:space="preserve">RHEEM SOUTH AFRICA LTD             </t>
  </si>
  <si>
    <t>LIAUNDRA</t>
  </si>
  <si>
    <t>tanya</t>
  </si>
  <si>
    <t>A STOLTZ</t>
  </si>
  <si>
    <t xml:space="preserve">CAPE AFRICA MARINE SUPPLIERS       </t>
  </si>
  <si>
    <t>william</t>
  </si>
  <si>
    <t xml:space="preserve">PHARMA - Q PTY LTD                 </t>
  </si>
  <si>
    <t>DENICE</t>
  </si>
  <si>
    <t xml:space="preserve">FAITH                         </t>
  </si>
  <si>
    <t xml:space="preserve">RHODES FOOD GROUP                  </t>
  </si>
  <si>
    <t>WAYNE CLAYTON</t>
  </si>
  <si>
    <t xml:space="preserve">lary                          </t>
  </si>
  <si>
    <t xml:space="preserve">POD received from cell 0837323487 M     </t>
  </si>
  <si>
    <t>JANINE</t>
  </si>
  <si>
    <t xml:space="preserve">roinah                        </t>
  </si>
  <si>
    <t xml:space="preserve">SCHUBERT                      </t>
  </si>
  <si>
    <t>qunda</t>
  </si>
  <si>
    <t xml:space="preserve">CLINTON                       </t>
  </si>
  <si>
    <t>P NDEBELE</t>
  </si>
  <si>
    <t xml:space="preserve">VOLTEX (PTY) LTD                   </t>
  </si>
  <si>
    <t xml:space="preserve">OLWETHU                       </t>
  </si>
  <si>
    <t xml:space="preserve">PACIFIC FLUID COMPONENTS CC        </t>
  </si>
  <si>
    <t>NAIDOO</t>
  </si>
  <si>
    <t>ruwan</t>
  </si>
  <si>
    <t>Masouft</t>
  </si>
  <si>
    <t xml:space="preserve">DEAN                          </t>
  </si>
  <si>
    <t xml:space="preserve">VERNOM                        </t>
  </si>
  <si>
    <t>G LUNDAY</t>
  </si>
  <si>
    <t>SIMELA</t>
  </si>
  <si>
    <t>justin</t>
  </si>
  <si>
    <t>R FOUX</t>
  </si>
  <si>
    <t xml:space="preserve">thato                         </t>
  </si>
  <si>
    <t xml:space="preserve">maruis                        </t>
  </si>
  <si>
    <t>David</t>
  </si>
  <si>
    <t>FAURECIA EXHAUST SYSTEMS  PTY</t>
  </si>
  <si>
    <t>vincen</t>
  </si>
  <si>
    <t>afrika</t>
  </si>
  <si>
    <t xml:space="preserve">ADP AFRICA                         </t>
  </si>
  <si>
    <t>LOBKA OLIVIER</t>
  </si>
  <si>
    <t xml:space="preserve">tshepo                        </t>
  </si>
  <si>
    <t>J C</t>
  </si>
  <si>
    <t>SHENAVAL</t>
  </si>
  <si>
    <t>esther</t>
  </si>
  <si>
    <t xml:space="preserve">GERHARD                       </t>
  </si>
  <si>
    <t xml:space="preserve">p uline                       </t>
  </si>
  <si>
    <t>nicholas</t>
  </si>
  <si>
    <t xml:space="preserve">PRETORIA METAL PRESSINGS           </t>
  </si>
  <si>
    <t>ANDRIES MAIFO</t>
  </si>
  <si>
    <t>ben</t>
  </si>
  <si>
    <t xml:space="preserve">rieland                       </t>
  </si>
  <si>
    <t xml:space="preserve">MECHANICAL CONCEPTS CC             </t>
  </si>
  <si>
    <t>TREVOR VAN DER WALT</t>
  </si>
  <si>
    <t xml:space="preserve">trevor                        </t>
  </si>
  <si>
    <t xml:space="preserve">HONEYDEW DAIRIES                   </t>
  </si>
  <si>
    <t xml:space="preserve">shane                         </t>
  </si>
  <si>
    <t xml:space="preserve">AMOPACK CAN MANUFACTURERS PTY      </t>
  </si>
  <si>
    <t>ZAHEER</t>
  </si>
  <si>
    <t>MOSEKI</t>
  </si>
  <si>
    <t>barry</t>
  </si>
  <si>
    <t xml:space="preserve">DAVID                         </t>
  </si>
  <si>
    <t>MATHESI</t>
  </si>
  <si>
    <t>MARY</t>
  </si>
  <si>
    <t xml:space="preserve">charles                       </t>
  </si>
  <si>
    <t xml:space="preserve">RIA                           </t>
  </si>
  <si>
    <t xml:space="preserve">DAPHNEY                       </t>
  </si>
  <si>
    <t>DEE</t>
  </si>
  <si>
    <t>Cariston</t>
  </si>
  <si>
    <t>cindy</t>
  </si>
  <si>
    <t>Gwen</t>
  </si>
  <si>
    <t>Charmelle</t>
  </si>
  <si>
    <t>VIOLET</t>
  </si>
  <si>
    <t>Frank</t>
  </si>
  <si>
    <t xml:space="preserve">MEHLULI                       </t>
  </si>
  <si>
    <t xml:space="preserve">jaysen                        </t>
  </si>
  <si>
    <t xml:space="preserve">JOHN THOMSON A DIV OF ACTOM (P     </t>
  </si>
  <si>
    <t>CHARMAINE</t>
  </si>
  <si>
    <t>kaylyn</t>
  </si>
  <si>
    <t>A PAULSE</t>
  </si>
  <si>
    <t xml:space="preserve">theo                          </t>
  </si>
  <si>
    <t xml:space="preserve">R GEDULD                      </t>
  </si>
  <si>
    <t xml:space="preserve">FINLAR FINE FOODS (PTY) LTD        </t>
  </si>
  <si>
    <t xml:space="preserve">eugne                         </t>
  </si>
  <si>
    <t>NILESH</t>
  </si>
  <si>
    <t>YANNIS</t>
  </si>
  <si>
    <t>Ledwaba</t>
  </si>
  <si>
    <t>SEAN ADAMS</t>
  </si>
  <si>
    <t>MARK ROBENA</t>
  </si>
  <si>
    <t>PLEASE DELIVERY BY 10:00AM</t>
  </si>
  <si>
    <t>PAM</t>
  </si>
  <si>
    <t xml:space="preserve">ASH RESOURCES                      </t>
  </si>
  <si>
    <t>PERRY</t>
  </si>
  <si>
    <t>PLETT</t>
  </si>
  <si>
    <t>PLETTENBERG BAY</t>
  </si>
  <si>
    <t xml:space="preserve">QED (PTY) LTD                      </t>
  </si>
  <si>
    <t>SANDY</t>
  </si>
  <si>
    <t xml:space="preserve">LADYSMITH BUILD IT                 </t>
  </si>
  <si>
    <t>ABRAHAM</t>
  </si>
  <si>
    <t>rdd</t>
  </si>
  <si>
    <t xml:space="preserve">BANTEX                             </t>
  </si>
  <si>
    <t>....</t>
  </si>
  <si>
    <t xml:space="preserve">A C PNOUMATICS                     </t>
  </si>
  <si>
    <t>DENVER</t>
  </si>
  <si>
    <t>denver</t>
  </si>
  <si>
    <t>ABRAM</t>
  </si>
  <si>
    <t>SAT / FUE</t>
  </si>
  <si>
    <t>FARRAH</t>
  </si>
  <si>
    <t xml:space="preserve">STAINLESS STEEL MANUFACTURED D     </t>
  </si>
  <si>
    <t>DANIE DAMES</t>
  </si>
  <si>
    <t>BOTOKO</t>
  </si>
  <si>
    <t xml:space="preserve">REEF ENGINEERING   MNFG CO.        </t>
  </si>
  <si>
    <t>MANDIE</t>
  </si>
  <si>
    <t>M DE KOCK</t>
  </si>
  <si>
    <t>aubry</t>
  </si>
  <si>
    <t>PARCEL PARCEL PARCEL PARCEL PARCEL</t>
  </si>
  <si>
    <t>WAYNE BURGER</t>
  </si>
  <si>
    <t>sherwin</t>
  </si>
  <si>
    <t>sherwan</t>
  </si>
  <si>
    <t>PARCEL BOX BOX PARCEL BOX BOX</t>
  </si>
  <si>
    <t>M ISAAC</t>
  </si>
  <si>
    <t>VUSI</t>
  </si>
  <si>
    <t xml:space="preserve">NADO TECHNICAL SERVICES   INDU     </t>
  </si>
  <si>
    <t>PIET</t>
  </si>
  <si>
    <t>BOX BOX PARCEL</t>
  </si>
  <si>
    <t>RTS-pfes1162543869 0001</t>
  </si>
  <si>
    <t>MARKUS</t>
  </si>
  <si>
    <t xml:space="preserve">MULTI PLASTIC                      </t>
  </si>
  <si>
    <t>URGENT COLLECTION READY NOW CLOSINT AT 16:00</t>
  </si>
  <si>
    <t>Lloyd</t>
  </si>
  <si>
    <t xml:space="preserve">JADE STEEL PROJECT CC              </t>
  </si>
  <si>
    <t>ANZELLE</t>
  </si>
  <si>
    <t>PHILEMON</t>
  </si>
  <si>
    <t>BATOKO</t>
  </si>
  <si>
    <t xml:space="preserve">KR INDUSRIAL &amp; AUTOMOTIVE SUPPLIES </t>
  </si>
  <si>
    <t xml:space="preserve">festo                              </t>
  </si>
  <si>
    <t>urgent collection ready now closing at 16:00</t>
  </si>
  <si>
    <t>bakker</t>
  </si>
  <si>
    <t>vikhash</t>
  </si>
  <si>
    <t>FRANQUE</t>
  </si>
  <si>
    <t xml:space="preserve">CONTROL SYSTEMS                    </t>
  </si>
  <si>
    <t>ENOCENSIOA</t>
  </si>
  <si>
    <t xml:space="preserve">CO STAMP                      </t>
  </si>
  <si>
    <t>KATHLEN</t>
  </si>
  <si>
    <t xml:space="preserve">RAND REFINERY                      </t>
  </si>
  <si>
    <t>CREDITORS DPT</t>
  </si>
  <si>
    <t>BYRON</t>
  </si>
  <si>
    <t>XOLANI</t>
  </si>
  <si>
    <t xml:space="preserve">EVRIGARD PTY LTD                   </t>
  </si>
  <si>
    <t>LEON GOVENDER</t>
  </si>
  <si>
    <t>WENDY</t>
  </si>
  <si>
    <t>vijay</t>
  </si>
  <si>
    <t>RYLE</t>
  </si>
  <si>
    <t>GEORGE ANDERSON</t>
  </si>
  <si>
    <t xml:space="preserve">BEYTEL                        </t>
  </si>
  <si>
    <t>BAARTMAN</t>
  </si>
  <si>
    <t xml:space="preserve">TERENCE                       </t>
  </si>
  <si>
    <t>JENNIFER</t>
  </si>
  <si>
    <t>POD received from cell 0732937434 M</t>
  </si>
  <si>
    <t>M MOHOPI</t>
  </si>
  <si>
    <t>PARCEL Flyer</t>
  </si>
  <si>
    <t>le riche</t>
  </si>
  <si>
    <t>ELEZ</t>
  </si>
  <si>
    <t>PACERL</t>
  </si>
  <si>
    <t xml:space="preserve">SNEAKER SNACKS CC                  </t>
  </si>
  <si>
    <t xml:space="preserve">PHILEMON                      </t>
  </si>
  <si>
    <t xml:space="preserve">BADER SA PTY LTD                   </t>
  </si>
  <si>
    <t>TEBOGO BAPELA</t>
  </si>
  <si>
    <t>SOME1</t>
  </si>
  <si>
    <t>SOMERSET EAST</t>
  </si>
  <si>
    <t xml:space="preserve">P.J.ENGINEERING                    </t>
  </si>
  <si>
    <t>a witbooi</t>
  </si>
  <si>
    <t xml:space="preserve">HARVARD PROJECTS                   </t>
  </si>
  <si>
    <t>SHIREEN LE GRANGE</t>
  </si>
  <si>
    <t xml:space="preserve">SHIREEN                       </t>
  </si>
  <si>
    <t xml:space="preserve">W.LEE - ULTRAPLAST PTY LTD         </t>
  </si>
  <si>
    <t>L BOUWER</t>
  </si>
  <si>
    <t>ALIWA</t>
  </si>
  <si>
    <t>ALIWAL NORTH</t>
  </si>
  <si>
    <t>de villiers</t>
  </si>
  <si>
    <t>sign</t>
  </si>
  <si>
    <t>Nelson</t>
  </si>
  <si>
    <t>MARIANNE GROBLER</t>
  </si>
  <si>
    <t>MUN</t>
  </si>
  <si>
    <t>dhaya</t>
  </si>
  <si>
    <t xml:space="preserve">PREMIER FOODS (PTY) LTD            </t>
  </si>
  <si>
    <t>NELSON</t>
  </si>
  <si>
    <t>JANDRE</t>
  </si>
  <si>
    <t>JUDY</t>
  </si>
  <si>
    <t>VIVIAN</t>
  </si>
  <si>
    <t>KHANYI</t>
  </si>
  <si>
    <t xml:space="preserve">NOV (OIL   GAS)                    </t>
  </si>
  <si>
    <t>DIDACTIC SHIPMENT REQUESTED BY SAMMY FESTO</t>
  </si>
  <si>
    <t>CHARLES ECKLEY</t>
  </si>
  <si>
    <t xml:space="preserve">SUPERIOR VALVE SOLUTIONS           </t>
  </si>
  <si>
    <t>F THORNE</t>
  </si>
  <si>
    <t xml:space="preserve">TREVOR                        </t>
  </si>
  <si>
    <t>Parcel</t>
  </si>
  <si>
    <t>gwen</t>
  </si>
  <si>
    <t xml:space="preserve">m zuma                        </t>
  </si>
  <si>
    <t>MESHACK</t>
  </si>
  <si>
    <t xml:space="preserve">NATIONAL BRANDS LTD BECKETTS       </t>
  </si>
  <si>
    <t>BEN PUDI</t>
  </si>
  <si>
    <t>KENNETH</t>
  </si>
  <si>
    <t xml:space="preserve">AMALGAMOTION                       </t>
  </si>
  <si>
    <t>Brad</t>
  </si>
  <si>
    <t xml:space="preserve">PETER MILLER   DAD                 </t>
  </si>
  <si>
    <t>CONNIE MILLER</t>
  </si>
  <si>
    <t>EMILY</t>
  </si>
  <si>
    <t>POD received from cell 0720332597 M</t>
  </si>
  <si>
    <t xml:space="preserve">F ROUX                        </t>
  </si>
  <si>
    <t>BEKEKA</t>
  </si>
  <si>
    <t>AKHONA</t>
  </si>
  <si>
    <t xml:space="preserve">RECKITT BENCKISER SA               </t>
  </si>
  <si>
    <t>KAVEER KISSON</t>
  </si>
  <si>
    <t>LULAMA</t>
  </si>
  <si>
    <t xml:space="preserve">SABRICON                           </t>
  </si>
  <si>
    <t>Nosipho</t>
  </si>
  <si>
    <t>POD received from cell 0834291999 M</t>
  </si>
  <si>
    <t>GRAIG</t>
  </si>
  <si>
    <t xml:space="preserve">CAPE COOKIES                       </t>
  </si>
  <si>
    <t>LESLIE MARRIOTT</t>
  </si>
  <si>
    <t>nozuko</t>
  </si>
  <si>
    <t xml:space="preserve">JANINE                        </t>
  </si>
  <si>
    <t>TRUBISA</t>
  </si>
  <si>
    <t xml:space="preserve">PAILPRINT PTY LTD                  </t>
  </si>
  <si>
    <t>SHAUN</t>
  </si>
  <si>
    <t xml:space="preserve">DUNIDA MINING AND ENGINEERING      </t>
  </si>
  <si>
    <t xml:space="preserve">POLAR ICE CREAM                    </t>
  </si>
  <si>
    <t>MELICIA</t>
  </si>
  <si>
    <t>WELINE</t>
  </si>
  <si>
    <t xml:space="preserve">B M S C ENGINEERING CC             </t>
  </si>
  <si>
    <t>HELMIE</t>
  </si>
  <si>
    <t>thulani</t>
  </si>
  <si>
    <t xml:space="preserve">l t naicker                   </t>
  </si>
  <si>
    <t>richard</t>
  </si>
  <si>
    <t xml:space="preserve">F THORNE                      </t>
  </si>
  <si>
    <t>hanekom</t>
  </si>
  <si>
    <t>ILLEGED</t>
  </si>
  <si>
    <t>AMSTE</t>
  </si>
  <si>
    <t>AMSTERDAM</t>
  </si>
  <si>
    <t xml:space="preserve">AGM 2 TRUST                        </t>
  </si>
  <si>
    <t>JOHANNES VAN ZYL</t>
  </si>
  <si>
    <t>M J NKOSI</t>
  </si>
  <si>
    <t>phr</t>
  </si>
  <si>
    <t>LIZETTE</t>
  </si>
  <si>
    <t xml:space="preserve">ELIZABETH                     </t>
  </si>
  <si>
    <t xml:space="preserve">SYSDEL CC                          </t>
  </si>
  <si>
    <t>a potgieter</t>
  </si>
  <si>
    <t>SIBONGILE</t>
  </si>
  <si>
    <t>rejoice</t>
  </si>
  <si>
    <t>sithokile</t>
  </si>
  <si>
    <t>neville</t>
  </si>
  <si>
    <t xml:space="preserve">DUNLOP INDUSTRIAL PRODUCTS PTY     </t>
  </si>
  <si>
    <t>WARREN   Julian Chetty</t>
  </si>
  <si>
    <t>helen</t>
  </si>
  <si>
    <t xml:space="preserve">JAMES                         </t>
  </si>
  <si>
    <t xml:space="preserve">T   V HYDRAU-PNEUMATIC SOLUTIO     </t>
  </si>
  <si>
    <t>STRUAN CLARK</t>
  </si>
  <si>
    <t xml:space="preserve">zinaschke                     </t>
  </si>
  <si>
    <t>Sandisile</t>
  </si>
  <si>
    <t>BNOX</t>
  </si>
  <si>
    <t>FRIDDAH</t>
  </si>
  <si>
    <t>PIETERNELLA</t>
  </si>
  <si>
    <t>CINDY K</t>
  </si>
  <si>
    <t xml:space="preserve">LENNINGS RAIL SERVICES             </t>
  </si>
  <si>
    <t>stembiso</t>
  </si>
  <si>
    <t>anni</t>
  </si>
  <si>
    <t>POD received from cell 0766143929 M</t>
  </si>
  <si>
    <t>LLOYD</t>
  </si>
  <si>
    <t>TRUBISO</t>
  </si>
  <si>
    <t>SDX DELIVERY  They operating 24hrs</t>
  </si>
  <si>
    <t>Xoliani Antoni</t>
  </si>
  <si>
    <t>antoni</t>
  </si>
  <si>
    <t>PHARMACARE LTD T A ASPEN</t>
  </si>
  <si>
    <t xml:space="preserve">ILLEF                         </t>
  </si>
  <si>
    <t xml:space="preserve">THE SIMBA GROUP                    </t>
  </si>
  <si>
    <t>willie</t>
  </si>
  <si>
    <t xml:space="preserve">Jarrard                       </t>
  </si>
  <si>
    <t xml:space="preserve">POD received from cell 0763378994 M     </t>
  </si>
  <si>
    <t>neil</t>
  </si>
  <si>
    <t>LONI</t>
  </si>
  <si>
    <t xml:space="preserve">NDE JOHANNESBURG                   </t>
  </si>
  <si>
    <t xml:space="preserve">GILLIAN                       </t>
  </si>
  <si>
    <t>blessing</t>
  </si>
  <si>
    <t>FINAL</t>
  </si>
  <si>
    <t>MERVIN LETCHMAN</t>
  </si>
  <si>
    <t>NEO LETSAOLO</t>
  </si>
  <si>
    <t>jayson</t>
  </si>
  <si>
    <t xml:space="preserve">BORBET SA (PTY) LTD                </t>
  </si>
  <si>
    <t>HELENA</t>
  </si>
  <si>
    <t>JUSTIN</t>
  </si>
  <si>
    <t>BUYILE</t>
  </si>
  <si>
    <t>abel</t>
  </si>
  <si>
    <t xml:space="preserve">AUTOMATION WORKS CAPE              </t>
  </si>
  <si>
    <t>MARILEE</t>
  </si>
  <si>
    <t xml:space="preserve">SUPPLYRITE CC                      </t>
  </si>
  <si>
    <t>JACK NIENABER</t>
  </si>
  <si>
    <t>ANNETTE</t>
  </si>
  <si>
    <t xml:space="preserve">ISOWAL SA PTY LTD                  </t>
  </si>
  <si>
    <t>cathy</t>
  </si>
  <si>
    <t>DE BEERS GROUP SERVICES</t>
  </si>
  <si>
    <t>SMT INDUSTRIAL CC</t>
  </si>
  <si>
    <t xml:space="preserve">RUMAX MINING CC                    </t>
  </si>
  <si>
    <t>BREDETT</t>
  </si>
  <si>
    <t xml:space="preserve">SAAB GRINTEK DEFENCE PTY LTD       </t>
  </si>
  <si>
    <t>PETER DUIMPIES</t>
  </si>
  <si>
    <t>HADKEY</t>
  </si>
  <si>
    <t>RUAN</t>
  </si>
  <si>
    <t xml:space="preserve">DM ENGINEERING                     </t>
  </si>
  <si>
    <t>ELIAS PITJADI</t>
  </si>
  <si>
    <t>REFILOE</t>
  </si>
  <si>
    <t>floyd</t>
  </si>
  <si>
    <t xml:space="preserve">SOUTH OCEAN ELECTRIC WIRE PTY      </t>
  </si>
  <si>
    <t>JUSTICE</t>
  </si>
  <si>
    <t>L THERON</t>
  </si>
  <si>
    <t>YLIZMA</t>
  </si>
  <si>
    <t>gabriel</t>
  </si>
  <si>
    <t xml:space="preserve">PASDEC AUTOMOTIVE TECHNOLOGIES     </t>
  </si>
  <si>
    <t>SHADOW</t>
  </si>
  <si>
    <t xml:space="preserve">chris kruger                  </t>
  </si>
  <si>
    <t xml:space="preserve">M WHITE                       </t>
  </si>
  <si>
    <t xml:space="preserve">BSAF                               </t>
  </si>
  <si>
    <t>WESTO</t>
  </si>
  <si>
    <t>WESTONARIA</t>
  </si>
  <si>
    <t xml:space="preserve">BASF CONSTRUCTION                  </t>
  </si>
  <si>
    <t>JOLET</t>
  </si>
  <si>
    <t>SANTE BEYERS</t>
  </si>
  <si>
    <t>SDX DELIVERY PLEASE CALL TREVOR   NITA ON 083 541 1368 FOR D</t>
  </si>
  <si>
    <t>TREVOR   NITA</t>
  </si>
  <si>
    <t>GRAHAM</t>
  </si>
  <si>
    <t xml:space="preserve">COUNTY FAIR FOOD  ADV OF ASTRA     </t>
  </si>
  <si>
    <t>DEAN</t>
  </si>
  <si>
    <t>MEMORY</t>
  </si>
  <si>
    <t xml:space="preserve">PROPET S.A (PTY) LTD               </t>
  </si>
  <si>
    <t>simon</t>
  </si>
  <si>
    <t>DOMONIC</t>
  </si>
  <si>
    <t>DARRYN</t>
  </si>
  <si>
    <t xml:space="preserve">UNIVERSITY OF STELLENBOSCH CRE     </t>
  </si>
  <si>
    <t>vd berg</t>
  </si>
  <si>
    <t xml:space="preserve">NIORO PLASTICS                     </t>
  </si>
  <si>
    <t>LOREN</t>
  </si>
  <si>
    <t>JS GAIL</t>
  </si>
  <si>
    <t>NIC</t>
  </si>
  <si>
    <t xml:space="preserve">BLUE RIBBON BAKERY CPT             </t>
  </si>
  <si>
    <t xml:space="preserve">LESLEY                        </t>
  </si>
  <si>
    <t>CARINA</t>
  </si>
  <si>
    <t xml:space="preserve">LESLEY GROENEWALD             </t>
  </si>
  <si>
    <t>dwain</t>
  </si>
  <si>
    <t>rma</t>
  </si>
  <si>
    <t>urgent collection read now closing at16:00</t>
  </si>
  <si>
    <t>partricia</t>
  </si>
  <si>
    <t xml:space="preserve">PIONEER FOOD (PTY) LTD             </t>
  </si>
  <si>
    <t>solani</t>
  </si>
  <si>
    <t>SUNIL</t>
  </si>
  <si>
    <t>CHRISTOPHER</t>
  </si>
  <si>
    <t>DSD / FUE / INS</t>
  </si>
  <si>
    <t>URGENT COLLETION READY NOW CLOSIN AT 16:00</t>
  </si>
  <si>
    <t>loren</t>
  </si>
  <si>
    <t xml:space="preserve">CLIFFORD WELDING SYSTEMS PTY LTD   </t>
  </si>
  <si>
    <t>urgent collection ready now closing at 15:00</t>
  </si>
  <si>
    <t>pauline</t>
  </si>
  <si>
    <t>SURAYA</t>
  </si>
  <si>
    <t xml:space="preserve">G LUNDALL                     </t>
  </si>
  <si>
    <t xml:space="preserve">TOYOTA BOSHOKU SA PTY LTD          </t>
  </si>
  <si>
    <t>MZWANDILE MAZIBUKO</t>
  </si>
  <si>
    <t>sbonelo</t>
  </si>
  <si>
    <t>KIMONA</t>
  </si>
  <si>
    <t xml:space="preserve">O-LINE SUPPORT SYSTEMS             </t>
  </si>
  <si>
    <t>MANNIE STELLENBUSCH</t>
  </si>
  <si>
    <t>MARIA</t>
  </si>
  <si>
    <t>tiaan</t>
  </si>
  <si>
    <t xml:space="preserve">FLEXICON AFRICA PTY LTD            </t>
  </si>
  <si>
    <t>CONROY GEORGE</t>
  </si>
  <si>
    <t>FLEXICON AFRICA PTY LTD</t>
  </si>
  <si>
    <t>PETISWA</t>
  </si>
  <si>
    <t>QUEEN</t>
  </si>
  <si>
    <t>QUEENSTOWN</t>
  </si>
  <si>
    <t xml:space="preserve">CORPCLO 1814 CC T A BORDER FUE     </t>
  </si>
  <si>
    <t>LYLE</t>
  </si>
  <si>
    <t>ANGEL</t>
  </si>
  <si>
    <t>JOSTINA</t>
  </si>
  <si>
    <t xml:space="preserve">TWELFTH ROAD PLASTIC (PTY)LTD      </t>
  </si>
  <si>
    <t>SYLVIA</t>
  </si>
  <si>
    <t xml:space="preserve">INTERFRUIT                         </t>
  </si>
  <si>
    <t>ANA DA CONCEICAO</t>
  </si>
  <si>
    <t>ANA</t>
  </si>
  <si>
    <t xml:space="preserve">DEECHRIS CC                        </t>
  </si>
  <si>
    <t>LINA</t>
  </si>
  <si>
    <t>POD received from cell 0814595979 M</t>
  </si>
  <si>
    <t xml:space="preserve">FLUID POWER                        </t>
  </si>
  <si>
    <t>ALICIA</t>
  </si>
  <si>
    <t xml:space="preserve">GREIF SA PTY LTD                   </t>
  </si>
  <si>
    <t>RAHAB</t>
  </si>
  <si>
    <t xml:space="preserve">KIMBERLY CLARK                     </t>
  </si>
  <si>
    <t>DENISA CONACHE</t>
  </si>
  <si>
    <t>PHILLP</t>
  </si>
  <si>
    <t xml:space="preserve">T E M TOOLING CC                   </t>
  </si>
  <si>
    <t xml:space="preserve">TFM INDUSTRIES PTY LTD             </t>
  </si>
  <si>
    <t>MOOSA RAWAT</t>
  </si>
  <si>
    <t>THEMBA</t>
  </si>
  <si>
    <t>Lionel</t>
  </si>
  <si>
    <t>conrund</t>
  </si>
  <si>
    <t>CARISTA</t>
  </si>
  <si>
    <t>durell</t>
  </si>
  <si>
    <t>simthembile</t>
  </si>
  <si>
    <t xml:space="preserve">j erasmus                     </t>
  </si>
  <si>
    <t xml:space="preserve">POD received from cell 0745016150 M     </t>
  </si>
  <si>
    <t>BIANCA</t>
  </si>
  <si>
    <t xml:space="preserve">ILLOVO SUGAR LTDB EDENVEL          </t>
  </si>
  <si>
    <t>Gilbert</t>
  </si>
  <si>
    <t>NOLUVO MAPIPA</t>
  </si>
  <si>
    <t>LLYOD</t>
  </si>
  <si>
    <t>ELVIS</t>
  </si>
  <si>
    <t>THEMBEKA</t>
  </si>
  <si>
    <t>m perks</t>
  </si>
  <si>
    <t>KEMI</t>
  </si>
  <si>
    <t>NHLANHLA</t>
  </si>
  <si>
    <t xml:space="preserve">MK DESIGNS CC                      </t>
  </si>
  <si>
    <t>MARTIN KRUGER</t>
  </si>
  <si>
    <t xml:space="preserve">TELSCREW PRODUCTS                  </t>
  </si>
  <si>
    <t>ROBIN KELLY MATEMAN</t>
  </si>
  <si>
    <t>JOHRAL</t>
  </si>
  <si>
    <t xml:space="preserve">CINMARK ONE                        </t>
  </si>
  <si>
    <t>Maree Van Staden</t>
  </si>
  <si>
    <t xml:space="preserve">MARK                          </t>
  </si>
  <si>
    <t>daneil</t>
  </si>
  <si>
    <t xml:space="preserve">T.S ANALYTICS                      </t>
  </si>
  <si>
    <t>angela</t>
  </si>
  <si>
    <t xml:space="preserve">ZULTRANS                           </t>
  </si>
  <si>
    <t>SHEREEN MANILALL</t>
  </si>
  <si>
    <t>desmond</t>
  </si>
  <si>
    <t>wilbur</t>
  </si>
  <si>
    <t>Ronica Shunmugan</t>
  </si>
  <si>
    <t xml:space="preserve">STEAM GENERATION AFRICA            </t>
  </si>
  <si>
    <t>MARKUS ROUX</t>
  </si>
  <si>
    <t xml:space="preserve">VINESSA                       </t>
  </si>
  <si>
    <t>COURTLIN</t>
  </si>
  <si>
    <t xml:space="preserve">FUCHS ELECTRONICS                  </t>
  </si>
  <si>
    <t>SAMUEL NAIDOO</t>
  </si>
  <si>
    <t>ELAINE</t>
  </si>
  <si>
    <t>kenny</t>
  </si>
  <si>
    <t>IAN VAN NIEKERK OR CATHY ATART</t>
  </si>
  <si>
    <t>Justin</t>
  </si>
  <si>
    <t xml:space="preserve">METSEP SA                          </t>
  </si>
  <si>
    <t>s louw</t>
  </si>
  <si>
    <t>sangiv</t>
  </si>
  <si>
    <t xml:space="preserve">RICKY                         </t>
  </si>
  <si>
    <t xml:space="preserve">MONIER ROOFING PTY LTD             </t>
  </si>
  <si>
    <t>MALCOM</t>
  </si>
  <si>
    <t>TAKO</t>
  </si>
  <si>
    <t>ORKNE</t>
  </si>
  <si>
    <t>ORKNEY</t>
  </si>
  <si>
    <t xml:space="preserve">GUD Holdings (Pty) Ltd             </t>
  </si>
  <si>
    <t>KIMORA</t>
  </si>
  <si>
    <t xml:space="preserve">ESTHER                        </t>
  </si>
  <si>
    <t xml:space="preserve">CIRCUIT BREAKER INDUSTRIES PTY     </t>
  </si>
  <si>
    <t>Respect</t>
  </si>
  <si>
    <t>RICH2</t>
  </si>
  <si>
    <t>RICHMOND (NATAL)</t>
  </si>
  <si>
    <t xml:space="preserve">NORMANDIEN FARMS                   </t>
  </si>
  <si>
    <t>tayla</t>
  </si>
  <si>
    <t>wilma</t>
  </si>
  <si>
    <t xml:space="preserve">VEOLIA WATER SOLUTIONS   TECHN     </t>
  </si>
  <si>
    <t>PRUDENCE</t>
  </si>
  <si>
    <t xml:space="preserve">SANDISILE                     </t>
  </si>
  <si>
    <t xml:space="preserve">MW WHEELS SA (PTY) LTD             </t>
  </si>
  <si>
    <t>RALPH</t>
  </si>
  <si>
    <t xml:space="preserve">MILLNERS DENTAL SUPPLIERS          </t>
  </si>
  <si>
    <t xml:space="preserve">michelle                      </t>
  </si>
  <si>
    <t>Brenda</t>
  </si>
  <si>
    <t>POD received from cell 0815112382 M</t>
  </si>
  <si>
    <t xml:space="preserve">4 BYTES AUTOMATION CC              </t>
  </si>
  <si>
    <t>ANLIA OLIVIER</t>
  </si>
  <si>
    <t>IUMELENG</t>
  </si>
  <si>
    <t>elsie</t>
  </si>
  <si>
    <t>yegan</t>
  </si>
  <si>
    <t>D AVOIGT</t>
  </si>
  <si>
    <t>POD received from cell 0725491104 M</t>
  </si>
  <si>
    <t>marcel</t>
  </si>
  <si>
    <t>Shumaya</t>
  </si>
  <si>
    <t>TI GROUP AUTOMOTIVE SYSTEMS  P</t>
  </si>
  <si>
    <t>garuy</t>
  </si>
  <si>
    <t xml:space="preserve">FESTIVE A DIV OF ASTRAL OPERAT     </t>
  </si>
  <si>
    <t>WILLIE CRONJE</t>
  </si>
  <si>
    <t>THABANE</t>
  </si>
  <si>
    <t xml:space="preserve">DENEL VEHICLE                      </t>
  </si>
  <si>
    <t>meyer</t>
  </si>
  <si>
    <t xml:space="preserve">BIG OR SMALL PROJECTS ENG          </t>
  </si>
  <si>
    <t>STEPHAN</t>
  </si>
  <si>
    <t>S C VAN WYK</t>
  </si>
  <si>
    <t>THABANG</t>
  </si>
  <si>
    <t>LABUSCHGNE</t>
  </si>
  <si>
    <t>portia</t>
  </si>
  <si>
    <t xml:space="preserve">YASKAWA S.A                        </t>
  </si>
  <si>
    <t>YASKAWA S A</t>
  </si>
  <si>
    <t xml:space="preserve">SUNNY MACHINES MANUFACTURING P     </t>
  </si>
  <si>
    <t>MZIMASI</t>
  </si>
  <si>
    <t>PLEASE DELIVERY BEFOR 10:00 AS PER CLIENT</t>
  </si>
  <si>
    <t>m hen</t>
  </si>
  <si>
    <t>STOCK BALANCE WAS SHORT</t>
  </si>
  <si>
    <t>M HESCH</t>
  </si>
  <si>
    <t xml:space="preserve">TENNECO EMISSION CONTROL           </t>
  </si>
  <si>
    <t>MARK BURRELL</t>
  </si>
  <si>
    <t xml:space="preserve">TURNCARE CC                        </t>
  </si>
  <si>
    <t>carmeron</t>
  </si>
  <si>
    <t xml:space="preserve">KURT                          </t>
  </si>
  <si>
    <t xml:space="preserve">SPECIALIZED EXPORTS                </t>
  </si>
  <si>
    <t>LEONARD</t>
  </si>
  <si>
    <t xml:space="preserve">JESSOP   ASSOCIATES (PTY) LTD      </t>
  </si>
  <si>
    <t>RIAAN</t>
  </si>
  <si>
    <t>themba</t>
  </si>
  <si>
    <t>POD received from cell 0768370739 M</t>
  </si>
  <si>
    <t>C LUNDELL</t>
  </si>
  <si>
    <t xml:space="preserve">ADVANCE ARMOUR GLASS               </t>
  </si>
  <si>
    <t>THATO LEKU</t>
  </si>
  <si>
    <t xml:space="preserve">POD received from cell 0739524922 M     </t>
  </si>
  <si>
    <t xml:space="preserve">AFRICAN COMMERCE CAPE (PTY) LT     </t>
  </si>
  <si>
    <t>christa</t>
  </si>
  <si>
    <t xml:space="preserve">CENTURY   ELEGANCE JOINT VENTU     </t>
  </si>
  <si>
    <t>C B</t>
  </si>
  <si>
    <t>daniels</t>
  </si>
  <si>
    <t xml:space="preserve">THUTHUKA PACKAGING                 </t>
  </si>
  <si>
    <t>BRENT JARVIS</t>
  </si>
  <si>
    <t>Bongi</t>
  </si>
  <si>
    <t>JOSHUA</t>
  </si>
  <si>
    <t>JJ Mathee</t>
  </si>
  <si>
    <t>POD received from cell 0763378994 M</t>
  </si>
  <si>
    <t>NARE</t>
  </si>
  <si>
    <t xml:space="preserve">RICE   PASTA A DIV OF              </t>
  </si>
  <si>
    <t>LUCKY NDOU</t>
  </si>
  <si>
    <t xml:space="preserve">mandisa                       </t>
  </si>
  <si>
    <t>AVION EAST RAND PTY LTD</t>
  </si>
  <si>
    <t>lood</t>
  </si>
  <si>
    <t xml:space="preserve">ARCTURUS MANUFACTURING             </t>
  </si>
  <si>
    <t>GEDEON MUDZUNGA</t>
  </si>
  <si>
    <t>GLORIA</t>
  </si>
  <si>
    <t xml:space="preserve">DAN                           </t>
  </si>
  <si>
    <t xml:space="preserve">G.R.W COMMERCIALS PTY LTD          </t>
  </si>
  <si>
    <t>DERCK MARSHALL</t>
  </si>
  <si>
    <t>TUMI</t>
  </si>
  <si>
    <t xml:space="preserve">IMP AUTOMATED LABORATORY SERVI     </t>
  </si>
  <si>
    <t>R FES1162544483</t>
  </si>
  <si>
    <t xml:space="preserve">JOSTINE                       </t>
  </si>
  <si>
    <t>Jeffrey</t>
  </si>
  <si>
    <t xml:space="preserve">ALUVIN SECURISEAL                  </t>
  </si>
  <si>
    <t>MARIA MOOTHOSAMY</t>
  </si>
  <si>
    <t>itumeleng</t>
  </si>
  <si>
    <t xml:space="preserve">joyce                         </t>
  </si>
  <si>
    <t xml:space="preserve">BLISS CHEMICALS PTY LTD            </t>
  </si>
  <si>
    <t>NAZEFA DAYA</t>
  </si>
  <si>
    <t>CHRISTINE</t>
  </si>
  <si>
    <t>BENICA</t>
  </si>
  <si>
    <t>TONY SARGENT</t>
  </si>
  <si>
    <t xml:space="preserve">lesiba                        </t>
  </si>
  <si>
    <t xml:space="preserve">POD received from cell 0827666057 M     </t>
  </si>
  <si>
    <t>justine</t>
  </si>
  <si>
    <t xml:space="preserve">vukani                        </t>
  </si>
  <si>
    <t>amos</t>
  </si>
  <si>
    <t>farah</t>
  </si>
  <si>
    <t>A PETERSEN</t>
  </si>
  <si>
    <t xml:space="preserve">IAN DICKIE   CO                    </t>
  </si>
  <si>
    <t>ANTOINETTE</t>
  </si>
  <si>
    <t>MOS</t>
  </si>
  <si>
    <t>nathan</t>
  </si>
  <si>
    <t>RHARI</t>
  </si>
  <si>
    <t xml:space="preserve">AUTO X PTY LTD                     </t>
  </si>
  <si>
    <t>ian</t>
  </si>
  <si>
    <t>JULIE</t>
  </si>
  <si>
    <t>Clive</t>
  </si>
  <si>
    <t>POD received from cell 0810462520 M</t>
  </si>
  <si>
    <t>regan</t>
  </si>
  <si>
    <t>dipuo</t>
  </si>
  <si>
    <t>ELIZE</t>
  </si>
  <si>
    <t xml:space="preserve">motjelo                       </t>
  </si>
  <si>
    <t>VINESSA</t>
  </si>
  <si>
    <t>chanel</t>
  </si>
  <si>
    <t xml:space="preserve">AGI ALUMINIUM AND GLAS             </t>
  </si>
  <si>
    <t>R YERRIAH</t>
  </si>
  <si>
    <t xml:space="preserve">HOT PLATINUM                       </t>
  </si>
  <si>
    <t>AMINA</t>
  </si>
  <si>
    <t xml:space="preserve">CAELYN                        </t>
  </si>
  <si>
    <t>friddah</t>
  </si>
  <si>
    <t xml:space="preserve">NOBLE MOTOR   CONTROL PTY LTD      </t>
  </si>
  <si>
    <t>M TSOTETSI</t>
  </si>
  <si>
    <t xml:space="preserve">CASH ACCOUNT - SKYWARD WINDOWS     </t>
  </si>
  <si>
    <t xml:space="preserve">titus                         </t>
  </si>
  <si>
    <t xml:space="preserve">AUTOCON INNOVATIONS PTY LTD        </t>
  </si>
  <si>
    <t>j tentel</t>
  </si>
  <si>
    <t xml:space="preserve">ELECTROWEB CC                      </t>
  </si>
  <si>
    <t>martha</t>
  </si>
  <si>
    <t xml:space="preserve">DCD PROTECTED MOBILITY             </t>
  </si>
  <si>
    <t xml:space="preserve">RCL FOODS                          </t>
  </si>
  <si>
    <t xml:space="preserve">johathan                      </t>
  </si>
  <si>
    <t>nobesuthu</t>
  </si>
  <si>
    <t>CLIVEN</t>
  </si>
  <si>
    <t xml:space="preserve">CONTROL SOLUTIONS INSTRUMENTAT     </t>
  </si>
  <si>
    <t>Pauline</t>
  </si>
  <si>
    <t>POD received from cell 0784294456 M</t>
  </si>
  <si>
    <t>renusha</t>
  </si>
  <si>
    <t xml:space="preserve">MACSTEEL FLUID CONTROL             </t>
  </si>
  <si>
    <t>SUE BEUKES</t>
  </si>
  <si>
    <t>nikash</t>
  </si>
  <si>
    <t>wonda</t>
  </si>
  <si>
    <t>PLS SATURDAY DELIVERY</t>
  </si>
  <si>
    <t>PEET VAN STADEN</t>
  </si>
  <si>
    <t>GERALDENE P</t>
  </si>
  <si>
    <t xml:space="preserve">geraldine                     </t>
  </si>
  <si>
    <t>b bul</t>
  </si>
  <si>
    <t>C CHICCAPO</t>
  </si>
  <si>
    <t xml:space="preserve">johnathan                     </t>
  </si>
  <si>
    <t>thushni</t>
  </si>
  <si>
    <t>luke</t>
  </si>
  <si>
    <t>ZANE</t>
  </si>
  <si>
    <t xml:space="preserve">H.F.S. HYDRAULIC                   </t>
  </si>
  <si>
    <t>NIRESH</t>
  </si>
  <si>
    <t>errol</t>
  </si>
  <si>
    <t>DENNY</t>
  </si>
  <si>
    <t xml:space="preserve">PROGETTO INTERNATIONAL             </t>
  </si>
  <si>
    <t xml:space="preserve">BASF SA PTY LTD                    </t>
  </si>
  <si>
    <t xml:space="preserve">STEVEN                        </t>
  </si>
  <si>
    <t>WRONG ORDER SUPPLIED</t>
  </si>
  <si>
    <t>S LOUW</t>
  </si>
  <si>
    <t>ESTERLINE</t>
  </si>
  <si>
    <t xml:space="preserve">THERMAL FUSION CC                  </t>
  </si>
  <si>
    <t>zakhele</t>
  </si>
  <si>
    <t>WARREN   JULIAN CHETTY</t>
  </si>
  <si>
    <t xml:space="preserve">WALKATO SA T A LAC TECH (PTY)L     </t>
  </si>
  <si>
    <t>F GODFREY</t>
  </si>
  <si>
    <t xml:space="preserve">ALL ELECTRICAL DISTRIBUTORS CC     </t>
  </si>
  <si>
    <t>Jarrard</t>
  </si>
  <si>
    <t xml:space="preserve">craig                         </t>
  </si>
  <si>
    <t>ALMARIE</t>
  </si>
  <si>
    <t>ELW</t>
  </si>
  <si>
    <t>henny</t>
  </si>
  <si>
    <t>ERIC MATHEBE</t>
  </si>
  <si>
    <t>INS / FUE / DSD</t>
  </si>
  <si>
    <t>BRYAN</t>
  </si>
  <si>
    <t>B BELL</t>
  </si>
  <si>
    <t>Canon</t>
  </si>
  <si>
    <t xml:space="preserve">POLIMATRIX S.A                     </t>
  </si>
  <si>
    <t xml:space="preserve">VALLEY JUCTION 155 CC              </t>
  </si>
  <si>
    <t>ROWAN</t>
  </si>
  <si>
    <t>JOHN MORKEL</t>
  </si>
  <si>
    <t>ADILINAH</t>
  </si>
  <si>
    <t xml:space="preserve">NTSAKO                        </t>
  </si>
  <si>
    <t xml:space="preserve">GRUNDFOS                           </t>
  </si>
  <si>
    <t>HINA PARBHOO</t>
  </si>
  <si>
    <t>Elaine</t>
  </si>
  <si>
    <t>POD received from cell 0736172858 M</t>
  </si>
  <si>
    <t xml:space="preserve">EDDIE                         </t>
  </si>
  <si>
    <t>CINDI</t>
  </si>
  <si>
    <t>mpho</t>
  </si>
  <si>
    <t>van Zyl</t>
  </si>
  <si>
    <t>JERRY</t>
  </si>
  <si>
    <t xml:space="preserve">PELCHEM   NECSA PTY                </t>
  </si>
  <si>
    <t>Brian Britton   ABEL</t>
  </si>
  <si>
    <t>CYRIEL</t>
  </si>
  <si>
    <t>GENGE</t>
  </si>
  <si>
    <t>l t naicker</t>
  </si>
  <si>
    <t xml:space="preserve">AFRICAN CELLAR SUPPLIER            </t>
  </si>
  <si>
    <t>E BOUWER</t>
  </si>
  <si>
    <t xml:space="preserve">J PAULSE                      </t>
  </si>
  <si>
    <t>MAHOMED</t>
  </si>
  <si>
    <t>sindiswa</t>
  </si>
  <si>
    <t xml:space="preserve">NAUTILUS PROJECTS   DESIGN         </t>
  </si>
  <si>
    <t>BRENT</t>
  </si>
  <si>
    <t>NAUTILUS PROJECTS   DESIGN</t>
  </si>
  <si>
    <t xml:space="preserve">ERA STENE   ROSEMA BRICKS PTY      </t>
  </si>
  <si>
    <t>r strydom</t>
  </si>
  <si>
    <t xml:space="preserve">gitesh                        </t>
  </si>
  <si>
    <t xml:space="preserve">JOHNSON   JOHNSON PTY LTD          </t>
  </si>
  <si>
    <t>BONGINKOSI ZOKUFA</t>
  </si>
  <si>
    <t>mbongeni</t>
  </si>
  <si>
    <t>KATHLEEN</t>
  </si>
  <si>
    <t>G VAN WALT</t>
  </si>
  <si>
    <t>SAM WILLIAMS</t>
  </si>
  <si>
    <t>constance</t>
  </si>
  <si>
    <t>a olivier</t>
  </si>
  <si>
    <t xml:space="preserve">DUNLOP INDUSTRIAL PRODUCTS PTY LTD </t>
  </si>
  <si>
    <t>Anand</t>
  </si>
  <si>
    <t>LESLIE</t>
  </si>
  <si>
    <t xml:space="preserve">AUTO INDUSTRIAL FOUNDRY            </t>
  </si>
  <si>
    <t>RUDY VAN HEERDEN</t>
  </si>
  <si>
    <t>SAMUEL</t>
  </si>
  <si>
    <t xml:space="preserve">PRATT                         </t>
  </si>
  <si>
    <t xml:space="preserve">SANDOZ SA PTY LTD                  </t>
  </si>
  <si>
    <t>lizzy</t>
  </si>
  <si>
    <t xml:space="preserve">INDUSTRIAL CONTROL AUTOMATION      </t>
  </si>
  <si>
    <t>thulie</t>
  </si>
  <si>
    <t>AUTO X PTY LTD</t>
  </si>
  <si>
    <t xml:space="preserve">R.A. DISTRIBUTORS CC               </t>
  </si>
  <si>
    <t>EUGENE</t>
  </si>
  <si>
    <t xml:space="preserve">FREDDY HIRCH   CO                  </t>
  </si>
  <si>
    <t>RACHEL</t>
  </si>
  <si>
    <t>stevan</t>
  </si>
  <si>
    <t xml:space="preserve">AIRBUS DS OPTRONICS PTY LTD        </t>
  </si>
  <si>
    <t>REFILWE</t>
  </si>
  <si>
    <t xml:space="preserve">WORLD POWER PRODUCTS               </t>
  </si>
  <si>
    <t>leo</t>
  </si>
  <si>
    <t xml:space="preserve">L LAKAY                       </t>
  </si>
  <si>
    <t xml:space="preserve">PICK ME NURSERY                    </t>
  </si>
  <si>
    <t xml:space="preserve">FANIE                         </t>
  </si>
  <si>
    <t xml:space="preserve">THE HYDRAULIC CONNECTION           </t>
  </si>
  <si>
    <t>SABELO</t>
  </si>
  <si>
    <t>sithokozile</t>
  </si>
  <si>
    <t>MELANI</t>
  </si>
  <si>
    <t>KIRI</t>
  </si>
  <si>
    <t xml:space="preserve">DENEL VEHICLE SYSTEMS              </t>
  </si>
  <si>
    <t>DHANASHREE MOHAMMED</t>
  </si>
  <si>
    <t>pieternella</t>
  </si>
  <si>
    <t>THOMAS</t>
  </si>
  <si>
    <t>GRABO</t>
  </si>
  <si>
    <t>GRABOUW</t>
  </si>
  <si>
    <t xml:space="preserve">APPLETISER sa (PTY) LTD            </t>
  </si>
  <si>
    <t>Arnold</t>
  </si>
  <si>
    <t>MSIZI</t>
  </si>
  <si>
    <t>JIMMMY</t>
  </si>
  <si>
    <t>KIVEN</t>
  </si>
  <si>
    <t xml:space="preserve">SMJ BEVERAGES SA PTY LTD           </t>
  </si>
  <si>
    <t xml:space="preserve">ELZEA MANUFACTURING                </t>
  </si>
  <si>
    <t xml:space="preserve">HARVEY ROOFING PRODUCTS            </t>
  </si>
  <si>
    <t>NADIA VENTER</t>
  </si>
  <si>
    <t xml:space="preserve">WAIKATO SA                         </t>
  </si>
  <si>
    <t>LINDY</t>
  </si>
  <si>
    <t>lindy</t>
  </si>
  <si>
    <t>PATRICK BRANT</t>
  </si>
  <si>
    <t>patrick</t>
  </si>
  <si>
    <t>POD received from cell 0745016150 M</t>
  </si>
  <si>
    <t xml:space="preserve">FESTO DUR OFFICE                   </t>
  </si>
  <si>
    <t>Nickolas Tinkler</t>
  </si>
  <si>
    <t>LAUREN</t>
  </si>
  <si>
    <t>nicolas</t>
  </si>
  <si>
    <t>Kevin</t>
  </si>
  <si>
    <t>JULIA</t>
  </si>
  <si>
    <t>JABU</t>
  </si>
  <si>
    <t>POD received from cell 0783894189 M</t>
  </si>
  <si>
    <t xml:space="preserve">HYDRO PRECISION ENGINEERING        </t>
  </si>
  <si>
    <t>JASON VAUGHN</t>
  </si>
  <si>
    <t>JASN</t>
  </si>
  <si>
    <t xml:space="preserve">A.P.L. CARTONS (PTY) LTD           </t>
  </si>
  <si>
    <t>BOWELL</t>
  </si>
  <si>
    <t xml:space="preserve">RCL FOODS SUGAR   MILLING PTY      </t>
  </si>
  <si>
    <t>NOZUKO</t>
  </si>
  <si>
    <t xml:space="preserve">s russion                     </t>
  </si>
  <si>
    <t>KURI</t>
  </si>
  <si>
    <t>EDWINA</t>
  </si>
  <si>
    <t xml:space="preserve">KWV CELLARS   DISTILLERY           </t>
  </si>
  <si>
    <t>D PAULSEN</t>
  </si>
  <si>
    <t xml:space="preserve">COLEMAN TRANSPORT                  </t>
  </si>
  <si>
    <t>DBC DELIVERY REQUESTED BY GIFT   TONY</t>
  </si>
  <si>
    <t>DEEZ</t>
  </si>
  <si>
    <t>nikesh</t>
  </si>
  <si>
    <t>THONELI</t>
  </si>
  <si>
    <t>PIELWALL</t>
  </si>
  <si>
    <t xml:space="preserve">WEST WEIGH SYSTEMS                 </t>
  </si>
  <si>
    <t>DILLON QUAN</t>
  </si>
  <si>
    <t>CEDRICK</t>
  </si>
  <si>
    <t xml:space="preserve">Sam                           </t>
  </si>
  <si>
    <t xml:space="preserve">POD received from cell 0765349089 M     </t>
  </si>
  <si>
    <t>ALPHEUS</t>
  </si>
  <si>
    <t xml:space="preserve">INDUSTRIAL LOCOMOTIVE SERVICES     </t>
  </si>
  <si>
    <t xml:space="preserve">UNIVESTY OF JOHANNESBURG           </t>
  </si>
  <si>
    <t>011 559 6831</t>
  </si>
  <si>
    <t>POD received from cell 0739861136 M</t>
  </si>
  <si>
    <t xml:space="preserve">HUHTAMAKI DIV FLEXIBLE             </t>
  </si>
  <si>
    <t>PETER NKOSI</t>
  </si>
  <si>
    <t>P NKOSI</t>
  </si>
  <si>
    <t xml:space="preserve">AWESOME SNACKS                     </t>
  </si>
  <si>
    <t>ERNEST WENRICH</t>
  </si>
  <si>
    <t>sibusiso</t>
  </si>
  <si>
    <t xml:space="preserve">RAPID INDUSTRIAL SUPPLIES PTY      </t>
  </si>
  <si>
    <t>NAVEEN CHETTY</t>
  </si>
  <si>
    <t>ryno</t>
  </si>
  <si>
    <t xml:space="preserve">F   R CATAI TRANSPORT SOLUTION     </t>
  </si>
  <si>
    <t>emmie</t>
  </si>
  <si>
    <t>SHARLOTT</t>
  </si>
  <si>
    <t>EVELYN</t>
  </si>
  <si>
    <t>ELAMRIE</t>
  </si>
  <si>
    <t>ELSIE</t>
  </si>
  <si>
    <t>DIDACTIC PLEASE DELIVER BEFOR 10:00 AS PER CLIENT</t>
  </si>
  <si>
    <t xml:space="preserve">AFRICAN COMMERCE CAPE (PTY) LTD    </t>
  </si>
  <si>
    <t>RENCIA MITCHELL</t>
  </si>
  <si>
    <t xml:space="preserve">R MITCHEL                     </t>
  </si>
  <si>
    <t>ANDERSON</t>
  </si>
  <si>
    <t>candice</t>
  </si>
  <si>
    <t>dees</t>
  </si>
  <si>
    <t xml:space="preserve">VOLKSWAGEN SA                      </t>
  </si>
  <si>
    <t>RICK ALLSOP</t>
  </si>
  <si>
    <t>KLASIE</t>
  </si>
  <si>
    <t xml:space="preserve">sharla                        </t>
  </si>
  <si>
    <t xml:space="preserve">S SAUNDERS                    </t>
  </si>
  <si>
    <t>DELIVER BETWEEN 10H00 AND 12H00</t>
  </si>
  <si>
    <t>d allen</t>
  </si>
  <si>
    <t xml:space="preserve">DBN CASH SIETECH Cc                </t>
  </si>
  <si>
    <t xml:space="preserve">EVASHA                        </t>
  </si>
  <si>
    <t>OIL FRAGILE</t>
  </si>
  <si>
    <t>romlain</t>
  </si>
  <si>
    <t xml:space="preserve">SIMON                         </t>
  </si>
  <si>
    <t xml:space="preserve">LATHAM FILTARTION TECHNOLOGY P     </t>
  </si>
  <si>
    <t>B MULLER</t>
  </si>
  <si>
    <t xml:space="preserve">ARROW ALTECH DISTRIBUTION PTY      </t>
  </si>
  <si>
    <t>SYDNEY</t>
  </si>
  <si>
    <t xml:space="preserve">RAINBOW FARMS (PTY) LTD            </t>
  </si>
  <si>
    <t xml:space="preserve">WEST END CLAY BRICKS (PTY) LTD     </t>
  </si>
  <si>
    <t>MOSS</t>
  </si>
  <si>
    <t>moss</t>
  </si>
  <si>
    <t>MBONGENI</t>
  </si>
  <si>
    <t xml:space="preserve">SOUTHERN AFRICAN MACHINE BUILD     </t>
  </si>
  <si>
    <t>CHRISZENBERG</t>
  </si>
  <si>
    <t xml:space="preserve">Ctp Flexibles                      </t>
  </si>
  <si>
    <t>ALVINITA</t>
  </si>
  <si>
    <t>REUBEN</t>
  </si>
  <si>
    <t>kevin</t>
  </si>
  <si>
    <t xml:space="preserve">GRW ENGINERING                     </t>
  </si>
  <si>
    <t>marcellino</t>
  </si>
  <si>
    <t xml:space="preserve">FUEL INDUSTRY SERVICES PTY LTD     </t>
  </si>
  <si>
    <t>G ERMEL</t>
  </si>
  <si>
    <t xml:space="preserve">ALBANY BAKERY A DIVISION OF TI     </t>
  </si>
  <si>
    <t>CONNIE</t>
  </si>
  <si>
    <t>lwellyn</t>
  </si>
  <si>
    <t xml:space="preserve">RELIANE ATTACHEMENTS PTY LTD       </t>
  </si>
  <si>
    <t xml:space="preserve">Bowler Plastics                    </t>
  </si>
  <si>
    <t>JUANITA LESSING</t>
  </si>
  <si>
    <t xml:space="preserve">BHG PACKAGING PTY LTD              </t>
  </si>
  <si>
    <t xml:space="preserve">TECHMATIC ENGINEERING PTY          </t>
  </si>
  <si>
    <t>MKHULU</t>
  </si>
  <si>
    <t>Kishore</t>
  </si>
  <si>
    <t>POD received from cell 0782274968 M</t>
  </si>
  <si>
    <t>SHELA</t>
  </si>
  <si>
    <t xml:space="preserve">KARAN BEEF FEEDLOT                 </t>
  </si>
  <si>
    <t>JESSICA</t>
  </si>
  <si>
    <t>MARCERL</t>
  </si>
  <si>
    <t xml:space="preserve">MASTER PNEUMATIC AFRICA            </t>
  </si>
  <si>
    <t>REUBEN MATOLONG</t>
  </si>
  <si>
    <t xml:space="preserve">METERMATIC                         </t>
  </si>
  <si>
    <t>MARLENE FULLER</t>
  </si>
  <si>
    <t>JUAN</t>
  </si>
  <si>
    <t>KATHU</t>
  </si>
  <si>
    <t xml:space="preserve">SISHENI IRON ORE COMPANY           </t>
  </si>
  <si>
    <t>M VAN NIEKERK</t>
  </si>
  <si>
    <t>RDY</t>
  </si>
  <si>
    <t xml:space="preserve">YANNIS                        </t>
  </si>
  <si>
    <t>POSTM</t>
  </si>
  <si>
    <t>POSTMASBURG</t>
  </si>
  <si>
    <t>DBC DELIVERY REQUESTED BY TONY</t>
  </si>
  <si>
    <t>HEINRICH DAWIDS</t>
  </si>
  <si>
    <t>MIB</t>
  </si>
  <si>
    <t xml:space="preserve">SIMBA                              </t>
  </si>
  <si>
    <t>ileg</t>
  </si>
  <si>
    <t xml:space="preserve">SCANMIN AFRICA                     </t>
  </si>
  <si>
    <t>HENNY</t>
  </si>
  <si>
    <t xml:space="preserve">HANSIE                        </t>
  </si>
  <si>
    <t xml:space="preserve">LUCKY                         </t>
  </si>
  <si>
    <t xml:space="preserve">GEORGE                        </t>
  </si>
  <si>
    <t xml:space="preserve">NECSA                              </t>
  </si>
  <si>
    <t>BRIAN BRITTON</t>
  </si>
  <si>
    <t xml:space="preserve">COROBRICK                          </t>
  </si>
  <si>
    <t xml:space="preserve">MITTAL STEEL SA LTD                </t>
  </si>
  <si>
    <t>THULI MASOOA</t>
  </si>
  <si>
    <t>MOTSOENENG</t>
  </si>
  <si>
    <t>L WILLER</t>
  </si>
  <si>
    <t>MERCIA ROETS</t>
  </si>
  <si>
    <t xml:space="preserve">ALPINE INJECTION MOULDING          </t>
  </si>
  <si>
    <t>JUANITA MITCHELL</t>
  </si>
  <si>
    <t>JUANITA</t>
  </si>
  <si>
    <t>athur</t>
  </si>
  <si>
    <t xml:space="preserve">LEBONE LITHO PRINTERS (PTY)LTD     </t>
  </si>
  <si>
    <t>ZOHA</t>
  </si>
  <si>
    <t>joel</t>
  </si>
  <si>
    <t>tebogo</t>
  </si>
  <si>
    <t>GALLANT</t>
  </si>
  <si>
    <t xml:space="preserve">YORK TIMBERS(PTY) LTD              </t>
  </si>
  <si>
    <t>MAINTENANCE MANAGER</t>
  </si>
  <si>
    <t>amanda</t>
  </si>
  <si>
    <t xml:space="preserve">ALDOR AFRICA                       </t>
  </si>
  <si>
    <t xml:space="preserve">NCP CHLORCHEM PTY LTD              </t>
  </si>
  <si>
    <t>RAAM GOVENDER</t>
  </si>
  <si>
    <t>philani</t>
  </si>
  <si>
    <t xml:space="preserve">BEARING MAN GROUP PTY LTD          </t>
  </si>
  <si>
    <t xml:space="preserve">MILLICENT                     </t>
  </si>
  <si>
    <t>HANEKOM</t>
  </si>
  <si>
    <t>shuvaar</t>
  </si>
  <si>
    <t>c bergs</t>
  </si>
  <si>
    <t xml:space="preserve">WIRQUIN MANUFACTURING PTY LTD      </t>
  </si>
  <si>
    <t>ARTHUR HINDE</t>
  </si>
  <si>
    <t xml:space="preserve">IEC HOLDEN                         </t>
  </si>
  <si>
    <t>NIVESH SINGH</t>
  </si>
  <si>
    <t>CINVAS</t>
  </si>
  <si>
    <t>SHADLEY</t>
  </si>
  <si>
    <t xml:space="preserve">RCL FOODS CONSUMER BEVERAGES       </t>
  </si>
  <si>
    <t>GERHARD VLOK</t>
  </si>
  <si>
    <t>stephen</t>
  </si>
  <si>
    <t xml:space="preserve">CONSOLIDATED WIRE INDUSTRIES       </t>
  </si>
  <si>
    <t>v oliveira</t>
  </si>
  <si>
    <t>SINDY</t>
  </si>
  <si>
    <t xml:space="preserve">REUTECH COMMUNICATIOS A DIVISI     </t>
  </si>
  <si>
    <t>ANAND MURUGAN</t>
  </si>
  <si>
    <t>thomas</t>
  </si>
  <si>
    <t>LEBO</t>
  </si>
  <si>
    <t>dennis</t>
  </si>
  <si>
    <t>parcel</t>
  </si>
  <si>
    <t>AVENG TRIDENT STEEL ADIVISION OF AV</t>
  </si>
  <si>
    <t>Ishmael</t>
  </si>
  <si>
    <t xml:space="preserve">BY HIS GRACE T A                   </t>
  </si>
  <si>
    <t xml:space="preserve">garnt                         </t>
  </si>
  <si>
    <t>linda</t>
  </si>
  <si>
    <t>SARA</t>
  </si>
  <si>
    <t>ARTHUR</t>
  </si>
  <si>
    <t>POD received from cell 0606552064 M</t>
  </si>
  <si>
    <t>shuraar</t>
  </si>
  <si>
    <t xml:space="preserve">INDUSTRIAL MAINTENANCE SERVICE     </t>
  </si>
  <si>
    <t>m duff</t>
  </si>
  <si>
    <t>nomthandazo</t>
  </si>
  <si>
    <t xml:space="preserve">CONVEYCO (PTY) LTD                 </t>
  </si>
  <si>
    <t>WESLEY</t>
  </si>
  <si>
    <t>c b luke</t>
  </si>
  <si>
    <t>jerry</t>
  </si>
  <si>
    <t>SALDA</t>
  </si>
  <si>
    <t>SALDANHA</t>
  </si>
  <si>
    <t xml:space="preserve">SALDANHA STEEL                     </t>
  </si>
  <si>
    <t xml:space="preserve">GSK CONSUMER HEALTHCARE SA PTY     </t>
  </si>
  <si>
    <t>IMRAN LEUKES</t>
  </si>
  <si>
    <t>pinky</t>
  </si>
  <si>
    <t>antwell</t>
  </si>
  <si>
    <t xml:space="preserve">HOSAF A DIV OF PG BISON (PTY)      </t>
  </si>
  <si>
    <t>bonga</t>
  </si>
  <si>
    <t xml:space="preserve">ROCBOLT TECHNOLGIES                </t>
  </si>
  <si>
    <t>Marcia</t>
  </si>
  <si>
    <t>ALTA</t>
  </si>
  <si>
    <t xml:space="preserve">UNILEVER S.A (PTY)LTD              </t>
  </si>
  <si>
    <t>cetyiswa</t>
  </si>
  <si>
    <t>RHONA</t>
  </si>
  <si>
    <t xml:space="preserve">BCG STAINLESS STEEL SERVICES C     </t>
  </si>
  <si>
    <t>PAPI</t>
  </si>
  <si>
    <t>A RAMJAAS</t>
  </si>
  <si>
    <t>Z JANSEN</t>
  </si>
  <si>
    <t xml:space="preserve">THE HYDRAULIC CENTRE CC            </t>
  </si>
  <si>
    <t>TREVIN KUPPUSAMI</t>
  </si>
  <si>
    <t xml:space="preserve">garth                         </t>
  </si>
  <si>
    <t>MANDI</t>
  </si>
  <si>
    <t>MANDINI</t>
  </si>
  <si>
    <t xml:space="preserve">NVT ENGINEERING                    </t>
  </si>
  <si>
    <t>bob</t>
  </si>
  <si>
    <t>koki</t>
  </si>
  <si>
    <t>DENCIL</t>
  </si>
  <si>
    <t xml:space="preserve">ELSTER KENT METERING               </t>
  </si>
  <si>
    <t>HENDRIE KLOPPERS</t>
  </si>
  <si>
    <t>brysan</t>
  </si>
  <si>
    <t>MZUMA</t>
  </si>
  <si>
    <t xml:space="preserve">COROBRICK (PTY) LTD                </t>
  </si>
  <si>
    <t>P A COLLINS</t>
  </si>
  <si>
    <t>QUINTON BAILEY</t>
  </si>
  <si>
    <t>lisette</t>
  </si>
  <si>
    <t>illeh</t>
  </si>
  <si>
    <t>mike</t>
  </si>
  <si>
    <t>wayn</t>
  </si>
  <si>
    <t>ROBBY</t>
  </si>
  <si>
    <t>FRAGILE OIL</t>
  </si>
  <si>
    <t>jaan</t>
  </si>
  <si>
    <t xml:space="preserve">PAARMAN FOODS (PTY) LTD            </t>
  </si>
  <si>
    <t>SARAH</t>
  </si>
  <si>
    <t>mbonmisha</t>
  </si>
  <si>
    <t xml:space="preserve">alister                       </t>
  </si>
  <si>
    <t>palmen</t>
  </si>
  <si>
    <t>MTSILA</t>
  </si>
  <si>
    <t>J STRYDOM</t>
  </si>
  <si>
    <t>vian</t>
  </si>
  <si>
    <t xml:space="preserve">TRONOX MINERAL SANDS               </t>
  </si>
  <si>
    <t>mc design</t>
  </si>
  <si>
    <t>clure projects</t>
  </si>
  <si>
    <t xml:space="preserve">CW8 BRICKS                         </t>
  </si>
  <si>
    <t>trulisha</t>
  </si>
  <si>
    <t xml:space="preserve">ALBANY BAKERY RANDFONTEIN          </t>
  </si>
  <si>
    <t>trulisa</t>
  </si>
  <si>
    <t>KHOLOSA</t>
  </si>
  <si>
    <t>LEBOHANG</t>
  </si>
  <si>
    <t xml:space="preserve">SEDIBENG BREWERIES                 </t>
  </si>
  <si>
    <t xml:space="preserve">CEMPACK                            </t>
  </si>
  <si>
    <t>M LOUW</t>
  </si>
  <si>
    <t>ALBERTO HLATSHAYO</t>
  </si>
  <si>
    <t>BENNY</t>
  </si>
  <si>
    <t xml:space="preserve">BOLLORE LOGISTICS                  </t>
  </si>
  <si>
    <t>JONATHAN</t>
  </si>
  <si>
    <t xml:space="preserve">OMNIRAIPD MINING   INDUSTRIAL      </t>
  </si>
  <si>
    <t>Randall</t>
  </si>
  <si>
    <t xml:space="preserve">ABEL                          </t>
  </si>
  <si>
    <t xml:space="preserve">RCL FOOD CONSUMER PTY LTD          </t>
  </si>
  <si>
    <t>JOE</t>
  </si>
  <si>
    <t>KIMBERLEY-CLARK S A</t>
  </si>
  <si>
    <t xml:space="preserve">COLAS SA                           </t>
  </si>
  <si>
    <t>NADAR</t>
  </si>
  <si>
    <t xml:space="preserve">L   D BAKERIES                     </t>
  </si>
  <si>
    <t xml:space="preserve">GUTH SA                            </t>
  </si>
  <si>
    <t xml:space="preserve">PLS SATURDAY DELIVER CONTACT </t>
  </si>
  <si>
    <t>dumpy</t>
  </si>
  <si>
    <t xml:space="preserve">SETON SA PTY LTD                   </t>
  </si>
  <si>
    <t>HELEEN VERMAAK</t>
  </si>
  <si>
    <t xml:space="preserve">WILLOW SOAPS                       </t>
  </si>
  <si>
    <t xml:space="preserve">POWER TEAM SA (PTY) L.T.D          </t>
  </si>
  <si>
    <t xml:space="preserve">RESCUE TECHNOLOGY CC               </t>
  </si>
  <si>
    <t>STEWART</t>
  </si>
  <si>
    <t>RECKITT BENCKISER SA</t>
  </si>
  <si>
    <t xml:space="preserve">RTS AFRICA ENGINEERING             </t>
  </si>
  <si>
    <t xml:space="preserve">INTER CABLE                        </t>
  </si>
  <si>
    <t>MICHELLE VOISIN</t>
  </si>
  <si>
    <t>INTER CABLE</t>
  </si>
  <si>
    <t xml:space="preserve">KERRY INGREDIENTS SA               </t>
  </si>
  <si>
    <t>TASVEER</t>
  </si>
  <si>
    <t xml:space="preserve">GRW COMMERCIALS                    </t>
  </si>
  <si>
    <t>LOUISE DE LANGE</t>
  </si>
  <si>
    <t xml:space="preserve">WATCH TOWER BIBLE TRACT SOCIET     </t>
  </si>
  <si>
    <t xml:space="preserve">FELTEX FEHRER                      </t>
  </si>
  <si>
    <t>STEVE</t>
  </si>
  <si>
    <t xml:space="preserve">CONVEYALL NATAL CC                 </t>
  </si>
  <si>
    <t xml:space="preserve">Paardman Foods                     </t>
  </si>
  <si>
    <t>JANE</t>
  </si>
  <si>
    <t xml:space="preserve">MAYO DAIRY PTY LTD                 </t>
  </si>
  <si>
    <t xml:space="preserve">FORMEX ENGINEERING                 </t>
  </si>
  <si>
    <t>Ronnie Doubel</t>
  </si>
  <si>
    <t>thabo</t>
  </si>
  <si>
    <t xml:space="preserve">CONTINENTAL TYRE SA           </t>
  </si>
  <si>
    <t xml:space="preserve">POD received from cell 0606552064 M     </t>
  </si>
  <si>
    <t>KARAN MAHARAJ</t>
  </si>
  <si>
    <t xml:space="preserve">ILLEGED                       </t>
  </si>
  <si>
    <t>Motonya</t>
  </si>
  <si>
    <t>EILEEN</t>
  </si>
  <si>
    <t>moloto</t>
  </si>
  <si>
    <t>PETRO NORTJE</t>
  </si>
  <si>
    <t xml:space="preserve">MARLEY PIPE SYSTEMS SA PTY LTD     </t>
  </si>
  <si>
    <t>ELSA LENNOX</t>
  </si>
  <si>
    <t>SDX DELIVERY  please leave parcel at security at the customer</t>
  </si>
  <si>
    <t>MEREDITH VORWERK</t>
  </si>
  <si>
    <t xml:space="preserve">SAFAL STEEL                        </t>
  </si>
  <si>
    <t>NEWCA</t>
  </si>
  <si>
    <t>NEWCASTLE</t>
  </si>
  <si>
    <t xml:space="preserve">LANXESS CISA PTY LTD               </t>
  </si>
  <si>
    <t>SAGIE NAIDOO</t>
  </si>
  <si>
    <t>Account Total</t>
  </si>
  <si>
    <t xml:space="preserve">AUTOMOTIVE EQUEPMENT INTERNATIONAL     </t>
  </si>
  <si>
    <t xml:space="preserve">BENTELER AUTOMOTIVE SA (PTY) LTD     </t>
  </si>
  <si>
    <t xml:space="preserve">CLIFFORD WELDING SYSTEMS PTY LTD     </t>
  </si>
  <si>
    <t xml:space="preserve">HYFLO SOUTHERN AFRICA (PTY) LTD     </t>
  </si>
  <si>
    <t xml:space="preserve">HYFLO SOUTHERN AFRICA (PTY) LTD    </t>
  </si>
  <si>
    <t xml:space="preserve">ADCOCK INGRAM CRITICAL CARE PTY    </t>
  </si>
  <si>
    <t xml:space="preserve">FILMATIC PACKAGING SYSTEM (PTY)    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</si>
</sst>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1" fillId="2" borderId="1" xfId="0" applyNumberFormat="1" applyFont="1" applyFill="1" applyBorder="1"/>
    <xf numFmtId="20" fontId="0" fillId="0" borderId="1" xfId="0" applyNumberFormat="1" applyBorder="1"/>
    <xf numFmtId="14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M3723"/>
  <sheetViews>
    <sheetView tabSelected="1" topLeftCell="J3704" workbookViewId="0">
      <selection activeCell="N3710" sqref="N3710"/>
    </sheetView>
  </sheetViews>
  <sheetFormatPr defaultRowHeight="15"/>
  <cols>
    <col min="1" max="1" width="7.42578125" bestFit="1" customWidth="1"/>
    <col min="2" max="2" width="31.42578125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7.5703125" bestFit="1" customWidth="1"/>
    <col min="9" max="9" width="18.7109375" bestFit="1" customWidth="1"/>
    <col min="10" max="10" width="37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28515625" bestFit="1" customWidth="1"/>
    <col min="15" max="15" width="4.85546875" bestFit="1" customWidth="1"/>
    <col min="16" max="16" width="30.570312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4.28515625" bestFit="1" customWidth="1"/>
    <col min="38" max="38" width="4.5703125" bestFit="1" customWidth="1"/>
    <col min="39" max="39" width="9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7109375" bestFit="1" customWidth="1"/>
    <col min="56" max="56" width="4.5703125" bestFit="1" customWidth="1"/>
    <col min="57" max="57" width="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1" width="8" bestFit="1" customWidth="1"/>
    <col min="62" max="62" width="7.28515625" bestFit="1" customWidth="1"/>
    <col min="63" max="63" width="6.28515625" bestFit="1" customWidth="1"/>
    <col min="64" max="64" width="10" bestFit="1" customWidth="1"/>
    <col min="65" max="65" width="9" bestFit="1" customWidth="1"/>
    <col min="66" max="66" width="10" bestFit="1" customWidth="1"/>
    <col min="68" max="68" width="59.28515625" bestFit="1" customWidth="1"/>
    <col min="69" max="69" width="32.5703125" bestFit="1" customWidth="1"/>
    <col min="70" max="70" width="30.7109375" bestFit="1" customWidth="1"/>
    <col min="71" max="71" width="10.7109375" bestFit="1" customWidth="1"/>
    <col min="72" max="72" width="9.7109375" bestFit="1" customWidth="1"/>
    <col min="73" max="73" width="32.7109375" bestFit="1" customWidth="1"/>
    <col min="74" max="74" width="8.5703125" bestFit="1" customWidth="1"/>
    <col min="75" max="75" width="24.28515625" bestFit="1" customWidth="1"/>
    <col min="76" max="76" width="16.140625" bestFit="1" customWidth="1"/>
    <col min="77" max="77" width="13.85546875" bestFit="1" customWidth="1"/>
    <col min="78" max="78" width="14.4257812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51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D2" s="2"/>
      <c r="E2" s="2" t="str">
        <f>"FES1162543510"</f>
        <v>FES1162543510</v>
      </c>
      <c r="F2" s="3">
        <v>42838</v>
      </c>
      <c r="G2" s="2">
        <v>201710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"2170562207                    "</f>
        <v xml:space="preserve">2170562207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10.45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2</v>
      </c>
      <c r="BJ2" s="2">
        <v>1.3</v>
      </c>
      <c r="BK2" s="2">
        <v>2</v>
      </c>
      <c r="BL2" s="2">
        <v>106.71</v>
      </c>
      <c r="BM2" s="2">
        <v>14.94</v>
      </c>
      <c r="BN2" s="2">
        <v>121.65</v>
      </c>
      <c r="BO2" s="2">
        <v>121.65</v>
      </c>
      <c r="BP2" s="2" t="s">
        <v>82</v>
      </c>
      <c r="BQ2" s="2" t="s">
        <v>83</v>
      </c>
      <c r="BR2" s="2" t="s">
        <v>84</v>
      </c>
      <c r="BS2" s="3">
        <v>42843</v>
      </c>
      <c r="BT2" s="4">
        <v>0.625</v>
      </c>
      <c r="BU2" s="2" t="s">
        <v>85</v>
      </c>
      <c r="BV2" s="2" t="s">
        <v>86</v>
      </c>
      <c r="BW2" s="2" t="s">
        <v>87</v>
      </c>
      <c r="BX2" s="2" t="s">
        <v>88</v>
      </c>
      <c r="BY2" s="2">
        <v>6358.72</v>
      </c>
      <c r="BZ2" s="2"/>
      <c r="CA2" s="2"/>
      <c r="CB2" s="2"/>
      <c r="CC2" s="2" t="s">
        <v>79</v>
      </c>
      <c r="CD2" s="2">
        <v>4276</v>
      </c>
      <c r="CE2" s="2" t="s">
        <v>89</v>
      </c>
      <c r="CF2" s="5">
        <v>42844</v>
      </c>
      <c r="CG2" s="2"/>
      <c r="CH2" s="2"/>
      <c r="CI2" s="2">
        <v>0</v>
      </c>
      <c r="CJ2" s="2">
        <v>0</v>
      </c>
      <c r="CK2" s="2" t="s">
        <v>90</v>
      </c>
      <c r="CL2" s="2" t="s">
        <v>86</v>
      </c>
      <c r="CM2" s="2"/>
    </row>
    <row r="3" spans="1:91">
      <c r="A3" s="2" t="s">
        <v>71</v>
      </c>
      <c r="B3" s="2" t="s">
        <v>72</v>
      </c>
      <c r="C3" s="2" t="s">
        <v>73</v>
      </c>
      <c r="D3" s="2"/>
      <c r="E3" s="2" t="str">
        <f>"FES1162543664"</f>
        <v>FES1162543664</v>
      </c>
      <c r="F3" s="3">
        <v>42838</v>
      </c>
      <c r="G3" s="2">
        <v>201710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91</v>
      </c>
      <c r="M3" s="2" t="s">
        <v>92</v>
      </c>
      <c r="N3" s="2" t="s">
        <v>93</v>
      </c>
      <c r="O3" s="2" t="s">
        <v>81</v>
      </c>
      <c r="P3" s="2" t="str">
        <f>"2170558009                    "</f>
        <v xml:space="preserve">2170558009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9.66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2</v>
      </c>
      <c r="BI3" s="2">
        <v>32.6</v>
      </c>
      <c r="BJ3" s="2">
        <v>12</v>
      </c>
      <c r="BK3" s="2">
        <v>33</v>
      </c>
      <c r="BL3" s="2">
        <v>98.99</v>
      </c>
      <c r="BM3" s="2">
        <v>13.86</v>
      </c>
      <c r="BN3" s="2">
        <v>112.85</v>
      </c>
      <c r="BO3" s="2">
        <v>112.85</v>
      </c>
      <c r="BP3" s="2"/>
      <c r="BQ3" s="2" t="s">
        <v>94</v>
      </c>
      <c r="BR3" s="2" t="s">
        <v>84</v>
      </c>
      <c r="BS3" s="3">
        <v>42844</v>
      </c>
      <c r="BT3" s="4">
        <v>0.4368055555555555</v>
      </c>
      <c r="BU3" s="2" t="s">
        <v>95</v>
      </c>
      <c r="BV3" s="2" t="s">
        <v>86</v>
      </c>
      <c r="BW3" s="2" t="s">
        <v>96</v>
      </c>
      <c r="BX3" s="2" t="s">
        <v>97</v>
      </c>
      <c r="BY3" s="2">
        <v>60004.52</v>
      </c>
      <c r="BZ3" s="2"/>
      <c r="CA3" s="2"/>
      <c r="CB3" s="2"/>
      <c r="CC3" s="2" t="s">
        <v>92</v>
      </c>
      <c r="CD3" s="2">
        <v>1401</v>
      </c>
      <c r="CE3" s="2" t="s">
        <v>89</v>
      </c>
      <c r="CF3" s="5">
        <v>42845</v>
      </c>
      <c r="CG3" s="2"/>
      <c r="CH3" s="2"/>
      <c r="CI3" s="2">
        <v>0</v>
      </c>
      <c r="CJ3" s="2">
        <v>0</v>
      </c>
      <c r="CK3" s="2" t="s">
        <v>98</v>
      </c>
      <c r="CL3" s="2" t="s">
        <v>86</v>
      </c>
      <c r="CM3" s="2"/>
    </row>
    <row r="4" spans="1:91">
      <c r="A4" s="2" t="s">
        <v>71</v>
      </c>
      <c r="B4" s="2" t="s">
        <v>72</v>
      </c>
      <c r="C4" s="2" t="s">
        <v>73</v>
      </c>
      <c r="D4" s="2"/>
      <c r="E4" s="2" t="str">
        <f>"FES1162543754"</f>
        <v>FES1162543754</v>
      </c>
      <c r="F4" s="3">
        <v>42838</v>
      </c>
      <c r="G4" s="2">
        <v>201710</v>
      </c>
      <c r="H4" s="2" t="s">
        <v>74</v>
      </c>
      <c r="I4" s="2" t="s">
        <v>75</v>
      </c>
      <c r="J4" s="2" t="s">
        <v>76</v>
      </c>
      <c r="K4" s="2" t="s">
        <v>77</v>
      </c>
      <c r="L4" s="2" t="s">
        <v>99</v>
      </c>
      <c r="M4" s="2" t="s">
        <v>100</v>
      </c>
      <c r="N4" s="2" t="s">
        <v>101</v>
      </c>
      <c r="O4" s="2" t="s">
        <v>81</v>
      </c>
      <c r="P4" s="2" t="str">
        <f>"2170562391                    "</f>
        <v xml:space="preserve">2170562391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8.7799999999999994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9.5</v>
      </c>
      <c r="BJ4" s="2">
        <v>5.0999999999999996</v>
      </c>
      <c r="BK4" s="2">
        <v>10</v>
      </c>
      <c r="BL4" s="2">
        <v>90.42</v>
      </c>
      <c r="BM4" s="2">
        <v>12.66</v>
      </c>
      <c r="BN4" s="2">
        <v>103.08</v>
      </c>
      <c r="BO4" s="2">
        <v>103.08</v>
      </c>
      <c r="BP4" s="2" t="s">
        <v>82</v>
      </c>
      <c r="BQ4" s="2" t="s">
        <v>102</v>
      </c>
      <c r="BR4" s="2" t="s">
        <v>84</v>
      </c>
      <c r="BS4" s="3">
        <v>42843</v>
      </c>
      <c r="BT4" s="4">
        <v>0.30208333333333331</v>
      </c>
      <c r="BU4" s="2" t="s">
        <v>103</v>
      </c>
      <c r="BV4" s="2" t="s">
        <v>86</v>
      </c>
      <c r="BW4" s="2" t="s">
        <v>104</v>
      </c>
      <c r="BX4" s="2" t="s">
        <v>105</v>
      </c>
      <c r="BY4" s="2">
        <v>25257.84</v>
      </c>
      <c r="BZ4" s="2"/>
      <c r="CA4" s="2" t="s">
        <v>106</v>
      </c>
      <c r="CB4" s="2"/>
      <c r="CC4" s="2" t="s">
        <v>100</v>
      </c>
      <c r="CD4" s="2">
        <v>6012</v>
      </c>
      <c r="CE4" s="2" t="s">
        <v>89</v>
      </c>
      <c r="CF4" s="5">
        <v>42843</v>
      </c>
      <c r="CG4" s="2"/>
      <c r="CH4" s="2"/>
      <c r="CI4" s="2">
        <v>0</v>
      </c>
      <c r="CJ4" s="2">
        <v>0</v>
      </c>
      <c r="CK4" s="2" t="s">
        <v>107</v>
      </c>
      <c r="CL4" s="2" t="s">
        <v>86</v>
      </c>
      <c r="CM4" s="2"/>
    </row>
    <row r="5" spans="1:91">
      <c r="A5" s="2" t="s">
        <v>71</v>
      </c>
      <c r="B5" s="2" t="s">
        <v>72</v>
      </c>
      <c r="C5" s="2" t="s">
        <v>73</v>
      </c>
      <c r="D5" s="2"/>
      <c r="E5" s="2" t="str">
        <f>"FES1162543186"</f>
        <v>FES1162543186</v>
      </c>
      <c r="F5" s="3">
        <v>42837</v>
      </c>
      <c r="G5" s="2">
        <v>201710</v>
      </c>
      <c r="H5" s="2" t="s">
        <v>74</v>
      </c>
      <c r="I5" s="2" t="s">
        <v>75</v>
      </c>
      <c r="J5" s="2" t="s">
        <v>76</v>
      </c>
      <c r="K5" s="2" t="s">
        <v>77</v>
      </c>
      <c r="L5" s="2" t="s">
        <v>99</v>
      </c>
      <c r="M5" s="2" t="s">
        <v>100</v>
      </c>
      <c r="N5" s="2" t="s">
        <v>108</v>
      </c>
      <c r="O5" s="2" t="s">
        <v>81</v>
      </c>
      <c r="P5" s="2" t="str">
        <f>"2170560213                    "</f>
        <v xml:space="preserve">2170560213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14.41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30</v>
      </c>
      <c r="BJ5" s="2">
        <v>9.1</v>
      </c>
      <c r="BK5" s="2">
        <v>30</v>
      </c>
      <c r="BL5" s="2">
        <v>145.25</v>
      </c>
      <c r="BM5" s="2">
        <v>20.34</v>
      </c>
      <c r="BN5" s="2">
        <v>165.59</v>
      </c>
      <c r="BO5" s="2">
        <v>165.59</v>
      </c>
      <c r="BP5" s="2"/>
      <c r="BQ5" s="2" t="s">
        <v>109</v>
      </c>
      <c r="BR5" s="2" t="s">
        <v>84</v>
      </c>
      <c r="BS5" s="3">
        <v>42838</v>
      </c>
      <c r="BT5" s="4">
        <v>0.375</v>
      </c>
      <c r="BU5" s="2" t="s">
        <v>110</v>
      </c>
      <c r="BV5" s="2" t="s">
        <v>111</v>
      </c>
      <c r="BW5" s="2"/>
      <c r="BX5" s="2"/>
      <c r="BY5" s="2">
        <v>45651.53</v>
      </c>
      <c r="BZ5" s="2"/>
      <c r="CA5" s="2" t="s">
        <v>106</v>
      </c>
      <c r="CB5" s="2"/>
      <c r="CC5" s="2" t="s">
        <v>100</v>
      </c>
      <c r="CD5" s="2">
        <v>6001</v>
      </c>
      <c r="CE5" s="2" t="s">
        <v>89</v>
      </c>
      <c r="CF5" s="5">
        <v>42838</v>
      </c>
      <c r="CG5" s="2"/>
      <c r="CH5" s="2"/>
      <c r="CI5" s="2">
        <v>0</v>
      </c>
      <c r="CJ5" s="2">
        <v>0</v>
      </c>
      <c r="CK5" s="2" t="s">
        <v>107</v>
      </c>
      <c r="CL5" s="2" t="s">
        <v>86</v>
      </c>
      <c r="CM5" s="2"/>
    </row>
    <row r="6" spans="1:91">
      <c r="A6" s="2" t="s">
        <v>71</v>
      </c>
      <c r="B6" s="2" t="s">
        <v>72</v>
      </c>
      <c r="C6" s="2" t="s">
        <v>73</v>
      </c>
      <c r="D6" s="2"/>
      <c r="E6" s="2" t="str">
        <f>"FES1162545393"</f>
        <v>FES1162545393</v>
      </c>
      <c r="F6" s="3">
        <v>42850</v>
      </c>
      <c r="G6" s="2">
        <v>201710</v>
      </c>
      <c r="H6" s="2" t="s">
        <v>74</v>
      </c>
      <c r="I6" s="2" t="s">
        <v>75</v>
      </c>
      <c r="J6" s="2" t="s">
        <v>76</v>
      </c>
      <c r="K6" s="2" t="s">
        <v>77</v>
      </c>
      <c r="L6" s="2" t="s">
        <v>112</v>
      </c>
      <c r="M6" s="2" t="s">
        <v>113</v>
      </c>
      <c r="N6" s="2" t="s">
        <v>114</v>
      </c>
      <c r="O6" s="2" t="s">
        <v>115</v>
      </c>
      <c r="P6" s="2" t="str">
        <f>"2170563905                    "</f>
        <v xml:space="preserve">2170563905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4.29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1</v>
      </c>
      <c r="BJ6" s="2">
        <v>0.2</v>
      </c>
      <c r="BK6" s="2">
        <v>1</v>
      </c>
      <c r="BL6" s="2">
        <v>41.73</v>
      </c>
      <c r="BM6" s="2">
        <v>5.84</v>
      </c>
      <c r="BN6" s="2">
        <v>47.57</v>
      </c>
      <c r="BO6" s="2">
        <v>47.57</v>
      </c>
      <c r="BP6" s="2"/>
      <c r="BQ6" s="2" t="s">
        <v>116</v>
      </c>
      <c r="BR6" s="2" t="s">
        <v>84</v>
      </c>
      <c r="BS6" s="3">
        <v>42851</v>
      </c>
      <c r="BT6" s="4">
        <v>0.39652777777777781</v>
      </c>
      <c r="BU6" s="2" t="s">
        <v>117</v>
      </c>
      <c r="BV6" s="2" t="s">
        <v>111</v>
      </c>
      <c r="BW6" s="2"/>
      <c r="BX6" s="2"/>
      <c r="BY6" s="2">
        <v>1200</v>
      </c>
      <c r="BZ6" s="2"/>
      <c r="CA6" s="2"/>
      <c r="CB6" s="2"/>
      <c r="CC6" s="2" t="s">
        <v>113</v>
      </c>
      <c r="CD6" s="2">
        <v>3201</v>
      </c>
      <c r="CE6" s="2" t="s">
        <v>118</v>
      </c>
      <c r="CF6" s="5">
        <v>42853</v>
      </c>
      <c r="CG6" s="2"/>
      <c r="CH6" s="2"/>
      <c r="CI6" s="2">
        <v>1</v>
      </c>
      <c r="CJ6" s="2">
        <v>1</v>
      </c>
      <c r="CK6" s="2">
        <v>21</v>
      </c>
      <c r="CL6" s="2" t="s">
        <v>86</v>
      </c>
      <c r="CM6" s="2"/>
    </row>
    <row r="7" spans="1:91">
      <c r="A7" s="2" t="s">
        <v>71</v>
      </c>
      <c r="B7" s="2" t="s">
        <v>72</v>
      </c>
      <c r="C7" s="2" t="s">
        <v>73</v>
      </c>
      <c r="D7" s="2"/>
      <c r="E7" s="2" t="str">
        <f>"FES1162541242"</f>
        <v>FES1162541242</v>
      </c>
      <c r="F7" s="3">
        <v>42829</v>
      </c>
      <c r="G7" s="2">
        <v>201710</v>
      </c>
      <c r="H7" s="2" t="s">
        <v>74</v>
      </c>
      <c r="I7" s="2" t="s">
        <v>75</v>
      </c>
      <c r="J7" s="2" t="s">
        <v>76</v>
      </c>
      <c r="K7" s="2" t="s">
        <v>77</v>
      </c>
      <c r="L7" s="2" t="s">
        <v>119</v>
      </c>
      <c r="M7" s="2" t="s">
        <v>120</v>
      </c>
      <c r="N7" s="2" t="s">
        <v>121</v>
      </c>
      <c r="O7" s="2" t="s">
        <v>115</v>
      </c>
      <c r="P7" s="2" t="str">
        <f>"2170559751                    "</f>
        <v xml:space="preserve">2170559751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3.45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1</v>
      </c>
      <c r="BJ7" s="2">
        <v>0.2</v>
      </c>
      <c r="BK7" s="2">
        <v>1</v>
      </c>
      <c r="BL7" s="2">
        <v>32.700000000000003</v>
      </c>
      <c r="BM7" s="2">
        <v>4.58</v>
      </c>
      <c r="BN7" s="2">
        <v>37.28</v>
      </c>
      <c r="BO7" s="2">
        <v>37.28</v>
      </c>
      <c r="BP7" s="2"/>
      <c r="BQ7" s="2" t="s">
        <v>122</v>
      </c>
      <c r="BR7" s="2" t="s">
        <v>123</v>
      </c>
      <c r="BS7" s="3">
        <v>42830</v>
      </c>
      <c r="BT7" s="4">
        <v>0.42430555555555555</v>
      </c>
      <c r="BU7" s="2" t="s">
        <v>124</v>
      </c>
      <c r="BV7" s="2" t="s">
        <v>111</v>
      </c>
      <c r="BW7" s="2"/>
      <c r="BX7" s="2"/>
      <c r="BY7" s="2">
        <v>1200</v>
      </c>
      <c r="BZ7" s="2" t="s">
        <v>27</v>
      </c>
      <c r="CA7" s="2" t="s">
        <v>125</v>
      </c>
      <c r="CB7" s="2"/>
      <c r="CC7" s="2" t="s">
        <v>120</v>
      </c>
      <c r="CD7" s="2">
        <v>2163</v>
      </c>
      <c r="CE7" s="2" t="s">
        <v>118</v>
      </c>
      <c r="CF7" s="5">
        <v>42830</v>
      </c>
      <c r="CG7" s="2"/>
      <c r="CH7" s="2"/>
      <c r="CI7" s="2">
        <v>1</v>
      </c>
      <c r="CJ7" s="2">
        <v>1</v>
      </c>
      <c r="CK7" s="2">
        <v>22</v>
      </c>
      <c r="CL7" s="2" t="s">
        <v>86</v>
      </c>
      <c r="CM7" s="2"/>
    </row>
    <row r="8" spans="1:91">
      <c r="A8" s="2" t="s">
        <v>71</v>
      </c>
      <c r="B8" s="2" t="s">
        <v>72</v>
      </c>
      <c r="C8" s="2" t="s">
        <v>73</v>
      </c>
      <c r="D8" s="2"/>
      <c r="E8" s="2" t="str">
        <f>"FES1162545237"</f>
        <v>FES1162545237</v>
      </c>
      <c r="F8" s="3">
        <v>42849</v>
      </c>
      <c r="G8" s="2">
        <v>201710</v>
      </c>
      <c r="H8" s="2" t="s">
        <v>74</v>
      </c>
      <c r="I8" s="2" t="s">
        <v>75</v>
      </c>
      <c r="J8" s="2" t="s">
        <v>76</v>
      </c>
      <c r="K8" s="2" t="s">
        <v>77</v>
      </c>
      <c r="L8" s="2" t="s">
        <v>126</v>
      </c>
      <c r="M8" s="2" t="s">
        <v>127</v>
      </c>
      <c r="N8" s="2" t="s">
        <v>128</v>
      </c>
      <c r="O8" s="2" t="s">
        <v>115</v>
      </c>
      <c r="P8" s="2" t="str">
        <f>"2170563720                    "</f>
        <v xml:space="preserve">2170563720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4.29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1</v>
      </c>
      <c r="BJ8" s="2">
        <v>0.2</v>
      </c>
      <c r="BK8" s="2">
        <v>1</v>
      </c>
      <c r="BL8" s="2">
        <v>41.73</v>
      </c>
      <c r="BM8" s="2">
        <v>5.84</v>
      </c>
      <c r="BN8" s="2">
        <v>47.57</v>
      </c>
      <c r="BO8" s="2">
        <v>47.57</v>
      </c>
      <c r="BP8" s="2"/>
      <c r="BQ8" s="2" t="s">
        <v>129</v>
      </c>
      <c r="BR8" s="2" t="s">
        <v>84</v>
      </c>
      <c r="BS8" s="3">
        <v>42851</v>
      </c>
      <c r="BT8" s="4">
        <v>0.41666666666666669</v>
      </c>
      <c r="BU8" s="2" t="s">
        <v>130</v>
      </c>
      <c r="BV8" s="2" t="s">
        <v>111</v>
      </c>
      <c r="BW8" s="2"/>
      <c r="BX8" s="2"/>
      <c r="BY8" s="2">
        <v>1200</v>
      </c>
      <c r="BZ8" s="2"/>
      <c r="CA8" s="2"/>
      <c r="CB8" s="2"/>
      <c r="CC8" s="2" t="s">
        <v>127</v>
      </c>
      <c r="CD8" s="2">
        <v>6850</v>
      </c>
      <c r="CE8" s="2" t="s">
        <v>118</v>
      </c>
      <c r="CF8" s="5">
        <v>42853</v>
      </c>
      <c r="CG8" s="2"/>
      <c r="CH8" s="2"/>
      <c r="CI8" s="2">
        <v>3</v>
      </c>
      <c r="CJ8" s="2">
        <v>2</v>
      </c>
      <c r="CK8" s="2">
        <v>21</v>
      </c>
      <c r="CL8" s="2" t="s">
        <v>86</v>
      </c>
      <c r="CM8" s="2"/>
    </row>
    <row r="9" spans="1:91">
      <c r="A9" s="2" t="s">
        <v>71</v>
      </c>
      <c r="B9" s="2" t="s">
        <v>72</v>
      </c>
      <c r="C9" s="2" t="s">
        <v>73</v>
      </c>
      <c r="D9" s="2"/>
      <c r="E9" s="2" t="str">
        <f>"Rfes1162534040"</f>
        <v>Rfes1162534040</v>
      </c>
      <c r="F9" s="3">
        <v>42831</v>
      </c>
      <c r="G9" s="2">
        <v>201710</v>
      </c>
      <c r="H9" s="2" t="s">
        <v>131</v>
      </c>
      <c r="I9" s="2" t="s">
        <v>132</v>
      </c>
      <c r="J9" s="2" t="s">
        <v>133</v>
      </c>
      <c r="K9" s="2" t="s">
        <v>77</v>
      </c>
      <c r="L9" s="2" t="s">
        <v>74</v>
      </c>
      <c r="M9" s="2" t="s">
        <v>75</v>
      </c>
      <c r="N9" s="2" t="s">
        <v>76</v>
      </c>
      <c r="O9" s="2" t="s">
        <v>115</v>
      </c>
      <c r="P9" s="2" t="str">
        <f>"2170554118   4200005359       "</f>
        <v xml:space="preserve">2170554118   4200005359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11.79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5.5</v>
      </c>
      <c r="BJ9" s="2">
        <v>2.4</v>
      </c>
      <c r="BK9" s="2">
        <v>5.5</v>
      </c>
      <c r="BL9" s="2">
        <v>114.75</v>
      </c>
      <c r="BM9" s="2">
        <v>16.07</v>
      </c>
      <c r="BN9" s="2">
        <v>130.82</v>
      </c>
      <c r="BO9" s="2">
        <v>130.82</v>
      </c>
      <c r="BP9" s="2"/>
      <c r="BQ9" s="2" t="s">
        <v>123</v>
      </c>
      <c r="BR9" s="2">
        <v>4200005359</v>
      </c>
      <c r="BS9" s="3">
        <v>42832</v>
      </c>
      <c r="BT9" s="4">
        <v>0.37847222222222227</v>
      </c>
      <c r="BU9" s="2" t="s">
        <v>134</v>
      </c>
      <c r="BV9" s="2" t="s">
        <v>111</v>
      </c>
      <c r="BW9" s="2"/>
      <c r="BX9" s="2"/>
      <c r="BY9" s="2">
        <v>11784.96</v>
      </c>
      <c r="BZ9" s="2" t="s">
        <v>27</v>
      </c>
      <c r="CA9" s="2"/>
      <c r="CB9" s="2"/>
      <c r="CC9" s="2" t="s">
        <v>75</v>
      </c>
      <c r="CD9" s="2">
        <v>1600</v>
      </c>
      <c r="CE9" s="2" t="s">
        <v>135</v>
      </c>
      <c r="CF9" s="5">
        <v>42835</v>
      </c>
      <c r="CG9" s="2"/>
      <c r="CH9" s="2"/>
      <c r="CI9" s="2">
        <v>1</v>
      </c>
      <c r="CJ9" s="2">
        <v>1</v>
      </c>
      <c r="CK9" s="2">
        <v>21</v>
      </c>
      <c r="CL9" s="2" t="s">
        <v>86</v>
      </c>
      <c r="CM9" s="2"/>
    </row>
    <row r="10" spans="1:91">
      <c r="A10" s="2" t="s">
        <v>71</v>
      </c>
      <c r="B10" s="2" t="s">
        <v>72</v>
      </c>
      <c r="C10" s="2" t="s">
        <v>73</v>
      </c>
      <c r="D10" s="2"/>
      <c r="E10" s="2" t="str">
        <f>"FES1162541495"</f>
        <v>FES1162541495</v>
      </c>
      <c r="F10" s="3">
        <v>42830</v>
      </c>
      <c r="G10" s="2">
        <v>201710</v>
      </c>
      <c r="H10" s="2" t="s">
        <v>74</v>
      </c>
      <c r="I10" s="2" t="s">
        <v>75</v>
      </c>
      <c r="J10" s="2" t="s">
        <v>76</v>
      </c>
      <c r="K10" s="2" t="s">
        <v>77</v>
      </c>
      <c r="L10" s="2" t="s">
        <v>74</v>
      </c>
      <c r="M10" s="2" t="s">
        <v>75</v>
      </c>
      <c r="N10" s="2" t="s">
        <v>136</v>
      </c>
      <c r="O10" s="2" t="s">
        <v>115</v>
      </c>
      <c r="P10" s="2" t="str">
        <f>"2170560584                    "</f>
        <v xml:space="preserve">2170560584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3.35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1</v>
      </c>
      <c r="BI10" s="2">
        <v>1</v>
      </c>
      <c r="BJ10" s="2">
        <v>0.2</v>
      </c>
      <c r="BK10" s="2">
        <v>1</v>
      </c>
      <c r="BL10" s="2">
        <v>32.6</v>
      </c>
      <c r="BM10" s="2">
        <v>4.5599999999999996</v>
      </c>
      <c r="BN10" s="2">
        <v>37.159999999999997</v>
      </c>
      <c r="BO10" s="2">
        <v>37.159999999999997</v>
      </c>
      <c r="BP10" s="2"/>
      <c r="BQ10" s="2" t="s">
        <v>137</v>
      </c>
      <c r="BR10" s="2" t="s">
        <v>123</v>
      </c>
      <c r="BS10" s="3">
        <v>42831</v>
      </c>
      <c r="BT10" s="4">
        <v>0.41666666666666669</v>
      </c>
      <c r="BU10" s="2" t="s">
        <v>138</v>
      </c>
      <c r="BV10" s="2" t="s">
        <v>111</v>
      </c>
      <c r="BW10" s="2"/>
      <c r="BX10" s="2"/>
      <c r="BY10" s="2">
        <v>1200</v>
      </c>
      <c r="BZ10" s="2" t="s">
        <v>27</v>
      </c>
      <c r="CA10" s="2"/>
      <c r="CB10" s="2"/>
      <c r="CC10" s="2" t="s">
        <v>75</v>
      </c>
      <c r="CD10" s="2">
        <v>1624</v>
      </c>
      <c r="CE10" s="2" t="s">
        <v>118</v>
      </c>
      <c r="CF10" s="5">
        <v>42832</v>
      </c>
      <c r="CG10" s="2"/>
      <c r="CH10" s="2"/>
      <c r="CI10" s="2">
        <v>1</v>
      </c>
      <c r="CJ10" s="2">
        <v>1</v>
      </c>
      <c r="CK10" s="2">
        <v>22</v>
      </c>
      <c r="CL10" s="2" t="s">
        <v>86</v>
      </c>
      <c r="CM10" s="2"/>
    </row>
    <row r="11" spans="1:91">
      <c r="A11" s="2" t="s">
        <v>71</v>
      </c>
      <c r="B11" s="2" t="s">
        <v>72</v>
      </c>
      <c r="C11" s="2" t="s">
        <v>73</v>
      </c>
      <c r="D11" s="2"/>
      <c r="E11" s="2" t="str">
        <f>"FES1162542938"</f>
        <v>FES1162542938</v>
      </c>
      <c r="F11" s="3">
        <v>42836</v>
      </c>
      <c r="G11" s="2">
        <v>201710</v>
      </c>
      <c r="H11" s="2" t="s">
        <v>74</v>
      </c>
      <c r="I11" s="2" t="s">
        <v>75</v>
      </c>
      <c r="J11" s="2" t="s">
        <v>76</v>
      </c>
      <c r="K11" s="2" t="s">
        <v>77</v>
      </c>
      <c r="L11" s="2" t="s">
        <v>139</v>
      </c>
      <c r="M11" s="2" t="s">
        <v>140</v>
      </c>
      <c r="N11" s="2" t="s">
        <v>141</v>
      </c>
      <c r="O11" s="2" t="s">
        <v>115</v>
      </c>
      <c r="P11" s="2" t="str">
        <f>"2170560376                    "</f>
        <v xml:space="preserve">2170560376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4.29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1</v>
      </c>
      <c r="BJ11" s="2">
        <v>0.2</v>
      </c>
      <c r="BK11" s="2">
        <v>1</v>
      </c>
      <c r="BL11" s="2">
        <v>41.73</v>
      </c>
      <c r="BM11" s="2">
        <v>5.84</v>
      </c>
      <c r="BN11" s="2">
        <v>47.57</v>
      </c>
      <c r="BO11" s="2">
        <v>47.57</v>
      </c>
      <c r="BP11" s="2"/>
      <c r="BQ11" s="2" t="s">
        <v>142</v>
      </c>
      <c r="BR11" s="2" t="s">
        <v>123</v>
      </c>
      <c r="BS11" s="3">
        <v>42837</v>
      </c>
      <c r="BT11" s="4">
        <v>0.42708333333333331</v>
      </c>
      <c r="BU11" s="2" t="s">
        <v>143</v>
      </c>
      <c r="BV11" s="2" t="s">
        <v>111</v>
      </c>
      <c r="BW11" s="2"/>
      <c r="BX11" s="2"/>
      <c r="BY11" s="2">
        <v>1200</v>
      </c>
      <c r="BZ11" s="2" t="s">
        <v>27</v>
      </c>
      <c r="CA11" s="2"/>
      <c r="CB11" s="2"/>
      <c r="CC11" s="2" t="s">
        <v>140</v>
      </c>
      <c r="CD11" s="2">
        <v>157</v>
      </c>
      <c r="CE11" s="2" t="s">
        <v>144</v>
      </c>
      <c r="CF11" s="5">
        <v>42843</v>
      </c>
      <c r="CG11" s="2"/>
      <c r="CH11" s="2"/>
      <c r="CI11" s="2">
        <v>0</v>
      </c>
      <c r="CJ11" s="2">
        <v>0</v>
      </c>
      <c r="CK11" s="2">
        <v>21</v>
      </c>
      <c r="CL11" s="2" t="s">
        <v>86</v>
      </c>
      <c r="CM11" s="2"/>
    </row>
    <row r="12" spans="1:91">
      <c r="A12" s="2" t="s">
        <v>71</v>
      </c>
      <c r="B12" s="2" t="s">
        <v>72</v>
      </c>
      <c r="C12" s="2" t="s">
        <v>73</v>
      </c>
      <c r="D12" s="2"/>
      <c r="E12" s="2" t="str">
        <f>"FES1162541644"</f>
        <v>FES1162541644</v>
      </c>
      <c r="F12" s="3">
        <v>42830</v>
      </c>
      <c r="G12" s="2">
        <v>201710</v>
      </c>
      <c r="H12" s="2" t="s">
        <v>74</v>
      </c>
      <c r="I12" s="2" t="s">
        <v>75</v>
      </c>
      <c r="J12" s="2" t="s">
        <v>76</v>
      </c>
      <c r="K12" s="2" t="s">
        <v>77</v>
      </c>
      <c r="L12" s="2" t="s">
        <v>145</v>
      </c>
      <c r="M12" s="2" t="s">
        <v>146</v>
      </c>
      <c r="N12" s="2" t="s">
        <v>147</v>
      </c>
      <c r="O12" s="2" t="s">
        <v>81</v>
      </c>
      <c r="P12" s="2" t="str">
        <f>"2170558377                    "</f>
        <v xml:space="preserve">2170558377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7.37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15</v>
      </c>
      <c r="BJ12" s="2">
        <v>8.9</v>
      </c>
      <c r="BK12" s="2">
        <v>15</v>
      </c>
      <c r="BL12" s="2">
        <v>76.72</v>
      </c>
      <c r="BM12" s="2">
        <v>10.74</v>
      </c>
      <c r="BN12" s="2">
        <v>87.46</v>
      </c>
      <c r="BO12" s="2">
        <v>87.46</v>
      </c>
      <c r="BP12" s="2"/>
      <c r="BQ12" s="2" t="s">
        <v>148</v>
      </c>
      <c r="BR12" s="2" t="s">
        <v>123</v>
      </c>
      <c r="BS12" s="3">
        <v>42831</v>
      </c>
      <c r="BT12" s="4">
        <v>0.35000000000000003</v>
      </c>
      <c r="BU12" s="2" t="s">
        <v>149</v>
      </c>
      <c r="BV12" s="2"/>
      <c r="BW12" s="2"/>
      <c r="BX12" s="2"/>
      <c r="BY12" s="2">
        <v>44291.66</v>
      </c>
      <c r="BZ12" s="2"/>
      <c r="CA12" s="2"/>
      <c r="CB12" s="2"/>
      <c r="CC12" s="2" t="s">
        <v>146</v>
      </c>
      <c r="CD12" s="2">
        <v>1</v>
      </c>
      <c r="CE12" s="2" t="s">
        <v>135</v>
      </c>
      <c r="CF12" s="5">
        <v>42835</v>
      </c>
      <c r="CG12" s="2"/>
      <c r="CH12" s="2"/>
      <c r="CI12" s="2">
        <v>0</v>
      </c>
      <c r="CJ12" s="2">
        <v>0</v>
      </c>
      <c r="CK12" s="2" t="s">
        <v>150</v>
      </c>
      <c r="CL12" s="2" t="s">
        <v>86</v>
      </c>
      <c r="CM12" s="2"/>
    </row>
    <row r="13" spans="1:91">
      <c r="A13" s="2" t="s">
        <v>71</v>
      </c>
      <c r="B13" s="2" t="s">
        <v>72</v>
      </c>
      <c r="C13" s="2" t="s">
        <v>73</v>
      </c>
      <c r="D13" s="2"/>
      <c r="E13" s="2" t="str">
        <f>"FES1162541690"</f>
        <v>FES1162541690</v>
      </c>
      <c r="F13" s="3">
        <v>42830</v>
      </c>
      <c r="G13" s="2">
        <v>201710</v>
      </c>
      <c r="H13" s="2" t="s">
        <v>74</v>
      </c>
      <c r="I13" s="2" t="s">
        <v>75</v>
      </c>
      <c r="J13" s="2" t="s">
        <v>76</v>
      </c>
      <c r="K13" s="2" t="s">
        <v>77</v>
      </c>
      <c r="L13" s="2" t="s">
        <v>99</v>
      </c>
      <c r="M13" s="2" t="s">
        <v>100</v>
      </c>
      <c r="N13" s="2" t="s">
        <v>151</v>
      </c>
      <c r="O13" s="2" t="s">
        <v>115</v>
      </c>
      <c r="P13" s="2" t="str">
        <f>"2170560451                    "</f>
        <v xml:space="preserve">2170560451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6.43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3</v>
      </c>
      <c r="BJ13" s="2">
        <v>1.7</v>
      </c>
      <c r="BK13" s="2">
        <v>3</v>
      </c>
      <c r="BL13" s="2">
        <v>62.59</v>
      </c>
      <c r="BM13" s="2">
        <v>8.76</v>
      </c>
      <c r="BN13" s="2">
        <v>71.349999999999994</v>
      </c>
      <c r="BO13" s="2">
        <v>71.349999999999994</v>
      </c>
      <c r="BP13" s="2"/>
      <c r="BQ13" s="2" t="s">
        <v>152</v>
      </c>
      <c r="BR13" s="2" t="s">
        <v>123</v>
      </c>
      <c r="BS13" s="3">
        <v>42831</v>
      </c>
      <c r="BT13" s="4">
        <v>0.36736111111111108</v>
      </c>
      <c r="BU13" s="2" t="s">
        <v>153</v>
      </c>
      <c r="BV13" s="2" t="s">
        <v>111</v>
      </c>
      <c r="BW13" s="2"/>
      <c r="BX13" s="2"/>
      <c r="BY13" s="2">
        <v>8419.43</v>
      </c>
      <c r="BZ13" s="2" t="s">
        <v>27</v>
      </c>
      <c r="CA13" s="2" t="s">
        <v>154</v>
      </c>
      <c r="CB13" s="2"/>
      <c r="CC13" s="2" t="s">
        <v>100</v>
      </c>
      <c r="CD13" s="2">
        <v>6001</v>
      </c>
      <c r="CE13" s="2" t="s">
        <v>135</v>
      </c>
      <c r="CF13" s="5">
        <v>42831</v>
      </c>
      <c r="CG13" s="2"/>
      <c r="CH13" s="2"/>
      <c r="CI13" s="2">
        <v>1</v>
      </c>
      <c r="CJ13" s="2">
        <v>1</v>
      </c>
      <c r="CK13" s="2">
        <v>21</v>
      </c>
      <c r="CL13" s="2" t="s">
        <v>86</v>
      </c>
      <c r="CM13" s="2"/>
    </row>
    <row r="14" spans="1:91">
      <c r="A14" s="2" t="s">
        <v>71</v>
      </c>
      <c r="B14" s="2" t="s">
        <v>72</v>
      </c>
      <c r="C14" s="2" t="s">
        <v>73</v>
      </c>
      <c r="D14" s="2"/>
      <c r="E14" s="2" t="str">
        <f>"FES1162542691"</f>
        <v>FES1162542691</v>
      </c>
      <c r="F14" s="3">
        <v>42835</v>
      </c>
      <c r="G14" s="2">
        <v>201710</v>
      </c>
      <c r="H14" s="2" t="s">
        <v>74</v>
      </c>
      <c r="I14" s="2" t="s">
        <v>75</v>
      </c>
      <c r="J14" s="2" t="s">
        <v>76</v>
      </c>
      <c r="K14" s="2" t="s">
        <v>77</v>
      </c>
      <c r="L14" s="2" t="s">
        <v>131</v>
      </c>
      <c r="M14" s="2" t="s">
        <v>132</v>
      </c>
      <c r="N14" s="2" t="s">
        <v>155</v>
      </c>
      <c r="O14" s="2" t="s">
        <v>115</v>
      </c>
      <c r="P14" s="2" t="str">
        <f>"21705961573                   "</f>
        <v xml:space="preserve">21705961573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4.29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1</v>
      </c>
      <c r="BI14" s="2">
        <v>1</v>
      </c>
      <c r="BJ14" s="2">
        <v>0.2</v>
      </c>
      <c r="BK14" s="2">
        <v>1</v>
      </c>
      <c r="BL14" s="2">
        <v>41.73</v>
      </c>
      <c r="BM14" s="2">
        <v>5.84</v>
      </c>
      <c r="BN14" s="2">
        <v>47.57</v>
      </c>
      <c r="BO14" s="2">
        <v>47.57</v>
      </c>
      <c r="BP14" s="2"/>
      <c r="BQ14" s="2" t="s">
        <v>116</v>
      </c>
      <c r="BR14" s="2" t="s">
        <v>123</v>
      </c>
      <c r="BS14" s="3">
        <v>42836</v>
      </c>
      <c r="BT14" s="4">
        <v>0.46180555555555558</v>
      </c>
      <c r="BU14" s="2" t="s">
        <v>156</v>
      </c>
      <c r="BV14" s="2" t="s">
        <v>86</v>
      </c>
      <c r="BW14" s="2" t="s">
        <v>157</v>
      </c>
      <c r="BX14" s="2" t="s">
        <v>158</v>
      </c>
      <c r="BY14" s="2">
        <v>1200</v>
      </c>
      <c r="BZ14" s="2" t="s">
        <v>27</v>
      </c>
      <c r="CA14" s="2" t="s">
        <v>159</v>
      </c>
      <c r="CB14" s="2"/>
      <c r="CC14" s="2" t="s">
        <v>132</v>
      </c>
      <c r="CD14" s="2">
        <v>7441</v>
      </c>
      <c r="CE14" s="2" t="s">
        <v>118</v>
      </c>
      <c r="CF14" s="5">
        <v>42837</v>
      </c>
      <c r="CG14" s="2"/>
      <c r="CH14" s="2"/>
      <c r="CI14" s="2">
        <v>1</v>
      </c>
      <c r="CJ14" s="2">
        <v>1</v>
      </c>
      <c r="CK14" s="2">
        <v>21</v>
      </c>
      <c r="CL14" s="2" t="s">
        <v>86</v>
      </c>
      <c r="CM14" s="2"/>
    </row>
    <row r="15" spans="1:91">
      <c r="A15" s="2" t="s">
        <v>71</v>
      </c>
      <c r="B15" s="2" t="s">
        <v>72</v>
      </c>
      <c r="C15" s="2" t="s">
        <v>73</v>
      </c>
      <c r="D15" s="2"/>
      <c r="E15" s="2" t="str">
        <f>"FES1162542700"</f>
        <v>FES1162542700</v>
      </c>
      <c r="F15" s="3">
        <v>42835</v>
      </c>
      <c r="G15" s="2">
        <v>201710</v>
      </c>
      <c r="H15" s="2" t="s">
        <v>74</v>
      </c>
      <c r="I15" s="2" t="s">
        <v>75</v>
      </c>
      <c r="J15" s="2" t="s">
        <v>76</v>
      </c>
      <c r="K15" s="2" t="s">
        <v>77</v>
      </c>
      <c r="L15" s="2" t="s">
        <v>160</v>
      </c>
      <c r="M15" s="2" t="s">
        <v>161</v>
      </c>
      <c r="N15" s="2" t="s">
        <v>162</v>
      </c>
      <c r="O15" s="2" t="s">
        <v>115</v>
      </c>
      <c r="P15" s="2" t="str">
        <f>"2170561543                    "</f>
        <v xml:space="preserve">2170561543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4.29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1</v>
      </c>
      <c r="BJ15" s="2">
        <v>1.7</v>
      </c>
      <c r="BK15" s="2">
        <v>2</v>
      </c>
      <c r="BL15" s="2">
        <v>41.73</v>
      </c>
      <c r="BM15" s="2">
        <v>5.84</v>
      </c>
      <c r="BN15" s="2">
        <v>47.57</v>
      </c>
      <c r="BO15" s="2">
        <v>47.57</v>
      </c>
      <c r="BP15" s="2"/>
      <c r="BQ15" s="2" t="s">
        <v>116</v>
      </c>
      <c r="BR15" s="2" t="s">
        <v>123</v>
      </c>
      <c r="BS15" s="3">
        <v>42837</v>
      </c>
      <c r="BT15" s="4">
        <v>0.41666666666666669</v>
      </c>
      <c r="BU15" s="2" t="s">
        <v>163</v>
      </c>
      <c r="BV15" s="2" t="s">
        <v>86</v>
      </c>
      <c r="BW15" s="2" t="s">
        <v>164</v>
      </c>
      <c r="BX15" s="2" t="s">
        <v>165</v>
      </c>
      <c r="BY15" s="2">
        <v>8319.4599999999991</v>
      </c>
      <c r="BZ15" s="2" t="s">
        <v>27</v>
      </c>
      <c r="CA15" s="2"/>
      <c r="CB15" s="2"/>
      <c r="CC15" s="2" t="s">
        <v>161</v>
      </c>
      <c r="CD15" s="2">
        <v>5201</v>
      </c>
      <c r="CE15" s="2" t="s">
        <v>118</v>
      </c>
      <c r="CF15" s="5">
        <v>42838</v>
      </c>
      <c r="CG15" s="2"/>
      <c r="CH15" s="2"/>
      <c r="CI15" s="2">
        <v>1</v>
      </c>
      <c r="CJ15" s="2">
        <v>2</v>
      </c>
      <c r="CK15" s="2">
        <v>21</v>
      </c>
      <c r="CL15" s="2" t="s">
        <v>86</v>
      </c>
      <c r="CM15" s="2"/>
    </row>
    <row r="16" spans="1:91">
      <c r="A16" s="2" t="s">
        <v>71</v>
      </c>
      <c r="B16" s="2" t="s">
        <v>72</v>
      </c>
      <c r="C16" s="2" t="s">
        <v>73</v>
      </c>
      <c r="D16" s="2"/>
      <c r="E16" s="2" t="str">
        <f>"FES1162542627"</f>
        <v>FES1162542627</v>
      </c>
      <c r="F16" s="3">
        <v>42835</v>
      </c>
      <c r="G16" s="2">
        <v>201710</v>
      </c>
      <c r="H16" s="2" t="s">
        <v>74</v>
      </c>
      <c r="I16" s="2" t="s">
        <v>75</v>
      </c>
      <c r="J16" s="2" t="s">
        <v>76</v>
      </c>
      <c r="K16" s="2" t="s">
        <v>77</v>
      </c>
      <c r="L16" s="2" t="s">
        <v>166</v>
      </c>
      <c r="M16" s="2" t="s">
        <v>167</v>
      </c>
      <c r="N16" s="2" t="s">
        <v>168</v>
      </c>
      <c r="O16" s="2" t="s">
        <v>115</v>
      </c>
      <c r="P16" s="2" t="str">
        <f>"2170561487                    "</f>
        <v xml:space="preserve">2170561487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3.35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5</v>
      </c>
      <c r="BJ16" s="2">
        <v>7.1</v>
      </c>
      <c r="BK16" s="2">
        <v>8</v>
      </c>
      <c r="BL16" s="2">
        <v>32.6</v>
      </c>
      <c r="BM16" s="2">
        <v>4.5599999999999996</v>
      </c>
      <c r="BN16" s="2">
        <v>37.159999999999997</v>
      </c>
      <c r="BO16" s="2">
        <v>37.159999999999997</v>
      </c>
      <c r="BP16" s="2"/>
      <c r="BQ16" s="2" t="s">
        <v>169</v>
      </c>
      <c r="BR16" s="2" t="s">
        <v>123</v>
      </c>
      <c r="BS16" s="3">
        <v>42836</v>
      </c>
      <c r="BT16" s="4">
        <v>0.40763888888888888</v>
      </c>
      <c r="BU16" s="2" t="s">
        <v>170</v>
      </c>
      <c r="BV16" s="2" t="s">
        <v>111</v>
      </c>
      <c r="BW16" s="2"/>
      <c r="BX16" s="2"/>
      <c r="BY16" s="2">
        <v>35700</v>
      </c>
      <c r="BZ16" s="2" t="s">
        <v>27</v>
      </c>
      <c r="CA16" s="2" t="s">
        <v>171</v>
      </c>
      <c r="CB16" s="2"/>
      <c r="CC16" s="2" t="s">
        <v>167</v>
      </c>
      <c r="CD16" s="2">
        <v>2094</v>
      </c>
      <c r="CE16" s="2" t="s">
        <v>172</v>
      </c>
      <c r="CF16" s="5">
        <v>42836</v>
      </c>
      <c r="CG16" s="2"/>
      <c r="CH16" s="2"/>
      <c r="CI16" s="2">
        <v>1</v>
      </c>
      <c r="CJ16" s="2">
        <v>1</v>
      </c>
      <c r="CK16" s="2">
        <v>22</v>
      </c>
      <c r="CL16" s="2" t="s">
        <v>86</v>
      </c>
      <c r="CM16" s="2"/>
    </row>
    <row r="17" spans="1:91">
      <c r="A17" s="2" t="s">
        <v>71</v>
      </c>
      <c r="B17" s="2" t="s">
        <v>72</v>
      </c>
      <c r="C17" s="2" t="s">
        <v>73</v>
      </c>
      <c r="D17" s="2"/>
      <c r="E17" s="2" t="str">
        <f>"FES1165542702"</f>
        <v>FES1165542702</v>
      </c>
      <c r="F17" s="3">
        <v>42835</v>
      </c>
      <c r="G17" s="2">
        <v>201710</v>
      </c>
      <c r="H17" s="2" t="s">
        <v>74</v>
      </c>
      <c r="I17" s="2" t="s">
        <v>75</v>
      </c>
      <c r="J17" s="2" t="s">
        <v>76</v>
      </c>
      <c r="K17" s="2" t="s">
        <v>77</v>
      </c>
      <c r="L17" s="2" t="s">
        <v>74</v>
      </c>
      <c r="M17" s="2" t="s">
        <v>75</v>
      </c>
      <c r="N17" s="2" t="s">
        <v>173</v>
      </c>
      <c r="O17" s="2" t="s">
        <v>115</v>
      </c>
      <c r="P17" s="2" t="str">
        <f>"2170561591                    "</f>
        <v xml:space="preserve">2170561591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3.35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1</v>
      </c>
      <c r="BJ17" s="2">
        <v>0.2</v>
      </c>
      <c r="BK17" s="2">
        <v>1</v>
      </c>
      <c r="BL17" s="2">
        <v>32.6</v>
      </c>
      <c r="BM17" s="2">
        <v>4.5599999999999996</v>
      </c>
      <c r="BN17" s="2">
        <v>37.159999999999997</v>
      </c>
      <c r="BO17" s="2">
        <v>37.159999999999997</v>
      </c>
      <c r="BP17" s="2"/>
      <c r="BQ17" s="2" t="s">
        <v>174</v>
      </c>
      <c r="BR17" s="2" t="s">
        <v>123</v>
      </c>
      <c r="BS17" s="3">
        <v>42836</v>
      </c>
      <c r="BT17" s="4">
        <v>0.4375</v>
      </c>
      <c r="BU17" s="2" t="s">
        <v>175</v>
      </c>
      <c r="BV17" s="2" t="s">
        <v>111</v>
      </c>
      <c r="BW17" s="2"/>
      <c r="BX17" s="2"/>
      <c r="BY17" s="2">
        <v>1200</v>
      </c>
      <c r="BZ17" s="2" t="s">
        <v>27</v>
      </c>
      <c r="CA17" s="2"/>
      <c r="CB17" s="2"/>
      <c r="CC17" s="2" t="s">
        <v>75</v>
      </c>
      <c r="CD17" s="2">
        <v>1601</v>
      </c>
      <c r="CE17" s="2" t="s">
        <v>118</v>
      </c>
      <c r="CF17" s="2"/>
      <c r="CG17" s="2"/>
      <c r="CH17" s="2"/>
      <c r="CI17" s="2">
        <v>1</v>
      </c>
      <c r="CJ17" s="2">
        <v>1</v>
      </c>
      <c r="CK17" s="2">
        <v>22</v>
      </c>
      <c r="CL17" s="2" t="s">
        <v>86</v>
      </c>
      <c r="CM17" s="2"/>
    </row>
    <row r="18" spans="1:91">
      <c r="A18" s="2" t="s">
        <v>71</v>
      </c>
      <c r="B18" s="2" t="s">
        <v>72</v>
      </c>
      <c r="C18" s="2" t="s">
        <v>73</v>
      </c>
      <c r="D18" s="2"/>
      <c r="E18" s="2" t="str">
        <f>"FES1162542682"</f>
        <v>FES1162542682</v>
      </c>
      <c r="F18" s="3">
        <v>42835</v>
      </c>
      <c r="G18" s="2">
        <v>201710</v>
      </c>
      <c r="H18" s="2" t="s">
        <v>74</v>
      </c>
      <c r="I18" s="2" t="s">
        <v>75</v>
      </c>
      <c r="J18" s="2" t="s">
        <v>76</v>
      </c>
      <c r="K18" s="2" t="s">
        <v>77</v>
      </c>
      <c r="L18" s="2" t="s">
        <v>176</v>
      </c>
      <c r="M18" s="2" t="s">
        <v>176</v>
      </c>
      <c r="N18" s="2" t="s">
        <v>177</v>
      </c>
      <c r="O18" s="2" t="s">
        <v>115</v>
      </c>
      <c r="P18" s="2" t="str">
        <f>"2170560940                    "</f>
        <v xml:space="preserve">2170560940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6.43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2.9</v>
      </c>
      <c r="BJ18" s="2">
        <v>1.6</v>
      </c>
      <c r="BK18" s="2">
        <v>3</v>
      </c>
      <c r="BL18" s="2">
        <v>62.59</v>
      </c>
      <c r="BM18" s="2">
        <v>8.76</v>
      </c>
      <c r="BN18" s="2">
        <v>71.349999999999994</v>
      </c>
      <c r="BO18" s="2">
        <v>71.349999999999994</v>
      </c>
      <c r="BP18" s="2"/>
      <c r="BQ18" s="2" t="s">
        <v>178</v>
      </c>
      <c r="BR18" s="2" t="s">
        <v>123</v>
      </c>
      <c r="BS18" s="3">
        <v>42836</v>
      </c>
      <c r="BT18" s="4">
        <v>0.5</v>
      </c>
      <c r="BU18" s="2" t="s">
        <v>179</v>
      </c>
      <c r="BV18" s="2" t="s">
        <v>111</v>
      </c>
      <c r="BW18" s="2"/>
      <c r="BX18" s="2"/>
      <c r="BY18" s="2">
        <v>8188.73</v>
      </c>
      <c r="BZ18" s="2" t="s">
        <v>27</v>
      </c>
      <c r="CA18" s="2"/>
      <c r="CB18" s="2"/>
      <c r="CC18" s="2" t="s">
        <v>176</v>
      </c>
      <c r="CD18" s="2">
        <v>7646</v>
      </c>
      <c r="CE18" s="2" t="s">
        <v>89</v>
      </c>
      <c r="CF18" s="5">
        <v>42837</v>
      </c>
      <c r="CG18" s="2"/>
      <c r="CH18" s="2"/>
      <c r="CI18" s="2">
        <v>1</v>
      </c>
      <c r="CJ18" s="2">
        <v>1</v>
      </c>
      <c r="CK18" s="2">
        <v>21</v>
      </c>
      <c r="CL18" s="2" t="s">
        <v>86</v>
      </c>
      <c r="CM18" s="2"/>
    </row>
    <row r="19" spans="1:91">
      <c r="A19" s="2" t="s">
        <v>71</v>
      </c>
      <c r="B19" s="2" t="s">
        <v>72</v>
      </c>
      <c r="C19" s="2" t="s">
        <v>73</v>
      </c>
      <c r="D19" s="2"/>
      <c r="E19" s="2" t="str">
        <f>"FES1162542746"</f>
        <v>FES1162542746</v>
      </c>
      <c r="F19" s="3">
        <v>42835</v>
      </c>
      <c r="G19" s="2">
        <v>201710</v>
      </c>
      <c r="H19" s="2" t="s">
        <v>74</v>
      </c>
      <c r="I19" s="2" t="s">
        <v>75</v>
      </c>
      <c r="J19" s="2" t="s">
        <v>76</v>
      </c>
      <c r="K19" s="2" t="s">
        <v>77</v>
      </c>
      <c r="L19" s="2" t="s">
        <v>180</v>
      </c>
      <c r="M19" s="2" t="s">
        <v>181</v>
      </c>
      <c r="N19" s="2" t="s">
        <v>182</v>
      </c>
      <c r="O19" s="2" t="s">
        <v>115</v>
      </c>
      <c r="P19" s="2" t="str">
        <f>"2170561632                    "</f>
        <v xml:space="preserve">2170561632  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4.29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1</v>
      </c>
      <c r="BJ19" s="2">
        <v>0.2</v>
      </c>
      <c r="BK19" s="2">
        <v>1</v>
      </c>
      <c r="BL19" s="2">
        <v>41.73</v>
      </c>
      <c r="BM19" s="2">
        <v>5.84</v>
      </c>
      <c r="BN19" s="2">
        <v>47.57</v>
      </c>
      <c r="BO19" s="2">
        <v>47.57</v>
      </c>
      <c r="BP19" s="2"/>
      <c r="BQ19" s="2" t="s">
        <v>183</v>
      </c>
      <c r="BR19" s="2" t="s">
        <v>123</v>
      </c>
      <c r="BS19" s="3">
        <v>42836</v>
      </c>
      <c r="BT19" s="4">
        <v>0.4375</v>
      </c>
      <c r="BU19" s="2" t="s">
        <v>184</v>
      </c>
      <c r="BV19" s="2" t="s">
        <v>111</v>
      </c>
      <c r="BW19" s="2"/>
      <c r="BX19" s="2"/>
      <c r="BY19" s="2">
        <v>1200</v>
      </c>
      <c r="BZ19" s="2" t="s">
        <v>27</v>
      </c>
      <c r="CA19" s="2"/>
      <c r="CB19" s="2"/>
      <c r="CC19" s="2" t="s">
        <v>181</v>
      </c>
      <c r="CD19" s="2">
        <v>4001</v>
      </c>
      <c r="CE19" s="2" t="s">
        <v>118</v>
      </c>
      <c r="CF19" s="5">
        <v>42837</v>
      </c>
      <c r="CG19" s="2"/>
      <c r="CH19" s="2"/>
      <c r="CI19" s="2">
        <v>1</v>
      </c>
      <c r="CJ19" s="2">
        <v>1</v>
      </c>
      <c r="CK19" s="2">
        <v>21</v>
      </c>
      <c r="CL19" s="2" t="s">
        <v>86</v>
      </c>
      <c r="CM19" s="2"/>
    </row>
    <row r="20" spans="1:91">
      <c r="A20" s="2" t="s">
        <v>71</v>
      </c>
      <c r="B20" s="2" t="s">
        <v>72</v>
      </c>
      <c r="C20" s="2" t="s">
        <v>73</v>
      </c>
      <c r="D20" s="2"/>
      <c r="E20" s="2" t="str">
        <f>"FES1162542756"</f>
        <v>FES1162542756</v>
      </c>
      <c r="F20" s="3">
        <v>42835</v>
      </c>
      <c r="G20" s="2">
        <v>201710</v>
      </c>
      <c r="H20" s="2" t="s">
        <v>74</v>
      </c>
      <c r="I20" s="2" t="s">
        <v>75</v>
      </c>
      <c r="J20" s="2" t="s">
        <v>76</v>
      </c>
      <c r="K20" s="2" t="s">
        <v>77</v>
      </c>
      <c r="L20" s="2" t="s">
        <v>180</v>
      </c>
      <c r="M20" s="2" t="s">
        <v>181</v>
      </c>
      <c r="N20" s="2" t="s">
        <v>185</v>
      </c>
      <c r="O20" s="2" t="s">
        <v>115</v>
      </c>
      <c r="P20" s="2" t="str">
        <f>"2170561152                    "</f>
        <v xml:space="preserve">2170561152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4.29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2</v>
      </c>
      <c r="BJ20" s="2">
        <v>0.2</v>
      </c>
      <c r="BK20" s="2">
        <v>2</v>
      </c>
      <c r="BL20" s="2">
        <v>41.73</v>
      </c>
      <c r="BM20" s="2">
        <v>5.84</v>
      </c>
      <c r="BN20" s="2">
        <v>47.57</v>
      </c>
      <c r="BO20" s="2">
        <v>47.57</v>
      </c>
      <c r="BP20" s="2"/>
      <c r="BQ20" s="2" t="s">
        <v>129</v>
      </c>
      <c r="BR20" s="2" t="s">
        <v>123</v>
      </c>
      <c r="BS20" s="3">
        <v>42836</v>
      </c>
      <c r="BT20" s="4">
        <v>0.4375</v>
      </c>
      <c r="BU20" s="2" t="s">
        <v>186</v>
      </c>
      <c r="BV20" s="2" t="s">
        <v>111</v>
      </c>
      <c r="BW20" s="2"/>
      <c r="BX20" s="2"/>
      <c r="BY20" s="2">
        <v>1200</v>
      </c>
      <c r="BZ20" s="2" t="s">
        <v>27</v>
      </c>
      <c r="CA20" s="2" t="s">
        <v>159</v>
      </c>
      <c r="CB20" s="2"/>
      <c r="CC20" s="2" t="s">
        <v>181</v>
      </c>
      <c r="CD20" s="2">
        <v>4052</v>
      </c>
      <c r="CE20" s="2" t="s">
        <v>118</v>
      </c>
      <c r="CF20" s="5">
        <v>42837</v>
      </c>
      <c r="CG20" s="2"/>
      <c r="CH20" s="2"/>
      <c r="CI20" s="2">
        <v>1</v>
      </c>
      <c r="CJ20" s="2">
        <v>1</v>
      </c>
      <c r="CK20" s="2">
        <v>21</v>
      </c>
      <c r="CL20" s="2" t="s">
        <v>86</v>
      </c>
      <c r="CM20" s="2"/>
    </row>
    <row r="21" spans="1:91">
      <c r="A21" s="2" t="s">
        <v>71</v>
      </c>
      <c r="B21" s="2" t="s">
        <v>72</v>
      </c>
      <c r="C21" s="2" t="s">
        <v>73</v>
      </c>
      <c r="D21" s="2"/>
      <c r="E21" s="2" t="str">
        <f>"FES1162542758"</f>
        <v>FES1162542758</v>
      </c>
      <c r="F21" s="3">
        <v>42835</v>
      </c>
      <c r="G21" s="2">
        <v>201710</v>
      </c>
      <c r="H21" s="2" t="s">
        <v>74</v>
      </c>
      <c r="I21" s="2" t="s">
        <v>75</v>
      </c>
      <c r="J21" s="2" t="s">
        <v>76</v>
      </c>
      <c r="K21" s="2" t="s">
        <v>77</v>
      </c>
      <c r="L21" s="2" t="s">
        <v>187</v>
      </c>
      <c r="M21" s="2" t="s">
        <v>146</v>
      </c>
      <c r="N21" s="2" t="s">
        <v>188</v>
      </c>
      <c r="O21" s="2" t="s">
        <v>115</v>
      </c>
      <c r="P21" s="2" t="str">
        <f>"2170561649                    "</f>
        <v xml:space="preserve">2170561649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4.29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1</v>
      </c>
      <c r="BJ21" s="2">
        <v>0.2</v>
      </c>
      <c r="BK21" s="2">
        <v>1</v>
      </c>
      <c r="BL21" s="2">
        <v>41.73</v>
      </c>
      <c r="BM21" s="2">
        <v>5.84</v>
      </c>
      <c r="BN21" s="2">
        <v>47.57</v>
      </c>
      <c r="BO21" s="2">
        <v>47.57</v>
      </c>
      <c r="BP21" s="2"/>
      <c r="BQ21" s="2"/>
      <c r="BR21" s="2" t="s">
        <v>123</v>
      </c>
      <c r="BS21" s="3">
        <v>42836</v>
      </c>
      <c r="BT21" s="4">
        <v>0.40277777777777773</v>
      </c>
      <c r="BU21" s="2" t="s">
        <v>189</v>
      </c>
      <c r="BV21" s="2" t="s">
        <v>111</v>
      </c>
      <c r="BW21" s="2"/>
      <c r="BX21" s="2"/>
      <c r="BY21" s="2">
        <v>1200</v>
      </c>
      <c r="BZ21" s="2" t="s">
        <v>27</v>
      </c>
      <c r="CA21" s="2"/>
      <c r="CB21" s="2"/>
      <c r="CC21" s="2" t="s">
        <v>146</v>
      </c>
      <c r="CD21" s="2">
        <v>200</v>
      </c>
      <c r="CE21" s="2" t="s">
        <v>118</v>
      </c>
      <c r="CF21" s="5">
        <v>42838</v>
      </c>
      <c r="CG21" s="2"/>
      <c r="CH21" s="2"/>
      <c r="CI21" s="2">
        <v>0</v>
      </c>
      <c r="CJ21" s="2">
        <v>0</v>
      </c>
      <c r="CK21" s="2">
        <v>21</v>
      </c>
      <c r="CL21" s="2" t="s">
        <v>86</v>
      </c>
      <c r="CM21" s="2"/>
    </row>
    <row r="22" spans="1:91">
      <c r="A22" s="2" t="s">
        <v>71</v>
      </c>
      <c r="B22" s="2" t="s">
        <v>72</v>
      </c>
      <c r="C22" s="2" t="s">
        <v>73</v>
      </c>
      <c r="D22" s="2"/>
      <c r="E22" s="2" t="str">
        <f>"FES1162542672"</f>
        <v>FES1162542672</v>
      </c>
      <c r="F22" s="3">
        <v>42835</v>
      </c>
      <c r="G22" s="2">
        <v>201710</v>
      </c>
      <c r="H22" s="2" t="s">
        <v>74</v>
      </c>
      <c r="I22" s="2" t="s">
        <v>75</v>
      </c>
      <c r="J22" s="2" t="s">
        <v>76</v>
      </c>
      <c r="K22" s="2" t="s">
        <v>77</v>
      </c>
      <c r="L22" s="2" t="s">
        <v>190</v>
      </c>
      <c r="M22" s="2" t="s">
        <v>191</v>
      </c>
      <c r="N22" s="2" t="s">
        <v>192</v>
      </c>
      <c r="O22" s="2" t="s">
        <v>115</v>
      </c>
      <c r="P22" s="2" t="str">
        <f>"2170561542                    "</f>
        <v xml:space="preserve">2170561542 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6.03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1.8</v>
      </c>
      <c r="BJ22" s="2">
        <v>0.2</v>
      </c>
      <c r="BK22" s="2">
        <v>2</v>
      </c>
      <c r="BL22" s="2">
        <v>58.68</v>
      </c>
      <c r="BM22" s="2">
        <v>8.2200000000000006</v>
      </c>
      <c r="BN22" s="2">
        <v>66.900000000000006</v>
      </c>
      <c r="BO22" s="2">
        <v>66.900000000000006</v>
      </c>
      <c r="BP22" s="2"/>
      <c r="BQ22" s="2" t="s">
        <v>193</v>
      </c>
      <c r="BR22" s="2" t="s">
        <v>123</v>
      </c>
      <c r="BS22" s="3">
        <v>42836</v>
      </c>
      <c r="BT22" s="4">
        <v>0.40833333333333338</v>
      </c>
      <c r="BU22" s="2" t="s">
        <v>194</v>
      </c>
      <c r="BV22" s="2" t="s">
        <v>111</v>
      </c>
      <c r="BW22" s="2"/>
      <c r="BX22" s="2"/>
      <c r="BY22" s="2">
        <v>1200</v>
      </c>
      <c r="BZ22" s="2" t="s">
        <v>27</v>
      </c>
      <c r="CA22" s="2"/>
      <c r="CB22" s="2"/>
      <c r="CC22" s="2" t="s">
        <v>191</v>
      </c>
      <c r="CD22" s="2">
        <v>1739</v>
      </c>
      <c r="CE22" s="2" t="s">
        <v>118</v>
      </c>
      <c r="CF22" s="5">
        <v>42838</v>
      </c>
      <c r="CG22" s="2"/>
      <c r="CH22" s="2"/>
      <c r="CI22" s="2">
        <v>1</v>
      </c>
      <c r="CJ22" s="2">
        <v>1</v>
      </c>
      <c r="CK22" s="2">
        <v>24</v>
      </c>
      <c r="CL22" s="2" t="s">
        <v>86</v>
      </c>
      <c r="CM22" s="2"/>
    </row>
    <row r="23" spans="1:91">
      <c r="A23" s="2" t="s">
        <v>71</v>
      </c>
      <c r="B23" s="2" t="s">
        <v>72</v>
      </c>
      <c r="C23" s="2" t="s">
        <v>73</v>
      </c>
      <c r="D23" s="2"/>
      <c r="E23" s="2" t="str">
        <f>"FES1162542585"</f>
        <v>FES1162542585</v>
      </c>
      <c r="F23" s="3">
        <v>42835</v>
      </c>
      <c r="G23" s="2">
        <v>201710</v>
      </c>
      <c r="H23" s="2" t="s">
        <v>74</v>
      </c>
      <c r="I23" s="2" t="s">
        <v>75</v>
      </c>
      <c r="J23" s="2" t="s">
        <v>76</v>
      </c>
      <c r="K23" s="2" t="s">
        <v>77</v>
      </c>
      <c r="L23" s="2" t="s">
        <v>91</v>
      </c>
      <c r="M23" s="2" t="s">
        <v>92</v>
      </c>
      <c r="N23" s="2" t="s">
        <v>195</v>
      </c>
      <c r="O23" s="2" t="s">
        <v>115</v>
      </c>
      <c r="P23" s="2" t="str">
        <f>"2170561438                    "</f>
        <v xml:space="preserve">2170561438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3.35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1.7</v>
      </c>
      <c r="BJ23" s="2">
        <v>1.5</v>
      </c>
      <c r="BK23" s="2">
        <v>2</v>
      </c>
      <c r="BL23" s="2">
        <v>32.6</v>
      </c>
      <c r="BM23" s="2">
        <v>4.5599999999999996</v>
      </c>
      <c r="BN23" s="2">
        <v>37.159999999999997</v>
      </c>
      <c r="BO23" s="2">
        <v>37.159999999999997</v>
      </c>
      <c r="BP23" s="2"/>
      <c r="BQ23" s="2"/>
      <c r="BR23" s="2" t="s">
        <v>123</v>
      </c>
      <c r="BS23" s="3">
        <v>42836</v>
      </c>
      <c r="BT23" s="4">
        <v>0.37708333333333338</v>
      </c>
      <c r="BU23" s="2" t="s">
        <v>196</v>
      </c>
      <c r="BV23" s="2" t="s">
        <v>111</v>
      </c>
      <c r="BW23" s="2"/>
      <c r="BX23" s="2"/>
      <c r="BY23" s="2">
        <v>7543.77</v>
      </c>
      <c r="BZ23" s="2" t="s">
        <v>27</v>
      </c>
      <c r="CA23" s="2"/>
      <c r="CB23" s="2"/>
      <c r="CC23" s="2" t="s">
        <v>92</v>
      </c>
      <c r="CD23" s="2">
        <v>1401</v>
      </c>
      <c r="CE23" s="2" t="s">
        <v>118</v>
      </c>
      <c r="CF23" s="5">
        <v>42838</v>
      </c>
      <c r="CG23" s="2"/>
      <c r="CH23" s="2"/>
      <c r="CI23" s="2">
        <v>1</v>
      </c>
      <c r="CJ23" s="2">
        <v>1</v>
      </c>
      <c r="CK23" s="2">
        <v>22</v>
      </c>
      <c r="CL23" s="2" t="s">
        <v>86</v>
      </c>
      <c r="CM23" s="2"/>
    </row>
    <row r="24" spans="1:91">
      <c r="A24" s="2" t="s">
        <v>71</v>
      </c>
      <c r="B24" s="2" t="s">
        <v>72</v>
      </c>
      <c r="C24" s="2" t="s">
        <v>73</v>
      </c>
      <c r="D24" s="2"/>
      <c r="E24" s="2" t="str">
        <f>"FES1162543665"</f>
        <v>FES1162543665</v>
      </c>
      <c r="F24" s="3">
        <v>42838</v>
      </c>
      <c r="G24" s="2">
        <v>201710</v>
      </c>
      <c r="H24" s="2" t="s">
        <v>74</v>
      </c>
      <c r="I24" s="2" t="s">
        <v>75</v>
      </c>
      <c r="J24" s="2" t="s">
        <v>76</v>
      </c>
      <c r="K24" s="2" t="s">
        <v>77</v>
      </c>
      <c r="L24" s="2" t="s">
        <v>91</v>
      </c>
      <c r="M24" s="2" t="s">
        <v>92</v>
      </c>
      <c r="N24" s="2" t="s">
        <v>197</v>
      </c>
      <c r="O24" s="2" t="s">
        <v>81</v>
      </c>
      <c r="P24" s="2" t="str">
        <f>"2170558053                    "</f>
        <v xml:space="preserve">2170558053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6.83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18.5</v>
      </c>
      <c r="BJ24" s="2">
        <v>7.5</v>
      </c>
      <c r="BK24" s="2">
        <v>19</v>
      </c>
      <c r="BL24" s="2">
        <v>71.52</v>
      </c>
      <c r="BM24" s="2">
        <v>10.01</v>
      </c>
      <c r="BN24" s="2">
        <v>81.53</v>
      </c>
      <c r="BO24" s="2">
        <v>81.53</v>
      </c>
      <c r="BP24" s="2"/>
      <c r="BQ24" s="2" t="s">
        <v>122</v>
      </c>
      <c r="BR24" s="2" t="s">
        <v>84</v>
      </c>
      <c r="BS24" s="3">
        <v>42844</v>
      </c>
      <c r="BT24" s="4">
        <v>0.41666666666666669</v>
      </c>
      <c r="BU24" s="2" t="s">
        <v>198</v>
      </c>
      <c r="BV24" s="2" t="s">
        <v>86</v>
      </c>
      <c r="BW24" s="2" t="s">
        <v>96</v>
      </c>
      <c r="BX24" s="2" t="s">
        <v>97</v>
      </c>
      <c r="BY24" s="2">
        <v>37684.92</v>
      </c>
      <c r="BZ24" s="2"/>
      <c r="CA24" s="2"/>
      <c r="CB24" s="2"/>
      <c r="CC24" s="2" t="s">
        <v>92</v>
      </c>
      <c r="CD24" s="2">
        <v>1422</v>
      </c>
      <c r="CE24" s="2" t="s">
        <v>89</v>
      </c>
      <c r="CF24" s="5">
        <v>42845</v>
      </c>
      <c r="CG24" s="2"/>
      <c r="CH24" s="2"/>
      <c r="CI24" s="2">
        <v>0</v>
      </c>
      <c r="CJ24" s="2">
        <v>0</v>
      </c>
      <c r="CK24" s="2" t="s">
        <v>98</v>
      </c>
      <c r="CL24" s="2" t="s">
        <v>86</v>
      </c>
      <c r="CM24" s="2"/>
    </row>
    <row r="25" spans="1:91">
      <c r="A25" s="2" t="s">
        <v>71</v>
      </c>
      <c r="B25" s="2" t="s">
        <v>72</v>
      </c>
      <c r="C25" s="2" t="s">
        <v>73</v>
      </c>
      <c r="D25" s="2"/>
      <c r="E25" s="2" t="str">
        <f>"029907705696D"</f>
        <v>029907705696D</v>
      </c>
      <c r="F25" s="3">
        <v>42821</v>
      </c>
      <c r="G25" s="2">
        <v>201710</v>
      </c>
      <c r="H25" s="2" t="s">
        <v>180</v>
      </c>
      <c r="I25" s="2" t="s">
        <v>181</v>
      </c>
      <c r="J25" s="2" t="s">
        <v>199</v>
      </c>
      <c r="K25" s="2" t="s">
        <v>77</v>
      </c>
      <c r="L25" s="2" t="s">
        <v>166</v>
      </c>
      <c r="M25" s="2" t="s">
        <v>167</v>
      </c>
      <c r="N25" s="2" t="s">
        <v>200</v>
      </c>
      <c r="O25" s="2" t="s">
        <v>115</v>
      </c>
      <c r="P25" s="2" t="str">
        <f>"                              "</f>
        <v xml:space="preserve">          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4.42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0.5</v>
      </c>
      <c r="BJ25" s="2">
        <v>0.5</v>
      </c>
      <c r="BK25" s="2">
        <v>0.5</v>
      </c>
      <c r="BL25" s="2">
        <v>41.86</v>
      </c>
      <c r="BM25" s="2">
        <v>5.86</v>
      </c>
      <c r="BN25" s="2">
        <v>47.72</v>
      </c>
      <c r="BO25" s="2">
        <v>47.72</v>
      </c>
      <c r="BP25" s="2"/>
      <c r="BQ25" s="2" t="s">
        <v>201</v>
      </c>
      <c r="BR25" s="2" t="s">
        <v>202</v>
      </c>
      <c r="BS25" s="3">
        <v>42822</v>
      </c>
      <c r="BT25" s="4">
        <v>0.34027777777777773</v>
      </c>
      <c r="BU25" s="2" t="s">
        <v>198</v>
      </c>
      <c r="BV25" s="2" t="s">
        <v>111</v>
      </c>
      <c r="BW25" s="2"/>
      <c r="BX25" s="2"/>
      <c r="BY25" s="2">
        <v>2400</v>
      </c>
      <c r="BZ25" s="2" t="s">
        <v>27</v>
      </c>
      <c r="CA25" s="2"/>
      <c r="CB25" s="2"/>
      <c r="CC25" s="2" t="s">
        <v>167</v>
      </c>
      <c r="CD25" s="2">
        <v>2001</v>
      </c>
      <c r="CE25" s="2" t="s">
        <v>89</v>
      </c>
      <c r="CF25" s="5">
        <v>42823</v>
      </c>
      <c r="CG25" s="2"/>
      <c r="CH25" s="2"/>
      <c r="CI25" s="2">
        <v>1</v>
      </c>
      <c r="CJ25" s="2">
        <v>1</v>
      </c>
      <c r="CK25" s="2">
        <v>21</v>
      </c>
      <c r="CL25" s="2" t="s">
        <v>86</v>
      </c>
      <c r="CM25" s="2"/>
    </row>
    <row r="26" spans="1:91">
      <c r="A26" s="2" t="s">
        <v>71</v>
      </c>
      <c r="B26" s="2" t="s">
        <v>72</v>
      </c>
      <c r="C26" s="2" t="s">
        <v>73</v>
      </c>
      <c r="D26" s="2"/>
      <c r="E26" s="2" t="str">
        <f>"FES1162540667"</f>
        <v>FES1162540667</v>
      </c>
      <c r="F26" s="3">
        <v>42824</v>
      </c>
      <c r="G26" s="2">
        <v>201710</v>
      </c>
      <c r="H26" s="2" t="s">
        <v>74</v>
      </c>
      <c r="I26" s="2" t="s">
        <v>75</v>
      </c>
      <c r="J26" s="2" t="s">
        <v>200</v>
      </c>
      <c r="K26" s="2" t="s">
        <v>77</v>
      </c>
      <c r="L26" s="2" t="s">
        <v>145</v>
      </c>
      <c r="M26" s="2" t="s">
        <v>146</v>
      </c>
      <c r="N26" s="2" t="s">
        <v>203</v>
      </c>
      <c r="O26" s="2" t="s">
        <v>81</v>
      </c>
      <c r="P26" s="2" t="str">
        <f>"2170559753                    "</f>
        <v xml:space="preserve">2170559753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7.6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1</v>
      </c>
      <c r="BI26" s="2">
        <v>4</v>
      </c>
      <c r="BJ26" s="2">
        <v>3</v>
      </c>
      <c r="BK26" s="2">
        <v>4</v>
      </c>
      <c r="BL26" s="2">
        <v>76.95</v>
      </c>
      <c r="BM26" s="2">
        <v>10.77</v>
      </c>
      <c r="BN26" s="2">
        <v>87.72</v>
      </c>
      <c r="BO26" s="2">
        <v>87.72</v>
      </c>
      <c r="BP26" s="2"/>
      <c r="BQ26" s="2" t="s">
        <v>122</v>
      </c>
      <c r="BR26" s="2" t="s">
        <v>204</v>
      </c>
      <c r="BS26" s="3">
        <v>42825</v>
      </c>
      <c r="BT26" s="4">
        <v>0.39513888888888887</v>
      </c>
      <c r="BU26" s="2" t="s">
        <v>205</v>
      </c>
      <c r="BV26" s="2"/>
      <c r="BW26" s="2"/>
      <c r="BX26" s="2"/>
      <c r="BY26" s="2">
        <v>15246</v>
      </c>
      <c r="BZ26" s="2"/>
      <c r="CA26" s="2"/>
      <c r="CB26" s="2"/>
      <c r="CC26" s="2" t="s">
        <v>146</v>
      </c>
      <c r="CD26" s="2">
        <v>183</v>
      </c>
      <c r="CE26" s="2" t="s">
        <v>172</v>
      </c>
      <c r="CF26" s="5">
        <v>42829</v>
      </c>
      <c r="CG26" s="2"/>
      <c r="CH26" s="2"/>
      <c r="CI26" s="2">
        <v>0</v>
      </c>
      <c r="CJ26" s="2">
        <v>0</v>
      </c>
      <c r="CK26" s="2" t="s">
        <v>150</v>
      </c>
      <c r="CL26" s="2" t="s">
        <v>86</v>
      </c>
      <c r="CM26" s="2"/>
    </row>
    <row r="27" spans="1:91">
      <c r="A27" s="2" t="s">
        <v>71</v>
      </c>
      <c r="B27" s="2" t="s">
        <v>72</v>
      </c>
      <c r="C27" s="2" t="s">
        <v>73</v>
      </c>
      <c r="D27" s="2"/>
      <c r="E27" s="2" t="str">
        <f>"FES1162540270"</f>
        <v>FES1162540270</v>
      </c>
      <c r="F27" s="3">
        <v>42823</v>
      </c>
      <c r="G27" s="2">
        <v>201710</v>
      </c>
      <c r="H27" s="2" t="s">
        <v>74</v>
      </c>
      <c r="I27" s="2" t="s">
        <v>75</v>
      </c>
      <c r="J27" s="2" t="s">
        <v>200</v>
      </c>
      <c r="K27" s="2" t="s">
        <v>77</v>
      </c>
      <c r="L27" s="2" t="s">
        <v>145</v>
      </c>
      <c r="M27" s="2" t="s">
        <v>146</v>
      </c>
      <c r="N27" s="2" t="s">
        <v>147</v>
      </c>
      <c r="O27" s="2" t="s">
        <v>81</v>
      </c>
      <c r="P27" s="2" t="str">
        <f>"2170559121                    "</f>
        <v xml:space="preserve">2170559121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7.6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3.6</v>
      </c>
      <c r="BJ27" s="2">
        <v>1.6</v>
      </c>
      <c r="BK27" s="2">
        <v>4</v>
      </c>
      <c r="BL27" s="2">
        <v>76.95</v>
      </c>
      <c r="BM27" s="2">
        <v>10.77</v>
      </c>
      <c r="BN27" s="2">
        <v>87.72</v>
      </c>
      <c r="BO27" s="2">
        <v>87.72</v>
      </c>
      <c r="BP27" s="2"/>
      <c r="BQ27" s="2" t="s">
        <v>148</v>
      </c>
      <c r="BR27" s="2" t="s">
        <v>204</v>
      </c>
      <c r="BS27" s="3">
        <v>42824</v>
      </c>
      <c r="BT27" s="4">
        <v>0.39930555555555558</v>
      </c>
      <c r="BU27" s="2" t="s">
        <v>149</v>
      </c>
      <c r="BV27" s="2"/>
      <c r="BW27" s="2"/>
      <c r="BX27" s="2"/>
      <c r="BY27" s="2">
        <v>8079.75</v>
      </c>
      <c r="BZ27" s="2"/>
      <c r="CA27" s="2"/>
      <c r="CB27" s="2"/>
      <c r="CC27" s="2" t="s">
        <v>146</v>
      </c>
      <c r="CD27" s="2">
        <v>1</v>
      </c>
      <c r="CE27" s="2" t="s">
        <v>89</v>
      </c>
      <c r="CF27" s="5">
        <v>42829</v>
      </c>
      <c r="CG27" s="2"/>
      <c r="CH27" s="2"/>
      <c r="CI27" s="2">
        <v>0</v>
      </c>
      <c r="CJ27" s="2">
        <v>0</v>
      </c>
      <c r="CK27" s="2" t="s">
        <v>150</v>
      </c>
      <c r="CL27" s="2" t="s">
        <v>86</v>
      </c>
      <c r="CM27" s="2"/>
    </row>
    <row r="28" spans="1:91">
      <c r="A28" s="2" t="s">
        <v>71</v>
      </c>
      <c r="B28" s="2" t="s">
        <v>72</v>
      </c>
      <c r="C28" s="2" t="s">
        <v>73</v>
      </c>
      <c r="D28" s="2"/>
      <c r="E28" s="2" t="str">
        <f>"FES1162540041"</f>
        <v>FES1162540041</v>
      </c>
      <c r="F28" s="3">
        <v>42823</v>
      </c>
      <c r="G28" s="2">
        <v>201710</v>
      </c>
      <c r="H28" s="2" t="s">
        <v>74</v>
      </c>
      <c r="I28" s="2" t="s">
        <v>75</v>
      </c>
      <c r="J28" s="2" t="s">
        <v>200</v>
      </c>
      <c r="K28" s="2" t="s">
        <v>77</v>
      </c>
      <c r="L28" s="2" t="s">
        <v>145</v>
      </c>
      <c r="M28" s="2" t="s">
        <v>146</v>
      </c>
      <c r="N28" s="2" t="s">
        <v>206</v>
      </c>
      <c r="O28" s="2" t="s">
        <v>81</v>
      </c>
      <c r="P28" s="2" t="str">
        <f>"2170559181                    "</f>
        <v xml:space="preserve">2170559181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7.6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3</v>
      </c>
      <c r="BJ28" s="2">
        <v>8.5</v>
      </c>
      <c r="BK28" s="2">
        <v>9</v>
      </c>
      <c r="BL28" s="2">
        <v>76.95</v>
      </c>
      <c r="BM28" s="2">
        <v>10.77</v>
      </c>
      <c r="BN28" s="2">
        <v>87.72</v>
      </c>
      <c r="BO28" s="2">
        <v>87.72</v>
      </c>
      <c r="BP28" s="2"/>
      <c r="BQ28" s="2" t="s">
        <v>122</v>
      </c>
      <c r="BR28" s="2" t="s">
        <v>204</v>
      </c>
      <c r="BS28" s="3">
        <v>42824</v>
      </c>
      <c r="BT28" s="4">
        <v>0.41666666666666669</v>
      </c>
      <c r="BU28" s="2" t="s">
        <v>207</v>
      </c>
      <c r="BV28" s="2"/>
      <c r="BW28" s="2"/>
      <c r="BX28" s="2"/>
      <c r="BY28" s="2">
        <v>42471</v>
      </c>
      <c r="BZ28" s="2"/>
      <c r="CA28" s="2"/>
      <c r="CB28" s="2"/>
      <c r="CC28" s="2" t="s">
        <v>146</v>
      </c>
      <c r="CD28" s="2">
        <v>200</v>
      </c>
      <c r="CE28" s="2" t="s">
        <v>172</v>
      </c>
      <c r="CF28" s="5">
        <v>42830</v>
      </c>
      <c r="CG28" s="2"/>
      <c r="CH28" s="2"/>
      <c r="CI28" s="2">
        <v>0</v>
      </c>
      <c r="CJ28" s="2">
        <v>0</v>
      </c>
      <c r="CK28" s="2" t="s">
        <v>150</v>
      </c>
      <c r="CL28" s="2" t="s">
        <v>86</v>
      </c>
      <c r="CM28" s="2"/>
    </row>
    <row r="29" spans="1:91">
      <c r="A29" s="2" t="s">
        <v>71</v>
      </c>
      <c r="B29" s="2" t="s">
        <v>72</v>
      </c>
      <c r="C29" s="2" t="s">
        <v>73</v>
      </c>
      <c r="D29" s="2"/>
      <c r="E29" s="2" t="str">
        <f>"FES1162535317"</f>
        <v>FES1162535317</v>
      </c>
      <c r="F29" s="3">
        <v>42800</v>
      </c>
      <c r="G29" s="2">
        <v>201710</v>
      </c>
      <c r="H29" s="2" t="s">
        <v>74</v>
      </c>
      <c r="I29" s="2" t="s">
        <v>75</v>
      </c>
      <c r="J29" s="2" t="s">
        <v>76</v>
      </c>
      <c r="K29" s="2" t="s">
        <v>77</v>
      </c>
      <c r="L29" s="2" t="s">
        <v>112</v>
      </c>
      <c r="M29" s="2" t="s">
        <v>113</v>
      </c>
      <c r="N29" s="2" t="s">
        <v>208</v>
      </c>
      <c r="O29" s="2" t="s">
        <v>81</v>
      </c>
      <c r="P29" s="2" t="str">
        <f>"2170554976                    "</f>
        <v xml:space="preserve">2170554976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8.98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1.4</v>
      </c>
      <c r="BK29" s="2">
        <v>2</v>
      </c>
      <c r="BL29" s="2">
        <v>90.03</v>
      </c>
      <c r="BM29" s="2">
        <v>12.6</v>
      </c>
      <c r="BN29" s="2">
        <v>102.63</v>
      </c>
      <c r="BO29" s="2">
        <v>102.63</v>
      </c>
      <c r="BP29" s="2"/>
      <c r="BQ29" s="2" t="s">
        <v>122</v>
      </c>
      <c r="BR29" s="2" t="s">
        <v>123</v>
      </c>
      <c r="BS29" s="3">
        <v>42801</v>
      </c>
      <c r="BT29" s="4">
        <v>0.375</v>
      </c>
      <c r="BU29" s="2" t="s">
        <v>209</v>
      </c>
      <c r="BV29" s="2" t="s">
        <v>111</v>
      </c>
      <c r="BW29" s="2"/>
      <c r="BX29" s="2"/>
      <c r="BY29" s="2">
        <v>6900</v>
      </c>
      <c r="BZ29" s="2"/>
      <c r="CA29" s="2" t="s">
        <v>210</v>
      </c>
      <c r="CB29" s="2"/>
      <c r="CC29" s="2" t="s">
        <v>113</v>
      </c>
      <c r="CD29" s="2">
        <v>3201</v>
      </c>
      <c r="CE29" s="2" t="s">
        <v>172</v>
      </c>
      <c r="CF29" s="5">
        <v>42829</v>
      </c>
      <c r="CG29" s="2"/>
      <c r="CH29" s="2"/>
      <c r="CI29" s="2">
        <v>0</v>
      </c>
      <c r="CJ29" s="2">
        <v>0</v>
      </c>
      <c r="CK29" s="2" t="s">
        <v>211</v>
      </c>
      <c r="CL29" s="2" t="s">
        <v>86</v>
      </c>
      <c r="CM29" s="2"/>
    </row>
    <row r="30" spans="1:91">
      <c r="A30" s="2" t="s">
        <v>71</v>
      </c>
      <c r="B30" s="2" t="s">
        <v>72</v>
      </c>
      <c r="C30" s="2" t="s">
        <v>73</v>
      </c>
      <c r="D30" s="2"/>
      <c r="E30" s="2" t="str">
        <f>"FES1162540129"</f>
        <v>FES1162540129</v>
      </c>
      <c r="F30" s="3">
        <v>42823</v>
      </c>
      <c r="G30" s="2">
        <v>201710</v>
      </c>
      <c r="H30" s="2" t="s">
        <v>74</v>
      </c>
      <c r="I30" s="2" t="s">
        <v>75</v>
      </c>
      <c r="J30" s="2" t="s">
        <v>76</v>
      </c>
      <c r="K30" s="2" t="s">
        <v>77</v>
      </c>
      <c r="L30" s="2" t="s">
        <v>212</v>
      </c>
      <c r="M30" s="2" t="s">
        <v>213</v>
      </c>
      <c r="N30" s="2" t="s">
        <v>214</v>
      </c>
      <c r="O30" s="2" t="s">
        <v>81</v>
      </c>
      <c r="P30" s="2" t="str">
        <f>"1162556097                    "</f>
        <v xml:space="preserve">1162556097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56.25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6</v>
      </c>
      <c r="BI30" s="2">
        <v>173</v>
      </c>
      <c r="BJ30" s="2">
        <v>61.4</v>
      </c>
      <c r="BK30" s="2">
        <v>173</v>
      </c>
      <c r="BL30" s="2">
        <v>537.51</v>
      </c>
      <c r="BM30" s="2">
        <v>75.25</v>
      </c>
      <c r="BN30" s="2">
        <v>612.76</v>
      </c>
      <c r="BO30" s="2">
        <v>612.76</v>
      </c>
      <c r="BP30" s="2"/>
      <c r="BQ30" s="2" t="s">
        <v>215</v>
      </c>
      <c r="BR30" s="2" t="s">
        <v>123</v>
      </c>
      <c r="BS30" s="3">
        <v>42824</v>
      </c>
      <c r="BT30" s="4">
        <v>0.4375</v>
      </c>
      <c r="BU30" s="2" t="s">
        <v>170</v>
      </c>
      <c r="BV30" s="2"/>
      <c r="BW30" s="2"/>
      <c r="BX30" s="2"/>
      <c r="BY30" s="2">
        <v>307052.73</v>
      </c>
      <c r="BZ30" s="2"/>
      <c r="CA30" s="2"/>
      <c r="CB30" s="2"/>
      <c r="CC30" s="2" t="s">
        <v>213</v>
      </c>
      <c r="CD30" s="2">
        <v>1000</v>
      </c>
      <c r="CE30" s="2" t="s">
        <v>216</v>
      </c>
      <c r="CF30" s="5">
        <v>42829</v>
      </c>
      <c r="CG30" s="2"/>
      <c r="CH30" s="2"/>
      <c r="CI30" s="2">
        <v>0</v>
      </c>
      <c r="CJ30" s="2">
        <v>0</v>
      </c>
      <c r="CK30" s="2" t="s">
        <v>217</v>
      </c>
      <c r="CL30" s="2" t="s">
        <v>86</v>
      </c>
      <c r="CM30" s="2"/>
    </row>
    <row r="31" spans="1:91">
      <c r="A31" s="2" t="s">
        <v>71</v>
      </c>
      <c r="B31" s="2" t="s">
        <v>72</v>
      </c>
      <c r="C31" s="2" t="s">
        <v>73</v>
      </c>
      <c r="D31" s="2"/>
      <c r="E31" s="2" t="str">
        <f>"FES1162540627"</f>
        <v>FES1162540627</v>
      </c>
      <c r="F31" s="3">
        <v>42824</v>
      </c>
      <c r="G31" s="2">
        <v>201710</v>
      </c>
      <c r="H31" s="2" t="s">
        <v>74</v>
      </c>
      <c r="I31" s="2" t="s">
        <v>75</v>
      </c>
      <c r="J31" s="2" t="s">
        <v>200</v>
      </c>
      <c r="K31" s="2" t="s">
        <v>77</v>
      </c>
      <c r="L31" s="2" t="s">
        <v>145</v>
      </c>
      <c r="M31" s="2" t="s">
        <v>146</v>
      </c>
      <c r="N31" s="2" t="s">
        <v>218</v>
      </c>
      <c r="O31" s="2" t="s">
        <v>81</v>
      </c>
      <c r="P31" s="2" t="str">
        <f>"2170559125                    "</f>
        <v xml:space="preserve">2170559125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7.6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2</v>
      </c>
      <c r="BJ31" s="2">
        <v>4.2</v>
      </c>
      <c r="BK31" s="2">
        <v>5</v>
      </c>
      <c r="BL31" s="2">
        <v>76.95</v>
      </c>
      <c r="BM31" s="2">
        <v>10.77</v>
      </c>
      <c r="BN31" s="2">
        <v>87.72</v>
      </c>
      <c r="BO31" s="2">
        <v>87.72</v>
      </c>
      <c r="BP31" s="2"/>
      <c r="BQ31" s="2" t="s">
        <v>219</v>
      </c>
      <c r="BR31" s="2" t="s">
        <v>204</v>
      </c>
      <c r="BS31" s="3">
        <v>42825</v>
      </c>
      <c r="BT31" s="4">
        <v>0.3923611111111111</v>
      </c>
      <c r="BU31" s="2" t="s">
        <v>138</v>
      </c>
      <c r="BV31" s="2"/>
      <c r="BW31" s="2"/>
      <c r="BX31" s="2"/>
      <c r="BY31" s="2">
        <v>21090</v>
      </c>
      <c r="BZ31" s="2"/>
      <c r="CA31" s="2"/>
      <c r="CB31" s="2"/>
      <c r="CC31" s="2" t="s">
        <v>146</v>
      </c>
      <c r="CD31" s="2">
        <v>200</v>
      </c>
      <c r="CE31" s="2" t="s">
        <v>172</v>
      </c>
      <c r="CF31" s="5">
        <v>42830</v>
      </c>
      <c r="CG31" s="2"/>
      <c r="CH31" s="2"/>
      <c r="CI31" s="2">
        <v>0</v>
      </c>
      <c r="CJ31" s="2">
        <v>0</v>
      </c>
      <c r="CK31" s="2" t="s">
        <v>150</v>
      </c>
      <c r="CL31" s="2" t="s">
        <v>86</v>
      </c>
      <c r="CM31" s="2"/>
    </row>
    <row r="32" spans="1:91">
      <c r="A32" s="2" t="s">
        <v>71</v>
      </c>
      <c r="B32" s="2" t="s">
        <v>72</v>
      </c>
      <c r="C32" s="2" t="s">
        <v>73</v>
      </c>
      <c r="D32" s="2"/>
      <c r="E32" s="2" t="str">
        <f>"FES1162543031"</f>
        <v>FES1162543031</v>
      </c>
      <c r="F32" s="3">
        <v>42836</v>
      </c>
      <c r="G32" s="2">
        <v>201710</v>
      </c>
      <c r="H32" s="2" t="s">
        <v>74</v>
      </c>
      <c r="I32" s="2" t="s">
        <v>75</v>
      </c>
      <c r="J32" s="2" t="s">
        <v>76</v>
      </c>
      <c r="K32" s="2" t="s">
        <v>77</v>
      </c>
      <c r="L32" s="2" t="s">
        <v>220</v>
      </c>
      <c r="M32" s="2" t="s">
        <v>221</v>
      </c>
      <c r="N32" s="2" t="s">
        <v>222</v>
      </c>
      <c r="O32" s="2" t="s">
        <v>115</v>
      </c>
      <c r="P32" s="2" t="str">
        <f>"2170561817                    "</f>
        <v xml:space="preserve">2170561817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4.29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</v>
      </c>
      <c r="BJ32" s="2">
        <v>0.2</v>
      </c>
      <c r="BK32" s="2">
        <v>1</v>
      </c>
      <c r="BL32" s="2">
        <v>41.73</v>
      </c>
      <c r="BM32" s="2">
        <v>5.84</v>
      </c>
      <c r="BN32" s="2">
        <v>47.57</v>
      </c>
      <c r="BO32" s="2">
        <v>47.57</v>
      </c>
      <c r="BP32" s="2"/>
      <c r="BQ32" s="2" t="s">
        <v>223</v>
      </c>
      <c r="BR32" s="2" t="s">
        <v>123</v>
      </c>
      <c r="BS32" s="3">
        <v>42837</v>
      </c>
      <c r="BT32" s="4">
        <v>0.3888888888888889</v>
      </c>
      <c r="BU32" s="2" t="s">
        <v>224</v>
      </c>
      <c r="BV32" s="2" t="s">
        <v>111</v>
      </c>
      <c r="BW32" s="2"/>
      <c r="BX32" s="2"/>
      <c r="BY32" s="2">
        <v>1200</v>
      </c>
      <c r="BZ32" s="2" t="s">
        <v>27</v>
      </c>
      <c r="CA32" s="2" t="s">
        <v>159</v>
      </c>
      <c r="CB32" s="2"/>
      <c r="CC32" s="2" t="s">
        <v>221</v>
      </c>
      <c r="CD32" s="2">
        <v>6536</v>
      </c>
      <c r="CE32" s="2" t="s">
        <v>118</v>
      </c>
      <c r="CF32" s="5">
        <v>42838</v>
      </c>
      <c r="CG32" s="2"/>
      <c r="CH32" s="2"/>
      <c r="CI32" s="2">
        <v>1</v>
      </c>
      <c r="CJ32" s="2">
        <v>1</v>
      </c>
      <c r="CK32" s="2">
        <v>21</v>
      </c>
      <c r="CL32" s="2" t="s">
        <v>86</v>
      </c>
      <c r="CM32" s="2"/>
    </row>
    <row r="33" spans="1:91">
      <c r="A33" s="2" t="s">
        <v>71</v>
      </c>
      <c r="B33" s="2" t="s">
        <v>72</v>
      </c>
      <c r="C33" s="2" t="s">
        <v>73</v>
      </c>
      <c r="D33" s="2"/>
      <c r="E33" s="2" t="str">
        <f>"FES1162543266"</f>
        <v>FES1162543266</v>
      </c>
      <c r="F33" s="3">
        <v>42837</v>
      </c>
      <c r="G33" s="2">
        <v>201710</v>
      </c>
      <c r="H33" s="2" t="s">
        <v>74</v>
      </c>
      <c r="I33" s="2" t="s">
        <v>75</v>
      </c>
      <c r="J33" s="2" t="s">
        <v>76</v>
      </c>
      <c r="K33" s="2" t="s">
        <v>77</v>
      </c>
      <c r="L33" s="2" t="s">
        <v>187</v>
      </c>
      <c r="M33" s="2" t="s">
        <v>146</v>
      </c>
      <c r="N33" s="2" t="s">
        <v>225</v>
      </c>
      <c r="O33" s="2" t="s">
        <v>115</v>
      </c>
      <c r="P33" s="2" t="str">
        <f>"2170559586                    "</f>
        <v xml:space="preserve">2170559586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4.29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</v>
      </c>
      <c r="BJ33" s="2">
        <v>0.2</v>
      </c>
      <c r="BK33" s="2">
        <v>1</v>
      </c>
      <c r="BL33" s="2">
        <v>41.73</v>
      </c>
      <c r="BM33" s="2">
        <v>5.84</v>
      </c>
      <c r="BN33" s="2">
        <v>47.57</v>
      </c>
      <c r="BO33" s="2">
        <v>47.57</v>
      </c>
      <c r="BP33" s="2"/>
      <c r="BQ33" s="2" t="s">
        <v>226</v>
      </c>
      <c r="BR33" s="2" t="s">
        <v>84</v>
      </c>
      <c r="BS33" s="3">
        <v>42838</v>
      </c>
      <c r="BT33" s="4">
        <v>0.3298611111111111</v>
      </c>
      <c r="BU33" s="2" t="s">
        <v>227</v>
      </c>
      <c r="BV33" s="2" t="s">
        <v>111</v>
      </c>
      <c r="BW33" s="2"/>
      <c r="BX33" s="2"/>
      <c r="BY33" s="2">
        <v>1200</v>
      </c>
      <c r="BZ33" s="2" t="s">
        <v>27</v>
      </c>
      <c r="CA33" s="2"/>
      <c r="CB33" s="2"/>
      <c r="CC33" s="2" t="s">
        <v>146</v>
      </c>
      <c r="CD33" s="2">
        <v>184</v>
      </c>
      <c r="CE33" s="2" t="s">
        <v>118</v>
      </c>
      <c r="CF33" s="5">
        <v>42844</v>
      </c>
      <c r="CG33" s="2"/>
      <c r="CH33" s="2"/>
      <c r="CI33" s="2">
        <v>0</v>
      </c>
      <c r="CJ33" s="2">
        <v>0</v>
      </c>
      <c r="CK33" s="2">
        <v>21</v>
      </c>
      <c r="CL33" s="2" t="s">
        <v>86</v>
      </c>
      <c r="CM33" s="2"/>
    </row>
    <row r="34" spans="1:91">
      <c r="A34" s="2" t="s">
        <v>71</v>
      </c>
      <c r="B34" s="2" t="s">
        <v>72</v>
      </c>
      <c r="C34" s="2" t="s">
        <v>73</v>
      </c>
      <c r="D34" s="2"/>
      <c r="E34" s="2" t="str">
        <f>"FES1162542694"</f>
        <v>FES1162542694</v>
      </c>
      <c r="F34" s="3">
        <v>42835</v>
      </c>
      <c r="G34" s="2">
        <v>201710</v>
      </c>
      <c r="H34" s="2" t="s">
        <v>74</v>
      </c>
      <c r="I34" s="2" t="s">
        <v>75</v>
      </c>
      <c r="J34" s="2" t="s">
        <v>76</v>
      </c>
      <c r="K34" s="2" t="s">
        <v>77</v>
      </c>
      <c r="L34" s="2" t="s">
        <v>131</v>
      </c>
      <c r="M34" s="2" t="s">
        <v>132</v>
      </c>
      <c r="N34" s="2" t="s">
        <v>228</v>
      </c>
      <c r="O34" s="2" t="s">
        <v>115</v>
      </c>
      <c r="P34" s="2" t="str">
        <f>"2170561578                    "</f>
        <v xml:space="preserve">2170561578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4.29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1.4</v>
      </c>
      <c r="BJ34" s="2">
        <v>0.9</v>
      </c>
      <c r="BK34" s="2">
        <v>1.5</v>
      </c>
      <c r="BL34" s="2">
        <v>41.73</v>
      </c>
      <c r="BM34" s="2">
        <v>5.84</v>
      </c>
      <c r="BN34" s="2">
        <v>47.57</v>
      </c>
      <c r="BO34" s="2">
        <v>47.57</v>
      </c>
      <c r="BP34" s="2"/>
      <c r="BQ34" s="2" t="s">
        <v>229</v>
      </c>
      <c r="BR34" s="2" t="s">
        <v>123</v>
      </c>
      <c r="BS34" s="3">
        <v>42836</v>
      </c>
      <c r="BT34" s="4">
        <v>0.41666666666666669</v>
      </c>
      <c r="BU34" s="2" t="s">
        <v>230</v>
      </c>
      <c r="BV34" s="2" t="s">
        <v>111</v>
      </c>
      <c r="BW34" s="2"/>
      <c r="BX34" s="2"/>
      <c r="BY34" s="2">
        <v>4383.45</v>
      </c>
      <c r="BZ34" s="2" t="s">
        <v>27</v>
      </c>
      <c r="CA34" s="2" t="s">
        <v>159</v>
      </c>
      <c r="CB34" s="2"/>
      <c r="CC34" s="2" t="s">
        <v>132</v>
      </c>
      <c r="CD34" s="2">
        <v>7460</v>
      </c>
      <c r="CE34" s="2" t="s">
        <v>118</v>
      </c>
      <c r="CF34" s="2"/>
      <c r="CG34" s="2"/>
      <c r="CH34" s="2"/>
      <c r="CI34" s="2">
        <v>1</v>
      </c>
      <c r="CJ34" s="2">
        <v>1</v>
      </c>
      <c r="CK34" s="2">
        <v>21</v>
      </c>
      <c r="CL34" s="2" t="s">
        <v>86</v>
      </c>
      <c r="CM34" s="2"/>
    </row>
    <row r="35" spans="1:91">
      <c r="A35" s="2" t="s">
        <v>71</v>
      </c>
      <c r="B35" s="2" t="s">
        <v>72</v>
      </c>
      <c r="C35" s="2" t="s">
        <v>73</v>
      </c>
      <c r="D35" s="2"/>
      <c r="E35" s="2" t="str">
        <f>"RFES1162540465"</f>
        <v>RFES1162540465</v>
      </c>
      <c r="F35" s="3">
        <v>42835</v>
      </c>
      <c r="G35" s="2">
        <v>201710</v>
      </c>
      <c r="H35" s="2" t="s">
        <v>231</v>
      </c>
      <c r="I35" s="2" t="s">
        <v>232</v>
      </c>
      <c r="J35" s="2" t="s">
        <v>233</v>
      </c>
      <c r="K35" s="2" t="s">
        <v>77</v>
      </c>
      <c r="L35" s="2" t="s">
        <v>74</v>
      </c>
      <c r="M35" s="2" t="s">
        <v>75</v>
      </c>
      <c r="N35" s="2" t="s">
        <v>76</v>
      </c>
      <c r="O35" s="2" t="s">
        <v>115</v>
      </c>
      <c r="P35" s="2" t="str">
        <f>"2170559543                    "</f>
        <v xml:space="preserve">2170559543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6.03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1</v>
      </c>
      <c r="BJ35" s="2">
        <v>0.2</v>
      </c>
      <c r="BK35" s="2">
        <v>1</v>
      </c>
      <c r="BL35" s="2">
        <v>58.68</v>
      </c>
      <c r="BM35" s="2">
        <v>8.2200000000000006</v>
      </c>
      <c r="BN35" s="2">
        <v>66.900000000000006</v>
      </c>
      <c r="BO35" s="2">
        <v>66.900000000000006</v>
      </c>
      <c r="BP35" s="2"/>
      <c r="BQ35" s="2" t="s">
        <v>123</v>
      </c>
      <c r="BR35" s="2" t="s">
        <v>122</v>
      </c>
      <c r="BS35" s="3">
        <v>42836</v>
      </c>
      <c r="BT35" s="4">
        <v>0.40625</v>
      </c>
      <c r="BU35" s="2" t="s">
        <v>134</v>
      </c>
      <c r="BV35" s="2" t="s">
        <v>111</v>
      </c>
      <c r="BW35" s="2"/>
      <c r="BX35" s="2"/>
      <c r="BY35" s="2">
        <v>1200</v>
      </c>
      <c r="BZ35" s="2" t="s">
        <v>27</v>
      </c>
      <c r="CA35" s="2"/>
      <c r="CB35" s="2"/>
      <c r="CC35" s="2" t="s">
        <v>75</v>
      </c>
      <c r="CD35" s="2">
        <v>1600</v>
      </c>
      <c r="CE35" s="2" t="s">
        <v>118</v>
      </c>
      <c r="CF35" s="5">
        <v>42838</v>
      </c>
      <c r="CG35" s="2"/>
      <c r="CH35" s="2"/>
      <c r="CI35" s="2">
        <v>1</v>
      </c>
      <c r="CJ35" s="2">
        <v>1</v>
      </c>
      <c r="CK35" s="2">
        <v>24</v>
      </c>
      <c r="CL35" s="2" t="s">
        <v>86</v>
      </c>
      <c r="CM35" s="2"/>
    </row>
    <row r="36" spans="1:91">
      <c r="A36" s="2" t="s">
        <v>71</v>
      </c>
      <c r="B36" s="2" t="s">
        <v>72</v>
      </c>
      <c r="C36" s="2" t="s">
        <v>73</v>
      </c>
      <c r="D36" s="2"/>
      <c r="E36" s="2" t="str">
        <f>"080001601037"</f>
        <v>080001601037</v>
      </c>
      <c r="F36" s="3">
        <v>42830</v>
      </c>
      <c r="G36" s="2">
        <v>201710</v>
      </c>
      <c r="H36" s="2" t="s">
        <v>234</v>
      </c>
      <c r="I36" s="2" t="s">
        <v>235</v>
      </c>
      <c r="J36" s="2" t="s">
        <v>236</v>
      </c>
      <c r="K36" s="2" t="s">
        <v>77</v>
      </c>
      <c r="L36" s="2" t="s">
        <v>74</v>
      </c>
      <c r="M36" s="2" t="s">
        <v>75</v>
      </c>
      <c r="N36" s="2" t="s">
        <v>200</v>
      </c>
      <c r="O36" s="2" t="s">
        <v>115</v>
      </c>
      <c r="P36" s="2" t="str">
        <f>"ZA1000633780                  "</f>
        <v xml:space="preserve">ZA1000633780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6.43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3</v>
      </c>
      <c r="BJ36" s="2">
        <v>1.2</v>
      </c>
      <c r="BK36" s="2">
        <v>3</v>
      </c>
      <c r="BL36" s="2">
        <v>62.59</v>
      </c>
      <c r="BM36" s="2">
        <v>8.76</v>
      </c>
      <c r="BN36" s="2">
        <v>71.349999999999994</v>
      </c>
      <c r="BO36" s="2">
        <v>71.349999999999994</v>
      </c>
      <c r="BP36" s="2" t="s">
        <v>237</v>
      </c>
      <c r="BQ36" s="2" t="s">
        <v>134</v>
      </c>
      <c r="BR36" s="2" t="s">
        <v>238</v>
      </c>
      <c r="BS36" s="3">
        <v>42831</v>
      </c>
      <c r="BT36" s="4">
        <v>0.34722222222222227</v>
      </c>
      <c r="BU36" s="2" t="s">
        <v>134</v>
      </c>
      <c r="BV36" s="2" t="s">
        <v>111</v>
      </c>
      <c r="BW36" s="2"/>
      <c r="BX36" s="2"/>
      <c r="BY36" s="2">
        <v>5928</v>
      </c>
      <c r="BZ36" s="2" t="s">
        <v>27</v>
      </c>
      <c r="CA36" s="2"/>
      <c r="CB36" s="2"/>
      <c r="CC36" s="2" t="s">
        <v>75</v>
      </c>
      <c r="CD36" s="2">
        <v>1600</v>
      </c>
      <c r="CE36" s="2" t="s">
        <v>89</v>
      </c>
      <c r="CF36" s="5">
        <v>42832</v>
      </c>
      <c r="CG36" s="2"/>
      <c r="CH36" s="2"/>
      <c r="CI36" s="2">
        <v>1</v>
      </c>
      <c r="CJ36" s="2">
        <v>1</v>
      </c>
      <c r="CK36" s="2">
        <v>21</v>
      </c>
      <c r="CL36" s="2" t="s">
        <v>86</v>
      </c>
      <c r="CM36" s="2"/>
    </row>
    <row r="37" spans="1:91">
      <c r="A37" s="2" t="s">
        <v>71</v>
      </c>
      <c r="B37" s="2" t="s">
        <v>72</v>
      </c>
      <c r="C37" s="2" t="s">
        <v>73</v>
      </c>
      <c r="D37" s="2"/>
      <c r="E37" s="2" t="str">
        <f>"FES1162542954"</f>
        <v>FES1162542954</v>
      </c>
      <c r="F37" s="3">
        <v>42836</v>
      </c>
      <c r="G37" s="2">
        <v>201710</v>
      </c>
      <c r="H37" s="2" t="s">
        <v>74</v>
      </c>
      <c r="I37" s="2" t="s">
        <v>75</v>
      </c>
      <c r="J37" s="2" t="s">
        <v>76</v>
      </c>
      <c r="K37" s="2" t="s">
        <v>77</v>
      </c>
      <c r="L37" s="2" t="s">
        <v>112</v>
      </c>
      <c r="M37" s="2" t="s">
        <v>113</v>
      </c>
      <c r="N37" s="2" t="s">
        <v>239</v>
      </c>
      <c r="O37" s="2" t="s">
        <v>115</v>
      </c>
      <c r="P37" s="2" t="str">
        <f>"2170561740                    "</f>
        <v xml:space="preserve">2170561740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4.29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1</v>
      </c>
      <c r="BJ37" s="2">
        <v>1.5</v>
      </c>
      <c r="BK37" s="2">
        <v>1.5</v>
      </c>
      <c r="BL37" s="2">
        <v>41.73</v>
      </c>
      <c r="BM37" s="2">
        <v>5.84</v>
      </c>
      <c r="BN37" s="2">
        <v>47.57</v>
      </c>
      <c r="BO37" s="2">
        <v>47.57</v>
      </c>
      <c r="BP37" s="2"/>
      <c r="BQ37" s="2" t="s">
        <v>240</v>
      </c>
      <c r="BR37" s="2" t="s">
        <v>123</v>
      </c>
      <c r="BS37" s="3">
        <v>42837</v>
      </c>
      <c r="BT37" s="4">
        <v>0.41666666666666669</v>
      </c>
      <c r="BU37" s="2" t="s">
        <v>241</v>
      </c>
      <c r="BV37" s="2" t="s">
        <v>111</v>
      </c>
      <c r="BW37" s="2"/>
      <c r="BX37" s="2"/>
      <c r="BY37" s="2">
        <v>7257.6</v>
      </c>
      <c r="BZ37" s="2" t="s">
        <v>27</v>
      </c>
      <c r="CA37" s="2"/>
      <c r="CB37" s="2"/>
      <c r="CC37" s="2" t="s">
        <v>113</v>
      </c>
      <c r="CD37" s="2">
        <v>3201</v>
      </c>
      <c r="CE37" s="2" t="s">
        <v>144</v>
      </c>
      <c r="CF37" s="5">
        <v>42843</v>
      </c>
      <c r="CG37" s="2"/>
      <c r="CH37" s="2"/>
      <c r="CI37" s="2">
        <v>1</v>
      </c>
      <c r="CJ37" s="2">
        <v>1</v>
      </c>
      <c r="CK37" s="2">
        <v>21</v>
      </c>
      <c r="CL37" s="2" t="s">
        <v>86</v>
      </c>
      <c r="CM37" s="2"/>
    </row>
    <row r="38" spans="1:91">
      <c r="A38" s="2" t="s">
        <v>71</v>
      </c>
      <c r="B38" s="2" t="s">
        <v>72</v>
      </c>
      <c r="C38" s="2" t="s">
        <v>73</v>
      </c>
      <c r="D38" s="2"/>
      <c r="E38" s="2" t="str">
        <f>"019909748615"</f>
        <v>019909748615</v>
      </c>
      <c r="F38" s="3">
        <v>42830</v>
      </c>
      <c r="G38" s="2">
        <v>201710</v>
      </c>
      <c r="H38" s="2" t="s">
        <v>176</v>
      </c>
      <c r="I38" s="2" t="s">
        <v>176</v>
      </c>
      <c r="J38" s="2" t="s">
        <v>242</v>
      </c>
      <c r="K38" s="2" t="s">
        <v>77</v>
      </c>
      <c r="L38" s="2" t="s">
        <v>74</v>
      </c>
      <c r="M38" s="2" t="s">
        <v>75</v>
      </c>
      <c r="N38" s="2" t="s">
        <v>200</v>
      </c>
      <c r="O38" s="2" t="s">
        <v>115</v>
      </c>
      <c r="P38" s="2" t="str">
        <f>"                              "</f>
        <v xml:space="preserve">          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6.43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2.6</v>
      </c>
      <c r="BJ38" s="2">
        <v>2.2999999999999998</v>
      </c>
      <c r="BK38" s="2">
        <v>3</v>
      </c>
      <c r="BL38" s="2">
        <v>62.59</v>
      </c>
      <c r="BM38" s="2">
        <v>8.76</v>
      </c>
      <c r="BN38" s="2">
        <v>71.349999999999994</v>
      </c>
      <c r="BO38" s="2">
        <v>71.349999999999994</v>
      </c>
      <c r="BP38" s="2"/>
      <c r="BQ38" s="2" t="s">
        <v>243</v>
      </c>
      <c r="BR38" s="2" t="s">
        <v>244</v>
      </c>
      <c r="BS38" s="3">
        <v>42831</v>
      </c>
      <c r="BT38" s="4">
        <v>0.34722222222222227</v>
      </c>
      <c r="BU38" s="2" t="s">
        <v>134</v>
      </c>
      <c r="BV38" s="2" t="s">
        <v>111</v>
      </c>
      <c r="BW38" s="2"/>
      <c r="BX38" s="2"/>
      <c r="BY38" s="2">
        <v>11604.88</v>
      </c>
      <c r="BZ38" s="2" t="s">
        <v>27</v>
      </c>
      <c r="CA38" s="2"/>
      <c r="CB38" s="2"/>
      <c r="CC38" s="2" t="s">
        <v>75</v>
      </c>
      <c r="CD38" s="2">
        <v>1600</v>
      </c>
      <c r="CE38" s="2" t="s">
        <v>89</v>
      </c>
      <c r="CF38" s="5">
        <v>42832</v>
      </c>
      <c r="CG38" s="2"/>
      <c r="CH38" s="2"/>
      <c r="CI38" s="2">
        <v>1</v>
      </c>
      <c r="CJ38" s="2">
        <v>1</v>
      </c>
      <c r="CK38" s="2">
        <v>21</v>
      </c>
      <c r="CL38" s="2" t="s">
        <v>86</v>
      </c>
      <c r="CM38" s="2"/>
    </row>
    <row r="39" spans="1:91">
      <c r="A39" s="2" t="s">
        <v>71</v>
      </c>
      <c r="B39" s="2" t="s">
        <v>72</v>
      </c>
      <c r="C39" s="2" t="s">
        <v>73</v>
      </c>
      <c r="D39" s="2"/>
      <c r="E39" s="2" t="str">
        <f>"FES1162541299"</f>
        <v>FES1162541299</v>
      </c>
      <c r="F39" s="3">
        <v>42829</v>
      </c>
      <c r="G39" s="2">
        <v>201710</v>
      </c>
      <c r="H39" s="2" t="s">
        <v>74</v>
      </c>
      <c r="I39" s="2" t="s">
        <v>75</v>
      </c>
      <c r="J39" s="2" t="s">
        <v>76</v>
      </c>
      <c r="K39" s="2" t="s">
        <v>77</v>
      </c>
      <c r="L39" s="2" t="s">
        <v>187</v>
      </c>
      <c r="M39" s="2" t="s">
        <v>146</v>
      </c>
      <c r="N39" s="2" t="s">
        <v>206</v>
      </c>
      <c r="O39" s="2" t="s">
        <v>115</v>
      </c>
      <c r="P39" s="2" t="str">
        <f>"2170560367                    "</f>
        <v xml:space="preserve">2170560367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4.42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</v>
      </c>
      <c r="BJ39" s="2">
        <v>0.2</v>
      </c>
      <c r="BK39" s="2">
        <v>1</v>
      </c>
      <c r="BL39" s="2">
        <v>41.86</v>
      </c>
      <c r="BM39" s="2">
        <v>5.86</v>
      </c>
      <c r="BN39" s="2">
        <v>47.72</v>
      </c>
      <c r="BO39" s="2">
        <v>47.72</v>
      </c>
      <c r="BP39" s="2"/>
      <c r="BQ39" s="2" t="s">
        <v>122</v>
      </c>
      <c r="BR39" s="2" t="s">
        <v>123</v>
      </c>
      <c r="BS39" s="3">
        <v>42830</v>
      </c>
      <c r="BT39" s="4">
        <v>0.3888888888888889</v>
      </c>
      <c r="BU39" s="2" t="s">
        <v>245</v>
      </c>
      <c r="BV39" s="2" t="s">
        <v>111</v>
      </c>
      <c r="BW39" s="2"/>
      <c r="BX39" s="2"/>
      <c r="BY39" s="2">
        <v>1200</v>
      </c>
      <c r="BZ39" s="2" t="s">
        <v>27</v>
      </c>
      <c r="CA39" s="2"/>
      <c r="CB39" s="2"/>
      <c r="CC39" s="2" t="s">
        <v>146</v>
      </c>
      <c r="CD39" s="2">
        <v>200</v>
      </c>
      <c r="CE39" s="2" t="s">
        <v>144</v>
      </c>
      <c r="CF39" s="5">
        <v>42832</v>
      </c>
      <c r="CG39" s="2"/>
      <c r="CH39" s="2"/>
      <c r="CI39" s="2">
        <v>0</v>
      </c>
      <c r="CJ39" s="2">
        <v>0</v>
      </c>
      <c r="CK39" s="2">
        <v>21</v>
      </c>
      <c r="CL39" s="2" t="s">
        <v>86</v>
      </c>
      <c r="CM39" s="2"/>
    </row>
    <row r="40" spans="1:91">
      <c r="A40" s="2" t="s">
        <v>71</v>
      </c>
      <c r="B40" s="2" t="s">
        <v>72</v>
      </c>
      <c r="C40" s="2" t="s">
        <v>73</v>
      </c>
      <c r="D40" s="2"/>
      <c r="E40" s="2" t="str">
        <f>"080001607263"</f>
        <v>080001607263</v>
      </c>
      <c r="F40" s="3">
        <v>42837</v>
      </c>
      <c r="G40" s="2">
        <v>201710</v>
      </c>
      <c r="H40" s="2" t="s">
        <v>112</v>
      </c>
      <c r="I40" s="2" t="s">
        <v>113</v>
      </c>
      <c r="J40" s="2" t="s">
        <v>246</v>
      </c>
      <c r="K40" s="2" t="s">
        <v>77</v>
      </c>
      <c r="L40" s="2" t="s">
        <v>74</v>
      </c>
      <c r="M40" s="2" t="s">
        <v>75</v>
      </c>
      <c r="N40" s="2" t="s">
        <v>200</v>
      </c>
      <c r="O40" s="2" t="s">
        <v>115</v>
      </c>
      <c r="P40" s="2" t="str">
        <f>"ZA1000635219                  "</f>
        <v xml:space="preserve">ZA1000635219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6.43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2.6</v>
      </c>
      <c r="BJ40" s="2">
        <v>1.4</v>
      </c>
      <c r="BK40" s="2">
        <v>3</v>
      </c>
      <c r="BL40" s="2">
        <v>62.59</v>
      </c>
      <c r="BM40" s="2">
        <v>8.76</v>
      </c>
      <c r="BN40" s="2">
        <v>71.349999999999994</v>
      </c>
      <c r="BO40" s="2">
        <v>71.349999999999994</v>
      </c>
      <c r="BP40" s="2" t="s">
        <v>247</v>
      </c>
      <c r="BQ40" s="2" t="s">
        <v>134</v>
      </c>
      <c r="BR40" s="2" t="s">
        <v>194</v>
      </c>
      <c r="BS40" s="3">
        <v>42838</v>
      </c>
      <c r="BT40" s="4">
        <v>0.33333333333333331</v>
      </c>
      <c r="BU40" s="2" t="s">
        <v>134</v>
      </c>
      <c r="BV40" s="2" t="s">
        <v>111</v>
      </c>
      <c r="BW40" s="2"/>
      <c r="BX40" s="2"/>
      <c r="BY40" s="2">
        <v>7200</v>
      </c>
      <c r="BZ40" s="2"/>
      <c r="CA40" s="2"/>
      <c r="CB40" s="2"/>
      <c r="CC40" s="2" t="s">
        <v>75</v>
      </c>
      <c r="CD40" s="2">
        <v>1601</v>
      </c>
      <c r="CE40" s="2" t="s">
        <v>89</v>
      </c>
      <c r="CF40" s="5">
        <v>42843</v>
      </c>
      <c r="CG40" s="2"/>
      <c r="CH40" s="2"/>
      <c r="CI40" s="2">
        <v>1</v>
      </c>
      <c r="CJ40" s="2">
        <v>1</v>
      </c>
      <c r="CK40" s="2">
        <v>21</v>
      </c>
      <c r="CL40" s="2" t="s">
        <v>86</v>
      </c>
      <c r="CM40" s="2"/>
    </row>
    <row r="41" spans="1:91">
      <c r="A41" s="2" t="s">
        <v>71</v>
      </c>
      <c r="B41" s="2" t="s">
        <v>72</v>
      </c>
      <c r="C41" s="2" t="s">
        <v>73</v>
      </c>
      <c r="D41" s="2"/>
      <c r="E41" s="2" t="str">
        <f>"FES1162543200"</f>
        <v>FES1162543200</v>
      </c>
      <c r="F41" s="3">
        <v>42837</v>
      </c>
      <c r="G41" s="2">
        <v>201710</v>
      </c>
      <c r="H41" s="2" t="s">
        <v>74</v>
      </c>
      <c r="I41" s="2" t="s">
        <v>75</v>
      </c>
      <c r="J41" s="2" t="s">
        <v>76</v>
      </c>
      <c r="K41" s="2" t="s">
        <v>77</v>
      </c>
      <c r="L41" s="2" t="s">
        <v>160</v>
      </c>
      <c r="M41" s="2" t="s">
        <v>161</v>
      </c>
      <c r="N41" s="2" t="s">
        <v>248</v>
      </c>
      <c r="O41" s="2" t="s">
        <v>115</v>
      </c>
      <c r="P41" s="2" t="str">
        <f>"2170556776                    "</f>
        <v xml:space="preserve">2170556776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7.5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2.2000000000000002</v>
      </c>
      <c r="BJ41" s="2">
        <v>3.3</v>
      </c>
      <c r="BK41" s="2">
        <v>3.5</v>
      </c>
      <c r="BL41" s="2">
        <v>73.02</v>
      </c>
      <c r="BM41" s="2">
        <v>10.220000000000001</v>
      </c>
      <c r="BN41" s="2">
        <v>83.24</v>
      </c>
      <c r="BO41" s="2">
        <v>83.24</v>
      </c>
      <c r="BP41" s="2"/>
      <c r="BQ41" s="2" t="s">
        <v>249</v>
      </c>
      <c r="BR41" s="2" t="s">
        <v>84</v>
      </c>
      <c r="BS41" s="3">
        <v>42843</v>
      </c>
      <c r="BT41" s="4">
        <v>0.45833333333333331</v>
      </c>
      <c r="BU41" s="2" t="s">
        <v>250</v>
      </c>
      <c r="BV41" s="2" t="s">
        <v>86</v>
      </c>
      <c r="BW41" s="2" t="s">
        <v>157</v>
      </c>
      <c r="BX41" s="2" t="s">
        <v>251</v>
      </c>
      <c r="BY41" s="2">
        <v>16430.7</v>
      </c>
      <c r="BZ41" s="2" t="s">
        <v>27</v>
      </c>
      <c r="CA41" s="2"/>
      <c r="CB41" s="2"/>
      <c r="CC41" s="2" t="s">
        <v>161</v>
      </c>
      <c r="CD41" s="2">
        <v>5200</v>
      </c>
      <c r="CE41" s="2" t="s">
        <v>89</v>
      </c>
      <c r="CF41" s="5">
        <v>42844</v>
      </c>
      <c r="CG41" s="2"/>
      <c r="CH41" s="2"/>
      <c r="CI41" s="2">
        <v>1</v>
      </c>
      <c r="CJ41" s="2">
        <v>4</v>
      </c>
      <c r="CK41" s="2">
        <v>21</v>
      </c>
      <c r="CL41" s="2" t="s">
        <v>86</v>
      </c>
      <c r="CM41" s="2"/>
    </row>
    <row r="42" spans="1:91">
      <c r="A42" s="2" t="s">
        <v>71</v>
      </c>
      <c r="B42" s="2" t="s">
        <v>72</v>
      </c>
      <c r="C42" s="2" t="s">
        <v>73</v>
      </c>
      <c r="D42" s="2"/>
      <c r="E42" s="2" t="str">
        <f>"FES1162541876"</f>
        <v>FES1162541876</v>
      </c>
      <c r="F42" s="3">
        <v>42831</v>
      </c>
      <c r="G42" s="2">
        <v>201710</v>
      </c>
      <c r="H42" s="2" t="s">
        <v>74</v>
      </c>
      <c r="I42" s="2" t="s">
        <v>75</v>
      </c>
      <c r="J42" s="2" t="s">
        <v>200</v>
      </c>
      <c r="K42" s="2" t="s">
        <v>77</v>
      </c>
      <c r="L42" s="2" t="s">
        <v>252</v>
      </c>
      <c r="M42" s="2" t="s">
        <v>253</v>
      </c>
      <c r="N42" s="2" t="s">
        <v>254</v>
      </c>
      <c r="O42" s="2" t="s">
        <v>255</v>
      </c>
      <c r="P42" s="2" t="str">
        <f>"21705608793                   "</f>
        <v xml:space="preserve">21705608793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351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55.19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2</v>
      </c>
      <c r="BI42" s="2">
        <v>7</v>
      </c>
      <c r="BJ42" s="2">
        <v>3.4</v>
      </c>
      <c r="BK42" s="2">
        <v>7</v>
      </c>
      <c r="BL42" s="2">
        <v>537.23</v>
      </c>
      <c r="BM42" s="2">
        <v>75.209999999999994</v>
      </c>
      <c r="BN42" s="2">
        <v>612.44000000000005</v>
      </c>
      <c r="BO42" s="2">
        <v>612.44000000000005</v>
      </c>
      <c r="BP42" s="2" t="s">
        <v>256</v>
      </c>
      <c r="BQ42" s="2" t="s">
        <v>257</v>
      </c>
      <c r="BR42" s="2" t="s">
        <v>204</v>
      </c>
      <c r="BS42" s="3">
        <v>42831</v>
      </c>
      <c r="BT42" s="4">
        <v>0.63541666666666663</v>
      </c>
      <c r="BU42" s="2" t="s">
        <v>258</v>
      </c>
      <c r="BV42" s="2" t="s">
        <v>111</v>
      </c>
      <c r="BW42" s="2"/>
      <c r="BX42" s="2"/>
      <c r="BY42" s="2">
        <v>17200</v>
      </c>
      <c r="BZ42" s="2" t="s">
        <v>259</v>
      </c>
      <c r="CA42" s="2"/>
      <c r="CB42" s="2"/>
      <c r="CC42" s="2" t="s">
        <v>253</v>
      </c>
      <c r="CD42" s="2">
        <v>3900</v>
      </c>
      <c r="CE42" s="2" t="s">
        <v>89</v>
      </c>
      <c r="CF42" s="5">
        <v>42835</v>
      </c>
      <c r="CG42" s="2"/>
      <c r="CH42" s="2"/>
      <c r="CI42" s="2">
        <v>0</v>
      </c>
      <c r="CJ42" s="2">
        <v>0</v>
      </c>
      <c r="CK42" s="2">
        <v>21</v>
      </c>
      <c r="CL42" s="2" t="s">
        <v>86</v>
      </c>
      <c r="CM42" s="2"/>
    </row>
    <row r="43" spans="1:91">
      <c r="A43" s="2" t="s">
        <v>71</v>
      </c>
      <c r="B43" s="2" t="s">
        <v>72</v>
      </c>
      <c r="C43" s="2" t="s">
        <v>73</v>
      </c>
      <c r="D43" s="2"/>
      <c r="E43" s="2" t="str">
        <f>"080001601077"</f>
        <v>080001601077</v>
      </c>
      <c r="F43" s="3">
        <v>42830</v>
      </c>
      <c r="G43" s="2">
        <v>201710</v>
      </c>
      <c r="H43" s="2" t="s">
        <v>260</v>
      </c>
      <c r="I43" s="2" t="s">
        <v>261</v>
      </c>
      <c r="J43" s="2" t="s">
        <v>262</v>
      </c>
      <c r="K43" s="2" t="s">
        <v>77</v>
      </c>
      <c r="L43" s="2" t="s">
        <v>74</v>
      </c>
      <c r="M43" s="2" t="s">
        <v>75</v>
      </c>
      <c r="N43" s="2" t="s">
        <v>200</v>
      </c>
      <c r="O43" s="2" t="s">
        <v>115</v>
      </c>
      <c r="P43" s="2" t="str">
        <f>"ZA1000633801                  "</f>
        <v xml:space="preserve">ZA1000633801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3.35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2</v>
      </c>
      <c r="BJ43" s="2">
        <v>0.2</v>
      </c>
      <c r="BK43" s="2">
        <v>2</v>
      </c>
      <c r="BL43" s="2">
        <v>32.6</v>
      </c>
      <c r="BM43" s="2">
        <v>4.5599999999999996</v>
      </c>
      <c r="BN43" s="2">
        <v>37.159999999999997</v>
      </c>
      <c r="BO43" s="2">
        <v>37.159999999999997</v>
      </c>
      <c r="BP43" s="2" t="s">
        <v>263</v>
      </c>
      <c r="BQ43" s="2" t="s">
        <v>134</v>
      </c>
      <c r="BR43" s="2" t="s">
        <v>264</v>
      </c>
      <c r="BS43" s="3">
        <v>42831</v>
      </c>
      <c r="BT43" s="4">
        <v>0.34722222222222227</v>
      </c>
      <c r="BU43" s="2" t="s">
        <v>134</v>
      </c>
      <c r="BV43" s="2" t="s">
        <v>111</v>
      </c>
      <c r="BW43" s="2"/>
      <c r="BX43" s="2"/>
      <c r="BY43" s="2">
        <v>1200</v>
      </c>
      <c r="BZ43" s="2" t="s">
        <v>27</v>
      </c>
      <c r="CA43" s="2"/>
      <c r="CB43" s="2"/>
      <c r="CC43" s="2" t="s">
        <v>75</v>
      </c>
      <c r="CD43" s="2">
        <v>1600</v>
      </c>
      <c r="CE43" s="2" t="s">
        <v>89</v>
      </c>
      <c r="CF43" s="5">
        <v>42832</v>
      </c>
      <c r="CG43" s="2"/>
      <c r="CH43" s="2"/>
      <c r="CI43" s="2">
        <v>1</v>
      </c>
      <c r="CJ43" s="2">
        <v>1</v>
      </c>
      <c r="CK43" s="2">
        <v>22</v>
      </c>
      <c r="CL43" s="2" t="s">
        <v>86</v>
      </c>
      <c r="CM43" s="2"/>
    </row>
    <row r="44" spans="1:91">
      <c r="A44" s="2" t="s">
        <v>71</v>
      </c>
      <c r="B44" s="2" t="s">
        <v>72</v>
      </c>
      <c r="C44" s="2" t="s">
        <v>73</v>
      </c>
      <c r="D44" s="2"/>
      <c r="E44" s="2" t="str">
        <f>"FES1162542902"</f>
        <v>FES1162542902</v>
      </c>
      <c r="F44" s="3">
        <v>42836</v>
      </c>
      <c r="G44" s="2">
        <v>201710</v>
      </c>
      <c r="H44" s="2" t="s">
        <v>74</v>
      </c>
      <c r="I44" s="2" t="s">
        <v>75</v>
      </c>
      <c r="J44" s="2" t="s">
        <v>76</v>
      </c>
      <c r="K44" s="2" t="s">
        <v>77</v>
      </c>
      <c r="L44" s="2" t="s">
        <v>74</v>
      </c>
      <c r="M44" s="2" t="s">
        <v>75</v>
      </c>
      <c r="N44" s="2" t="s">
        <v>265</v>
      </c>
      <c r="O44" s="2" t="s">
        <v>115</v>
      </c>
      <c r="P44" s="2" t="str">
        <f>"2170559028                    "</f>
        <v xml:space="preserve">2170559028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3.35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1</v>
      </c>
      <c r="BJ44" s="2">
        <v>0.2</v>
      </c>
      <c r="BK44" s="2">
        <v>1</v>
      </c>
      <c r="BL44" s="2">
        <v>32.6</v>
      </c>
      <c r="BM44" s="2">
        <v>4.5599999999999996</v>
      </c>
      <c r="BN44" s="2">
        <v>37.159999999999997</v>
      </c>
      <c r="BO44" s="2">
        <v>37.159999999999997</v>
      </c>
      <c r="BP44" s="2"/>
      <c r="BQ44" s="2"/>
      <c r="BR44" s="2" t="s">
        <v>123</v>
      </c>
      <c r="BS44" s="3">
        <v>42837</v>
      </c>
      <c r="BT44" s="4">
        <v>0.41666666666666669</v>
      </c>
      <c r="BU44" s="2" t="s">
        <v>266</v>
      </c>
      <c r="BV44" s="2" t="s">
        <v>111</v>
      </c>
      <c r="BW44" s="2"/>
      <c r="BX44" s="2"/>
      <c r="BY44" s="2">
        <v>1200</v>
      </c>
      <c r="BZ44" s="2" t="s">
        <v>27</v>
      </c>
      <c r="CA44" s="2"/>
      <c r="CB44" s="2"/>
      <c r="CC44" s="2" t="s">
        <v>75</v>
      </c>
      <c r="CD44" s="2">
        <v>1645</v>
      </c>
      <c r="CE44" s="2" t="s">
        <v>118</v>
      </c>
      <c r="CF44" s="5">
        <v>42838</v>
      </c>
      <c r="CG44" s="2"/>
      <c r="CH44" s="2"/>
      <c r="CI44" s="2">
        <v>1</v>
      </c>
      <c r="CJ44" s="2">
        <v>1</v>
      </c>
      <c r="CK44" s="2">
        <v>22</v>
      </c>
      <c r="CL44" s="2" t="s">
        <v>86</v>
      </c>
      <c r="CM44" s="2"/>
    </row>
    <row r="45" spans="1:91">
      <c r="A45" s="2" t="s">
        <v>71</v>
      </c>
      <c r="B45" s="2" t="s">
        <v>72</v>
      </c>
      <c r="C45" s="2" t="s">
        <v>73</v>
      </c>
      <c r="D45" s="2"/>
      <c r="E45" s="2" t="str">
        <f>"FES1162541772"</f>
        <v>FES1162541772</v>
      </c>
      <c r="F45" s="3">
        <v>42830</v>
      </c>
      <c r="G45" s="2">
        <v>201710</v>
      </c>
      <c r="H45" s="2" t="s">
        <v>74</v>
      </c>
      <c r="I45" s="2" t="s">
        <v>75</v>
      </c>
      <c r="J45" s="2" t="s">
        <v>76</v>
      </c>
      <c r="K45" s="2" t="s">
        <v>77</v>
      </c>
      <c r="L45" s="2" t="s">
        <v>267</v>
      </c>
      <c r="M45" s="2" t="s">
        <v>268</v>
      </c>
      <c r="N45" s="2" t="s">
        <v>269</v>
      </c>
      <c r="O45" s="2" t="s">
        <v>115</v>
      </c>
      <c r="P45" s="2" t="str">
        <f>"2170560774                    "</f>
        <v xml:space="preserve">2170560774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3.35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1</v>
      </c>
      <c r="BJ45" s="2">
        <v>0.2</v>
      </c>
      <c r="BK45" s="2">
        <v>1</v>
      </c>
      <c r="BL45" s="2">
        <v>32.6</v>
      </c>
      <c r="BM45" s="2">
        <v>4.5599999999999996</v>
      </c>
      <c r="BN45" s="2">
        <v>37.159999999999997</v>
      </c>
      <c r="BO45" s="2">
        <v>37.159999999999997</v>
      </c>
      <c r="BP45" s="2"/>
      <c r="BQ45" s="2" t="s">
        <v>270</v>
      </c>
      <c r="BR45" s="2" t="s">
        <v>123</v>
      </c>
      <c r="BS45" s="3">
        <v>42831</v>
      </c>
      <c r="BT45" s="4">
        <v>0.41666666666666669</v>
      </c>
      <c r="BU45" s="2" t="s">
        <v>271</v>
      </c>
      <c r="BV45" s="2" t="s">
        <v>111</v>
      </c>
      <c r="BW45" s="2"/>
      <c r="BX45" s="2"/>
      <c r="BY45" s="2">
        <v>1200</v>
      </c>
      <c r="BZ45" s="2" t="s">
        <v>27</v>
      </c>
      <c r="CA45" s="2"/>
      <c r="CB45" s="2"/>
      <c r="CC45" s="2" t="s">
        <v>268</v>
      </c>
      <c r="CD45" s="2">
        <v>1709</v>
      </c>
      <c r="CE45" s="2" t="s">
        <v>118</v>
      </c>
      <c r="CF45" s="5">
        <v>42832</v>
      </c>
      <c r="CG45" s="2"/>
      <c r="CH45" s="2"/>
      <c r="CI45" s="2">
        <v>1</v>
      </c>
      <c r="CJ45" s="2">
        <v>1</v>
      </c>
      <c r="CK45" s="2">
        <v>22</v>
      </c>
      <c r="CL45" s="2" t="s">
        <v>86</v>
      </c>
      <c r="CM45" s="2"/>
    </row>
    <row r="46" spans="1:91">
      <c r="A46" s="2" t="s">
        <v>71</v>
      </c>
      <c r="B46" s="2" t="s">
        <v>72</v>
      </c>
      <c r="C46" s="2" t="s">
        <v>73</v>
      </c>
      <c r="D46" s="2"/>
      <c r="E46" s="2" t="str">
        <f>"FES1162541145"</f>
        <v>FES1162541145</v>
      </c>
      <c r="F46" s="3">
        <v>42829</v>
      </c>
      <c r="G46" s="2">
        <v>201710</v>
      </c>
      <c r="H46" s="2" t="s">
        <v>74</v>
      </c>
      <c r="I46" s="2" t="s">
        <v>75</v>
      </c>
      <c r="J46" s="2" t="s">
        <v>76</v>
      </c>
      <c r="K46" s="2" t="s">
        <v>77</v>
      </c>
      <c r="L46" s="2" t="s">
        <v>166</v>
      </c>
      <c r="M46" s="2" t="s">
        <v>167</v>
      </c>
      <c r="N46" s="2" t="s">
        <v>272</v>
      </c>
      <c r="O46" s="2" t="s">
        <v>115</v>
      </c>
      <c r="P46" s="2" t="str">
        <f>"2170560228                    "</f>
        <v xml:space="preserve">2170560228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3.45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1</v>
      </c>
      <c r="BJ46" s="2">
        <v>0.2</v>
      </c>
      <c r="BK46" s="2">
        <v>1</v>
      </c>
      <c r="BL46" s="2">
        <v>32.700000000000003</v>
      </c>
      <c r="BM46" s="2">
        <v>4.58</v>
      </c>
      <c r="BN46" s="2">
        <v>37.28</v>
      </c>
      <c r="BO46" s="2">
        <v>37.28</v>
      </c>
      <c r="BP46" s="2"/>
      <c r="BQ46" s="2" t="s">
        <v>273</v>
      </c>
      <c r="BR46" s="2" t="s">
        <v>123</v>
      </c>
      <c r="BS46" s="3">
        <v>42830</v>
      </c>
      <c r="BT46" s="4">
        <v>0.41666666666666669</v>
      </c>
      <c r="BU46" s="2" t="s">
        <v>274</v>
      </c>
      <c r="BV46" s="2" t="s">
        <v>111</v>
      </c>
      <c r="BW46" s="2"/>
      <c r="BX46" s="2"/>
      <c r="BY46" s="2">
        <v>1200</v>
      </c>
      <c r="BZ46" s="2" t="s">
        <v>27</v>
      </c>
      <c r="CA46" s="2"/>
      <c r="CB46" s="2"/>
      <c r="CC46" s="2" t="s">
        <v>167</v>
      </c>
      <c r="CD46" s="2">
        <v>2042</v>
      </c>
      <c r="CE46" s="2" t="s">
        <v>118</v>
      </c>
      <c r="CF46" s="5">
        <v>42832</v>
      </c>
      <c r="CG46" s="2"/>
      <c r="CH46" s="2"/>
      <c r="CI46" s="2">
        <v>1</v>
      </c>
      <c r="CJ46" s="2">
        <v>1</v>
      </c>
      <c r="CK46" s="2">
        <v>22</v>
      </c>
      <c r="CL46" s="2" t="s">
        <v>86</v>
      </c>
      <c r="CM46" s="2"/>
    </row>
    <row r="47" spans="1:91">
      <c r="A47" s="2" t="s">
        <v>71</v>
      </c>
      <c r="B47" s="2" t="s">
        <v>72</v>
      </c>
      <c r="C47" s="2" t="s">
        <v>73</v>
      </c>
      <c r="D47" s="2"/>
      <c r="E47" s="2" t="str">
        <f>"FES1162543242"</f>
        <v>FES1162543242</v>
      </c>
      <c r="F47" s="3">
        <v>42837</v>
      </c>
      <c r="G47" s="2">
        <v>201710</v>
      </c>
      <c r="H47" s="2" t="s">
        <v>74</v>
      </c>
      <c r="I47" s="2" t="s">
        <v>75</v>
      </c>
      <c r="J47" s="2" t="s">
        <v>76</v>
      </c>
      <c r="K47" s="2" t="s">
        <v>77</v>
      </c>
      <c r="L47" s="2" t="s">
        <v>275</v>
      </c>
      <c r="M47" s="2" t="s">
        <v>276</v>
      </c>
      <c r="N47" s="2" t="s">
        <v>277</v>
      </c>
      <c r="O47" s="2" t="s">
        <v>115</v>
      </c>
      <c r="P47" s="2" t="str">
        <f>"2170559055                    "</f>
        <v xml:space="preserve">2170559055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4.29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</v>
      </c>
      <c r="BJ47" s="2">
        <v>0.2</v>
      </c>
      <c r="BK47" s="2">
        <v>1</v>
      </c>
      <c r="BL47" s="2">
        <v>41.73</v>
      </c>
      <c r="BM47" s="2">
        <v>5.84</v>
      </c>
      <c r="BN47" s="2">
        <v>47.57</v>
      </c>
      <c r="BO47" s="2">
        <v>47.57</v>
      </c>
      <c r="BP47" s="2"/>
      <c r="BQ47" s="2" t="s">
        <v>278</v>
      </c>
      <c r="BR47" s="2" t="s">
        <v>84</v>
      </c>
      <c r="BS47" s="3">
        <v>42838</v>
      </c>
      <c r="BT47" s="4">
        <v>0.39583333333333331</v>
      </c>
      <c r="BU47" s="2" t="s">
        <v>279</v>
      </c>
      <c r="BV47" s="2" t="s">
        <v>111</v>
      </c>
      <c r="BW47" s="2"/>
      <c r="BX47" s="2"/>
      <c r="BY47" s="2">
        <v>1200</v>
      </c>
      <c r="BZ47" s="2" t="s">
        <v>27</v>
      </c>
      <c r="CA47" s="2"/>
      <c r="CB47" s="2"/>
      <c r="CC47" s="2" t="s">
        <v>276</v>
      </c>
      <c r="CD47" s="2">
        <v>4126</v>
      </c>
      <c r="CE47" s="2" t="s">
        <v>118</v>
      </c>
      <c r="CF47" s="5">
        <v>42843</v>
      </c>
      <c r="CG47" s="2"/>
      <c r="CH47" s="2"/>
      <c r="CI47" s="2">
        <v>1</v>
      </c>
      <c r="CJ47" s="2">
        <v>1</v>
      </c>
      <c r="CK47" s="2">
        <v>21</v>
      </c>
      <c r="CL47" s="2" t="s">
        <v>86</v>
      </c>
      <c r="CM47" s="2"/>
    </row>
    <row r="48" spans="1:91">
      <c r="A48" s="2" t="s">
        <v>71</v>
      </c>
      <c r="B48" s="2" t="s">
        <v>72</v>
      </c>
      <c r="C48" s="2" t="s">
        <v>73</v>
      </c>
      <c r="D48" s="2"/>
      <c r="E48" s="2" t="str">
        <f>"FES1162542129"</f>
        <v>FES1162542129</v>
      </c>
      <c r="F48" s="3">
        <v>42831</v>
      </c>
      <c r="G48" s="2">
        <v>201710</v>
      </c>
      <c r="H48" s="2" t="s">
        <v>74</v>
      </c>
      <c r="I48" s="2" t="s">
        <v>75</v>
      </c>
      <c r="J48" s="2" t="s">
        <v>76</v>
      </c>
      <c r="K48" s="2" t="s">
        <v>77</v>
      </c>
      <c r="L48" s="2" t="s">
        <v>131</v>
      </c>
      <c r="M48" s="2" t="s">
        <v>132</v>
      </c>
      <c r="N48" s="2" t="s">
        <v>280</v>
      </c>
      <c r="O48" s="2" t="s">
        <v>115</v>
      </c>
      <c r="P48" s="2" t="str">
        <f>"2170561025                    "</f>
        <v xml:space="preserve">2170561025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4.29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1</v>
      </c>
      <c r="BJ48" s="2">
        <v>1.2</v>
      </c>
      <c r="BK48" s="2">
        <v>1.5</v>
      </c>
      <c r="BL48" s="2">
        <v>41.73</v>
      </c>
      <c r="BM48" s="2">
        <v>5.84</v>
      </c>
      <c r="BN48" s="2">
        <v>47.57</v>
      </c>
      <c r="BO48" s="2">
        <v>47.57</v>
      </c>
      <c r="BP48" s="2"/>
      <c r="BQ48" s="2" t="s">
        <v>281</v>
      </c>
      <c r="BR48" s="2" t="s">
        <v>123</v>
      </c>
      <c r="BS48" s="3">
        <v>42832</v>
      </c>
      <c r="BT48" s="4">
        <v>0.36874999999999997</v>
      </c>
      <c r="BU48" s="2" t="s">
        <v>282</v>
      </c>
      <c r="BV48" s="2" t="s">
        <v>111</v>
      </c>
      <c r="BW48" s="2"/>
      <c r="BX48" s="2"/>
      <c r="BY48" s="2">
        <v>6194.05</v>
      </c>
      <c r="BZ48" s="2" t="s">
        <v>27</v>
      </c>
      <c r="CA48" s="2"/>
      <c r="CB48" s="2"/>
      <c r="CC48" s="2" t="s">
        <v>132</v>
      </c>
      <c r="CD48" s="2">
        <v>7530</v>
      </c>
      <c r="CE48" s="2" t="s">
        <v>144</v>
      </c>
      <c r="CF48" s="5">
        <v>42835</v>
      </c>
      <c r="CG48" s="2"/>
      <c r="CH48" s="2"/>
      <c r="CI48" s="2">
        <v>1</v>
      </c>
      <c r="CJ48" s="2">
        <v>1</v>
      </c>
      <c r="CK48" s="2">
        <v>21</v>
      </c>
      <c r="CL48" s="2" t="s">
        <v>86</v>
      </c>
      <c r="CM48" s="2"/>
    </row>
    <row r="49" spans="1:91">
      <c r="A49" s="2" t="s">
        <v>71</v>
      </c>
      <c r="B49" s="2" t="s">
        <v>72</v>
      </c>
      <c r="C49" s="2" t="s">
        <v>73</v>
      </c>
      <c r="D49" s="2"/>
      <c r="E49" s="2" t="str">
        <f>"FES1162541222"</f>
        <v>FES1162541222</v>
      </c>
      <c r="F49" s="3">
        <v>42829</v>
      </c>
      <c r="G49" s="2">
        <v>201710</v>
      </c>
      <c r="H49" s="2" t="s">
        <v>74</v>
      </c>
      <c r="I49" s="2" t="s">
        <v>75</v>
      </c>
      <c r="J49" s="2" t="s">
        <v>76</v>
      </c>
      <c r="K49" s="2" t="s">
        <v>77</v>
      </c>
      <c r="L49" s="2" t="s">
        <v>166</v>
      </c>
      <c r="M49" s="2" t="s">
        <v>167</v>
      </c>
      <c r="N49" s="2" t="s">
        <v>283</v>
      </c>
      <c r="O49" s="2" t="s">
        <v>115</v>
      </c>
      <c r="P49" s="2" t="str">
        <f>"2170558221                    "</f>
        <v xml:space="preserve">2170558221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3.45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1</v>
      </c>
      <c r="BJ49" s="2">
        <v>0.2</v>
      </c>
      <c r="BK49" s="2">
        <v>1</v>
      </c>
      <c r="BL49" s="2">
        <v>32.700000000000003</v>
      </c>
      <c r="BM49" s="2">
        <v>4.58</v>
      </c>
      <c r="BN49" s="2">
        <v>37.28</v>
      </c>
      <c r="BO49" s="2">
        <v>37.28</v>
      </c>
      <c r="BP49" s="2"/>
      <c r="BQ49" s="2" t="s">
        <v>122</v>
      </c>
      <c r="BR49" s="2" t="s">
        <v>123</v>
      </c>
      <c r="BS49" s="3">
        <v>42830</v>
      </c>
      <c r="BT49" s="4">
        <v>0.37847222222222227</v>
      </c>
      <c r="BU49" s="2" t="s">
        <v>284</v>
      </c>
      <c r="BV49" s="2" t="s">
        <v>111</v>
      </c>
      <c r="BW49" s="2"/>
      <c r="BX49" s="2"/>
      <c r="BY49" s="2">
        <v>1200</v>
      </c>
      <c r="BZ49" s="2" t="s">
        <v>27</v>
      </c>
      <c r="CA49" s="2" t="s">
        <v>171</v>
      </c>
      <c r="CB49" s="2"/>
      <c r="CC49" s="2" t="s">
        <v>167</v>
      </c>
      <c r="CD49" s="2">
        <v>2011</v>
      </c>
      <c r="CE49" s="2" t="s">
        <v>118</v>
      </c>
      <c r="CF49" s="5">
        <v>42830</v>
      </c>
      <c r="CG49" s="2"/>
      <c r="CH49" s="2"/>
      <c r="CI49" s="2">
        <v>1</v>
      </c>
      <c r="CJ49" s="2">
        <v>1</v>
      </c>
      <c r="CK49" s="2">
        <v>22</v>
      </c>
      <c r="CL49" s="2" t="s">
        <v>86</v>
      </c>
      <c r="CM49" s="2"/>
    </row>
    <row r="50" spans="1:91">
      <c r="A50" s="2" t="s">
        <v>71</v>
      </c>
      <c r="B50" s="2" t="s">
        <v>72</v>
      </c>
      <c r="C50" s="2" t="s">
        <v>73</v>
      </c>
      <c r="D50" s="2"/>
      <c r="E50" s="2" t="str">
        <f>"FES1162542904"</f>
        <v>FES1162542904</v>
      </c>
      <c r="F50" s="3">
        <v>42836</v>
      </c>
      <c r="G50" s="2">
        <v>201710</v>
      </c>
      <c r="H50" s="2" t="s">
        <v>74</v>
      </c>
      <c r="I50" s="2" t="s">
        <v>75</v>
      </c>
      <c r="J50" s="2" t="s">
        <v>76</v>
      </c>
      <c r="K50" s="2" t="s">
        <v>77</v>
      </c>
      <c r="L50" s="2" t="s">
        <v>234</v>
      </c>
      <c r="M50" s="2" t="s">
        <v>235</v>
      </c>
      <c r="N50" s="2" t="s">
        <v>236</v>
      </c>
      <c r="O50" s="2" t="s">
        <v>115</v>
      </c>
      <c r="P50" s="2" t="str">
        <f>"2170559041                    "</f>
        <v xml:space="preserve">2170559041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20.36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9</v>
      </c>
      <c r="BJ50" s="2">
        <v>9.1999999999999993</v>
      </c>
      <c r="BK50" s="2">
        <v>9.5</v>
      </c>
      <c r="BL50" s="2">
        <v>198.2</v>
      </c>
      <c r="BM50" s="2">
        <v>27.75</v>
      </c>
      <c r="BN50" s="2">
        <v>225.95</v>
      </c>
      <c r="BO50" s="2">
        <v>225.95</v>
      </c>
      <c r="BP50" s="2"/>
      <c r="BQ50" s="2" t="s">
        <v>285</v>
      </c>
      <c r="BR50" s="2" t="s">
        <v>123</v>
      </c>
      <c r="BS50" s="3">
        <v>42837</v>
      </c>
      <c r="BT50" s="4">
        <v>0.34722222222222227</v>
      </c>
      <c r="BU50" s="2" t="s">
        <v>286</v>
      </c>
      <c r="BV50" s="2" t="s">
        <v>111</v>
      </c>
      <c r="BW50" s="2"/>
      <c r="BX50" s="2"/>
      <c r="BY50" s="2">
        <v>45941.23</v>
      </c>
      <c r="BZ50" s="2" t="s">
        <v>27</v>
      </c>
      <c r="CA50" s="2"/>
      <c r="CB50" s="2"/>
      <c r="CC50" s="2" t="s">
        <v>235</v>
      </c>
      <c r="CD50" s="2">
        <v>6220</v>
      </c>
      <c r="CE50" s="2" t="s">
        <v>287</v>
      </c>
      <c r="CF50" s="5">
        <v>42838</v>
      </c>
      <c r="CG50" s="2"/>
      <c r="CH50" s="2"/>
      <c r="CI50" s="2">
        <v>1</v>
      </c>
      <c r="CJ50" s="2">
        <v>1</v>
      </c>
      <c r="CK50" s="2">
        <v>21</v>
      </c>
      <c r="CL50" s="2" t="s">
        <v>86</v>
      </c>
      <c r="CM50" s="2"/>
    </row>
    <row r="51" spans="1:91">
      <c r="A51" s="2" t="s">
        <v>71</v>
      </c>
      <c r="B51" s="2" t="s">
        <v>72</v>
      </c>
      <c r="C51" s="2" t="s">
        <v>73</v>
      </c>
      <c r="D51" s="2"/>
      <c r="E51" s="2" t="str">
        <f>"FES1162541854"</f>
        <v>FES1162541854</v>
      </c>
      <c r="F51" s="3">
        <v>42830</v>
      </c>
      <c r="G51" s="2">
        <v>201710</v>
      </c>
      <c r="H51" s="2" t="s">
        <v>74</v>
      </c>
      <c r="I51" s="2" t="s">
        <v>75</v>
      </c>
      <c r="J51" s="2" t="s">
        <v>76</v>
      </c>
      <c r="K51" s="2" t="s">
        <v>77</v>
      </c>
      <c r="L51" s="2" t="s">
        <v>74</v>
      </c>
      <c r="M51" s="2" t="s">
        <v>75</v>
      </c>
      <c r="N51" s="2" t="s">
        <v>288</v>
      </c>
      <c r="O51" s="2" t="s">
        <v>115</v>
      </c>
      <c r="P51" s="2" t="str">
        <f>"2170560860                    "</f>
        <v xml:space="preserve">2170560860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3.35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1</v>
      </c>
      <c r="BJ51" s="2">
        <v>0.2</v>
      </c>
      <c r="BK51" s="2">
        <v>1</v>
      </c>
      <c r="BL51" s="2">
        <v>32.6</v>
      </c>
      <c r="BM51" s="2">
        <v>4.5599999999999996</v>
      </c>
      <c r="BN51" s="2">
        <v>37.159999999999997</v>
      </c>
      <c r="BO51" s="2">
        <v>37.159999999999997</v>
      </c>
      <c r="BP51" s="2"/>
      <c r="BQ51" s="2" t="s">
        <v>289</v>
      </c>
      <c r="BR51" s="2" t="s">
        <v>123</v>
      </c>
      <c r="BS51" s="3">
        <v>42831</v>
      </c>
      <c r="BT51" s="4">
        <v>0.41666666666666669</v>
      </c>
      <c r="BU51" s="2" t="s">
        <v>290</v>
      </c>
      <c r="BV51" s="2" t="s">
        <v>111</v>
      </c>
      <c r="BW51" s="2"/>
      <c r="BX51" s="2"/>
      <c r="BY51" s="2">
        <v>1200</v>
      </c>
      <c r="BZ51" s="2" t="s">
        <v>27</v>
      </c>
      <c r="CA51" s="2"/>
      <c r="CB51" s="2"/>
      <c r="CC51" s="2" t="s">
        <v>75</v>
      </c>
      <c r="CD51" s="2">
        <v>1600</v>
      </c>
      <c r="CE51" s="2" t="s">
        <v>118</v>
      </c>
      <c r="CF51" s="5">
        <v>42832</v>
      </c>
      <c r="CG51" s="2"/>
      <c r="CH51" s="2"/>
      <c r="CI51" s="2">
        <v>1</v>
      </c>
      <c r="CJ51" s="2">
        <v>1</v>
      </c>
      <c r="CK51" s="2">
        <v>22</v>
      </c>
      <c r="CL51" s="2" t="s">
        <v>86</v>
      </c>
      <c r="CM51" s="2"/>
    </row>
    <row r="52" spans="1:91">
      <c r="A52" s="2" t="s">
        <v>71</v>
      </c>
      <c r="B52" s="2" t="s">
        <v>72</v>
      </c>
      <c r="C52" s="2" t="s">
        <v>73</v>
      </c>
      <c r="D52" s="2"/>
      <c r="E52" s="2" t="str">
        <f>"FES1162541506"</f>
        <v>FES1162541506</v>
      </c>
      <c r="F52" s="3">
        <v>42830</v>
      </c>
      <c r="G52" s="2">
        <v>201710</v>
      </c>
      <c r="H52" s="2" t="s">
        <v>74</v>
      </c>
      <c r="I52" s="2" t="s">
        <v>75</v>
      </c>
      <c r="J52" s="2" t="s">
        <v>76</v>
      </c>
      <c r="K52" s="2" t="s">
        <v>77</v>
      </c>
      <c r="L52" s="2" t="s">
        <v>91</v>
      </c>
      <c r="M52" s="2" t="s">
        <v>92</v>
      </c>
      <c r="N52" s="2" t="s">
        <v>291</v>
      </c>
      <c r="O52" s="2" t="s">
        <v>115</v>
      </c>
      <c r="P52" s="2" t="str">
        <f>"2170560607                    "</f>
        <v xml:space="preserve">2170560607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3.35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2</v>
      </c>
      <c r="BJ52" s="2">
        <v>0.6</v>
      </c>
      <c r="BK52" s="2">
        <v>2</v>
      </c>
      <c r="BL52" s="2">
        <v>32.6</v>
      </c>
      <c r="BM52" s="2">
        <v>4.5599999999999996</v>
      </c>
      <c r="BN52" s="2">
        <v>37.159999999999997</v>
      </c>
      <c r="BO52" s="2">
        <v>37.159999999999997</v>
      </c>
      <c r="BP52" s="2"/>
      <c r="BQ52" s="2" t="s">
        <v>292</v>
      </c>
      <c r="BR52" s="2" t="s">
        <v>123</v>
      </c>
      <c r="BS52" s="3">
        <v>42831</v>
      </c>
      <c r="BT52" s="4">
        <v>0.4375</v>
      </c>
      <c r="BU52" s="2" t="s">
        <v>293</v>
      </c>
      <c r="BV52" s="2" t="s">
        <v>111</v>
      </c>
      <c r="BW52" s="2"/>
      <c r="BX52" s="2"/>
      <c r="BY52" s="2">
        <v>2800</v>
      </c>
      <c r="BZ52" s="2" t="s">
        <v>27</v>
      </c>
      <c r="CA52" s="2"/>
      <c r="CB52" s="2"/>
      <c r="CC52" s="2" t="s">
        <v>92</v>
      </c>
      <c r="CD52" s="2">
        <v>1428</v>
      </c>
      <c r="CE52" s="2" t="s">
        <v>89</v>
      </c>
      <c r="CF52" s="5">
        <v>42832</v>
      </c>
      <c r="CG52" s="2"/>
      <c r="CH52" s="2"/>
      <c r="CI52" s="2">
        <v>1</v>
      </c>
      <c r="CJ52" s="2">
        <v>1</v>
      </c>
      <c r="CK52" s="2">
        <v>22</v>
      </c>
      <c r="CL52" s="2" t="s">
        <v>86</v>
      </c>
      <c r="CM52" s="2"/>
    </row>
    <row r="53" spans="1:91">
      <c r="A53" s="2" t="s">
        <v>71</v>
      </c>
      <c r="B53" s="2" t="s">
        <v>72</v>
      </c>
      <c r="C53" s="2" t="s">
        <v>73</v>
      </c>
      <c r="D53" s="2"/>
      <c r="E53" s="2" t="str">
        <f>"FES1162543244"</f>
        <v>FES1162543244</v>
      </c>
      <c r="F53" s="3">
        <v>42837</v>
      </c>
      <c r="G53" s="2">
        <v>201710</v>
      </c>
      <c r="H53" s="2" t="s">
        <v>74</v>
      </c>
      <c r="I53" s="2" t="s">
        <v>75</v>
      </c>
      <c r="J53" s="2" t="s">
        <v>76</v>
      </c>
      <c r="K53" s="2" t="s">
        <v>77</v>
      </c>
      <c r="L53" s="2" t="s">
        <v>294</v>
      </c>
      <c r="M53" s="2" t="s">
        <v>295</v>
      </c>
      <c r="N53" s="2" t="s">
        <v>296</v>
      </c>
      <c r="O53" s="2" t="s">
        <v>115</v>
      </c>
      <c r="P53" s="2" t="str">
        <f>"2170559216                    "</f>
        <v xml:space="preserve">2170559216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4.29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</v>
      </c>
      <c r="BJ53" s="2">
        <v>0.2</v>
      </c>
      <c r="BK53" s="2">
        <v>1</v>
      </c>
      <c r="BL53" s="2">
        <v>41.73</v>
      </c>
      <c r="BM53" s="2">
        <v>5.84</v>
      </c>
      <c r="BN53" s="2">
        <v>47.57</v>
      </c>
      <c r="BO53" s="2">
        <v>47.57</v>
      </c>
      <c r="BP53" s="2"/>
      <c r="BQ53" s="2" t="s">
        <v>297</v>
      </c>
      <c r="BR53" s="2" t="s">
        <v>84</v>
      </c>
      <c r="BS53" s="3">
        <v>42838</v>
      </c>
      <c r="BT53" s="4">
        <v>0.4375</v>
      </c>
      <c r="BU53" s="2" t="s">
        <v>298</v>
      </c>
      <c r="BV53" s="2" t="s">
        <v>111</v>
      </c>
      <c r="BW53" s="2"/>
      <c r="BX53" s="2"/>
      <c r="BY53" s="2">
        <v>1200</v>
      </c>
      <c r="BZ53" s="2" t="s">
        <v>27</v>
      </c>
      <c r="CA53" s="2"/>
      <c r="CB53" s="2"/>
      <c r="CC53" s="2" t="s">
        <v>295</v>
      </c>
      <c r="CD53" s="2">
        <v>3620</v>
      </c>
      <c r="CE53" s="2" t="s">
        <v>118</v>
      </c>
      <c r="CF53" s="5">
        <v>42843</v>
      </c>
      <c r="CG53" s="2"/>
      <c r="CH53" s="2"/>
      <c r="CI53" s="2">
        <v>1</v>
      </c>
      <c r="CJ53" s="2">
        <v>1</v>
      </c>
      <c r="CK53" s="2">
        <v>21</v>
      </c>
      <c r="CL53" s="2" t="s">
        <v>86</v>
      </c>
      <c r="CM53" s="2"/>
    </row>
    <row r="54" spans="1:91">
      <c r="A54" s="2" t="s">
        <v>71</v>
      </c>
      <c r="B54" s="2" t="s">
        <v>72</v>
      </c>
      <c r="C54" s="2" t="s">
        <v>73</v>
      </c>
      <c r="D54" s="2"/>
      <c r="E54" s="2" t="str">
        <f>"FES1162542052"</f>
        <v>FES1162542052</v>
      </c>
      <c r="F54" s="3">
        <v>42831</v>
      </c>
      <c r="G54" s="2">
        <v>201710</v>
      </c>
      <c r="H54" s="2" t="s">
        <v>74</v>
      </c>
      <c r="I54" s="2" t="s">
        <v>75</v>
      </c>
      <c r="J54" s="2" t="s">
        <v>76</v>
      </c>
      <c r="K54" s="2" t="s">
        <v>77</v>
      </c>
      <c r="L54" s="2" t="s">
        <v>299</v>
      </c>
      <c r="M54" s="2" t="s">
        <v>300</v>
      </c>
      <c r="N54" s="2" t="s">
        <v>301</v>
      </c>
      <c r="O54" s="2" t="s">
        <v>115</v>
      </c>
      <c r="P54" s="2" t="str">
        <f>"2170544074                    "</f>
        <v xml:space="preserve">2170544074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6.03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1</v>
      </c>
      <c r="BJ54" s="2">
        <v>0.2</v>
      </c>
      <c r="BK54" s="2">
        <v>1</v>
      </c>
      <c r="BL54" s="2">
        <v>58.68</v>
      </c>
      <c r="BM54" s="2">
        <v>8.2200000000000006</v>
      </c>
      <c r="BN54" s="2">
        <v>66.900000000000006</v>
      </c>
      <c r="BO54" s="2">
        <v>66.900000000000006</v>
      </c>
      <c r="BP54" s="2"/>
      <c r="BQ54" s="2" t="s">
        <v>302</v>
      </c>
      <c r="BR54" s="2" t="s">
        <v>123</v>
      </c>
      <c r="BS54" s="3">
        <v>42832</v>
      </c>
      <c r="BT54" s="4">
        <v>0.47500000000000003</v>
      </c>
      <c r="BU54" s="2" t="s">
        <v>303</v>
      </c>
      <c r="BV54" s="2" t="s">
        <v>111</v>
      </c>
      <c r="BW54" s="2"/>
      <c r="BX54" s="2"/>
      <c r="BY54" s="2">
        <v>1200</v>
      </c>
      <c r="BZ54" s="2" t="s">
        <v>27</v>
      </c>
      <c r="CA54" s="2"/>
      <c r="CB54" s="2"/>
      <c r="CC54" s="2" t="s">
        <v>300</v>
      </c>
      <c r="CD54" s="2">
        <v>208</v>
      </c>
      <c r="CE54" s="2" t="s">
        <v>144</v>
      </c>
      <c r="CF54" s="5">
        <v>42836</v>
      </c>
      <c r="CG54" s="2"/>
      <c r="CH54" s="2"/>
      <c r="CI54" s="2">
        <v>0</v>
      </c>
      <c r="CJ54" s="2">
        <v>0</v>
      </c>
      <c r="CK54" s="2">
        <v>24</v>
      </c>
      <c r="CL54" s="2" t="s">
        <v>86</v>
      </c>
      <c r="CM54" s="2"/>
    </row>
    <row r="55" spans="1:91">
      <c r="A55" s="2" t="s">
        <v>71</v>
      </c>
      <c r="B55" s="2" t="s">
        <v>72</v>
      </c>
      <c r="C55" s="2" t="s">
        <v>73</v>
      </c>
      <c r="D55" s="2"/>
      <c r="E55" s="2" t="str">
        <f>"080001600972"</f>
        <v>080001600972</v>
      </c>
      <c r="F55" s="3">
        <v>42830</v>
      </c>
      <c r="G55" s="2">
        <v>201710</v>
      </c>
      <c r="H55" s="2" t="s">
        <v>304</v>
      </c>
      <c r="I55" s="2" t="s">
        <v>305</v>
      </c>
      <c r="J55" s="2" t="s">
        <v>306</v>
      </c>
      <c r="K55" s="2" t="s">
        <v>77</v>
      </c>
      <c r="L55" s="2" t="s">
        <v>74</v>
      </c>
      <c r="M55" s="2" t="s">
        <v>75</v>
      </c>
      <c r="N55" s="2" t="s">
        <v>200</v>
      </c>
      <c r="O55" s="2" t="s">
        <v>115</v>
      </c>
      <c r="P55" s="2" t="str">
        <f>"ZA000 cylinders for repairs   "</f>
        <v xml:space="preserve">ZA000 cylinders for repairs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29.51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2</v>
      </c>
      <c r="BI55" s="2">
        <v>10</v>
      </c>
      <c r="BJ55" s="2">
        <v>2.2000000000000002</v>
      </c>
      <c r="BK55" s="2">
        <v>10</v>
      </c>
      <c r="BL55" s="2">
        <v>287.27999999999997</v>
      </c>
      <c r="BM55" s="2">
        <v>40.22</v>
      </c>
      <c r="BN55" s="2">
        <v>327.5</v>
      </c>
      <c r="BO55" s="2">
        <v>327.5</v>
      </c>
      <c r="BP55" s="2" t="s">
        <v>307</v>
      </c>
      <c r="BQ55" s="2" t="s">
        <v>134</v>
      </c>
      <c r="BR55" s="2" t="s">
        <v>308</v>
      </c>
      <c r="BS55" s="3">
        <v>42832</v>
      </c>
      <c r="BT55" s="4">
        <v>0.37847222222222227</v>
      </c>
      <c r="BU55" s="2" t="s">
        <v>134</v>
      </c>
      <c r="BV55" s="2" t="s">
        <v>86</v>
      </c>
      <c r="BW55" s="2" t="s">
        <v>164</v>
      </c>
      <c r="BX55" s="2" t="s">
        <v>309</v>
      </c>
      <c r="BY55" s="2">
        <v>11172</v>
      </c>
      <c r="BZ55" s="2" t="s">
        <v>27</v>
      </c>
      <c r="CA55" s="2"/>
      <c r="CB55" s="2"/>
      <c r="CC55" s="2" t="s">
        <v>75</v>
      </c>
      <c r="CD55" s="2">
        <v>1600</v>
      </c>
      <c r="CE55" s="2" t="s">
        <v>89</v>
      </c>
      <c r="CF55" s="5">
        <v>42835</v>
      </c>
      <c r="CG55" s="2"/>
      <c r="CH55" s="2"/>
      <c r="CI55" s="2">
        <v>1</v>
      </c>
      <c r="CJ55" s="2">
        <v>2</v>
      </c>
      <c r="CK55" s="2">
        <v>24</v>
      </c>
      <c r="CL55" s="2" t="s">
        <v>86</v>
      </c>
      <c r="CM55" s="2"/>
    </row>
    <row r="56" spans="1:91">
      <c r="A56" s="2" t="s">
        <v>71</v>
      </c>
      <c r="B56" s="2" t="s">
        <v>72</v>
      </c>
      <c r="C56" s="2" t="s">
        <v>73</v>
      </c>
      <c r="D56" s="2"/>
      <c r="E56" s="2" t="str">
        <f>"FES1162542864"</f>
        <v>FES1162542864</v>
      </c>
      <c r="F56" s="3">
        <v>42836</v>
      </c>
      <c r="G56" s="2">
        <v>201710</v>
      </c>
      <c r="H56" s="2" t="s">
        <v>74</v>
      </c>
      <c r="I56" s="2" t="s">
        <v>75</v>
      </c>
      <c r="J56" s="2" t="s">
        <v>76</v>
      </c>
      <c r="K56" s="2" t="s">
        <v>77</v>
      </c>
      <c r="L56" s="2" t="s">
        <v>187</v>
      </c>
      <c r="M56" s="2" t="s">
        <v>146</v>
      </c>
      <c r="N56" s="2" t="s">
        <v>225</v>
      </c>
      <c r="O56" s="2" t="s">
        <v>115</v>
      </c>
      <c r="P56" s="2" t="str">
        <f>"2170559398                    "</f>
        <v xml:space="preserve">2170559398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4.29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0.2</v>
      </c>
      <c r="BK56" s="2">
        <v>1</v>
      </c>
      <c r="BL56" s="2">
        <v>41.73</v>
      </c>
      <c r="BM56" s="2">
        <v>5.84</v>
      </c>
      <c r="BN56" s="2">
        <v>47.57</v>
      </c>
      <c r="BO56" s="2">
        <v>47.57</v>
      </c>
      <c r="BP56" s="2"/>
      <c r="BQ56" s="2" t="s">
        <v>226</v>
      </c>
      <c r="BR56" s="2" t="s">
        <v>123</v>
      </c>
      <c r="BS56" s="3">
        <v>42837</v>
      </c>
      <c r="BT56" s="4">
        <v>0.33333333333333331</v>
      </c>
      <c r="BU56" s="2" t="s">
        <v>310</v>
      </c>
      <c r="BV56" s="2" t="s">
        <v>111</v>
      </c>
      <c r="BW56" s="2"/>
      <c r="BX56" s="2"/>
      <c r="BY56" s="2">
        <v>1200</v>
      </c>
      <c r="BZ56" s="2" t="s">
        <v>27</v>
      </c>
      <c r="CA56" s="2"/>
      <c r="CB56" s="2"/>
      <c r="CC56" s="2" t="s">
        <v>146</v>
      </c>
      <c r="CD56" s="2">
        <v>184</v>
      </c>
      <c r="CE56" s="2" t="s">
        <v>144</v>
      </c>
      <c r="CF56" s="5">
        <v>42843</v>
      </c>
      <c r="CG56" s="2"/>
      <c r="CH56" s="2"/>
      <c r="CI56" s="2">
        <v>0</v>
      </c>
      <c r="CJ56" s="2">
        <v>0</v>
      </c>
      <c r="CK56" s="2">
        <v>21</v>
      </c>
      <c r="CL56" s="2" t="s">
        <v>86</v>
      </c>
      <c r="CM56" s="2"/>
    </row>
    <row r="57" spans="1:91">
      <c r="A57" s="2" t="s">
        <v>71</v>
      </c>
      <c r="B57" s="2" t="s">
        <v>72</v>
      </c>
      <c r="C57" s="2" t="s">
        <v>73</v>
      </c>
      <c r="D57" s="2"/>
      <c r="E57" s="2" t="str">
        <f>"FES1162541723"</f>
        <v>FES1162541723</v>
      </c>
      <c r="F57" s="3">
        <v>42830</v>
      </c>
      <c r="G57" s="2">
        <v>201710</v>
      </c>
      <c r="H57" s="2" t="s">
        <v>74</v>
      </c>
      <c r="I57" s="2" t="s">
        <v>75</v>
      </c>
      <c r="J57" s="2" t="s">
        <v>76</v>
      </c>
      <c r="K57" s="2" t="s">
        <v>77</v>
      </c>
      <c r="L57" s="2" t="s">
        <v>190</v>
      </c>
      <c r="M57" s="2" t="s">
        <v>191</v>
      </c>
      <c r="N57" s="2" t="s">
        <v>311</v>
      </c>
      <c r="O57" s="2" t="s">
        <v>115</v>
      </c>
      <c r="P57" s="2" t="str">
        <f>"2170560722                    "</f>
        <v xml:space="preserve">2170560722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6.03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1</v>
      </c>
      <c r="BJ57" s="2">
        <v>0.2</v>
      </c>
      <c r="BK57" s="2">
        <v>1</v>
      </c>
      <c r="BL57" s="2">
        <v>58.68</v>
      </c>
      <c r="BM57" s="2">
        <v>8.2200000000000006</v>
      </c>
      <c r="BN57" s="2">
        <v>66.900000000000006</v>
      </c>
      <c r="BO57" s="2">
        <v>66.900000000000006</v>
      </c>
      <c r="BP57" s="2"/>
      <c r="BQ57" s="2" t="s">
        <v>312</v>
      </c>
      <c r="BR57" s="2" t="s">
        <v>123</v>
      </c>
      <c r="BS57" s="3">
        <v>42831</v>
      </c>
      <c r="BT57" s="4">
        <v>0.35625000000000001</v>
      </c>
      <c r="BU57" s="2" t="s">
        <v>290</v>
      </c>
      <c r="BV57" s="2" t="s">
        <v>111</v>
      </c>
      <c r="BW57" s="2"/>
      <c r="BX57" s="2"/>
      <c r="BY57" s="2">
        <v>1200</v>
      </c>
      <c r="BZ57" s="2" t="s">
        <v>27</v>
      </c>
      <c r="CA57" s="2"/>
      <c r="CB57" s="2"/>
      <c r="CC57" s="2" t="s">
        <v>191</v>
      </c>
      <c r="CD57" s="2">
        <v>1754</v>
      </c>
      <c r="CE57" s="2" t="s">
        <v>118</v>
      </c>
      <c r="CF57" s="5">
        <v>42832</v>
      </c>
      <c r="CG57" s="2"/>
      <c r="CH57" s="2"/>
      <c r="CI57" s="2">
        <v>1</v>
      </c>
      <c r="CJ57" s="2">
        <v>1</v>
      </c>
      <c r="CK57" s="2">
        <v>24</v>
      </c>
      <c r="CL57" s="2" t="s">
        <v>86</v>
      </c>
      <c r="CM57" s="2"/>
    </row>
    <row r="58" spans="1:91">
      <c r="A58" s="2" t="s">
        <v>71</v>
      </c>
      <c r="B58" s="2" t="s">
        <v>72</v>
      </c>
      <c r="C58" s="2" t="s">
        <v>73</v>
      </c>
      <c r="D58" s="2"/>
      <c r="E58" s="2" t="str">
        <f>"FES1162541312"</f>
        <v>FES1162541312</v>
      </c>
      <c r="F58" s="3">
        <v>42829</v>
      </c>
      <c r="G58" s="2">
        <v>201710</v>
      </c>
      <c r="H58" s="2" t="s">
        <v>74</v>
      </c>
      <c r="I58" s="2" t="s">
        <v>75</v>
      </c>
      <c r="J58" s="2" t="s">
        <v>76</v>
      </c>
      <c r="K58" s="2" t="s">
        <v>77</v>
      </c>
      <c r="L58" s="2" t="s">
        <v>99</v>
      </c>
      <c r="M58" s="2" t="s">
        <v>100</v>
      </c>
      <c r="N58" s="2" t="s">
        <v>313</v>
      </c>
      <c r="O58" s="2" t="s">
        <v>115</v>
      </c>
      <c r="P58" s="2" t="str">
        <f>"2170560383                    "</f>
        <v xml:space="preserve">2170560383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4.42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1</v>
      </c>
      <c r="BJ58" s="2">
        <v>0.2</v>
      </c>
      <c r="BK58" s="2">
        <v>1</v>
      </c>
      <c r="BL58" s="2">
        <v>41.86</v>
      </c>
      <c r="BM58" s="2">
        <v>5.86</v>
      </c>
      <c r="BN58" s="2">
        <v>47.72</v>
      </c>
      <c r="BO58" s="2">
        <v>47.72</v>
      </c>
      <c r="BP58" s="2"/>
      <c r="BQ58" s="2" t="s">
        <v>314</v>
      </c>
      <c r="BR58" s="2" t="s">
        <v>123</v>
      </c>
      <c r="BS58" s="3">
        <v>42830</v>
      </c>
      <c r="BT58" s="4">
        <v>0.30208333333333331</v>
      </c>
      <c r="BU58" s="2" t="s">
        <v>315</v>
      </c>
      <c r="BV58" s="2" t="s">
        <v>111</v>
      </c>
      <c r="BW58" s="2"/>
      <c r="BX58" s="2"/>
      <c r="BY58" s="2">
        <v>1200</v>
      </c>
      <c r="BZ58" s="2" t="s">
        <v>27</v>
      </c>
      <c r="CA58" s="2" t="s">
        <v>106</v>
      </c>
      <c r="CB58" s="2"/>
      <c r="CC58" s="2" t="s">
        <v>100</v>
      </c>
      <c r="CD58" s="2">
        <v>6012</v>
      </c>
      <c r="CE58" s="2" t="s">
        <v>144</v>
      </c>
      <c r="CF58" s="5">
        <v>42830</v>
      </c>
      <c r="CG58" s="2"/>
      <c r="CH58" s="2"/>
      <c r="CI58" s="2">
        <v>1</v>
      </c>
      <c r="CJ58" s="2">
        <v>1</v>
      </c>
      <c r="CK58" s="2">
        <v>21</v>
      </c>
      <c r="CL58" s="2" t="s">
        <v>86</v>
      </c>
      <c r="CM58" s="2"/>
    </row>
    <row r="59" spans="1:91">
      <c r="A59" s="2" t="s">
        <v>71</v>
      </c>
      <c r="B59" s="2" t="s">
        <v>72</v>
      </c>
      <c r="C59" s="2" t="s">
        <v>73</v>
      </c>
      <c r="D59" s="2"/>
      <c r="E59" s="2" t="str">
        <f>"FES1162543382"</f>
        <v>FES1162543382</v>
      </c>
      <c r="F59" s="3">
        <v>42837</v>
      </c>
      <c r="G59" s="2">
        <v>201710</v>
      </c>
      <c r="H59" s="2" t="s">
        <v>74</v>
      </c>
      <c r="I59" s="2" t="s">
        <v>75</v>
      </c>
      <c r="J59" s="2" t="s">
        <v>76</v>
      </c>
      <c r="K59" s="2" t="s">
        <v>77</v>
      </c>
      <c r="L59" s="2" t="s">
        <v>231</v>
      </c>
      <c r="M59" s="2" t="s">
        <v>232</v>
      </c>
      <c r="N59" s="2" t="s">
        <v>316</v>
      </c>
      <c r="O59" s="2" t="s">
        <v>115</v>
      </c>
      <c r="P59" s="2" t="str">
        <f>"2170562076                    "</f>
        <v xml:space="preserve">2170562076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6.03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1.1000000000000001</v>
      </c>
      <c r="BJ59" s="2">
        <v>2</v>
      </c>
      <c r="BK59" s="2">
        <v>2</v>
      </c>
      <c r="BL59" s="2">
        <v>58.68</v>
      </c>
      <c r="BM59" s="2">
        <v>8.2200000000000006</v>
      </c>
      <c r="BN59" s="2">
        <v>66.900000000000006</v>
      </c>
      <c r="BO59" s="2">
        <v>66.900000000000006</v>
      </c>
      <c r="BP59" s="2"/>
      <c r="BQ59" s="2" t="s">
        <v>317</v>
      </c>
      <c r="BR59" s="2" t="s">
        <v>84</v>
      </c>
      <c r="BS59" s="3">
        <v>42838</v>
      </c>
      <c r="BT59" s="4">
        <v>0.65625</v>
      </c>
      <c r="BU59" s="2" t="s">
        <v>318</v>
      </c>
      <c r="BV59" s="2" t="s">
        <v>86</v>
      </c>
      <c r="BW59" s="2" t="s">
        <v>164</v>
      </c>
      <c r="BX59" s="2" t="s">
        <v>319</v>
      </c>
      <c r="BY59" s="2">
        <v>10201.870000000001</v>
      </c>
      <c r="BZ59" s="2" t="s">
        <v>27</v>
      </c>
      <c r="CA59" s="2"/>
      <c r="CB59" s="2"/>
      <c r="CC59" s="2" t="s">
        <v>232</v>
      </c>
      <c r="CD59" s="2">
        <v>250</v>
      </c>
      <c r="CE59" s="2" t="s">
        <v>118</v>
      </c>
      <c r="CF59" s="5">
        <v>42844</v>
      </c>
      <c r="CG59" s="2"/>
      <c r="CH59" s="2"/>
      <c r="CI59" s="2">
        <v>1</v>
      </c>
      <c r="CJ59" s="2">
        <v>1</v>
      </c>
      <c r="CK59" s="2">
        <v>24</v>
      </c>
      <c r="CL59" s="2" t="s">
        <v>86</v>
      </c>
      <c r="CM59" s="2"/>
    </row>
    <row r="60" spans="1:91">
      <c r="A60" s="2" t="s">
        <v>71</v>
      </c>
      <c r="B60" s="2" t="s">
        <v>72</v>
      </c>
      <c r="C60" s="2" t="s">
        <v>73</v>
      </c>
      <c r="D60" s="2"/>
      <c r="E60" s="2" t="str">
        <f>"FES1162541987"</f>
        <v>FES1162541987</v>
      </c>
      <c r="F60" s="3">
        <v>42831</v>
      </c>
      <c r="G60" s="2">
        <v>201710</v>
      </c>
      <c r="H60" s="2" t="s">
        <v>74</v>
      </c>
      <c r="I60" s="2" t="s">
        <v>75</v>
      </c>
      <c r="J60" s="2" t="s">
        <v>76</v>
      </c>
      <c r="K60" s="2" t="s">
        <v>77</v>
      </c>
      <c r="L60" s="2" t="s">
        <v>180</v>
      </c>
      <c r="M60" s="2" t="s">
        <v>181</v>
      </c>
      <c r="N60" s="2" t="s">
        <v>320</v>
      </c>
      <c r="O60" s="2" t="s">
        <v>115</v>
      </c>
      <c r="P60" s="2" t="str">
        <f>"2170558189                    "</f>
        <v xml:space="preserve">2170558189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4.29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1</v>
      </c>
      <c r="BJ60" s="2">
        <v>0.2</v>
      </c>
      <c r="BK60" s="2">
        <v>1</v>
      </c>
      <c r="BL60" s="2">
        <v>41.73</v>
      </c>
      <c r="BM60" s="2">
        <v>5.84</v>
      </c>
      <c r="BN60" s="2">
        <v>47.57</v>
      </c>
      <c r="BO60" s="2">
        <v>47.57</v>
      </c>
      <c r="BP60" s="2"/>
      <c r="BQ60" s="2" t="s">
        <v>129</v>
      </c>
      <c r="BR60" s="2" t="s">
        <v>123</v>
      </c>
      <c r="BS60" s="3">
        <v>42832</v>
      </c>
      <c r="BT60" s="4">
        <v>0.43611111111111112</v>
      </c>
      <c r="BU60" s="2" t="s">
        <v>321</v>
      </c>
      <c r="BV60" s="2" t="s">
        <v>111</v>
      </c>
      <c r="BW60" s="2"/>
      <c r="BX60" s="2"/>
      <c r="BY60" s="2">
        <v>1200</v>
      </c>
      <c r="BZ60" s="2" t="s">
        <v>27</v>
      </c>
      <c r="CA60" s="2"/>
      <c r="CB60" s="2"/>
      <c r="CC60" s="2" t="s">
        <v>181</v>
      </c>
      <c r="CD60" s="2">
        <v>4051</v>
      </c>
      <c r="CE60" s="2" t="s">
        <v>144</v>
      </c>
      <c r="CF60" s="5">
        <v>42835</v>
      </c>
      <c r="CG60" s="2"/>
      <c r="CH60" s="2"/>
      <c r="CI60" s="2">
        <v>1</v>
      </c>
      <c r="CJ60" s="2">
        <v>1</v>
      </c>
      <c r="CK60" s="2">
        <v>21</v>
      </c>
      <c r="CL60" s="2" t="s">
        <v>86</v>
      </c>
      <c r="CM60" s="2"/>
    </row>
    <row r="61" spans="1:91">
      <c r="A61" s="2" t="s">
        <v>71</v>
      </c>
      <c r="B61" s="2" t="s">
        <v>72</v>
      </c>
      <c r="C61" s="2" t="s">
        <v>73</v>
      </c>
      <c r="D61" s="2"/>
      <c r="E61" s="2" t="str">
        <f>"FES1162541283"</f>
        <v>FES1162541283</v>
      </c>
      <c r="F61" s="3">
        <v>42829</v>
      </c>
      <c r="G61" s="2">
        <v>201710</v>
      </c>
      <c r="H61" s="2" t="s">
        <v>74</v>
      </c>
      <c r="I61" s="2" t="s">
        <v>75</v>
      </c>
      <c r="J61" s="2" t="s">
        <v>76</v>
      </c>
      <c r="K61" s="2" t="s">
        <v>77</v>
      </c>
      <c r="L61" s="2" t="s">
        <v>322</v>
      </c>
      <c r="M61" s="2" t="s">
        <v>323</v>
      </c>
      <c r="N61" s="2" t="s">
        <v>324</v>
      </c>
      <c r="O61" s="2" t="s">
        <v>115</v>
      </c>
      <c r="P61" s="2" t="str">
        <f>"2170560346                    "</f>
        <v xml:space="preserve">2170560346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3.45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1</v>
      </c>
      <c r="BJ61" s="2">
        <v>0.2</v>
      </c>
      <c r="BK61" s="2">
        <v>1</v>
      </c>
      <c r="BL61" s="2">
        <v>32.700000000000003</v>
      </c>
      <c r="BM61" s="2">
        <v>4.58</v>
      </c>
      <c r="BN61" s="2">
        <v>37.28</v>
      </c>
      <c r="BO61" s="2">
        <v>37.28</v>
      </c>
      <c r="BP61" s="2"/>
      <c r="BQ61" s="2"/>
      <c r="BR61" s="2" t="s">
        <v>123</v>
      </c>
      <c r="BS61" s="3">
        <v>42830</v>
      </c>
      <c r="BT61" s="4">
        <v>0.375</v>
      </c>
      <c r="BU61" s="2" t="s">
        <v>325</v>
      </c>
      <c r="BV61" s="2" t="s">
        <v>111</v>
      </c>
      <c r="BW61" s="2"/>
      <c r="BX61" s="2"/>
      <c r="BY61" s="2">
        <v>1200</v>
      </c>
      <c r="BZ61" s="2" t="s">
        <v>27</v>
      </c>
      <c r="CA61" s="2"/>
      <c r="CB61" s="2"/>
      <c r="CC61" s="2" t="s">
        <v>323</v>
      </c>
      <c r="CD61" s="2">
        <v>1684</v>
      </c>
      <c r="CE61" s="2" t="s">
        <v>118</v>
      </c>
      <c r="CF61" s="5">
        <v>42832</v>
      </c>
      <c r="CG61" s="2"/>
      <c r="CH61" s="2"/>
      <c r="CI61" s="2">
        <v>1</v>
      </c>
      <c r="CJ61" s="2">
        <v>1</v>
      </c>
      <c r="CK61" s="2">
        <v>22</v>
      </c>
      <c r="CL61" s="2" t="s">
        <v>86</v>
      </c>
      <c r="CM61" s="2"/>
    </row>
    <row r="62" spans="1:91">
      <c r="A62" s="2" t="s">
        <v>71</v>
      </c>
      <c r="B62" s="2" t="s">
        <v>72</v>
      </c>
      <c r="C62" s="2" t="s">
        <v>73</v>
      </c>
      <c r="D62" s="2"/>
      <c r="E62" s="2" t="str">
        <f>"FES1162542880"</f>
        <v>FES1162542880</v>
      </c>
      <c r="F62" s="3">
        <v>42836</v>
      </c>
      <c r="G62" s="2">
        <v>201710</v>
      </c>
      <c r="H62" s="2" t="s">
        <v>74</v>
      </c>
      <c r="I62" s="2" t="s">
        <v>75</v>
      </c>
      <c r="J62" s="2" t="s">
        <v>76</v>
      </c>
      <c r="K62" s="2" t="s">
        <v>77</v>
      </c>
      <c r="L62" s="2" t="s">
        <v>187</v>
      </c>
      <c r="M62" s="2" t="s">
        <v>146</v>
      </c>
      <c r="N62" s="2" t="s">
        <v>326</v>
      </c>
      <c r="O62" s="2" t="s">
        <v>115</v>
      </c>
      <c r="P62" s="2" t="str">
        <f>"2170561725                    "</f>
        <v xml:space="preserve">2170561725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4.29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0.2</v>
      </c>
      <c r="BK62" s="2">
        <v>1</v>
      </c>
      <c r="BL62" s="2">
        <v>41.73</v>
      </c>
      <c r="BM62" s="2">
        <v>5.84</v>
      </c>
      <c r="BN62" s="2">
        <v>47.57</v>
      </c>
      <c r="BO62" s="2">
        <v>47.57</v>
      </c>
      <c r="BP62" s="2"/>
      <c r="BQ62" s="2" t="s">
        <v>327</v>
      </c>
      <c r="BR62" s="2" t="s">
        <v>123</v>
      </c>
      <c r="BS62" s="3">
        <v>42837</v>
      </c>
      <c r="BT62" s="4">
        <v>0.3888888888888889</v>
      </c>
      <c r="BU62" s="2" t="s">
        <v>328</v>
      </c>
      <c r="BV62" s="2" t="s">
        <v>111</v>
      </c>
      <c r="BW62" s="2"/>
      <c r="BX62" s="2"/>
      <c r="BY62" s="2">
        <v>1200</v>
      </c>
      <c r="BZ62" s="2" t="s">
        <v>27</v>
      </c>
      <c r="CA62" s="2"/>
      <c r="CB62" s="2"/>
      <c r="CC62" s="2" t="s">
        <v>146</v>
      </c>
      <c r="CD62" s="2">
        <v>200</v>
      </c>
      <c r="CE62" s="2" t="s">
        <v>144</v>
      </c>
      <c r="CF62" s="5">
        <v>42843</v>
      </c>
      <c r="CG62" s="2"/>
      <c r="CH62" s="2"/>
      <c r="CI62" s="2">
        <v>0</v>
      </c>
      <c r="CJ62" s="2">
        <v>0</v>
      </c>
      <c r="CK62" s="2">
        <v>21</v>
      </c>
      <c r="CL62" s="2" t="s">
        <v>86</v>
      </c>
      <c r="CM62" s="2"/>
    </row>
    <row r="63" spans="1:91">
      <c r="A63" s="2" t="s">
        <v>71</v>
      </c>
      <c r="B63" s="2" t="s">
        <v>72</v>
      </c>
      <c r="C63" s="2" t="s">
        <v>73</v>
      </c>
      <c r="D63" s="2"/>
      <c r="E63" s="2" t="str">
        <f>"FES1162541858"</f>
        <v>FES1162541858</v>
      </c>
      <c r="F63" s="3">
        <v>42830</v>
      </c>
      <c r="G63" s="2">
        <v>201710</v>
      </c>
      <c r="H63" s="2" t="s">
        <v>74</v>
      </c>
      <c r="I63" s="2" t="s">
        <v>75</v>
      </c>
      <c r="J63" s="2" t="s">
        <v>76</v>
      </c>
      <c r="K63" s="2" t="s">
        <v>77</v>
      </c>
      <c r="L63" s="2" t="s">
        <v>166</v>
      </c>
      <c r="M63" s="2" t="s">
        <v>167</v>
      </c>
      <c r="N63" s="2" t="s">
        <v>329</v>
      </c>
      <c r="O63" s="2" t="s">
        <v>115</v>
      </c>
      <c r="P63" s="2" t="str">
        <f>"2170560866                    "</f>
        <v xml:space="preserve">2170560866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3.35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1</v>
      </c>
      <c r="BJ63" s="2">
        <v>0.2</v>
      </c>
      <c r="BK63" s="2">
        <v>1</v>
      </c>
      <c r="BL63" s="2">
        <v>32.6</v>
      </c>
      <c r="BM63" s="2">
        <v>4.5599999999999996</v>
      </c>
      <c r="BN63" s="2">
        <v>37.159999999999997</v>
      </c>
      <c r="BO63" s="2">
        <v>37.159999999999997</v>
      </c>
      <c r="BP63" s="2"/>
      <c r="BQ63" s="2" t="s">
        <v>330</v>
      </c>
      <c r="BR63" s="2" t="s">
        <v>123</v>
      </c>
      <c r="BS63" s="3">
        <v>42831</v>
      </c>
      <c r="BT63" s="4">
        <v>0.36805555555555558</v>
      </c>
      <c r="BU63" s="2" t="s">
        <v>331</v>
      </c>
      <c r="BV63" s="2" t="s">
        <v>111</v>
      </c>
      <c r="BW63" s="2"/>
      <c r="BX63" s="2"/>
      <c r="BY63" s="2">
        <v>1200</v>
      </c>
      <c r="BZ63" s="2" t="s">
        <v>27</v>
      </c>
      <c r="CA63" s="2"/>
      <c r="CB63" s="2"/>
      <c r="CC63" s="2" t="s">
        <v>167</v>
      </c>
      <c r="CD63" s="2">
        <v>2090</v>
      </c>
      <c r="CE63" s="2" t="s">
        <v>118</v>
      </c>
      <c r="CF63" s="5">
        <v>42832</v>
      </c>
      <c r="CG63" s="2"/>
      <c r="CH63" s="2"/>
      <c r="CI63" s="2">
        <v>1</v>
      </c>
      <c r="CJ63" s="2">
        <v>1</v>
      </c>
      <c r="CK63" s="2">
        <v>22</v>
      </c>
      <c r="CL63" s="2" t="s">
        <v>86</v>
      </c>
      <c r="CM63" s="2"/>
    </row>
    <row r="64" spans="1:91">
      <c r="A64" s="2" t="s">
        <v>71</v>
      </c>
      <c r="B64" s="2" t="s">
        <v>72</v>
      </c>
      <c r="C64" s="2" t="s">
        <v>73</v>
      </c>
      <c r="D64" s="2"/>
      <c r="E64" s="2" t="str">
        <f>"FES1162543237"</f>
        <v>FES1162543237</v>
      </c>
      <c r="F64" s="3">
        <v>42837</v>
      </c>
      <c r="G64" s="2">
        <v>201710</v>
      </c>
      <c r="H64" s="2" t="s">
        <v>74</v>
      </c>
      <c r="I64" s="2" t="s">
        <v>75</v>
      </c>
      <c r="J64" s="2" t="s">
        <v>76</v>
      </c>
      <c r="K64" s="2" t="s">
        <v>77</v>
      </c>
      <c r="L64" s="2" t="s">
        <v>294</v>
      </c>
      <c r="M64" s="2" t="s">
        <v>295</v>
      </c>
      <c r="N64" s="2" t="s">
        <v>332</v>
      </c>
      <c r="O64" s="2" t="s">
        <v>115</v>
      </c>
      <c r="P64" s="2" t="str">
        <f>"2170558810                    "</f>
        <v xml:space="preserve">2170558810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4.29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0.2</v>
      </c>
      <c r="BJ64" s="2">
        <v>1.8</v>
      </c>
      <c r="BK64" s="2">
        <v>2</v>
      </c>
      <c r="BL64" s="2">
        <v>41.73</v>
      </c>
      <c r="BM64" s="2">
        <v>5.84</v>
      </c>
      <c r="BN64" s="2">
        <v>47.57</v>
      </c>
      <c r="BO64" s="2">
        <v>47.57</v>
      </c>
      <c r="BP64" s="2"/>
      <c r="BQ64" s="2" t="s">
        <v>83</v>
      </c>
      <c r="BR64" s="2" t="s">
        <v>84</v>
      </c>
      <c r="BS64" s="3">
        <v>42838</v>
      </c>
      <c r="BT64" s="4">
        <v>0.4375</v>
      </c>
      <c r="BU64" s="2" t="s">
        <v>333</v>
      </c>
      <c r="BV64" s="2" t="s">
        <v>111</v>
      </c>
      <c r="BW64" s="2"/>
      <c r="BX64" s="2"/>
      <c r="BY64" s="2">
        <v>9175.19</v>
      </c>
      <c r="BZ64" s="2" t="s">
        <v>27</v>
      </c>
      <c r="CA64" s="2"/>
      <c r="CB64" s="2"/>
      <c r="CC64" s="2" t="s">
        <v>295</v>
      </c>
      <c r="CD64" s="2">
        <v>3610</v>
      </c>
      <c r="CE64" s="2" t="s">
        <v>118</v>
      </c>
      <c r="CF64" s="5">
        <v>42843</v>
      </c>
      <c r="CG64" s="2"/>
      <c r="CH64" s="2"/>
      <c r="CI64" s="2">
        <v>1</v>
      </c>
      <c r="CJ64" s="2">
        <v>1</v>
      </c>
      <c r="CK64" s="2">
        <v>21</v>
      </c>
      <c r="CL64" s="2" t="s">
        <v>86</v>
      </c>
      <c r="CM64" s="2"/>
    </row>
    <row r="65" spans="1:91">
      <c r="A65" s="2" t="s">
        <v>71</v>
      </c>
      <c r="B65" s="2" t="s">
        <v>72</v>
      </c>
      <c r="C65" s="2" t="s">
        <v>73</v>
      </c>
      <c r="D65" s="2"/>
      <c r="E65" s="2" t="str">
        <f>"FES1162541969"</f>
        <v>FES1162541969</v>
      </c>
      <c r="F65" s="3">
        <v>42831</v>
      </c>
      <c r="G65" s="2">
        <v>201710</v>
      </c>
      <c r="H65" s="2" t="s">
        <v>74</v>
      </c>
      <c r="I65" s="2" t="s">
        <v>75</v>
      </c>
      <c r="J65" s="2" t="s">
        <v>76</v>
      </c>
      <c r="K65" s="2" t="s">
        <v>77</v>
      </c>
      <c r="L65" s="2" t="s">
        <v>231</v>
      </c>
      <c r="M65" s="2" t="s">
        <v>232</v>
      </c>
      <c r="N65" s="2" t="s">
        <v>334</v>
      </c>
      <c r="O65" s="2" t="s">
        <v>115</v>
      </c>
      <c r="P65" s="2" t="str">
        <f>"2170555891                    "</f>
        <v xml:space="preserve">2170555891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6.03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1.3</v>
      </c>
      <c r="BJ65" s="2">
        <v>0.2</v>
      </c>
      <c r="BK65" s="2">
        <v>1.5</v>
      </c>
      <c r="BL65" s="2">
        <v>58.68</v>
      </c>
      <c r="BM65" s="2">
        <v>8.2200000000000006</v>
      </c>
      <c r="BN65" s="2">
        <v>66.900000000000006</v>
      </c>
      <c r="BO65" s="2">
        <v>66.900000000000006</v>
      </c>
      <c r="BP65" s="2"/>
      <c r="BQ65" s="2" t="s">
        <v>122</v>
      </c>
      <c r="BR65" s="2" t="s">
        <v>123</v>
      </c>
      <c r="BS65" s="3">
        <v>42832</v>
      </c>
      <c r="BT65" s="4">
        <v>0.49305555555555558</v>
      </c>
      <c r="BU65" s="2" t="s">
        <v>335</v>
      </c>
      <c r="BV65" s="2" t="s">
        <v>111</v>
      </c>
      <c r="BW65" s="2"/>
      <c r="BX65" s="2"/>
      <c r="BY65" s="2">
        <v>1200</v>
      </c>
      <c r="BZ65" s="2" t="s">
        <v>27</v>
      </c>
      <c r="CA65" s="2"/>
      <c r="CB65" s="2"/>
      <c r="CC65" s="2" t="s">
        <v>232</v>
      </c>
      <c r="CD65" s="2">
        <v>250</v>
      </c>
      <c r="CE65" s="2" t="s">
        <v>144</v>
      </c>
      <c r="CF65" s="5">
        <v>42836</v>
      </c>
      <c r="CG65" s="2"/>
      <c r="CH65" s="2"/>
      <c r="CI65" s="2">
        <v>1</v>
      </c>
      <c r="CJ65" s="2">
        <v>1</v>
      </c>
      <c r="CK65" s="2">
        <v>24</v>
      </c>
      <c r="CL65" s="2" t="s">
        <v>86</v>
      </c>
      <c r="CM65" s="2"/>
    </row>
    <row r="66" spans="1:91">
      <c r="A66" s="2" t="s">
        <v>71</v>
      </c>
      <c r="B66" s="2" t="s">
        <v>72</v>
      </c>
      <c r="C66" s="2" t="s">
        <v>73</v>
      </c>
      <c r="D66" s="2"/>
      <c r="E66" s="2" t="str">
        <f>"080001600933"</f>
        <v>080001600933</v>
      </c>
      <c r="F66" s="3">
        <v>42830</v>
      </c>
      <c r="G66" s="2">
        <v>201710</v>
      </c>
      <c r="H66" s="2" t="s">
        <v>112</v>
      </c>
      <c r="I66" s="2" t="s">
        <v>113</v>
      </c>
      <c r="J66" s="2" t="s">
        <v>336</v>
      </c>
      <c r="K66" s="2" t="s">
        <v>77</v>
      </c>
      <c r="L66" s="2" t="s">
        <v>74</v>
      </c>
      <c r="M66" s="2" t="s">
        <v>75</v>
      </c>
      <c r="N66" s="2" t="s">
        <v>200</v>
      </c>
      <c r="O66" s="2" t="s">
        <v>115</v>
      </c>
      <c r="P66" s="2" t="str">
        <f>"ZA1000633591                  "</f>
        <v xml:space="preserve">ZA1000633591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5.36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1.1000000000000001</v>
      </c>
      <c r="BJ66" s="2">
        <v>2.2000000000000002</v>
      </c>
      <c r="BK66" s="2">
        <v>2.5</v>
      </c>
      <c r="BL66" s="2">
        <v>52.16</v>
      </c>
      <c r="BM66" s="2">
        <v>7.3</v>
      </c>
      <c r="BN66" s="2">
        <v>59.46</v>
      </c>
      <c r="BO66" s="2">
        <v>59.46</v>
      </c>
      <c r="BP66" s="2" t="s">
        <v>337</v>
      </c>
      <c r="BQ66" s="2" t="s">
        <v>134</v>
      </c>
      <c r="BR66" s="2" t="s">
        <v>338</v>
      </c>
      <c r="BS66" s="3">
        <v>42831</v>
      </c>
      <c r="BT66" s="4">
        <v>0.34722222222222227</v>
      </c>
      <c r="BU66" s="2" t="s">
        <v>134</v>
      </c>
      <c r="BV66" s="2" t="s">
        <v>111</v>
      </c>
      <c r="BW66" s="2"/>
      <c r="BX66" s="2"/>
      <c r="BY66" s="2">
        <v>10800</v>
      </c>
      <c r="BZ66" s="2" t="s">
        <v>27</v>
      </c>
      <c r="CA66" s="2"/>
      <c r="CB66" s="2"/>
      <c r="CC66" s="2" t="s">
        <v>75</v>
      </c>
      <c r="CD66" s="2">
        <v>1600</v>
      </c>
      <c r="CE66" s="2" t="s">
        <v>89</v>
      </c>
      <c r="CF66" s="5">
        <v>42832</v>
      </c>
      <c r="CG66" s="2"/>
      <c r="CH66" s="2"/>
      <c r="CI66" s="2">
        <v>1</v>
      </c>
      <c r="CJ66" s="2">
        <v>1</v>
      </c>
      <c r="CK66" s="2">
        <v>21</v>
      </c>
      <c r="CL66" s="2" t="s">
        <v>86</v>
      </c>
      <c r="CM66" s="2"/>
    </row>
    <row r="67" spans="1:91">
      <c r="A67" s="2" t="s">
        <v>71</v>
      </c>
      <c r="B67" s="2" t="s">
        <v>72</v>
      </c>
      <c r="C67" s="2" t="s">
        <v>73</v>
      </c>
      <c r="D67" s="2"/>
      <c r="E67" s="2" t="str">
        <f>"FES1162542932"</f>
        <v>FES1162542932</v>
      </c>
      <c r="F67" s="3">
        <v>42836</v>
      </c>
      <c r="G67" s="2">
        <v>201710</v>
      </c>
      <c r="H67" s="2" t="s">
        <v>74</v>
      </c>
      <c r="I67" s="2" t="s">
        <v>75</v>
      </c>
      <c r="J67" s="2" t="s">
        <v>76</v>
      </c>
      <c r="K67" s="2" t="s">
        <v>77</v>
      </c>
      <c r="L67" s="2" t="s">
        <v>176</v>
      </c>
      <c r="M67" s="2" t="s">
        <v>176</v>
      </c>
      <c r="N67" s="2" t="s">
        <v>339</v>
      </c>
      <c r="O67" s="2" t="s">
        <v>115</v>
      </c>
      <c r="P67" s="2" t="str">
        <f>"2170559775                    "</f>
        <v xml:space="preserve">2170559775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4.29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1</v>
      </c>
      <c r="BJ67" s="2">
        <v>0.2</v>
      </c>
      <c r="BK67" s="2">
        <v>1</v>
      </c>
      <c r="BL67" s="2">
        <v>41.73</v>
      </c>
      <c r="BM67" s="2">
        <v>5.84</v>
      </c>
      <c r="BN67" s="2">
        <v>47.57</v>
      </c>
      <c r="BO67" s="2">
        <v>47.57</v>
      </c>
      <c r="BP67" s="2"/>
      <c r="BQ67" s="2" t="s">
        <v>340</v>
      </c>
      <c r="BR67" s="2" t="s">
        <v>123</v>
      </c>
      <c r="BS67" s="3">
        <v>42837</v>
      </c>
      <c r="BT67" s="4">
        <v>0.55555555555555558</v>
      </c>
      <c r="BU67" s="2" t="s">
        <v>341</v>
      </c>
      <c r="BV67" s="2" t="s">
        <v>111</v>
      </c>
      <c r="BW67" s="2"/>
      <c r="BX67" s="2"/>
      <c r="BY67" s="2">
        <v>1200</v>
      </c>
      <c r="BZ67" s="2" t="s">
        <v>27</v>
      </c>
      <c r="CA67" s="2"/>
      <c r="CB67" s="2"/>
      <c r="CC67" s="2" t="s">
        <v>176</v>
      </c>
      <c r="CD67" s="2">
        <v>7646</v>
      </c>
      <c r="CE67" s="2" t="s">
        <v>144</v>
      </c>
      <c r="CF67" s="5">
        <v>42838</v>
      </c>
      <c r="CG67" s="2"/>
      <c r="CH67" s="2"/>
      <c r="CI67" s="2">
        <v>1</v>
      </c>
      <c r="CJ67" s="2">
        <v>1</v>
      </c>
      <c r="CK67" s="2">
        <v>21</v>
      </c>
      <c r="CL67" s="2" t="s">
        <v>86</v>
      </c>
      <c r="CM67" s="2"/>
    </row>
    <row r="68" spans="1:91">
      <c r="A68" s="2" t="s">
        <v>71</v>
      </c>
      <c r="B68" s="2" t="s">
        <v>72</v>
      </c>
      <c r="C68" s="2" t="s">
        <v>73</v>
      </c>
      <c r="D68" s="2"/>
      <c r="E68" s="2" t="str">
        <f>"FES1162541766"</f>
        <v>FES1162541766</v>
      </c>
      <c r="F68" s="3">
        <v>42830</v>
      </c>
      <c r="G68" s="2">
        <v>201710</v>
      </c>
      <c r="H68" s="2" t="s">
        <v>74</v>
      </c>
      <c r="I68" s="2" t="s">
        <v>75</v>
      </c>
      <c r="J68" s="2" t="s">
        <v>76</v>
      </c>
      <c r="K68" s="2" t="s">
        <v>77</v>
      </c>
      <c r="L68" s="2" t="s">
        <v>74</v>
      </c>
      <c r="M68" s="2" t="s">
        <v>75</v>
      </c>
      <c r="N68" s="2" t="s">
        <v>342</v>
      </c>
      <c r="O68" s="2" t="s">
        <v>115</v>
      </c>
      <c r="P68" s="2" t="str">
        <f>"2170559890                    "</f>
        <v xml:space="preserve">2170559890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3.35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4</v>
      </c>
      <c r="BJ68" s="2">
        <v>1.9</v>
      </c>
      <c r="BK68" s="2">
        <v>4</v>
      </c>
      <c r="BL68" s="2">
        <v>32.6</v>
      </c>
      <c r="BM68" s="2">
        <v>4.5599999999999996</v>
      </c>
      <c r="BN68" s="2">
        <v>37.159999999999997</v>
      </c>
      <c r="BO68" s="2">
        <v>37.159999999999997</v>
      </c>
      <c r="BP68" s="2"/>
      <c r="BQ68" s="2" t="s">
        <v>343</v>
      </c>
      <c r="BR68" s="2" t="s">
        <v>123</v>
      </c>
      <c r="BS68" s="3">
        <v>42831</v>
      </c>
      <c r="BT68" s="4">
        <v>0.3354166666666667</v>
      </c>
      <c r="BU68" s="2" t="s">
        <v>344</v>
      </c>
      <c r="BV68" s="2" t="s">
        <v>111</v>
      </c>
      <c r="BW68" s="2"/>
      <c r="BX68" s="2"/>
      <c r="BY68" s="2">
        <v>9284.81</v>
      </c>
      <c r="BZ68" s="2" t="s">
        <v>27</v>
      </c>
      <c r="CA68" s="2"/>
      <c r="CB68" s="2"/>
      <c r="CC68" s="2" t="s">
        <v>75</v>
      </c>
      <c r="CD68" s="2">
        <v>1600</v>
      </c>
      <c r="CE68" s="2" t="s">
        <v>89</v>
      </c>
      <c r="CF68" s="5">
        <v>42832</v>
      </c>
      <c r="CG68" s="2"/>
      <c r="CH68" s="2"/>
      <c r="CI68" s="2">
        <v>1</v>
      </c>
      <c r="CJ68" s="2">
        <v>1</v>
      </c>
      <c r="CK68" s="2">
        <v>22</v>
      </c>
      <c r="CL68" s="2" t="s">
        <v>86</v>
      </c>
      <c r="CM68" s="2"/>
    </row>
    <row r="69" spans="1:91">
      <c r="A69" s="2" t="s">
        <v>71</v>
      </c>
      <c r="B69" s="2" t="s">
        <v>72</v>
      </c>
      <c r="C69" s="2" t="s">
        <v>73</v>
      </c>
      <c r="D69" s="2"/>
      <c r="E69" s="2" t="str">
        <f>"FES1162541223"</f>
        <v>FES1162541223</v>
      </c>
      <c r="F69" s="3">
        <v>42829</v>
      </c>
      <c r="G69" s="2">
        <v>201710</v>
      </c>
      <c r="H69" s="2" t="s">
        <v>74</v>
      </c>
      <c r="I69" s="2" t="s">
        <v>75</v>
      </c>
      <c r="J69" s="2" t="s">
        <v>76</v>
      </c>
      <c r="K69" s="2" t="s">
        <v>77</v>
      </c>
      <c r="L69" s="2" t="s">
        <v>299</v>
      </c>
      <c r="M69" s="2" t="s">
        <v>300</v>
      </c>
      <c r="N69" s="2" t="s">
        <v>345</v>
      </c>
      <c r="O69" s="2" t="s">
        <v>115</v>
      </c>
      <c r="P69" s="2" t="str">
        <f>"2170558331                    "</f>
        <v xml:space="preserve">2170558331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6.22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1</v>
      </c>
      <c r="BJ69" s="2">
        <v>0.2</v>
      </c>
      <c r="BK69" s="2">
        <v>1</v>
      </c>
      <c r="BL69" s="2">
        <v>58.87</v>
      </c>
      <c r="BM69" s="2">
        <v>8.24</v>
      </c>
      <c r="BN69" s="2">
        <v>67.11</v>
      </c>
      <c r="BO69" s="2">
        <v>67.11</v>
      </c>
      <c r="BP69" s="2"/>
      <c r="BQ69" s="2" t="s">
        <v>346</v>
      </c>
      <c r="BR69" s="2" t="s">
        <v>123</v>
      </c>
      <c r="BS69" s="3">
        <v>42830</v>
      </c>
      <c r="BT69" s="4">
        <v>0.47083333333333338</v>
      </c>
      <c r="BU69" s="2" t="s">
        <v>347</v>
      </c>
      <c r="BV69" s="2" t="s">
        <v>111</v>
      </c>
      <c r="BW69" s="2"/>
      <c r="BX69" s="2"/>
      <c r="BY69" s="2">
        <v>1200</v>
      </c>
      <c r="BZ69" s="2" t="s">
        <v>27</v>
      </c>
      <c r="CA69" s="2"/>
      <c r="CB69" s="2"/>
      <c r="CC69" s="2" t="s">
        <v>300</v>
      </c>
      <c r="CD69" s="2">
        <v>208</v>
      </c>
      <c r="CE69" s="2" t="s">
        <v>144</v>
      </c>
      <c r="CF69" s="5">
        <v>42833</v>
      </c>
      <c r="CG69" s="2"/>
      <c r="CH69" s="2"/>
      <c r="CI69" s="2">
        <v>0</v>
      </c>
      <c r="CJ69" s="2">
        <v>0</v>
      </c>
      <c r="CK69" s="2">
        <v>24</v>
      </c>
      <c r="CL69" s="2" t="s">
        <v>86</v>
      </c>
      <c r="CM69" s="2"/>
    </row>
    <row r="70" spans="1:91">
      <c r="A70" s="2" t="s">
        <v>71</v>
      </c>
      <c r="B70" s="2" t="s">
        <v>72</v>
      </c>
      <c r="C70" s="2" t="s">
        <v>73</v>
      </c>
      <c r="D70" s="2"/>
      <c r="E70" s="2" t="str">
        <f>"FES1162543298"</f>
        <v>FES1162543298</v>
      </c>
      <c r="F70" s="3">
        <v>42837</v>
      </c>
      <c r="G70" s="2">
        <v>201710</v>
      </c>
      <c r="H70" s="2" t="s">
        <v>74</v>
      </c>
      <c r="I70" s="2" t="s">
        <v>75</v>
      </c>
      <c r="J70" s="2" t="s">
        <v>76</v>
      </c>
      <c r="K70" s="2" t="s">
        <v>77</v>
      </c>
      <c r="L70" s="2" t="s">
        <v>180</v>
      </c>
      <c r="M70" s="2" t="s">
        <v>181</v>
      </c>
      <c r="N70" s="2" t="s">
        <v>348</v>
      </c>
      <c r="O70" s="2" t="s">
        <v>115</v>
      </c>
      <c r="P70" s="2" t="str">
        <f>"2170560025                    "</f>
        <v xml:space="preserve">2170560025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4.29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1</v>
      </c>
      <c r="BI70" s="2">
        <v>2</v>
      </c>
      <c r="BJ70" s="2">
        <v>0.2</v>
      </c>
      <c r="BK70" s="2">
        <v>2</v>
      </c>
      <c r="BL70" s="2">
        <v>41.73</v>
      </c>
      <c r="BM70" s="2">
        <v>5.84</v>
      </c>
      <c r="BN70" s="2">
        <v>47.57</v>
      </c>
      <c r="BO70" s="2">
        <v>47.57</v>
      </c>
      <c r="BP70" s="2"/>
      <c r="BQ70" s="2" t="s">
        <v>349</v>
      </c>
      <c r="BR70" s="2" t="s">
        <v>84</v>
      </c>
      <c r="BS70" s="3">
        <v>42838</v>
      </c>
      <c r="BT70" s="4">
        <v>0.4375</v>
      </c>
      <c r="BU70" s="2" t="s">
        <v>350</v>
      </c>
      <c r="BV70" s="2" t="s">
        <v>111</v>
      </c>
      <c r="BW70" s="2"/>
      <c r="BX70" s="2"/>
      <c r="BY70" s="2">
        <v>1200</v>
      </c>
      <c r="BZ70" s="2" t="s">
        <v>27</v>
      </c>
      <c r="CA70" s="2"/>
      <c r="CB70" s="2"/>
      <c r="CC70" s="2" t="s">
        <v>181</v>
      </c>
      <c r="CD70" s="2">
        <v>4001</v>
      </c>
      <c r="CE70" s="2" t="s">
        <v>118</v>
      </c>
      <c r="CF70" s="5">
        <v>42843</v>
      </c>
      <c r="CG70" s="2"/>
      <c r="CH70" s="2"/>
      <c r="CI70" s="2">
        <v>1</v>
      </c>
      <c r="CJ70" s="2">
        <v>1</v>
      </c>
      <c r="CK70" s="2">
        <v>21</v>
      </c>
      <c r="CL70" s="2" t="s">
        <v>86</v>
      </c>
      <c r="CM70" s="2"/>
    </row>
    <row r="71" spans="1:91">
      <c r="A71" s="2" t="s">
        <v>71</v>
      </c>
      <c r="B71" s="2" t="s">
        <v>72</v>
      </c>
      <c r="C71" s="2" t="s">
        <v>73</v>
      </c>
      <c r="D71" s="2"/>
      <c r="E71" s="2" t="str">
        <f>"FES1162541209"</f>
        <v>FES1162541209</v>
      </c>
      <c r="F71" s="3">
        <v>42829</v>
      </c>
      <c r="G71" s="2">
        <v>201710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99</v>
      </c>
      <c r="M71" s="2" t="s">
        <v>100</v>
      </c>
      <c r="N71" s="2" t="s">
        <v>108</v>
      </c>
      <c r="O71" s="2" t="s">
        <v>115</v>
      </c>
      <c r="P71" s="2" t="str">
        <f>"2170558133                    "</f>
        <v xml:space="preserve">2170558133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4.42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1</v>
      </c>
      <c r="BJ71" s="2">
        <v>0.2</v>
      </c>
      <c r="BK71" s="2">
        <v>1</v>
      </c>
      <c r="BL71" s="2">
        <v>41.86</v>
      </c>
      <c r="BM71" s="2">
        <v>5.86</v>
      </c>
      <c r="BN71" s="2">
        <v>47.72</v>
      </c>
      <c r="BO71" s="2">
        <v>47.72</v>
      </c>
      <c r="BP71" s="2"/>
      <c r="BQ71" s="2" t="s">
        <v>109</v>
      </c>
      <c r="BR71" s="2" t="s">
        <v>123</v>
      </c>
      <c r="BS71" s="3">
        <v>42830</v>
      </c>
      <c r="BT71" s="4">
        <v>0.39583333333333331</v>
      </c>
      <c r="BU71" s="2" t="s">
        <v>110</v>
      </c>
      <c r="BV71" s="2" t="s">
        <v>111</v>
      </c>
      <c r="BW71" s="2"/>
      <c r="BX71" s="2"/>
      <c r="BY71" s="2">
        <v>1200</v>
      </c>
      <c r="BZ71" s="2" t="s">
        <v>27</v>
      </c>
      <c r="CA71" s="2" t="s">
        <v>106</v>
      </c>
      <c r="CB71" s="2"/>
      <c r="CC71" s="2" t="s">
        <v>100</v>
      </c>
      <c r="CD71" s="2">
        <v>6001</v>
      </c>
      <c r="CE71" s="2" t="s">
        <v>144</v>
      </c>
      <c r="CF71" s="5">
        <v>42830</v>
      </c>
      <c r="CG71" s="2"/>
      <c r="CH71" s="2"/>
      <c r="CI71" s="2">
        <v>1</v>
      </c>
      <c r="CJ71" s="2">
        <v>1</v>
      </c>
      <c r="CK71" s="2">
        <v>21</v>
      </c>
      <c r="CL71" s="2" t="s">
        <v>86</v>
      </c>
      <c r="CM71" s="2"/>
    </row>
    <row r="72" spans="1:91">
      <c r="A72" s="2" t="s">
        <v>71</v>
      </c>
      <c r="B72" s="2" t="s">
        <v>72</v>
      </c>
      <c r="C72" s="2" t="s">
        <v>73</v>
      </c>
      <c r="D72" s="2"/>
      <c r="E72" s="2" t="str">
        <f>"FES1162543069"</f>
        <v>FES1162543069</v>
      </c>
      <c r="F72" s="3">
        <v>42836</v>
      </c>
      <c r="G72" s="2">
        <v>201710</v>
      </c>
      <c r="H72" s="2" t="s">
        <v>74</v>
      </c>
      <c r="I72" s="2" t="s">
        <v>75</v>
      </c>
      <c r="J72" s="2" t="s">
        <v>76</v>
      </c>
      <c r="K72" s="2" t="s">
        <v>77</v>
      </c>
      <c r="L72" s="2" t="s">
        <v>99</v>
      </c>
      <c r="M72" s="2" t="s">
        <v>100</v>
      </c>
      <c r="N72" s="2" t="s">
        <v>351</v>
      </c>
      <c r="O72" s="2" t="s">
        <v>115</v>
      </c>
      <c r="P72" s="2" t="str">
        <f>"2170561853                    "</f>
        <v xml:space="preserve">2170561853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47.16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22</v>
      </c>
      <c r="BJ72" s="2">
        <v>7.4</v>
      </c>
      <c r="BK72" s="2">
        <v>22</v>
      </c>
      <c r="BL72" s="2">
        <v>459</v>
      </c>
      <c r="BM72" s="2">
        <v>64.260000000000005</v>
      </c>
      <c r="BN72" s="2">
        <v>523.26</v>
      </c>
      <c r="BO72" s="2">
        <v>523.26</v>
      </c>
      <c r="BP72" s="2"/>
      <c r="BQ72" s="2" t="s">
        <v>352</v>
      </c>
      <c r="BR72" s="2" t="s">
        <v>123</v>
      </c>
      <c r="BS72" s="3">
        <v>42837</v>
      </c>
      <c r="BT72" s="4">
        <v>0.41666666666666669</v>
      </c>
      <c r="BU72" s="2" t="s">
        <v>130</v>
      </c>
      <c r="BV72" s="2" t="s">
        <v>111</v>
      </c>
      <c r="BW72" s="2"/>
      <c r="BX72" s="2"/>
      <c r="BY72" s="2">
        <v>36822</v>
      </c>
      <c r="BZ72" s="2" t="s">
        <v>27</v>
      </c>
      <c r="CA72" s="2"/>
      <c r="CB72" s="2"/>
      <c r="CC72" s="2" t="s">
        <v>100</v>
      </c>
      <c r="CD72" s="2">
        <v>6001</v>
      </c>
      <c r="CE72" s="2" t="s">
        <v>287</v>
      </c>
      <c r="CF72" s="5">
        <v>42838</v>
      </c>
      <c r="CG72" s="2"/>
      <c r="CH72" s="2"/>
      <c r="CI72" s="2">
        <v>1</v>
      </c>
      <c r="CJ72" s="2">
        <v>1</v>
      </c>
      <c r="CK72" s="2">
        <v>21</v>
      </c>
      <c r="CL72" s="2" t="s">
        <v>86</v>
      </c>
      <c r="CM72" s="2"/>
    </row>
    <row r="73" spans="1:91">
      <c r="A73" s="2" t="s">
        <v>71</v>
      </c>
      <c r="B73" s="2" t="s">
        <v>72</v>
      </c>
      <c r="C73" s="2" t="s">
        <v>73</v>
      </c>
      <c r="D73" s="2"/>
      <c r="E73" s="2" t="str">
        <f>"FES1162541839"</f>
        <v>FES1162541839</v>
      </c>
      <c r="F73" s="3">
        <v>42830</v>
      </c>
      <c r="G73" s="2">
        <v>201710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74</v>
      </c>
      <c r="M73" s="2" t="s">
        <v>75</v>
      </c>
      <c r="N73" s="2" t="s">
        <v>353</v>
      </c>
      <c r="O73" s="2" t="s">
        <v>115</v>
      </c>
      <c r="P73" s="2" t="str">
        <f>"2170560847                    "</f>
        <v xml:space="preserve">2170560847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3.35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1</v>
      </c>
      <c r="BJ73" s="2">
        <v>0.2</v>
      </c>
      <c r="BK73" s="2">
        <v>1</v>
      </c>
      <c r="BL73" s="2">
        <v>32.6</v>
      </c>
      <c r="BM73" s="2">
        <v>4.5599999999999996</v>
      </c>
      <c r="BN73" s="2">
        <v>37.159999999999997</v>
      </c>
      <c r="BO73" s="2">
        <v>37.159999999999997</v>
      </c>
      <c r="BP73" s="2"/>
      <c r="BQ73" s="2" t="s">
        <v>354</v>
      </c>
      <c r="BR73" s="2" t="s">
        <v>123</v>
      </c>
      <c r="BS73" s="3">
        <v>42831</v>
      </c>
      <c r="BT73" s="4">
        <v>0.41666666666666669</v>
      </c>
      <c r="BU73" s="2" t="s">
        <v>355</v>
      </c>
      <c r="BV73" s="2" t="s">
        <v>111</v>
      </c>
      <c r="BW73" s="2"/>
      <c r="BX73" s="2"/>
      <c r="BY73" s="2">
        <v>1200</v>
      </c>
      <c r="BZ73" s="2" t="s">
        <v>27</v>
      </c>
      <c r="CA73" s="2"/>
      <c r="CB73" s="2"/>
      <c r="CC73" s="2" t="s">
        <v>75</v>
      </c>
      <c r="CD73" s="2">
        <v>1601</v>
      </c>
      <c r="CE73" s="2" t="s">
        <v>118</v>
      </c>
      <c r="CF73" s="5">
        <v>42832</v>
      </c>
      <c r="CG73" s="2"/>
      <c r="CH73" s="2"/>
      <c r="CI73" s="2">
        <v>1</v>
      </c>
      <c r="CJ73" s="2">
        <v>1</v>
      </c>
      <c r="CK73" s="2">
        <v>22</v>
      </c>
      <c r="CL73" s="2" t="s">
        <v>86</v>
      </c>
      <c r="CM73" s="2"/>
    </row>
    <row r="74" spans="1:91">
      <c r="A74" s="2" t="s">
        <v>71</v>
      </c>
      <c r="B74" s="2" t="s">
        <v>72</v>
      </c>
      <c r="C74" s="2" t="s">
        <v>73</v>
      </c>
      <c r="D74" s="2"/>
      <c r="E74" s="2" t="str">
        <f>"FES1162541512"</f>
        <v>FES1162541512</v>
      </c>
      <c r="F74" s="3">
        <v>42830</v>
      </c>
      <c r="G74" s="2">
        <v>201710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91</v>
      </c>
      <c r="M74" s="2" t="s">
        <v>92</v>
      </c>
      <c r="N74" s="2" t="s">
        <v>356</v>
      </c>
      <c r="O74" s="2" t="s">
        <v>115</v>
      </c>
      <c r="P74" s="2" t="str">
        <f>"2170557988                    "</f>
        <v xml:space="preserve">2170557988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3.35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1</v>
      </c>
      <c r="BJ74" s="2">
        <v>0.2</v>
      </c>
      <c r="BK74" s="2">
        <v>1</v>
      </c>
      <c r="BL74" s="2">
        <v>32.6</v>
      </c>
      <c r="BM74" s="2">
        <v>4.5599999999999996</v>
      </c>
      <c r="BN74" s="2">
        <v>37.159999999999997</v>
      </c>
      <c r="BO74" s="2">
        <v>37.159999999999997</v>
      </c>
      <c r="BP74" s="2"/>
      <c r="BQ74" s="2" t="s">
        <v>122</v>
      </c>
      <c r="BR74" s="2" t="s">
        <v>123</v>
      </c>
      <c r="BS74" s="3">
        <v>42831</v>
      </c>
      <c r="BT74" s="4">
        <v>0.4375</v>
      </c>
      <c r="BU74" s="2" t="s">
        <v>357</v>
      </c>
      <c r="BV74" s="2" t="s">
        <v>111</v>
      </c>
      <c r="BW74" s="2"/>
      <c r="BX74" s="2"/>
      <c r="BY74" s="2">
        <v>1200</v>
      </c>
      <c r="BZ74" s="2" t="s">
        <v>27</v>
      </c>
      <c r="CA74" s="2"/>
      <c r="CB74" s="2"/>
      <c r="CC74" s="2" t="s">
        <v>92</v>
      </c>
      <c r="CD74" s="2">
        <v>1422</v>
      </c>
      <c r="CE74" s="2" t="s">
        <v>118</v>
      </c>
      <c r="CF74" s="5">
        <v>42832</v>
      </c>
      <c r="CG74" s="2"/>
      <c r="CH74" s="2"/>
      <c r="CI74" s="2">
        <v>1</v>
      </c>
      <c r="CJ74" s="2">
        <v>1</v>
      </c>
      <c r="CK74" s="2">
        <v>22</v>
      </c>
      <c r="CL74" s="2" t="s">
        <v>86</v>
      </c>
      <c r="CM74" s="2"/>
    </row>
    <row r="75" spans="1:91">
      <c r="A75" s="2" t="s">
        <v>71</v>
      </c>
      <c r="B75" s="2" t="s">
        <v>72</v>
      </c>
      <c r="C75" s="2" t="s">
        <v>73</v>
      </c>
      <c r="D75" s="2"/>
      <c r="E75" s="2" t="str">
        <f>"FES1162543173"</f>
        <v>FES1162543173</v>
      </c>
      <c r="F75" s="3">
        <v>42837</v>
      </c>
      <c r="G75" s="2">
        <v>201710</v>
      </c>
      <c r="H75" s="2" t="s">
        <v>74</v>
      </c>
      <c r="I75" s="2" t="s">
        <v>75</v>
      </c>
      <c r="J75" s="2" t="s">
        <v>76</v>
      </c>
      <c r="K75" s="2" t="s">
        <v>77</v>
      </c>
      <c r="L75" s="2" t="s">
        <v>358</v>
      </c>
      <c r="M75" s="2" t="s">
        <v>359</v>
      </c>
      <c r="N75" s="2" t="s">
        <v>360</v>
      </c>
      <c r="O75" s="2" t="s">
        <v>115</v>
      </c>
      <c r="P75" s="2" t="str">
        <f>"2170557958                    "</f>
        <v xml:space="preserve">2170557958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9.65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4.0999999999999996</v>
      </c>
      <c r="BJ75" s="2">
        <v>1.7</v>
      </c>
      <c r="BK75" s="2">
        <v>4.5</v>
      </c>
      <c r="BL75" s="2">
        <v>93.89</v>
      </c>
      <c r="BM75" s="2">
        <v>13.14</v>
      </c>
      <c r="BN75" s="2">
        <v>107.03</v>
      </c>
      <c r="BO75" s="2">
        <v>107.03</v>
      </c>
      <c r="BP75" s="2"/>
      <c r="BQ75" s="2" t="s">
        <v>361</v>
      </c>
      <c r="BR75" s="2" t="s">
        <v>84</v>
      </c>
      <c r="BS75" s="3">
        <v>42838</v>
      </c>
      <c r="BT75" s="4">
        <v>0.33333333333333331</v>
      </c>
      <c r="BU75" s="2" t="s">
        <v>362</v>
      </c>
      <c r="BV75" s="2" t="s">
        <v>111</v>
      </c>
      <c r="BW75" s="2"/>
      <c r="BX75" s="2"/>
      <c r="BY75" s="2">
        <v>8541.1200000000008</v>
      </c>
      <c r="BZ75" s="2" t="s">
        <v>27</v>
      </c>
      <c r="CA75" s="2" t="s">
        <v>159</v>
      </c>
      <c r="CB75" s="2"/>
      <c r="CC75" s="2" t="s">
        <v>359</v>
      </c>
      <c r="CD75" s="2">
        <v>6229</v>
      </c>
      <c r="CE75" s="2" t="s">
        <v>89</v>
      </c>
      <c r="CF75" s="5">
        <v>42843</v>
      </c>
      <c r="CG75" s="2"/>
      <c r="CH75" s="2"/>
      <c r="CI75" s="2">
        <v>1</v>
      </c>
      <c r="CJ75" s="2">
        <v>1</v>
      </c>
      <c r="CK75" s="2">
        <v>21</v>
      </c>
      <c r="CL75" s="2" t="s">
        <v>86</v>
      </c>
      <c r="CM75" s="2"/>
    </row>
    <row r="76" spans="1:91">
      <c r="A76" s="2" t="s">
        <v>71</v>
      </c>
      <c r="B76" s="2" t="s">
        <v>72</v>
      </c>
      <c r="C76" s="2" t="s">
        <v>73</v>
      </c>
      <c r="D76" s="2"/>
      <c r="E76" s="2" t="str">
        <f>"FES1162542023"</f>
        <v>FES1162542023</v>
      </c>
      <c r="F76" s="3">
        <v>42831</v>
      </c>
      <c r="G76" s="2">
        <v>201710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131</v>
      </c>
      <c r="M76" s="2" t="s">
        <v>132</v>
      </c>
      <c r="N76" s="2" t="s">
        <v>363</v>
      </c>
      <c r="O76" s="2" t="s">
        <v>115</v>
      </c>
      <c r="P76" s="2" t="str">
        <f>"2170559708                    "</f>
        <v xml:space="preserve">2170559708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4.29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1</v>
      </c>
      <c r="BJ76" s="2">
        <v>0.2</v>
      </c>
      <c r="BK76" s="2">
        <v>1</v>
      </c>
      <c r="BL76" s="2">
        <v>41.73</v>
      </c>
      <c r="BM76" s="2">
        <v>5.84</v>
      </c>
      <c r="BN76" s="2">
        <v>47.57</v>
      </c>
      <c r="BO76" s="2">
        <v>47.57</v>
      </c>
      <c r="BP76" s="2"/>
      <c r="BQ76" s="2" t="s">
        <v>170</v>
      </c>
      <c r="BR76" s="2" t="s">
        <v>123</v>
      </c>
      <c r="BS76" s="3">
        <v>42835</v>
      </c>
      <c r="BT76" s="4">
        <v>0.41666666666666669</v>
      </c>
      <c r="BU76" s="2" t="s">
        <v>364</v>
      </c>
      <c r="BV76" s="2" t="s">
        <v>86</v>
      </c>
      <c r="BW76" s="2" t="s">
        <v>157</v>
      </c>
      <c r="BX76" s="2" t="s">
        <v>158</v>
      </c>
      <c r="BY76" s="2">
        <v>1200</v>
      </c>
      <c r="BZ76" s="2" t="s">
        <v>27</v>
      </c>
      <c r="CA76" s="2"/>
      <c r="CB76" s="2"/>
      <c r="CC76" s="2" t="s">
        <v>132</v>
      </c>
      <c r="CD76" s="2">
        <v>7441</v>
      </c>
      <c r="CE76" s="2" t="s">
        <v>144</v>
      </c>
      <c r="CF76" s="5">
        <v>42836</v>
      </c>
      <c r="CG76" s="2"/>
      <c r="CH76" s="2"/>
      <c r="CI76" s="2">
        <v>1</v>
      </c>
      <c r="CJ76" s="2">
        <v>2</v>
      </c>
      <c r="CK76" s="2">
        <v>21</v>
      </c>
      <c r="CL76" s="2" t="s">
        <v>86</v>
      </c>
      <c r="CM76" s="2"/>
    </row>
    <row r="77" spans="1:91">
      <c r="A77" s="2" t="s">
        <v>71</v>
      </c>
      <c r="B77" s="2" t="s">
        <v>72</v>
      </c>
      <c r="C77" s="2" t="s">
        <v>73</v>
      </c>
      <c r="D77" s="2"/>
      <c r="E77" s="2" t="str">
        <f>"RFES1162539527"</f>
        <v>RFES1162539527</v>
      </c>
      <c r="F77" s="3">
        <v>42830</v>
      </c>
      <c r="G77" s="2">
        <v>201710</v>
      </c>
      <c r="H77" s="2" t="s">
        <v>166</v>
      </c>
      <c r="I77" s="2" t="s">
        <v>167</v>
      </c>
      <c r="J77" s="2" t="s">
        <v>365</v>
      </c>
      <c r="K77" s="2" t="s">
        <v>77</v>
      </c>
      <c r="L77" s="2" t="s">
        <v>234</v>
      </c>
      <c r="M77" s="2" t="s">
        <v>235</v>
      </c>
      <c r="N77" s="2" t="s">
        <v>76</v>
      </c>
      <c r="O77" s="2" t="s">
        <v>115</v>
      </c>
      <c r="P77" s="2" t="str">
        <f>"2170558683                    "</f>
        <v xml:space="preserve">2170558683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4.29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1.3</v>
      </c>
      <c r="BJ77" s="2">
        <v>0.2</v>
      </c>
      <c r="BK77" s="2">
        <v>1.5</v>
      </c>
      <c r="BL77" s="2">
        <v>41.73</v>
      </c>
      <c r="BM77" s="2">
        <v>5.84</v>
      </c>
      <c r="BN77" s="2">
        <v>47.57</v>
      </c>
      <c r="BO77" s="2">
        <v>47.57</v>
      </c>
      <c r="BP77" s="2"/>
      <c r="BQ77" s="2" t="s">
        <v>123</v>
      </c>
      <c r="BR77" s="2"/>
      <c r="BS77" s="3">
        <v>42831</v>
      </c>
      <c r="BT77" s="4">
        <v>0.34722222222222227</v>
      </c>
      <c r="BU77" s="2" t="s">
        <v>134</v>
      </c>
      <c r="BV77" s="2" t="s">
        <v>111</v>
      </c>
      <c r="BW77" s="2"/>
      <c r="BX77" s="2"/>
      <c r="BY77" s="2">
        <v>1200</v>
      </c>
      <c r="BZ77" s="2" t="s">
        <v>27</v>
      </c>
      <c r="CA77" s="2"/>
      <c r="CB77" s="2"/>
      <c r="CC77" s="2" t="s">
        <v>235</v>
      </c>
      <c r="CD77" s="2">
        <v>6242</v>
      </c>
      <c r="CE77" s="2" t="s">
        <v>118</v>
      </c>
      <c r="CF77" s="5">
        <v>42832</v>
      </c>
      <c r="CG77" s="2"/>
      <c r="CH77" s="2"/>
      <c r="CI77" s="2">
        <v>1</v>
      </c>
      <c r="CJ77" s="2">
        <v>1</v>
      </c>
      <c r="CK77" s="2">
        <v>21</v>
      </c>
      <c r="CL77" s="2" t="s">
        <v>86</v>
      </c>
      <c r="CM77" s="2"/>
    </row>
    <row r="78" spans="1:91">
      <c r="A78" s="2" t="s">
        <v>71</v>
      </c>
      <c r="B78" s="2" t="s">
        <v>72</v>
      </c>
      <c r="C78" s="2" t="s">
        <v>73</v>
      </c>
      <c r="D78" s="2"/>
      <c r="E78" s="2" t="str">
        <f>"FES1162542971"</f>
        <v>FES1162542971</v>
      </c>
      <c r="F78" s="3">
        <v>42836</v>
      </c>
      <c r="G78" s="2">
        <v>201710</v>
      </c>
      <c r="H78" s="2" t="s">
        <v>74</v>
      </c>
      <c r="I78" s="2" t="s">
        <v>75</v>
      </c>
      <c r="J78" s="2" t="s">
        <v>76</v>
      </c>
      <c r="K78" s="2" t="s">
        <v>77</v>
      </c>
      <c r="L78" s="2" t="s">
        <v>112</v>
      </c>
      <c r="M78" s="2" t="s">
        <v>113</v>
      </c>
      <c r="N78" s="2" t="s">
        <v>366</v>
      </c>
      <c r="O78" s="2" t="s">
        <v>115</v>
      </c>
      <c r="P78" s="2" t="str">
        <f>"2170561752                    "</f>
        <v xml:space="preserve">2170561752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32.15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15</v>
      </c>
      <c r="BJ78" s="2">
        <v>4.0999999999999996</v>
      </c>
      <c r="BK78" s="2">
        <v>15</v>
      </c>
      <c r="BL78" s="2">
        <v>312.95</v>
      </c>
      <c r="BM78" s="2">
        <v>43.81</v>
      </c>
      <c r="BN78" s="2">
        <v>356.76</v>
      </c>
      <c r="BO78" s="2">
        <v>356.76</v>
      </c>
      <c r="BP78" s="2"/>
      <c r="BQ78" s="2" t="s">
        <v>367</v>
      </c>
      <c r="BR78" s="2" t="s">
        <v>123</v>
      </c>
      <c r="BS78" s="3">
        <v>42837</v>
      </c>
      <c r="BT78" s="4">
        <v>0.33680555555555558</v>
      </c>
      <c r="BU78" s="2" t="s">
        <v>368</v>
      </c>
      <c r="BV78" s="2" t="s">
        <v>111</v>
      </c>
      <c r="BW78" s="2"/>
      <c r="BX78" s="2"/>
      <c r="BY78" s="2">
        <v>20358</v>
      </c>
      <c r="BZ78" s="2" t="s">
        <v>27</v>
      </c>
      <c r="CA78" s="2"/>
      <c r="CB78" s="2"/>
      <c r="CC78" s="2" t="s">
        <v>113</v>
      </c>
      <c r="CD78" s="2">
        <v>3201</v>
      </c>
      <c r="CE78" s="2" t="s">
        <v>135</v>
      </c>
      <c r="CF78" s="5">
        <v>42843</v>
      </c>
      <c r="CG78" s="2"/>
      <c r="CH78" s="2"/>
      <c r="CI78" s="2">
        <v>1</v>
      </c>
      <c r="CJ78" s="2">
        <v>1</v>
      </c>
      <c r="CK78" s="2">
        <v>21</v>
      </c>
      <c r="CL78" s="2" t="s">
        <v>86</v>
      </c>
      <c r="CM78" s="2"/>
    </row>
    <row r="79" spans="1:91">
      <c r="A79" s="2" t="s">
        <v>71</v>
      </c>
      <c r="B79" s="2" t="s">
        <v>72</v>
      </c>
      <c r="C79" s="2" t="s">
        <v>73</v>
      </c>
      <c r="D79" s="2"/>
      <c r="E79" s="2" t="str">
        <f>"FES1162541808"</f>
        <v>FES1162541808</v>
      </c>
      <c r="F79" s="3">
        <v>42830</v>
      </c>
      <c r="G79" s="2">
        <v>201710</v>
      </c>
      <c r="H79" s="2" t="s">
        <v>74</v>
      </c>
      <c r="I79" s="2" t="s">
        <v>75</v>
      </c>
      <c r="J79" s="2" t="s">
        <v>76</v>
      </c>
      <c r="K79" s="2" t="s">
        <v>77</v>
      </c>
      <c r="L79" s="2" t="s">
        <v>369</v>
      </c>
      <c r="M79" s="2" t="s">
        <v>370</v>
      </c>
      <c r="N79" s="2" t="s">
        <v>371</v>
      </c>
      <c r="O79" s="2" t="s">
        <v>115</v>
      </c>
      <c r="P79" s="2" t="str">
        <f>"21705608149                   "</f>
        <v xml:space="preserve">21705608149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12.06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2.7</v>
      </c>
      <c r="BJ79" s="2">
        <v>1.1000000000000001</v>
      </c>
      <c r="BK79" s="2">
        <v>3</v>
      </c>
      <c r="BL79" s="2">
        <v>117.36</v>
      </c>
      <c r="BM79" s="2">
        <v>16.43</v>
      </c>
      <c r="BN79" s="2">
        <v>133.79</v>
      </c>
      <c r="BO79" s="2">
        <v>133.79</v>
      </c>
      <c r="BP79" s="2"/>
      <c r="BQ79" s="2" t="s">
        <v>116</v>
      </c>
      <c r="BR79" s="2" t="s">
        <v>123</v>
      </c>
      <c r="BS79" s="3">
        <v>42831</v>
      </c>
      <c r="BT79" s="4">
        <v>0.54166666666666663</v>
      </c>
      <c r="BU79" s="2" t="s">
        <v>372</v>
      </c>
      <c r="BV79" s="2" t="s">
        <v>111</v>
      </c>
      <c r="BW79" s="2"/>
      <c r="BX79" s="2"/>
      <c r="BY79" s="2">
        <v>5533.7</v>
      </c>
      <c r="BZ79" s="2" t="s">
        <v>27</v>
      </c>
      <c r="CA79" s="2"/>
      <c r="CB79" s="2"/>
      <c r="CC79" s="2" t="s">
        <v>370</v>
      </c>
      <c r="CD79" s="2">
        <v>4240</v>
      </c>
      <c r="CE79" s="2" t="s">
        <v>89</v>
      </c>
      <c r="CF79" s="5">
        <v>42833</v>
      </c>
      <c r="CG79" s="2"/>
      <c r="CH79" s="2"/>
      <c r="CI79" s="2">
        <v>1</v>
      </c>
      <c r="CJ79" s="2">
        <v>1</v>
      </c>
      <c r="CK79" s="2">
        <v>23</v>
      </c>
      <c r="CL79" s="2" t="s">
        <v>86</v>
      </c>
      <c r="CM79" s="2"/>
    </row>
    <row r="80" spans="1:91">
      <c r="A80" s="2" t="s">
        <v>71</v>
      </c>
      <c r="B80" s="2" t="s">
        <v>72</v>
      </c>
      <c r="C80" s="2" t="s">
        <v>73</v>
      </c>
      <c r="D80" s="2"/>
      <c r="E80" s="2" t="str">
        <f>"FES1162543368"</f>
        <v>FES1162543368</v>
      </c>
      <c r="F80" s="3">
        <v>42837</v>
      </c>
      <c r="G80" s="2">
        <v>201710</v>
      </c>
      <c r="H80" s="2" t="s">
        <v>74</v>
      </c>
      <c r="I80" s="2" t="s">
        <v>75</v>
      </c>
      <c r="J80" s="2" t="s">
        <v>76</v>
      </c>
      <c r="K80" s="2" t="s">
        <v>77</v>
      </c>
      <c r="L80" s="2" t="s">
        <v>187</v>
      </c>
      <c r="M80" s="2" t="s">
        <v>146</v>
      </c>
      <c r="N80" s="2" t="s">
        <v>218</v>
      </c>
      <c r="O80" s="2" t="s">
        <v>115</v>
      </c>
      <c r="P80" s="2" t="str">
        <f>"2170562054                    "</f>
        <v xml:space="preserve">2170562054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4.29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</v>
      </c>
      <c r="BJ80" s="2">
        <v>0.2</v>
      </c>
      <c r="BK80" s="2">
        <v>1</v>
      </c>
      <c r="BL80" s="2">
        <v>41.73</v>
      </c>
      <c r="BM80" s="2">
        <v>5.84</v>
      </c>
      <c r="BN80" s="2">
        <v>47.57</v>
      </c>
      <c r="BO80" s="2">
        <v>47.57</v>
      </c>
      <c r="BP80" s="2"/>
      <c r="BQ80" s="2" t="s">
        <v>219</v>
      </c>
      <c r="BR80" s="2" t="s">
        <v>84</v>
      </c>
      <c r="BS80" s="3">
        <v>42838</v>
      </c>
      <c r="BT80" s="4">
        <v>0.3611111111111111</v>
      </c>
      <c r="BU80" s="2" t="s">
        <v>373</v>
      </c>
      <c r="BV80" s="2" t="s">
        <v>111</v>
      </c>
      <c r="BW80" s="2"/>
      <c r="BX80" s="2"/>
      <c r="BY80" s="2">
        <v>1200</v>
      </c>
      <c r="BZ80" s="2" t="s">
        <v>27</v>
      </c>
      <c r="CA80" s="2" t="s">
        <v>374</v>
      </c>
      <c r="CB80" s="2"/>
      <c r="CC80" s="2" t="s">
        <v>146</v>
      </c>
      <c r="CD80" s="2">
        <v>200</v>
      </c>
      <c r="CE80" s="2" t="s">
        <v>118</v>
      </c>
      <c r="CF80" s="5">
        <v>42844</v>
      </c>
      <c r="CG80" s="2"/>
      <c r="CH80" s="2"/>
      <c r="CI80" s="2">
        <v>0</v>
      </c>
      <c r="CJ80" s="2">
        <v>0</v>
      </c>
      <c r="CK80" s="2">
        <v>21</v>
      </c>
      <c r="CL80" s="2" t="s">
        <v>86</v>
      </c>
      <c r="CM80" s="2"/>
    </row>
    <row r="81" spans="1:91">
      <c r="A81" s="2" t="s">
        <v>71</v>
      </c>
      <c r="B81" s="2" t="s">
        <v>72</v>
      </c>
      <c r="C81" s="2" t="s">
        <v>73</v>
      </c>
      <c r="D81" s="2"/>
      <c r="E81" s="2" t="str">
        <f>"FES1162541849"</f>
        <v>FES1162541849</v>
      </c>
      <c r="F81" s="3">
        <v>42831</v>
      </c>
      <c r="G81" s="2">
        <v>201710</v>
      </c>
      <c r="H81" s="2" t="s">
        <v>74</v>
      </c>
      <c r="I81" s="2" t="s">
        <v>75</v>
      </c>
      <c r="J81" s="2" t="s">
        <v>76</v>
      </c>
      <c r="K81" s="2" t="s">
        <v>77</v>
      </c>
      <c r="L81" s="2" t="s">
        <v>119</v>
      </c>
      <c r="M81" s="2" t="s">
        <v>120</v>
      </c>
      <c r="N81" s="2" t="s">
        <v>121</v>
      </c>
      <c r="O81" s="2" t="s">
        <v>115</v>
      </c>
      <c r="P81" s="2" t="str">
        <f>"2170560590                    "</f>
        <v xml:space="preserve">2170560590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3.35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0.2</v>
      </c>
      <c r="BK81" s="2">
        <v>1</v>
      </c>
      <c r="BL81" s="2">
        <v>32.6</v>
      </c>
      <c r="BM81" s="2">
        <v>4.5599999999999996</v>
      </c>
      <c r="BN81" s="2">
        <v>37.159999999999997</v>
      </c>
      <c r="BO81" s="2">
        <v>37.159999999999997</v>
      </c>
      <c r="BP81" s="2"/>
      <c r="BQ81" s="2" t="s">
        <v>122</v>
      </c>
      <c r="BR81" s="2" t="s">
        <v>123</v>
      </c>
      <c r="BS81" s="3">
        <v>42832</v>
      </c>
      <c r="BT81" s="4">
        <v>0.53541666666666665</v>
      </c>
      <c r="BU81" s="2" t="s">
        <v>124</v>
      </c>
      <c r="BV81" s="2" t="s">
        <v>111</v>
      </c>
      <c r="BW81" s="2"/>
      <c r="BX81" s="2"/>
      <c r="BY81" s="2">
        <v>1200</v>
      </c>
      <c r="BZ81" s="2" t="s">
        <v>27</v>
      </c>
      <c r="CA81" s="2"/>
      <c r="CB81" s="2"/>
      <c r="CC81" s="2" t="s">
        <v>120</v>
      </c>
      <c r="CD81" s="2">
        <v>2163</v>
      </c>
      <c r="CE81" s="2" t="s">
        <v>118</v>
      </c>
      <c r="CF81" s="5">
        <v>42835</v>
      </c>
      <c r="CG81" s="2"/>
      <c r="CH81" s="2"/>
      <c r="CI81" s="2">
        <v>1</v>
      </c>
      <c r="CJ81" s="2">
        <v>1</v>
      </c>
      <c r="CK81" s="2">
        <v>22</v>
      </c>
      <c r="CL81" s="2" t="s">
        <v>86</v>
      </c>
      <c r="CM81" s="2"/>
    </row>
    <row r="82" spans="1:91">
      <c r="A82" s="2" t="s">
        <v>71</v>
      </c>
      <c r="B82" s="2" t="s">
        <v>72</v>
      </c>
      <c r="C82" s="2" t="s">
        <v>73</v>
      </c>
      <c r="D82" s="2"/>
      <c r="E82" s="2" t="str">
        <f>"FES1162541255"</f>
        <v>FES1162541255</v>
      </c>
      <c r="F82" s="3">
        <v>42829</v>
      </c>
      <c r="G82" s="2">
        <v>201710</v>
      </c>
      <c r="H82" s="2" t="s">
        <v>74</v>
      </c>
      <c r="I82" s="2" t="s">
        <v>75</v>
      </c>
      <c r="J82" s="2" t="s">
        <v>76</v>
      </c>
      <c r="K82" s="2" t="s">
        <v>77</v>
      </c>
      <c r="L82" s="2" t="s">
        <v>99</v>
      </c>
      <c r="M82" s="2" t="s">
        <v>100</v>
      </c>
      <c r="N82" s="2" t="s">
        <v>375</v>
      </c>
      <c r="O82" s="2" t="s">
        <v>115</v>
      </c>
      <c r="P82" s="2" t="str">
        <f>"2170560299                    "</f>
        <v xml:space="preserve">2170560299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17.690000000000001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8</v>
      </c>
      <c r="BJ82" s="2">
        <v>3.3</v>
      </c>
      <c r="BK82" s="2">
        <v>8</v>
      </c>
      <c r="BL82" s="2">
        <v>167.45</v>
      </c>
      <c r="BM82" s="2">
        <v>23.44</v>
      </c>
      <c r="BN82" s="2">
        <v>190.89</v>
      </c>
      <c r="BO82" s="2">
        <v>190.89</v>
      </c>
      <c r="BP82" s="2"/>
      <c r="BQ82" s="2" t="s">
        <v>376</v>
      </c>
      <c r="BR82" s="2" t="s">
        <v>123</v>
      </c>
      <c r="BS82" s="3">
        <v>42830</v>
      </c>
      <c r="BT82" s="4">
        <v>0.37916666666666665</v>
      </c>
      <c r="BU82" s="2" t="s">
        <v>377</v>
      </c>
      <c r="BV82" s="2" t="s">
        <v>111</v>
      </c>
      <c r="BW82" s="2"/>
      <c r="BX82" s="2"/>
      <c r="BY82" s="2">
        <v>16257.02</v>
      </c>
      <c r="BZ82" s="2" t="s">
        <v>27</v>
      </c>
      <c r="CA82" s="2" t="s">
        <v>378</v>
      </c>
      <c r="CB82" s="2"/>
      <c r="CC82" s="2" t="s">
        <v>100</v>
      </c>
      <c r="CD82" s="2">
        <v>6070</v>
      </c>
      <c r="CE82" s="2" t="s">
        <v>135</v>
      </c>
      <c r="CF82" s="5">
        <v>42832</v>
      </c>
      <c r="CG82" s="2"/>
      <c r="CH82" s="2"/>
      <c r="CI82" s="2">
        <v>1</v>
      </c>
      <c r="CJ82" s="2">
        <v>1</v>
      </c>
      <c r="CK82" s="2">
        <v>21</v>
      </c>
      <c r="CL82" s="2" t="s">
        <v>86</v>
      </c>
      <c r="CM82" s="2"/>
    </row>
    <row r="83" spans="1:91">
      <c r="A83" s="2" t="s">
        <v>71</v>
      </c>
      <c r="B83" s="2" t="s">
        <v>72</v>
      </c>
      <c r="C83" s="2" t="s">
        <v>73</v>
      </c>
      <c r="D83" s="2"/>
      <c r="E83" s="2" t="str">
        <f>"FES1162542916"</f>
        <v>FES1162542916</v>
      </c>
      <c r="F83" s="3">
        <v>42836</v>
      </c>
      <c r="G83" s="2">
        <v>201710</v>
      </c>
      <c r="H83" s="2" t="s">
        <v>74</v>
      </c>
      <c r="I83" s="2" t="s">
        <v>75</v>
      </c>
      <c r="J83" s="2" t="s">
        <v>76</v>
      </c>
      <c r="K83" s="2" t="s">
        <v>77</v>
      </c>
      <c r="L83" s="2" t="s">
        <v>91</v>
      </c>
      <c r="M83" s="2" t="s">
        <v>92</v>
      </c>
      <c r="N83" s="2" t="s">
        <v>379</v>
      </c>
      <c r="O83" s="2" t="s">
        <v>115</v>
      </c>
      <c r="P83" s="2" t="str">
        <f>"2170559284                    "</f>
        <v xml:space="preserve">2170559284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3.35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</v>
      </c>
      <c r="BJ83" s="2">
        <v>0.2</v>
      </c>
      <c r="BK83" s="2">
        <v>1</v>
      </c>
      <c r="BL83" s="2">
        <v>32.6</v>
      </c>
      <c r="BM83" s="2">
        <v>4.5599999999999996</v>
      </c>
      <c r="BN83" s="2">
        <v>37.159999999999997</v>
      </c>
      <c r="BO83" s="2">
        <v>37.159999999999997</v>
      </c>
      <c r="BP83" s="2"/>
      <c r="BQ83" s="2"/>
      <c r="BR83" s="2" t="s">
        <v>123</v>
      </c>
      <c r="BS83" s="3">
        <v>42837</v>
      </c>
      <c r="BT83" s="4">
        <v>0.41666666666666669</v>
      </c>
      <c r="BU83" s="2" t="s">
        <v>380</v>
      </c>
      <c r="BV83" s="2" t="s">
        <v>111</v>
      </c>
      <c r="BW83" s="2"/>
      <c r="BX83" s="2"/>
      <c r="BY83" s="2">
        <v>1200</v>
      </c>
      <c r="BZ83" s="2" t="s">
        <v>27</v>
      </c>
      <c r="CA83" s="2"/>
      <c r="CB83" s="2"/>
      <c r="CC83" s="2" t="s">
        <v>92</v>
      </c>
      <c r="CD83" s="2">
        <v>1428</v>
      </c>
      <c r="CE83" s="2" t="s">
        <v>118</v>
      </c>
      <c r="CF83" s="5">
        <v>42838</v>
      </c>
      <c r="CG83" s="2"/>
      <c r="CH83" s="2"/>
      <c r="CI83" s="2">
        <v>1</v>
      </c>
      <c r="CJ83" s="2">
        <v>1</v>
      </c>
      <c r="CK83" s="2">
        <v>22</v>
      </c>
      <c r="CL83" s="2" t="s">
        <v>86</v>
      </c>
      <c r="CM83" s="2"/>
    </row>
    <row r="84" spans="1:91">
      <c r="A84" s="2" t="s">
        <v>71</v>
      </c>
      <c r="B84" s="2" t="s">
        <v>72</v>
      </c>
      <c r="C84" s="2" t="s">
        <v>73</v>
      </c>
      <c r="D84" s="2"/>
      <c r="E84" s="2" t="str">
        <f>"FES1162541602"</f>
        <v>FES1162541602</v>
      </c>
      <c r="F84" s="3">
        <v>42830</v>
      </c>
      <c r="G84" s="2">
        <v>201710</v>
      </c>
      <c r="H84" s="2" t="s">
        <v>74</v>
      </c>
      <c r="I84" s="2" t="s">
        <v>75</v>
      </c>
      <c r="J84" s="2" t="s">
        <v>76</v>
      </c>
      <c r="K84" s="2" t="s">
        <v>77</v>
      </c>
      <c r="L84" s="2" t="s">
        <v>74</v>
      </c>
      <c r="M84" s="2" t="s">
        <v>75</v>
      </c>
      <c r="N84" s="2" t="s">
        <v>381</v>
      </c>
      <c r="O84" s="2" t="s">
        <v>115</v>
      </c>
      <c r="P84" s="2" t="str">
        <f>"2170555649                    "</f>
        <v xml:space="preserve">2170555649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3.35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4</v>
      </c>
      <c r="BJ84" s="2">
        <v>3</v>
      </c>
      <c r="BK84" s="2">
        <v>4</v>
      </c>
      <c r="BL84" s="2">
        <v>32.6</v>
      </c>
      <c r="BM84" s="2">
        <v>4.5599999999999996</v>
      </c>
      <c r="BN84" s="2">
        <v>37.159999999999997</v>
      </c>
      <c r="BO84" s="2">
        <v>37.159999999999997</v>
      </c>
      <c r="BP84" s="2"/>
      <c r="BQ84" s="2" t="s">
        <v>122</v>
      </c>
      <c r="BR84" s="2" t="s">
        <v>123</v>
      </c>
      <c r="BS84" s="3">
        <v>42831</v>
      </c>
      <c r="BT84" s="4">
        <v>0.31875000000000003</v>
      </c>
      <c r="BU84" s="2" t="s">
        <v>382</v>
      </c>
      <c r="BV84" s="2" t="s">
        <v>111</v>
      </c>
      <c r="BW84" s="2"/>
      <c r="BX84" s="2"/>
      <c r="BY84" s="2">
        <v>14930.24</v>
      </c>
      <c r="BZ84" s="2" t="s">
        <v>27</v>
      </c>
      <c r="CA84" s="2" t="s">
        <v>383</v>
      </c>
      <c r="CB84" s="2"/>
      <c r="CC84" s="2" t="s">
        <v>75</v>
      </c>
      <c r="CD84" s="2">
        <v>1624</v>
      </c>
      <c r="CE84" s="2" t="s">
        <v>89</v>
      </c>
      <c r="CF84" s="5">
        <v>42832</v>
      </c>
      <c r="CG84" s="2"/>
      <c r="CH84" s="2"/>
      <c r="CI84" s="2">
        <v>1</v>
      </c>
      <c r="CJ84" s="2">
        <v>1</v>
      </c>
      <c r="CK84" s="2">
        <v>22</v>
      </c>
      <c r="CL84" s="2" t="s">
        <v>86</v>
      </c>
      <c r="CM84" s="2"/>
    </row>
    <row r="85" spans="1:91">
      <c r="A85" s="2" t="s">
        <v>71</v>
      </c>
      <c r="B85" s="2" t="s">
        <v>72</v>
      </c>
      <c r="C85" s="2" t="s">
        <v>73</v>
      </c>
      <c r="D85" s="2"/>
      <c r="E85" s="2" t="str">
        <f>"FES1162541570"</f>
        <v>FES1162541570</v>
      </c>
      <c r="F85" s="3">
        <v>42830</v>
      </c>
      <c r="G85" s="2">
        <v>201710</v>
      </c>
      <c r="H85" s="2" t="s">
        <v>74</v>
      </c>
      <c r="I85" s="2" t="s">
        <v>75</v>
      </c>
      <c r="J85" s="2" t="s">
        <v>76</v>
      </c>
      <c r="K85" s="2" t="s">
        <v>77</v>
      </c>
      <c r="L85" s="2" t="s">
        <v>99</v>
      </c>
      <c r="M85" s="2" t="s">
        <v>100</v>
      </c>
      <c r="N85" s="2" t="s">
        <v>384</v>
      </c>
      <c r="O85" s="2" t="s">
        <v>115</v>
      </c>
      <c r="P85" s="2" t="str">
        <f>"2170560663                    "</f>
        <v xml:space="preserve">2170560663 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4.29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0.2</v>
      </c>
      <c r="BK85" s="2">
        <v>1</v>
      </c>
      <c r="BL85" s="2">
        <v>41.73</v>
      </c>
      <c r="BM85" s="2">
        <v>5.84</v>
      </c>
      <c r="BN85" s="2">
        <v>47.57</v>
      </c>
      <c r="BO85" s="2">
        <v>47.57</v>
      </c>
      <c r="BP85" s="2"/>
      <c r="BQ85" s="2" t="s">
        <v>129</v>
      </c>
      <c r="BR85" s="2" t="s">
        <v>123</v>
      </c>
      <c r="BS85" s="3">
        <v>42831</v>
      </c>
      <c r="BT85" s="4">
        <v>0.2986111111111111</v>
      </c>
      <c r="BU85" s="2" t="s">
        <v>385</v>
      </c>
      <c r="BV85" s="2" t="s">
        <v>111</v>
      </c>
      <c r="BW85" s="2"/>
      <c r="BX85" s="2"/>
      <c r="BY85" s="2">
        <v>1200</v>
      </c>
      <c r="BZ85" s="2" t="s">
        <v>27</v>
      </c>
      <c r="CA85" s="2"/>
      <c r="CB85" s="2"/>
      <c r="CC85" s="2" t="s">
        <v>100</v>
      </c>
      <c r="CD85" s="2">
        <v>6020</v>
      </c>
      <c r="CE85" s="2" t="s">
        <v>144</v>
      </c>
      <c r="CF85" s="5">
        <v>42832</v>
      </c>
      <c r="CG85" s="2"/>
      <c r="CH85" s="2"/>
      <c r="CI85" s="2">
        <v>1</v>
      </c>
      <c r="CJ85" s="2">
        <v>1</v>
      </c>
      <c r="CK85" s="2">
        <v>21</v>
      </c>
      <c r="CL85" s="2" t="s">
        <v>86</v>
      </c>
      <c r="CM85" s="2"/>
    </row>
    <row r="86" spans="1:91">
      <c r="A86" s="2" t="s">
        <v>71</v>
      </c>
      <c r="B86" s="2" t="s">
        <v>72</v>
      </c>
      <c r="C86" s="2" t="s">
        <v>73</v>
      </c>
      <c r="D86" s="2"/>
      <c r="E86" s="2" t="str">
        <f>"FES1162543249"</f>
        <v>FES1162543249</v>
      </c>
      <c r="F86" s="3">
        <v>42837</v>
      </c>
      <c r="G86" s="2">
        <v>201710</v>
      </c>
      <c r="H86" s="2" t="s">
        <v>74</v>
      </c>
      <c r="I86" s="2" t="s">
        <v>75</v>
      </c>
      <c r="J86" s="2" t="s">
        <v>76</v>
      </c>
      <c r="K86" s="2" t="s">
        <v>77</v>
      </c>
      <c r="L86" s="2" t="s">
        <v>112</v>
      </c>
      <c r="M86" s="2" t="s">
        <v>113</v>
      </c>
      <c r="N86" s="2" t="s">
        <v>386</v>
      </c>
      <c r="O86" s="2" t="s">
        <v>115</v>
      </c>
      <c r="P86" s="2" t="str">
        <f>"2170559287                    "</f>
        <v xml:space="preserve">2170559287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42.87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19.600000000000001</v>
      </c>
      <c r="BJ86" s="2">
        <v>18</v>
      </c>
      <c r="BK86" s="2">
        <v>20</v>
      </c>
      <c r="BL86" s="2">
        <v>417.27</v>
      </c>
      <c r="BM86" s="2">
        <v>58.42</v>
      </c>
      <c r="BN86" s="2">
        <v>475.69</v>
      </c>
      <c r="BO86" s="2">
        <v>475.69</v>
      </c>
      <c r="BP86" s="2"/>
      <c r="BQ86" s="2" t="s">
        <v>122</v>
      </c>
      <c r="BR86" s="2" t="s">
        <v>84</v>
      </c>
      <c r="BS86" s="3">
        <v>42838</v>
      </c>
      <c r="BT86" s="4">
        <v>0.39583333333333331</v>
      </c>
      <c r="BU86" s="2" t="s">
        <v>387</v>
      </c>
      <c r="BV86" s="2" t="s">
        <v>111</v>
      </c>
      <c r="BW86" s="2"/>
      <c r="BX86" s="2"/>
      <c r="BY86" s="2">
        <v>90020.160000000003</v>
      </c>
      <c r="BZ86" s="2" t="s">
        <v>27</v>
      </c>
      <c r="CA86" s="2" t="s">
        <v>159</v>
      </c>
      <c r="CB86" s="2"/>
      <c r="CC86" s="2" t="s">
        <v>113</v>
      </c>
      <c r="CD86" s="2">
        <v>3200</v>
      </c>
      <c r="CE86" s="2" t="s">
        <v>89</v>
      </c>
      <c r="CF86" s="5">
        <v>42843</v>
      </c>
      <c r="CG86" s="2"/>
      <c r="CH86" s="2"/>
      <c r="CI86" s="2">
        <v>1</v>
      </c>
      <c r="CJ86" s="2">
        <v>1</v>
      </c>
      <c r="CK86" s="2">
        <v>21</v>
      </c>
      <c r="CL86" s="2" t="s">
        <v>86</v>
      </c>
      <c r="CM86" s="2"/>
    </row>
    <row r="87" spans="1:91">
      <c r="A87" s="2" t="s">
        <v>71</v>
      </c>
      <c r="B87" s="2" t="s">
        <v>72</v>
      </c>
      <c r="C87" s="2" t="s">
        <v>73</v>
      </c>
      <c r="D87" s="2"/>
      <c r="E87" s="2" t="str">
        <f>"FES1162542003"</f>
        <v>FES1162542003</v>
      </c>
      <c r="F87" s="3">
        <v>42831</v>
      </c>
      <c r="G87" s="2">
        <v>201710</v>
      </c>
      <c r="H87" s="2" t="s">
        <v>74</v>
      </c>
      <c r="I87" s="2" t="s">
        <v>75</v>
      </c>
      <c r="J87" s="2" t="s">
        <v>76</v>
      </c>
      <c r="K87" s="2" t="s">
        <v>77</v>
      </c>
      <c r="L87" s="2" t="s">
        <v>131</v>
      </c>
      <c r="M87" s="2" t="s">
        <v>132</v>
      </c>
      <c r="N87" s="2" t="s">
        <v>388</v>
      </c>
      <c r="O87" s="2" t="s">
        <v>115</v>
      </c>
      <c r="P87" s="2" t="str">
        <f>"2170558373                    "</f>
        <v xml:space="preserve">2170558373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4.29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</v>
      </c>
      <c r="BJ87" s="2">
        <v>0.2</v>
      </c>
      <c r="BK87" s="2">
        <v>1</v>
      </c>
      <c r="BL87" s="2">
        <v>41.73</v>
      </c>
      <c r="BM87" s="2">
        <v>5.84</v>
      </c>
      <c r="BN87" s="2">
        <v>47.57</v>
      </c>
      <c r="BO87" s="2">
        <v>47.57</v>
      </c>
      <c r="BP87" s="2"/>
      <c r="BQ87" s="2" t="s">
        <v>129</v>
      </c>
      <c r="BR87" s="2" t="s">
        <v>123</v>
      </c>
      <c r="BS87" s="3">
        <v>42832</v>
      </c>
      <c r="BT87" s="4">
        <v>0.41666666666666669</v>
      </c>
      <c r="BU87" s="2" t="s">
        <v>389</v>
      </c>
      <c r="BV87" s="2" t="s">
        <v>111</v>
      </c>
      <c r="BW87" s="2"/>
      <c r="BX87" s="2"/>
      <c r="BY87" s="2">
        <v>1200</v>
      </c>
      <c r="BZ87" s="2" t="s">
        <v>27</v>
      </c>
      <c r="CA87" s="2"/>
      <c r="CB87" s="2"/>
      <c r="CC87" s="2" t="s">
        <v>132</v>
      </c>
      <c r="CD87" s="2">
        <v>7800</v>
      </c>
      <c r="CE87" s="2" t="s">
        <v>144</v>
      </c>
      <c r="CF87" s="5">
        <v>42835</v>
      </c>
      <c r="CG87" s="2"/>
      <c r="CH87" s="2"/>
      <c r="CI87" s="2">
        <v>1</v>
      </c>
      <c r="CJ87" s="2">
        <v>1</v>
      </c>
      <c r="CK87" s="2">
        <v>21</v>
      </c>
      <c r="CL87" s="2" t="s">
        <v>86</v>
      </c>
      <c r="CM87" s="2"/>
    </row>
    <row r="88" spans="1:91">
      <c r="A88" s="2" t="s">
        <v>71</v>
      </c>
      <c r="B88" s="2" t="s">
        <v>72</v>
      </c>
      <c r="C88" s="2" t="s">
        <v>73</v>
      </c>
      <c r="D88" s="2"/>
      <c r="E88" s="2" t="str">
        <f>"080001600880"</f>
        <v>080001600880</v>
      </c>
      <c r="F88" s="3">
        <v>42830</v>
      </c>
      <c r="G88" s="2">
        <v>201710</v>
      </c>
      <c r="H88" s="2" t="s">
        <v>99</v>
      </c>
      <c r="I88" s="2" t="s">
        <v>100</v>
      </c>
      <c r="J88" s="2" t="s">
        <v>390</v>
      </c>
      <c r="K88" s="2" t="s">
        <v>77</v>
      </c>
      <c r="L88" s="2" t="s">
        <v>74</v>
      </c>
      <c r="M88" s="2" t="s">
        <v>75</v>
      </c>
      <c r="N88" s="2" t="s">
        <v>200</v>
      </c>
      <c r="O88" s="2" t="s">
        <v>115</v>
      </c>
      <c r="P88" s="2" t="str">
        <f>"ZA1000633168 ZA100633496      "</f>
        <v xml:space="preserve">ZA1000633168 ZA100633496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4.29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1</v>
      </c>
      <c r="BJ88" s="2">
        <v>0.2</v>
      </c>
      <c r="BK88" s="2">
        <v>1</v>
      </c>
      <c r="BL88" s="2">
        <v>41.73</v>
      </c>
      <c r="BM88" s="2">
        <v>5.84</v>
      </c>
      <c r="BN88" s="2">
        <v>47.57</v>
      </c>
      <c r="BO88" s="2">
        <v>47.57</v>
      </c>
      <c r="BP88" s="2" t="s">
        <v>391</v>
      </c>
      <c r="BQ88" s="2" t="s">
        <v>134</v>
      </c>
      <c r="BR88" s="2" t="s">
        <v>392</v>
      </c>
      <c r="BS88" s="3">
        <v>42831</v>
      </c>
      <c r="BT88" s="4">
        <v>0.34722222222222227</v>
      </c>
      <c r="BU88" s="2" t="s">
        <v>134</v>
      </c>
      <c r="BV88" s="2" t="s">
        <v>111</v>
      </c>
      <c r="BW88" s="2"/>
      <c r="BX88" s="2"/>
      <c r="BY88" s="2">
        <v>1200</v>
      </c>
      <c r="BZ88" s="2" t="s">
        <v>27</v>
      </c>
      <c r="CA88" s="2"/>
      <c r="CB88" s="2"/>
      <c r="CC88" s="2" t="s">
        <v>75</v>
      </c>
      <c r="CD88" s="2">
        <v>1601</v>
      </c>
      <c r="CE88" s="2" t="s">
        <v>89</v>
      </c>
      <c r="CF88" s="5">
        <v>42832</v>
      </c>
      <c r="CG88" s="2"/>
      <c r="CH88" s="2"/>
      <c r="CI88" s="2">
        <v>1</v>
      </c>
      <c r="CJ88" s="2">
        <v>1</v>
      </c>
      <c r="CK88" s="2">
        <v>21</v>
      </c>
      <c r="CL88" s="2" t="s">
        <v>86</v>
      </c>
      <c r="CM88" s="2"/>
    </row>
    <row r="89" spans="1:91">
      <c r="A89" s="2" t="s">
        <v>71</v>
      </c>
      <c r="B89" s="2" t="s">
        <v>72</v>
      </c>
      <c r="C89" s="2" t="s">
        <v>73</v>
      </c>
      <c r="D89" s="2"/>
      <c r="E89" s="2" t="str">
        <f>"FES1162542963"</f>
        <v>FES1162542963</v>
      </c>
      <c r="F89" s="3">
        <v>42836</v>
      </c>
      <c r="G89" s="2">
        <v>201710</v>
      </c>
      <c r="H89" s="2" t="s">
        <v>74</v>
      </c>
      <c r="I89" s="2" t="s">
        <v>75</v>
      </c>
      <c r="J89" s="2" t="s">
        <v>76</v>
      </c>
      <c r="K89" s="2" t="s">
        <v>77</v>
      </c>
      <c r="L89" s="2" t="s">
        <v>112</v>
      </c>
      <c r="M89" s="2" t="s">
        <v>113</v>
      </c>
      <c r="N89" s="2" t="s">
        <v>239</v>
      </c>
      <c r="O89" s="2" t="s">
        <v>115</v>
      </c>
      <c r="P89" s="2" t="str">
        <f>"2170561754                    "</f>
        <v xml:space="preserve">2170561754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5.36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1.6</v>
      </c>
      <c r="BJ89" s="2">
        <v>2.2000000000000002</v>
      </c>
      <c r="BK89" s="2">
        <v>2.5</v>
      </c>
      <c r="BL89" s="2">
        <v>52.16</v>
      </c>
      <c r="BM89" s="2">
        <v>7.3</v>
      </c>
      <c r="BN89" s="2">
        <v>59.46</v>
      </c>
      <c r="BO89" s="2">
        <v>59.46</v>
      </c>
      <c r="BP89" s="2"/>
      <c r="BQ89" s="2" t="s">
        <v>240</v>
      </c>
      <c r="BR89" s="2" t="s">
        <v>123</v>
      </c>
      <c r="BS89" s="3">
        <v>42837</v>
      </c>
      <c r="BT89" s="4">
        <v>0.41666666666666669</v>
      </c>
      <c r="BU89" s="2" t="s">
        <v>393</v>
      </c>
      <c r="BV89" s="2" t="s">
        <v>111</v>
      </c>
      <c r="BW89" s="2"/>
      <c r="BX89" s="2"/>
      <c r="BY89" s="2">
        <v>11020</v>
      </c>
      <c r="BZ89" s="2" t="s">
        <v>27</v>
      </c>
      <c r="CA89" s="2"/>
      <c r="CB89" s="2"/>
      <c r="CC89" s="2" t="s">
        <v>113</v>
      </c>
      <c r="CD89" s="2">
        <v>3201</v>
      </c>
      <c r="CE89" s="2" t="s">
        <v>135</v>
      </c>
      <c r="CF89" s="5">
        <v>42843</v>
      </c>
      <c r="CG89" s="2"/>
      <c r="CH89" s="2"/>
      <c r="CI89" s="2">
        <v>1</v>
      </c>
      <c r="CJ89" s="2">
        <v>1</v>
      </c>
      <c r="CK89" s="2">
        <v>21</v>
      </c>
      <c r="CL89" s="2" t="s">
        <v>86</v>
      </c>
      <c r="CM89" s="2"/>
    </row>
    <row r="90" spans="1:91">
      <c r="A90" s="2" t="s">
        <v>71</v>
      </c>
      <c r="B90" s="2" t="s">
        <v>72</v>
      </c>
      <c r="C90" s="2" t="s">
        <v>73</v>
      </c>
      <c r="D90" s="2"/>
      <c r="E90" s="2" t="str">
        <f>"FES1162541848"</f>
        <v>FES1162541848</v>
      </c>
      <c r="F90" s="3">
        <v>42830</v>
      </c>
      <c r="G90" s="2">
        <v>201710</v>
      </c>
      <c r="H90" s="2" t="s">
        <v>74</v>
      </c>
      <c r="I90" s="2" t="s">
        <v>75</v>
      </c>
      <c r="J90" s="2" t="s">
        <v>76</v>
      </c>
      <c r="K90" s="2" t="s">
        <v>77</v>
      </c>
      <c r="L90" s="2" t="s">
        <v>119</v>
      </c>
      <c r="M90" s="2" t="s">
        <v>120</v>
      </c>
      <c r="N90" s="2" t="s">
        <v>121</v>
      </c>
      <c r="O90" s="2" t="s">
        <v>115</v>
      </c>
      <c r="P90" s="2" t="str">
        <f>"2170560581                    "</f>
        <v xml:space="preserve">2170560581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3.35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3.4</v>
      </c>
      <c r="BJ90" s="2">
        <v>1.3</v>
      </c>
      <c r="BK90" s="2">
        <v>4</v>
      </c>
      <c r="BL90" s="2">
        <v>32.6</v>
      </c>
      <c r="BM90" s="2">
        <v>4.5599999999999996</v>
      </c>
      <c r="BN90" s="2">
        <v>37.159999999999997</v>
      </c>
      <c r="BO90" s="2">
        <v>37.159999999999997</v>
      </c>
      <c r="BP90" s="2"/>
      <c r="BQ90" s="2" t="s">
        <v>122</v>
      </c>
      <c r="BR90" s="2" t="s">
        <v>123</v>
      </c>
      <c r="BS90" s="3">
        <v>42831</v>
      </c>
      <c r="BT90" s="4">
        <v>0.38541666666666669</v>
      </c>
      <c r="BU90" s="2" t="s">
        <v>394</v>
      </c>
      <c r="BV90" s="2" t="s">
        <v>111</v>
      </c>
      <c r="BW90" s="2"/>
      <c r="BX90" s="2"/>
      <c r="BY90" s="2">
        <v>6328.23</v>
      </c>
      <c r="BZ90" s="2" t="s">
        <v>27</v>
      </c>
      <c r="CA90" s="2" t="s">
        <v>395</v>
      </c>
      <c r="CB90" s="2"/>
      <c r="CC90" s="2" t="s">
        <v>120</v>
      </c>
      <c r="CD90" s="2">
        <v>2163</v>
      </c>
      <c r="CE90" s="2" t="s">
        <v>89</v>
      </c>
      <c r="CF90" s="5">
        <v>42831</v>
      </c>
      <c r="CG90" s="2"/>
      <c r="CH90" s="2"/>
      <c r="CI90" s="2">
        <v>1</v>
      </c>
      <c r="CJ90" s="2">
        <v>1</v>
      </c>
      <c r="CK90" s="2">
        <v>22</v>
      </c>
      <c r="CL90" s="2" t="s">
        <v>86</v>
      </c>
      <c r="CM90" s="2"/>
    </row>
    <row r="91" spans="1:91">
      <c r="A91" s="2" t="s">
        <v>71</v>
      </c>
      <c r="B91" s="2" t="s">
        <v>72</v>
      </c>
      <c r="C91" s="2" t="s">
        <v>73</v>
      </c>
      <c r="D91" s="2"/>
      <c r="E91" s="2" t="str">
        <f>"FES1162543355"</f>
        <v>FES1162543355</v>
      </c>
      <c r="F91" s="3">
        <v>42837</v>
      </c>
      <c r="G91" s="2">
        <v>201710</v>
      </c>
      <c r="H91" s="2" t="s">
        <v>74</v>
      </c>
      <c r="I91" s="2" t="s">
        <v>75</v>
      </c>
      <c r="J91" s="2" t="s">
        <v>76</v>
      </c>
      <c r="K91" s="2" t="s">
        <v>77</v>
      </c>
      <c r="L91" s="2" t="s">
        <v>396</v>
      </c>
      <c r="M91" s="2" t="s">
        <v>397</v>
      </c>
      <c r="N91" s="2" t="s">
        <v>398</v>
      </c>
      <c r="O91" s="2" t="s">
        <v>115</v>
      </c>
      <c r="P91" s="2" t="str">
        <f>"2170562035                    "</f>
        <v xml:space="preserve">2170562035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5.36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2.4</v>
      </c>
      <c r="BJ91" s="2">
        <v>0.9</v>
      </c>
      <c r="BK91" s="2">
        <v>2.5</v>
      </c>
      <c r="BL91" s="2">
        <v>52.16</v>
      </c>
      <c r="BM91" s="2">
        <v>7.3</v>
      </c>
      <c r="BN91" s="2">
        <v>59.46</v>
      </c>
      <c r="BO91" s="2">
        <v>59.46</v>
      </c>
      <c r="BP91" s="2"/>
      <c r="BQ91" s="2" t="s">
        <v>399</v>
      </c>
      <c r="BR91" s="2" t="s">
        <v>84</v>
      </c>
      <c r="BS91" s="3">
        <v>42838</v>
      </c>
      <c r="BT91" s="4">
        <v>0.4375</v>
      </c>
      <c r="BU91" s="2" t="s">
        <v>400</v>
      </c>
      <c r="BV91" s="2" t="s">
        <v>111</v>
      </c>
      <c r="BW91" s="2"/>
      <c r="BX91" s="2"/>
      <c r="BY91" s="2">
        <v>4580.55</v>
      </c>
      <c r="BZ91" s="2" t="s">
        <v>27</v>
      </c>
      <c r="CA91" s="2"/>
      <c r="CB91" s="2"/>
      <c r="CC91" s="2" t="s">
        <v>397</v>
      </c>
      <c r="CD91" s="2">
        <v>4300</v>
      </c>
      <c r="CE91" s="2" t="s">
        <v>89</v>
      </c>
      <c r="CF91" s="5">
        <v>42843</v>
      </c>
      <c r="CG91" s="2"/>
      <c r="CH91" s="2"/>
      <c r="CI91" s="2">
        <v>1</v>
      </c>
      <c r="CJ91" s="2">
        <v>1</v>
      </c>
      <c r="CK91" s="2">
        <v>21</v>
      </c>
      <c r="CL91" s="2" t="s">
        <v>86</v>
      </c>
      <c r="CM91" s="2"/>
    </row>
    <row r="92" spans="1:91">
      <c r="A92" s="2" t="s">
        <v>71</v>
      </c>
      <c r="B92" s="2" t="s">
        <v>72</v>
      </c>
      <c r="C92" s="2" t="s">
        <v>73</v>
      </c>
      <c r="D92" s="2"/>
      <c r="E92" s="2" t="str">
        <f>"FES1162541878"</f>
        <v>FES1162541878</v>
      </c>
      <c r="F92" s="3">
        <v>42831</v>
      </c>
      <c r="G92" s="2">
        <v>201710</v>
      </c>
      <c r="H92" s="2" t="s">
        <v>74</v>
      </c>
      <c r="I92" s="2" t="s">
        <v>75</v>
      </c>
      <c r="J92" s="2" t="s">
        <v>76</v>
      </c>
      <c r="K92" s="2" t="s">
        <v>77</v>
      </c>
      <c r="L92" s="2" t="s">
        <v>401</v>
      </c>
      <c r="M92" s="2" t="s">
        <v>402</v>
      </c>
      <c r="N92" s="2" t="s">
        <v>403</v>
      </c>
      <c r="O92" s="2" t="s">
        <v>115</v>
      </c>
      <c r="P92" s="2" t="str">
        <f>"2170560884                    "</f>
        <v xml:space="preserve">2170560884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4.29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1.1000000000000001</v>
      </c>
      <c r="BJ92" s="2">
        <v>1.7</v>
      </c>
      <c r="BK92" s="2">
        <v>2</v>
      </c>
      <c r="BL92" s="2">
        <v>41.73</v>
      </c>
      <c r="BM92" s="2">
        <v>5.84</v>
      </c>
      <c r="BN92" s="2">
        <v>47.57</v>
      </c>
      <c r="BO92" s="2">
        <v>47.57</v>
      </c>
      <c r="BP92" s="2"/>
      <c r="BQ92" s="2" t="s">
        <v>83</v>
      </c>
      <c r="BR92" s="2" t="s">
        <v>123</v>
      </c>
      <c r="BS92" s="3">
        <v>42832</v>
      </c>
      <c r="BT92" s="4">
        <v>0.4375</v>
      </c>
      <c r="BU92" s="2" t="s">
        <v>404</v>
      </c>
      <c r="BV92" s="2" t="s">
        <v>111</v>
      </c>
      <c r="BW92" s="2"/>
      <c r="BX92" s="2"/>
      <c r="BY92" s="2">
        <v>8700.74</v>
      </c>
      <c r="BZ92" s="2" t="s">
        <v>27</v>
      </c>
      <c r="CA92" s="2"/>
      <c r="CB92" s="2"/>
      <c r="CC92" s="2" t="s">
        <v>402</v>
      </c>
      <c r="CD92" s="2">
        <v>4110</v>
      </c>
      <c r="CE92" s="2" t="s">
        <v>144</v>
      </c>
      <c r="CF92" s="5">
        <v>42835</v>
      </c>
      <c r="CG92" s="2"/>
      <c r="CH92" s="2"/>
      <c r="CI92" s="2">
        <v>1</v>
      </c>
      <c r="CJ92" s="2">
        <v>1</v>
      </c>
      <c r="CK92" s="2">
        <v>21</v>
      </c>
      <c r="CL92" s="2" t="s">
        <v>86</v>
      </c>
      <c r="CM92" s="2"/>
    </row>
    <row r="93" spans="1:91">
      <c r="A93" s="2" t="s">
        <v>71</v>
      </c>
      <c r="B93" s="2" t="s">
        <v>72</v>
      </c>
      <c r="C93" s="2" t="s">
        <v>73</v>
      </c>
      <c r="D93" s="2"/>
      <c r="E93" s="2" t="str">
        <f>"FES1162541213"</f>
        <v>FES1162541213</v>
      </c>
      <c r="F93" s="3">
        <v>42829</v>
      </c>
      <c r="G93" s="2">
        <v>201710</v>
      </c>
      <c r="H93" s="2" t="s">
        <v>74</v>
      </c>
      <c r="I93" s="2" t="s">
        <v>75</v>
      </c>
      <c r="J93" s="2" t="s">
        <v>76</v>
      </c>
      <c r="K93" s="2" t="s">
        <v>77</v>
      </c>
      <c r="L93" s="2" t="s">
        <v>99</v>
      </c>
      <c r="M93" s="2" t="s">
        <v>100</v>
      </c>
      <c r="N93" s="2" t="s">
        <v>108</v>
      </c>
      <c r="O93" s="2" t="s">
        <v>115</v>
      </c>
      <c r="P93" s="2" t="str">
        <f>"2170556355                    "</f>
        <v xml:space="preserve">2170556355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163.6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3</v>
      </c>
      <c r="BI93" s="2">
        <v>30</v>
      </c>
      <c r="BJ93" s="2">
        <v>73.599999999999994</v>
      </c>
      <c r="BK93" s="2">
        <v>74</v>
      </c>
      <c r="BL93" s="2">
        <v>1548.88</v>
      </c>
      <c r="BM93" s="2">
        <v>216.84</v>
      </c>
      <c r="BN93" s="2">
        <v>1765.72</v>
      </c>
      <c r="BO93" s="2">
        <v>1765.72</v>
      </c>
      <c r="BP93" s="2"/>
      <c r="BQ93" s="2" t="s">
        <v>109</v>
      </c>
      <c r="BR93" s="2" t="s">
        <v>123</v>
      </c>
      <c r="BS93" s="3">
        <v>42830</v>
      </c>
      <c r="BT93" s="4">
        <v>0.39583333333333331</v>
      </c>
      <c r="BU93" s="2" t="s">
        <v>110</v>
      </c>
      <c r="BV93" s="2" t="s">
        <v>111</v>
      </c>
      <c r="BW93" s="2"/>
      <c r="BX93" s="2"/>
      <c r="BY93" s="2">
        <v>367967.54</v>
      </c>
      <c r="BZ93" s="2" t="s">
        <v>27</v>
      </c>
      <c r="CA93" s="2" t="s">
        <v>106</v>
      </c>
      <c r="CB93" s="2"/>
      <c r="CC93" s="2" t="s">
        <v>100</v>
      </c>
      <c r="CD93" s="2">
        <v>6001</v>
      </c>
      <c r="CE93" s="2" t="s">
        <v>405</v>
      </c>
      <c r="CF93" s="5">
        <v>42830</v>
      </c>
      <c r="CG93" s="2"/>
      <c r="CH93" s="2"/>
      <c r="CI93" s="2">
        <v>1</v>
      </c>
      <c r="CJ93" s="2">
        <v>1</v>
      </c>
      <c r="CK93" s="2">
        <v>21</v>
      </c>
      <c r="CL93" s="2" t="s">
        <v>86</v>
      </c>
      <c r="CM93" s="2"/>
    </row>
    <row r="94" spans="1:91">
      <c r="A94" s="2" t="s">
        <v>71</v>
      </c>
      <c r="B94" s="2" t="s">
        <v>72</v>
      </c>
      <c r="C94" s="2" t="s">
        <v>73</v>
      </c>
      <c r="D94" s="2"/>
      <c r="E94" s="2" t="str">
        <f>"FES1162543038"</f>
        <v>FES1162543038</v>
      </c>
      <c r="F94" s="3">
        <v>42836</v>
      </c>
      <c r="G94" s="2">
        <v>201710</v>
      </c>
      <c r="H94" s="2" t="s">
        <v>74</v>
      </c>
      <c r="I94" s="2" t="s">
        <v>75</v>
      </c>
      <c r="J94" s="2" t="s">
        <v>76</v>
      </c>
      <c r="K94" s="2" t="s">
        <v>77</v>
      </c>
      <c r="L94" s="2" t="s">
        <v>99</v>
      </c>
      <c r="M94" s="2" t="s">
        <v>100</v>
      </c>
      <c r="N94" s="2" t="s">
        <v>108</v>
      </c>
      <c r="O94" s="2" t="s">
        <v>115</v>
      </c>
      <c r="P94" s="2" t="str">
        <f>"2170561525                    "</f>
        <v xml:space="preserve">2170561525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5.36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1.4</v>
      </c>
      <c r="BJ94" s="2">
        <v>2.4</v>
      </c>
      <c r="BK94" s="2">
        <v>2.5</v>
      </c>
      <c r="BL94" s="2">
        <v>52.16</v>
      </c>
      <c r="BM94" s="2">
        <v>7.3</v>
      </c>
      <c r="BN94" s="2">
        <v>59.46</v>
      </c>
      <c r="BO94" s="2">
        <v>59.46</v>
      </c>
      <c r="BP94" s="2"/>
      <c r="BQ94" s="2" t="s">
        <v>109</v>
      </c>
      <c r="BR94" s="2" t="s">
        <v>123</v>
      </c>
      <c r="BS94" s="3">
        <v>42837</v>
      </c>
      <c r="BT94" s="4">
        <v>0.375</v>
      </c>
      <c r="BU94" s="2" t="s">
        <v>110</v>
      </c>
      <c r="BV94" s="2" t="s">
        <v>111</v>
      </c>
      <c r="BW94" s="2"/>
      <c r="BX94" s="2"/>
      <c r="BY94" s="2">
        <v>12184.92</v>
      </c>
      <c r="BZ94" s="2" t="s">
        <v>27</v>
      </c>
      <c r="CA94" s="2" t="s">
        <v>106</v>
      </c>
      <c r="CB94" s="2"/>
      <c r="CC94" s="2" t="s">
        <v>100</v>
      </c>
      <c r="CD94" s="2">
        <v>6001</v>
      </c>
      <c r="CE94" s="2" t="s">
        <v>144</v>
      </c>
      <c r="CF94" s="5">
        <v>42837</v>
      </c>
      <c r="CG94" s="2"/>
      <c r="CH94" s="2"/>
      <c r="CI94" s="2">
        <v>1</v>
      </c>
      <c r="CJ94" s="2">
        <v>1</v>
      </c>
      <c r="CK94" s="2">
        <v>21</v>
      </c>
      <c r="CL94" s="2" t="s">
        <v>86</v>
      </c>
      <c r="CM94" s="2"/>
    </row>
    <row r="95" spans="1:91">
      <c r="A95" s="2" t="s">
        <v>71</v>
      </c>
      <c r="B95" s="2" t="s">
        <v>72</v>
      </c>
      <c r="C95" s="2" t="s">
        <v>73</v>
      </c>
      <c r="D95" s="2"/>
      <c r="E95" s="2" t="str">
        <f>"FES1162541500"</f>
        <v>FES1162541500</v>
      </c>
      <c r="F95" s="3">
        <v>42830</v>
      </c>
      <c r="G95" s="2">
        <v>201710</v>
      </c>
      <c r="H95" s="2" t="s">
        <v>74</v>
      </c>
      <c r="I95" s="2" t="s">
        <v>75</v>
      </c>
      <c r="J95" s="2" t="s">
        <v>76</v>
      </c>
      <c r="K95" s="2" t="s">
        <v>77</v>
      </c>
      <c r="L95" s="2" t="s">
        <v>322</v>
      </c>
      <c r="M95" s="2" t="s">
        <v>323</v>
      </c>
      <c r="N95" s="2" t="s">
        <v>406</v>
      </c>
      <c r="O95" s="2" t="s">
        <v>115</v>
      </c>
      <c r="P95" s="2" t="str">
        <f>"2170560594                    "</f>
        <v xml:space="preserve">2170560594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3.35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1</v>
      </c>
      <c r="BJ95" s="2">
        <v>0.2</v>
      </c>
      <c r="BK95" s="2">
        <v>1</v>
      </c>
      <c r="BL95" s="2">
        <v>32.6</v>
      </c>
      <c r="BM95" s="2">
        <v>4.5599999999999996</v>
      </c>
      <c r="BN95" s="2">
        <v>37.159999999999997</v>
      </c>
      <c r="BO95" s="2">
        <v>37.159999999999997</v>
      </c>
      <c r="BP95" s="2"/>
      <c r="BQ95" s="2" t="s">
        <v>122</v>
      </c>
      <c r="BR95" s="2" t="s">
        <v>123</v>
      </c>
      <c r="BS95" s="3">
        <v>42831</v>
      </c>
      <c r="BT95" s="4">
        <v>0.4375</v>
      </c>
      <c r="BU95" s="2" t="s">
        <v>407</v>
      </c>
      <c r="BV95" s="2" t="s">
        <v>111</v>
      </c>
      <c r="BW95" s="2"/>
      <c r="BX95" s="2"/>
      <c r="BY95" s="2">
        <v>1200</v>
      </c>
      <c r="BZ95" s="2" t="s">
        <v>27</v>
      </c>
      <c r="CA95" s="2"/>
      <c r="CB95" s="2"/>
      <c r="CC95" s="2" t="s">
        <v>323</v>
      </c>
      <c r="CD95" s="2">
        <v>1684</v>
      </c>
      <c r="CE95" s="2" t="s">
        <v>118</v>
      </c>
      <c r="CF95" s="5">
        <v>42833</v>
      </c>
      <c r="CG95" s="2"/>
      <c r="CH95" s="2"/>
      <c r="CI95" s="2">
        <v>1</v>
      </c>
      <c r="CJ95" s="2">
        <v>1</v>
      </c>
      <c r="CK95" s="2">
        <v>22</v>
      </c>
      <c r="CL95" s="2" t="s">
        <v>86</v>
      </c>
      <c r="CM95" s="2"/>
    </row>
    <row r="96" spans="1:91">
      <c r="A96" s="2" t="s">
        <v>71</v>
      </c>
      <c r="B96" s="2" t="s">
        <v>72</v>
      </c>
      <c r="C96" s="2" t="s">
        <v>73</v>
      </c>
      <c r="D96" s="2"/>
      <c r="E96" s="2" t="str">
        <f>"FES1162543253"</f>
        <v>FES1162543253</v>
      </c>
      <c r="F96" s="3">
        <v>42837</v>
      </c>
      <c r="G96" s="2">
        <v>201710</v>
      </c>
      <c r="H96" s="2" t="s">
        <v>74</v>
      </c>
      <c r="I96" s="2" t="s">
        <v>75</v>
      </c>
      <c r="J96" s="2" t="s">
        <v>76</v>
      </c>
      <c r="K96" s="2" t="s">
        <v>77</v>
      </c>
      <c r="L96" s="2" t="s">
        <v>294</v>
      </c>
      <c r="M96" s="2" t="s">
        <v>295</v>
      </c>
      <c r="N96" s="2" t="s">
        <v>408</v>
      </c>
      <c r="O96" s="2" t="s">
        <v>115</v>
      </c>
      <c r="P96" s="2" t="str">
        <f>"2170559338                    "</f>
        <v xml:space="preserve">2170559338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4.29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0.5</v>
      </c>
      <c r="BJ96" s="2">
        <v>1</v>
      </c>
      <c r="BK96" s="2">
        <v>1</v>
      </c>
      <c r="BL96" s="2">
        <v>41.73</v>
      </c>
      <c r="BM96" s="2">
        <v>5.84</v>
      </c>
      <c r="BN96" s="2">
        <v>47.57</v>
      </c>
      <c r="BO96" s="2">
        <v>47.57</v>
      </c>
      <c r="BP96" s="2"/>
      <c r="BQ96" s="2" t="s">
        <v>409</v>
      </c>
      <c r="BR96" s="2" t="s">
        <v>84</v>
      </c>
      <c r="BS96" s="3">
        <v>42838</v>
      </c>
      <c r="BT96" s="4">
        <v>0.4375</v>
      </c>
      <c r="BU96" s="2" t="s">
        <v>410</v>
      </c>
      <c r="BV96" s="2" t="s">
        <v>111</v>
      </c>
      <c r="BW96" s="2"/>
      <c r="BX96" s="2"/>
      <c r="BY96" s="2">
        <v>4927.1000000000004</v>
      </c>
      <c r="BZ96" s="2" t="s">
        <v>27</v>
      </c>
      <c r="CA96" s="2"/>
      <c r="CB96" s="2"/>
      <c r="CC96" s="2" t="s">
        <v>295</v>
      </c>
      <c r="CD96" s="2">
        <v>3610</v>
      </c>
      <c r="CE96" s="2" t="s">
        <v>89</v>
      </c>
      <c r="CF96" s="5">
        <v>42843</v>
      </c>
      <c r="CG96" s="2"/>
      <c r="CH96" s="2"/>
      <c r="CI96" s="2">
        <v>1</v>
      </c>
      <c r="CJ96" s="2">
        <v>1</v>
      </c>
      <c r="CK96" s="2">
        <v>21</v>
      </c>
      <c r="CL96" s="2" t="s">
        <v>86</v>
      </c>
      <c r="CM96" s="2"/>
    </row>
    <row r="97" spans="1:91">
      <c r="A97" s="2" t="s">
        <v>71</v>
      </c>
      <c r="B97" s="2" t="s">
        <v>72</v>
      </c>
      <c r="C97" s="2" t="s">
        <v>73</v>
      </c>
      <c r="D97" s="2"/>
      <c r="E97" s="2" t="str">
        <f>"FES1162542134"</f>
        <v>FES1162542134</v>
      </c>
      <c r="F97" s="3">
        <v>42831</v>
      </c>
      <c r="G97" s="2">
        <v>201710</v>
      </c>
      <c r="H97" s="2" t="s">
        <v>74</v>
      </c>
      <c r="I97" s="2" t="s">
        <v>75</v>
      </c>
      <c r="J97" s="2" t="s">
        <v>76</v>
      </c>
      <c r="K97" s="2" t="s">
        <v>77</v>
      </c>
      <c r="L97" s="2" t="s">
        <v>131</v>
      </c>
      <c r="M97" s="2" t="s">
        <v>132</v>
      </c>
      <c r="N97" s="2" t="s">
        <v>411</v>
      </c>
      <c r="O97" s="2" t="s">
        <v>115</v>
      </c>
      <c r="P97" s="2" t="str">
        <f>"2170561035                    "</f>
        <v xml:space="preserve">2170561035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4.29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1</v>
      </c>
      <c r="BJ97" s="2">
        <v>0.2</v>
      </c>
      <c r="BK97" s="2">
        <v>1</v>
      </c>
      <c r="BL97" s="2">
        <v>41.73</v>
      </c>
      <c r="BM97" s="2">
        <v>5.84</v>
      </c>
      <c r="BN97" s="2">
        <v>47.57</v>
      </c>
      <c r="BO97" s="2">
        <v>47.57</v>
      </c>
      <c r="BP97" s="2"/>
      <c r="BQ97" s="2" t="s">
        <v>129</v>
      </c>
      <c r="BR97" s="2" t="s">
        <v>123</v>
      </c>
      <c r="BS97" s="3">
        <v>42832</v>
      </c>
      <c r="BT97" s="4">
        <v>0.41666666666666669</v>
      </c>
      <c r="BU97" s="2" t="s">
        <v>367</v>
      </c>
      <c r="BV97" s="2" t="s">
        <v>111</v>
      </c>
      <c r="BW97" s="2"/>
      <c r="BX97" s="2"/>
      <c r="BY97" s="2">
        <v>1200</v>
      </c>
      <c r="BZ97" s="2" t="s">
        <v>27</v>
      </c>
      <c r="CA97" s="2"/>
      <c r="CB97" s="2"/>
      <c r="CC97" s="2" t="s">
        <v>132</v>
      </c>
      <c r="CD97" s="2">
        <v>7460</v>
      </c>
      <c r="CE97" s="2" t="s">
        <v>144</v>
      </c>
      <c r="CF97" s="5">
        <v>42836</v>
      </c>
      <c r="CG97" s="2"/>
      <c r="CH97" s="2"/>
      <c r="CI97" s="2">
        <v>1</v>
      </c>
      <c r="CJ97" s="2">
        <v>1</v>
      </c>
      <c r="CK97" s="2">
        <v>21</v>
      </c>
      <c r="CL97" s="2" t="s">
        <v>86</v>
      </c>
      <c r="CM97" s="2"/>
    </row>
    <row r="98" spans="1:91">
      <c r="A98" s="2" t="s">
        <v>71</v>
      </c>
      <c r="B98" s="2" t="s">
        <v>72</v>
      </c>
      <c r="C98" s="2" t="s">
        <v>73</v>
      </c>
      <c r="D98" s="2"/>
      <c r="E98" s="2" t="str">
        <f>"FES1162541479"</f>
        <v>FES1162541479</v>
      </c>
      <c r="F98" s="3">
        <v>42829</v>
      </c>
      <c r="G98" s="2">
        <v>201710</v>
      </c>
      <c r="H98" s="2" t="s">
        <v>74</v>
      </c>
      <c r="I98" s="2" t="s">
        <v>75</v>
      </c>
      <c r="J98" s="2" t="s">
        <v>76</v>
      </c>
      <c r="K98" s="2" t="s">
        <v>77</v>
      </c>
      <c r="L98" s="2" t="s">
        <v>126</v>
      </c>
      <c r="M98" s="2" t="s">
        <v>127</v>
      </c>
      <c r="N98" s="2" t="s">
        <v>128</v>
      </c>
      <c r="O98" s="2" t="s">
        <v>115</v>
      </c>
      <c r="P98" s="2" t="str">
        <f>"2170560563                    "</f>
        <v xml:space="preserve">2170560563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4.42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41.86</v>
      </c>
      <c r="BM98" s="2">
        <v>5.86</v>
      </c>
      <c r="BN98" s="2">
        <v>47.72</v>
      </c>
      <c r="BO98" s="2">
        <v>47.72</v>
      </c>
      <c r="BP98" s="2"/>
      <c r="BQ98" s="2" t="s">
        <v>129</v>
      </c>
      <c r="BR98" s="2" t="s">
        <v>123</v>
      </c>
      <c r="BS98" s="3">
        <v>42830</v>
      </c>
      <c r="BT98" s="4">
        <v>0.41666666666666669</v>
      </c>
      <c r="BU98" s="2" t="s">
        <v>412</v>
      </c>
      <c r="BV98" s="2" t="s">
        <v>111</v>
      </c>
      <c r="BW98" s="2"/>
      <c r="BX98" s="2"/>
      <c r="BY98" s="2">
        <v>1200</v>
      </c>
      <c r="BZ98" s="2" t="s">
        <v>27</v>
      </c>
      <c r="CA98" s="2"/>
      <c r="CB98" s="2"/>
      <c r="CC98" s="2" t="s">
        <v>127</v>
      </c>
      <c r="CD98" s="2">
        <v>6850</v>
      </c>
      <c r="CE98" s="2" t="s">
        <v>118</v>
      </c>
      <c r="CF98" s="5">
        <v>42831</v>
      </c>
      <c r="CG98" s="2"/>
      <c r="CH98" s="2"/>
      <c r="CI98" s="2">
        <v>3</v>
      </c>
      <c r="CJ98" s="2">
        <v>1</v>
      </c>
      <c r="CK98" s="2">
        <v>21</v>
      </c>
      <c r="CL98" s="2" t="s">
        <v>86</v>
      </c>
      <c r="CM98" s="2"/>
    </row>
    <row r="99" spans="1:91">
      <c r="A99" s="2" t="s">
        <v>71</v>
      </c>
      <c r="B99" s="2" t="s">
        <v>72</v>
      </c>
      <c r="C99" s="2" t="s">
        <v>73</v>
      </c>
      <c r="D99" s="2"/>
      <c r="E99" s="2" t="str">
        <f>"FES1162543025"</f>
        <v>FES1162543025</v>
      </c>
      <c r="F99" s="3">
        <v>42836</v>
      </c>
      <c r="G99" s="2">
        <v>201710</v>
      </c>
      <c r="H99" s="2" t="s">
        <v>74</v>
      </c>
      <c r="I99" s="2" t="s">
        <v>75</v>
      </c>
      <c r="J99" s="2" t="s">
        <v>76</v>
      </c>
      <c r="K99" s="2" t="s">
        <v>77</v>
      </c>
      <c r="L99" s="2" t="s">
        <v>99</v>
      </c>
      <c r="M99" s="2" t="s">
        <v>100</v>
      </c>
      <c r="N99" s="2" t="s">
        <v>413</v>
      </c>
      <c r="O99" s="2" t="s">
        <v>115</v>
      </c>
      <c r="P99" s="2" t="str">
        <f>"2170561810                    "</f>
        <v xml:space="preserve">2170561810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4.29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1</v>
      </c>
      <c r="BJ99" s="2">
        <v>0.2</v>
      </c>
      <c r="BK99" s="2">
        <v>1</v>
      </c>
      <c r="BL99" s="2">
        <v>41.73</v>
      </c>
      <c r="BM99" s="2">
        <v>5.84</v>
      </c>
      <c r="BN99" s="2">
        <v>47.57</v>
      </c>
      <c r="BO99" s="2">
        <v>47.57</v>
      </c>
      <c r="BP99" s="2"/>
      <c r="BQ99" s="2" t="s">
        <v>414</v>
      </c>
      <c r="BR99" s="2" t="s">
        <v>123</v>
      </c>
      <c r="BS99" s="3">
        <v>42837</v>
      </c>
      <c r="BT99" s="4">
        <v>0.3743055555555555</v>
      </c>
      <c r="BU99" s="2" t="s">
        <v>415</v>
      </c>
      <c r="BV99" s="2" t="s">
        <v>111</v>
      </c>
      <c r="BW99" s="2"/>
      <c r="BX99" s="2"/>
      <c r="BY99" s="2">
        <v>1200</v>
      </c>
      <c r="BZ99" s="2" t="s">
        <v>27</v>
      </c>
      <c r="CA99" s="2" t="s">
        <v>154</v>
      </c>
      <c r="CB99" s="2"/>
      <c r="CC99" s="2" t="s">
        <v>100</v>
      </c>
      <c r="CD99" s="2">
        <v>6001</v>
      </c>
      <c r="CE99" s="2" t="s">
        <v>144</v>
      </c>
      <c r="CF99" s="5">
        <v>42837</v>
      </c>
      <c r="CG99" s="2"/>
      <c r="CH99" s="2"/>
      <c r="CI99" s="2">
        <v>1</v>
      </c>
      <c r="CJ99" s="2">
        <v>1</v>
      </c>
      <c r="CK99" s="2">
        <v>21</v>
      </c>
      <c r="CL99" s="2" t="s">
        <v>86</v>
      </c>
      <c r="CM99" s="2"/>
    </row>
    <row r="100" spans="1:91">
      <c r="A100" s="2" t="s">
        <v>71</v>
      </c>
      <c r="B100" s="2" t="s">
        <v>72</v>
      </c>
      <c r="C100" s="2" t="s">
        <v>73</v>
      </c>
      <c r="D100" s="2"/>
      <c r="E100" s="2" t="str">
        <f>"FES1162543206"</f>
        <v>FES1162543206</v>
      </c>
      <c r="F100" s="3">
        <v>42837</v>
      </c>
      <c r="G100" s="2">
        <v>201710</v>
      </c>
      <c r="H100" s="2" t="s">
        <v>74</v>
      </c>
      <c r="I100" s="2" t="s">
        <v>75</v>
      </c>
      <c r="J100" s="2" t="s">
        <v>76</v>
      </c>
      <c r="K100" s="2" t="s">
        <v>77</v>
      </c>
      <c r="L100" s="2" t="s">
        <v>294</v>
      </c>
      <c r="M100" s="2" t="s">
        <v>295</v>
      </c>
      <c r="N100" s="2" t="s">
        <v>416</v>
      </c>
      <c r="O100" s="2" t="s">
        <v>115</v>
      </c>
      <c r="P100" s="2" t="str">
        <f>"2170561967                    "</f>
        <v xml:space="preserve">2170561967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7.5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2</v>
      </c>
      <c r="BJ100" s="2">
        <v>3.3</v>
      </c>
      <c r="BK100" s="2">
        <v>3.5</v>
      </c>
      <c r="BL100" s="2">
        <v>73.02</v>
      </c>
      <c r="BM100" s="2">
        <v>10.220000000000001</v>
      </c>
      <c r="BN100" s="2">
        <v>83.24</v>
      </c>
      <c r="BO100" s="2">
        <v>83.24</v>
      </c>
      <c r="BP100" s="2"/>
      <c r="BQ100" s="2" t="s">
        <v>417</v>
      </c>
      <c r="BR100" s="2" t="s">
        <v>84</v>
      </c>
      <c r="BS100" s="3">
        <v>42838</v>
      </c>
      <c r="BT100" s="4">
        <v>0.4375</v>
      </c>
      <c r="BU100" s="2" t="s">
        <v>418</v>
      </c>
      <c r="BV100" s="2" t="s">
        <v>111</v>
      </c>
      <c r="BW100" s="2"/>
      <c r="BX100" s="2"/>
      <c r="BY100" s="2">
        <v>16632</v>
      </c>
      <c r="BZ100" s="2" t="s">
        <v>27</v>
      </c>
      <c r="CA100" s="2"/>
      <c r="CB100" s="2"/>
      <c r="CC100" s="2" t="s">
        <v>295</v>
      </c>
      <c r="CD100" s="2">
        <v>3610</v>
      </c>
      <c r="CE100" s="2" t="s">
        <v>89</v>
      </c>
      <c r="CF100" s="5">
        <v>42843</v>
      </c>
      <c r="CG100" s="2"/>
      <c r="CH100" s="2"/>
      <c r="CI100" s="2">
        <v>1</v>
      </c>
      <c r="CJ100" s="2">
        <v>1</v>
      </c>
      <c r="CK100" s="2">
        <v>21</v>
      </c>
      <c r="CL100" s="2" t="s">
        <v>86</v>
      </c>
      <c r="CM100" s="2"/>
    </row>
    <row r="101" spans="1:91">
      <c r="A101" s="2" t="s">
        <v>71</v>
      </c>
      <c r="B101" s="2" t="s">
        <v>72</v>
      </c>
      <c r="C101" s="2" t="s">
        <v>73</v>
      </c>
      <c r="D101" s="2"/>
      <c r="E101" s="2" t="str">
        <f>"FES1162541204"</f>
        <v>FES1162541204</v>
      </c>
      <c r="F101" s="3">
        <v>42829</v>
      </c>
      <c r="G101" s="2">
        <v>201710</v>
      </c>
      <c r="H101" s="2" t="s">
        <v>74</v>
      </c>
      <c r="I101" s="2" t="s">
        <v>75</v>
      </c>
      <c r="J101" s="2" t="s">
        <v>76</v>
      </c>
      <c r="K101" s="2" t="s">
        <v>77</v>
      </c>
      <c r="L101" s="2" t="s">
        <v>99</v>
      </c>
      <c r="M101" s="2" t="s">
        <v>100</v>
      </c>
      <c r="N101" s="2" t="s">
        <v>419</v>
      </c>
      <c r="O101" s="2" t="s">
        <v>115</v>
      </c>
      <c r="P101" s="2" t="str">
        <f>"2170560303                    "</f>
        <v xml:space="preserve">2170560303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4.42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1</v>
      </c>
      <c r="BI101" s="2">
        <v>1</v>
      </c>
      <c r="BJ101" s="2">
        <v>0.2</v>
      </c>
      <c r="BK101" s="2">
        <v>1</v>
      </c>
      <c r="BL101" s="2">
        <v>41.86</v>
      </c>
      <c r="BM101" s="2">
        <v>5.86</v>
      </c>
      <c r="BN101" s="2">
        <v>47.72</v>
      </c>
      <c r="BO101" s="2">
        <v>47.72</v>
      </c>
      <c r="BP101" s="2"/>
      <c r="BQ101" s="2" t="s">
        <v>138</v>
      </c>
      <c r="BR101" s="2" t="s">
        <v>123</v>
      </c>
      <c r="BS101" s="3">
        <v>42830</v>
      </c>
      <c r="BT101" s="4">
        <v>0.34722222222222227</v>
      </c>
      <c r="BU101" s="2" t="s">
        <v>420</v>
      </c>
      <c r="BV101" s="2" t="s">
        <v>111</v>
      </c>
      <c r="BW101" s="2"/>
      <c r="BX101" s="2"/>
      <c r="BY101" s="2">
        <v>1200</v>
      </c>
      <c r="BZ101" s="2" t="s">
        <v>27</v>
      </c>
      <c r="CA101" s="2" t="s">
        <v>154</v>
      </c>
      <c r="CB101" s="2"/>
      <c r="CC101" s="2" t="s">
        <v>100</v>
      </c>
      <c r="CD101" s="2">
        <v>6001</v>
      </c>
      <c r="CE101" s="2" t="s">
        <v>144</v>
      </c>
      <c r="CF101" s="5">
        <v>42830</v>
      </c>
      <c r="CG101" s="2"/>
      <c r="CH101" s="2"/>
      <c r="CI101" s="2">
        <v>1</v>
      </c>
      <c r="CJ101" s="2">
        <v>1</v>
      </c>
      <c r="CK101" s="2">
        <v>21</v>
      </c>
      <c r="CL101" s="2" t="s">
        <v>86</v>
      </c>
      <c r="CM101" s="2"/>
    </row>
    <row r="102" spans="1:91">
      <c r="A102" s="2" t="s">
        <v>71</v>
      </c>
      <c r="B102" s="2" t="s">
        <v>72</v>
      </c>
      <c r="C102" s="2" t="s">
        <v>73</v>
      </c>
      <c r="D102" s="2"/>
      <c r="E102" s="2" t="str">
        <f>"FES1162542857"</f>
        <v>FES1162542857</v>
      </c>
      <c r="F102" s="3">
        <v>42836</v>
      </c>
      <c r="G102" s="2">
        <v>201710</v>
      </c>
      <c r="H102" s="2" t="s">
        <v>74</v>
      </c>
      <c r="I102" s="2" t="s">
        <v>75</v>
      </c>
      <c r="J102" s="2" t="s">
        <v>76</v>
      </c>
      <c r="K102" s="2" t="s">
        <v>77</v>
      </c>
      <c r="L102" s="2" t="s">
        <v>139</v>
      </c>
      <c r="M102" s="2" t="s">
        <v>140</v>
      </c>
      <c r="N102" s="2" t="s">
        <v>421</v>
      </c>
      <c r="O102" s="2" t="s">
        <v>115</v>
      </c>
      <c r="P102" s="2" t="str">
        <f>"2170558930                    "</f>
        <v xml:space="preserve">2170558930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4.29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1.2</v>
      </c>
      <c r="BK102" s="2">
        <v>1.5</v>
      </c>
      <c r="BL102" s="2">
        <v>41.73</v>
      </c>
      <c r="BM102" s="2">
        <v>5.84</v>
      </c>
      <c r="BN102" s="2">
        <v>47.57</v>
      </c>
      <c r="BO102" s="2">
        <v>47.57</v>
      </c>
      <c r="BP102" s="2"/>
      <c r="BQ102" s="2" t="s">
        <v>422</v>
      </c>
      <c r="BR102" s="2" t="s">
        <v>123</v>
      </c>
      <c r="BS102" s="3">
        <v>42837</v>
      </c>
      <c r="BT102" s="4">
        <v>0.58333333333333337</v>
      </c>
      <c r="BU102" s="2" t="s">
        <v>423</v>
      </c>
      <c r="BV102" s="2" t="s">
        <v>86</v>
      </c>
      <c r="BW102" s="2"/>
      <c r="BX102" s="2"/>
      <c r="BY102" s="2">
        <v>5785.92</v>
      </c>
      <c r="BZ102" s="2" t="s">
        <v>27</v>
      </c>
      <c r="CA102" s="2" t="s">
        <v>159</v>
      </c>
      <c r="CB102" s="2"/>
      <c r="CC102" s="2" t="s">
        <v>140</v>
      </c>
      <c r="CD102" s="2">
        <v>157</v>
      </c>
      <c r="CE102" s="2" t="s">
        <v>144</v>
      </c>
      <c r="CF102" s="5">
        <v>42843</v>
      </c>
      <c r="CG102" s="2"/>
      <c r="CH102" s="2"/>
      <c r="CI102" s="2">
        <v>0</v>
      </c>
      <c r="CJ102" s="2">
        <v>0</v>
      </c>
      <c r="CK102" s="2">
        <v>21</v>
      </c>
      <c r="CL102" s="2" t="s">
        <v>86</v>
      </c>
      <c r="CM102" s="2"/>
    </row>
    <row r="103" spans="1:91">
      <c r="A103" s="2" t="s">
        <v>71</v>
      </c>
      <c r="B103" s="2" t="s">
        <v>72</v>
      </c>
      <c r="C103" s="2" t="s">
        <v>73</v>
      </c>
      <c r="D103" s="2"/>
      <c r="E103" s="2" t="str">
        <f>"FES1162541753"</f>
        <v>FES1162541753</v>
      </c>
      <c r="F103" s="3">
        <v>42830</v>
      </c>
      <c r="G103" s="2">
        <v>201710</v>
      </c>
      <c r="H103" s="2" t="s">
        <v>74</v>
      </c>
      <c r="I103" s="2" t="s">
        <v>75</v>
      </c>
      <c r="J103" s="2" t="s">
        <v>76</v>
      </c>
      <c r="K103" s="2" t="s">
        <v>77</v>
      </c>
      <c r="L103" s="2" t="s">
        <v>180</v>
      </c>
      <c r="M103" s="2" t="s">
        <v>181</v>
      </c>
      <c r="N103" s="2" t="s">
        <v>424</v>
      </c>
      <c r="O103" s="2" t="s">
        <v>115</v>
      </c>
      <c r="P103" s="2" t="str">
        <f>"2170556498                    "</f>
        <v xml:space="preserve">2170556498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6.43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1.6</v>
      </c>
      <c r="BJ103" s="2">
        <v>2.9</v>
      </c>
      <c r="BK103" s="2">
        <v>3</v>
      </c>
      <c r="BL103" s="2">
        <v>62.59</v>
      </c>
      <c r="BM103" s="2">
        <v>8.76</v>
      </c>
      <c r="BN103" s="2">
        <v>71.349999999999994</v>
      </c>
      <c r="BO103" s="2">
        <v>71.349999999999994</v>
      </c>
      <c r="BP103" s="2"/>
      <c r="BQ103" s="2" t="s">
        <v>425</v>
      </c>
      <c r="BR103" s="2" t="s">
        <v>123</v>
      </c>
      <c r="BS103" s="3">
        <v>42831</v>
      </c>
      <c r="BT103" s="4">
        <v>0.4375</v>
      </c>
      <c r="BU103" s="2" t="s">
        <v>426</v>
      </c>
      <c r="BV103" s="2" t="s">
        <v>111</v>
      </c>
      <c r="BW103" s="2"/>
      <c r="BX103" s="2"/>
      <c r="BY103" s="2">
        <v>14649.04</v>
      </c>
      <c r="BZ103" s="2" t="s">
        <v>27</v>
      </c>
      <c r="CA103" s="2"/>
      <c r="CB103" s="2"/>
      <c r="CC103" s="2" t="s">
        <v>181</v>
      </c>
      <c r="CD103" s="2">
        <v>4001</v>
      </c>
      <c r="CE103" s="2" t="s">
        <v>89</v>
      </c>
      <c r="CF103" s="5">
        <v>42832</v>
      </c>
      <c r="CG103" s="2"/>
      <c r="CH103" s="2"/>
      <c r="CI103" s="2">
        <v>1</v>
      </c>
      <c r="CJ103" s="2">
        <v>1</v>
      </c>
      <c r="CK103" s="2">
        <v>21</v>
      </c>
      <c r="CL103" s="2" t="s">
        <v>86</v>
      </c>
      <c r="CM103" s="2"/>
    </row>
    <row r="104" spans="1:91">
      <c r="A104" s="2" t="s">
        <v>71</v>
      </c>
      <c r="B104" s="2" t="s">
        <v>72</v>
      </c>
      <c r="C104" s="2" t="s">
        <v>73</v>
      </c>
      <c r="D104" s="2"/>
      <c r="E104" s="2" t="str">
        <f>"FES1162541511"</f>
        <v>FES1162541511</v>
      </c>
      <c r="F104" s="3">
        <v>42830</v>
      </c>
      <c r="G104" s="2">
        <v>201710</v>
      </c>
      <c r="H104" s="2" t="s">
        <v>74</v>
      </c>
      <c r="I104" s="2" t="s">
        <v>75</v>
      </c>
      <c r="J104" s="2" t="s">
        <v>76</v>
      </c>
      <c r="K104" s="2" t="s">
        <v>77</v>
      </c>
      <c r="L104" s="2" t="s">
        <v>187</v>
      </c>
      <c r="M104" s="2" t="s">
        <v>146</v>
      </c>
      <c r="N104" s="2" t="s">
        <v>427</v>
      </c>
      <c r="O104" s="2" t="s">
        <v>115</v>
      </c>
      <c r="P104" s="2" t="str">
        <f>"2170556314                    "</f>
        <v xml:space="preserve">2170556314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6.43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1.9</v>
      </c>
      <c r="BJ104" s="2">
        <v>3</v>
      </c>
      <c r="BK104" s="2">
        <v>3</v>
      </c>
      <c r="BL104" s="2">
        <v>62.59</v>
      </c>
      <c r="BM104" s="2">
        <v>8.76</v>
      </c>
      <c r="BN104" s="2">
        <v>71.349999999999994</v>
      </c>
      <c r="BO104" s="2">
        <v>71.349999999999994</v>
      </c>
      <c r="BP104" s="2"/>
      <c r="BQ104" s="2" t="s">
        <v>428</v>
      </c>
      <c r="BR104" s="2" t="s">
        <v>123</v>
      </c>
      <c r="BS104" s="3">
        <v>42831</v>
      </c>
      <c r="BT104" s="4">
        <v>0.33333333333333331</v>
      </c>
      <c r="BU104" s="2" t="s">
        <v>429</v>
      </c>
      <c r="BV104" s="2" t="s">
        <v>111</v>
      </c>
      <c r="BW104" s="2"/>
      <c r="BX104" s="2"/>
      <c r="BY104" s="2">
        <v>14766.34</v>
      </c>
      <c r="BZ104" s="2" t="s">
        <v>27</v>
      </c>
      <c r="CA104" s="2" t="s">
        <v>159</v>
      </c>
      <c r="CB104" s="2"/>
      <c r="CC104" s="2" t="s">
        <v>146</v>
      </c>
      <c r="CD104" s="2">
        <v>184</v>
      </c>
      <c r="CE104" s="2" t="s">
        <v>144</v>
      </c>
      <c r="CF104" s="5">
        <v>42835</v>
      </c>
      <c r="CG104" s="2"/>
      <c r="CH104" s="2"/>
      <c r="CI104" s="2">
        <v>0</v>
      </c>
      <c r="CJ104" s="2">
        <v>0</v>
      </c>
      <c r="CK104" s="2">
        <v>21</v>
      </c>
      <c r="CL104" s="2" t="s">
        <v>86</v>
      </c>
      <c r="CM104" s="2"/>
    </row>
    <row r="105" spans="1:91">
      <c r="A105" s="2" t="s">
        <v>71</v>
      </c>
      <c r="B105" s="2" t="s">
        <v>72</v>
      </c>
      <c r="C105" s="2" t="s">
        <v>73</v>
      </c>
      <c r="D105" s="2"/>
      <c r="E105" s="2" t="str">
        <f>"FES1162543415"</f>
        <v>FES1162543415</v>
      </c>
      <c r="F105" s="3">
        <v>42837</v>
      </c>
      <c r="G105" s="2">
        <v>201710</v>
      </c>
      <c r="H105" s="2" t="s">
        <v>74</v>
      </c>
      <c r="I105" s="2" t="s">
        <v>75</v>
      </c>
      <c r="J105" s="2" t="s">
        <v>76</v>
      </c>
      <c r="K105" s="2" t="s">
        <v>77</v>
      </c>
      <c r="L105" s="2" t="s">
        <v>231</v>
      </c>
      <c r="M105" s="2" t="s">
        <v>232</v>
      </c>
      <c r="N105" s="2" t="s">
        <v>430</v>
      </c>
      <c r="O105" s="2" t="s">
        <v>115</v>
      </c>
      <c r="P105" s="2" t="str">
        <f>"2170562105                    "</f>
        <v xml:space="preserve">2170562105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6.03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0.3</v>
      </c>
      <c r="BJ105" s="2">
        <v>1.1000000000000001</v>
      </c>
      <c r="BK105" s="2">
        <v>1.5</v>
      </c>
      <c r="BL105" s="2">
        <v>58.68</v>
      </c>
      <c r="BM105" s="2">
        <v>8.2200000000000006</v>
      </c>
      <c r="BN105" s="2">
        <v>66.900000000000006</v>
      </c>
      <c r="BO105" s="2">
        <v>66.900000000000006</v>
      </c>
      <c r="BP105" s="2"/>
      <c r="BQ105" s="2" t="s">
        <v>431</v>
      </c>
      <c r="BR105" s="2" t="s">
        <v>84</v>
      </c>
      <c r="BS105" s="3">
        <v>42843</v>
      </c>
      <c r="BT105" s="4">
        <v>0.5</v>
      </c>
      <c r="BU105" s="2" t="s">
        <v>432</v>
      </c>
      <c r="BV105" s="2" t="s">
        <v>86</v>
      </c>
      <c r="BW105" s="2"/>
      <c r="BX105" s="2"/>
      <c r="BY105" s="2">
        <v>5351.09</v>
      </c>
      <c r="BZ105" s="2" t="s">
        <v>27</v>
      </c>
      <c r="CA105" s="2"/>
      <c r="CB105" s="2"/>
      <c r="CC105" s="2" t="s">
        <v>232</v>
      </c>
      <c r="CD105" s="2">
        <v>250</v>
      </c>
      <c r="CE105" s="2" t="s">
        <v>118</v>
      </c>
      <c r="CF105" s="5">
        <v>42845</v>
      </c>
      <c r="CG105" s="2"/>
      <c r="CH105" s="2"/>
      <c r="CI105" s="2">
        <v>1</v>
      </c>
      <c r="CJ105" s="2">
        <v>4</v>
      </c>
      <c r="CK105" s="2">
        <v>24</v>
      </c>
      <c r="CL105" s="2" t="s">
        <v>86</v>
      </c>
      <c r="CM105" s="2"/>
    </row>
    <row r="106" spans="1:91">
      <c r="A106" s="2" t="s">
        <v>71</v>
      </c>
      <c r="B106" s="2" t="s">
        <v>72</v>
      </c>
      <c r="C106" s="2" t="s">
        <v>73</v>
      </c>
      <c r="D106" s="2"/>
      <c r="E106" s="2" t="str">
        <f>"FES1162541888"</f>
        <v>FES1162541888</v>
      </c>
      <c r="F106" s="3">
        <v>42831</v>
      </c>
      <c r="G106" s="2">
        <v>201710</v>
      </c>
      <c r="H106" s="2" t="s">
        <v>74</v>
      </c>
      <c r="I106" s="2" t="s">
        <v>75</v>
      </c>
      <c r="J106" s="2" t="s">
        <v>76</v>
      </c>
      <c r="K106" s="2" t="s">
        <v>77</v>
      </c>
      <c r="L106" s="2" t="s">
        <v>99</v>
      </c>
      <c r="M106" s="2" t="s">
        <v>100</v>
      </c>
      <c r="N106" s="2" t="s">
        <v>433</v>
      </c>
      <c r="O106" s="2" t="s">
        <v>115</v>
      </c>
      <c r="P106" s="2" t="str">
        <f>"2170560900                    "</f>
        <v xml:space="preserve">2170560900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4.29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2</v>
      </c>
      <c r="BJ106" s="2">
        <v>0.2</v>
      </c>
      <c r="BK106" s="2">
        <v>2</v>
      </c>
      <c r="BL106" s="2">
        <v>41.73</v>
      </c>
      <c r="BM106" s="2">
        <v>5.84</v>
      </c>
      <c r="BN106" s="2">
        <v>47.57</v>
      </c>
      <c r="BO106" s="2">
        <v>47.57</v>
      </c>
      <c r="BP106" s="2"/>
      <c r="BQ106" s="2" t="s">
        <v>434</v>
      </c>
      <c r="BR106" s="2" t="s">
        <v>123</v>
      </c>
      <c r="BS106" s="3">
        <v>42832</v>
      </c>
      <c r="BT106" s="4">
        <v>0.2986111111111111</v>
      </c>
      <c r="BU106" s="2" t="s">
        <v>435</v>
      </c>
      <c r="BV106" s="2" t="s">
        <v>111</v>
      </c>
      <c r="BW106" s="2"/>
      <c r="BX106" s="2"/>
      <c r="BY106" s="2">
        <v>1200</v>
      </c>
      <c r="BZ106" s="2" t="s">
        <v>27</v>
      </c>
      <c r="CA106" s="2"/>
      <c r="CB106" s="2"/>
      <c r="CC106" s="2" t="s">
        <v>100</v>
      </c>
      <c r="CD106" s="2">
        <v>6001</v>
      </c>
      <c r="CE106" s="2" t="s">
        <v>144</v>
      </c>
      <c r="CF106" s="5">
        <v>42835</v>
      </c>
      <c r="CG106" s="2"/>
      <c r="CH106" s="2"/>
      <c r="CI106" s="2">
        <v>1</v>
      </c>
      <c r="CJ106" s="2">
        <v>1</v>
      </c>
      <c r="CK106" s="2">
        <v>21</v>
      </c>
      <c r="CL106" s="2" t="s">
        <v>86</v>
      </c>
      <c r="CM106" s="2"/>
    </row>
    <row r="107" spans="1:91">
      <c r="A107" s="2" t="s">
        <v>71</v>
      </c>
      <c r="B107" s="2" t="s">
        <v>72</v>
      </c>
      <c r="C107" s="2" t="s">
        <v>73</v>
      </c>
      <c r="D107" s="2"/>
      <c r="E107" s="2" t="str">
        <f>"FES1162541469"</f>
        <v>FES1162541469</v>
      </c>
      <c r="F107" s="3">
        <v>42829</v>
      </c>
      <c r="G107" s="2">
        <v>201710</v>
      </c>
      <c r="H107" s="2" t="s">
        <v>74</v>
      </c>
      <c r="I107" s="2" t="s">
        <v>75</v>
      </c>
      <c r="J107" s="2" t="s">
        <v>76</v>
      </c>
      <c r="K107" s="2" t="s">
        <v>77</v>
      </c>
      <c r="L107" s="2" t="s">
        <v>74</v>
      </c>
      <c r="M107" s="2" t="s">
        <v>75</v>
      </c>
      <c r="N107" s="2" t="s">
        <v>436</v>
      </c>
      <c r="O107" s="2" t="s">
        <v>115</v>
      </c>
      <c r="P107" s="2" t="str">
        <f>"2170560548                    "</f>
        <v xml:space="preserve">2170560548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3.45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1</v>
      </c>
      <c r="BJ107" s="2">
        <v>0.2</v>
      </c>
      <c r="BK107" s="2">
        <v>1</v>
      </c>
      <c r="BL107" s="2">
        <v>32.700000000000003</v>
      </c>
      <c r="BM107" s="2">
        <v>4.58</v>
      </c>
      <c r="BN107" s="2">
        <v>37.28</v>
      </c>
      <c r="BO107" s="2">
        <v>37.28</v>
      </c>
      <c r="BP107" s="2"/>
      <c r="BQ107" s="2" t="s">
        <v>437</v>
      </c>
      <c r="BR107" s="2" t="s">
        <v>123</v>
      </c>
      <c r="BS107" s="3">
        <v>42830</v>
      </c>
      <c r="BT107" s="4">
        <v>0.41666666666666669</v>
      </c>
      <c r="BU107" s="2" t="s">
        <v>438</v>
      </c>
      <c r="BV107" s="2" t="s">
        <v>111</v>
      </c>
      <c r="BW107" s="2"/>
      <c r="BX107" s="2"/>
      <c r="BY107" s="2">
        <v>1200</v>
      </c>
      <c r="BZ107" s="2" t="s">
        <v>27</v>
      </c>
      <c r="CA107" s="2"/>
      <c r="CB107" s="2"/>
      <c r="CC107" s="2" t="s">
        <v>75</v>
      </c>
      <c r="CD107" s="2">
        <v>1600</v>
      </c>
      <c r="CE107" s="2" t="s">
        <v>118</v>
      </c>
      <c r="CF107" s="5">
        <v>42831</v>
      </c>
      <c r="CG107" s="2"/>
      <c r="CH107" s="2"/>
      <c r="CI107" s="2">
        <v>1</v>
      </c>
      <c r="CJ107" s="2">
        <v>1</v>
      </c>
      <c r="CK107" s="2">
        <v>22</v>
      </c>
      <c r="CL107" s="2" t="s">
        <v>86</v>
      </c>
      <c r="CM107" s="2"/>
    </row>
    <row r="108" spans="1:91">
      <c r="A108" s="2" t="s">
        <v>71</v>
      </c>
      <c r="B108" s="2" t="s">
        <v>72</v>
      </c>
      <c r="C108" s="2" t="s">
        <v>73</v>
      </c>
      <c r="D108" s="2"/>
      <c r="E108" s="2" t="str">
        <f>"FES1162542768"</f>
        <v>FES1162542768</v>
      </c>
      <c r="F108" s="3">
        <v>42836</v>
      </c>
      <c r="G108" s="2">
        <v>201710</v>
      </c>
      <c r="H108" s="2" t="s">
        <v>74</v>
      </c>
      <c r="I108" s="2" t="s">
        <v>75</v>
      </c>
      <c r="J108" s="2" t="s">
        <v>76</v>
      </c>
      <c r="K108" s="2" t="s">
        <v>77</v>
      </c>
      <c r="L108" s="2" t="s">
        <v>294</v>
      </c>
      <c r="M108" s="2" t="s">
        <v>295</v>
      </c>
      <c r="N108" s="2" t="s">
        <v>439</v>
      </c>
      <c r="O108" s="2" t="s">
        <v>115</v>
      </c>
      <c r="P108" s="2" t="str">
        <f>"2170561666                    "</f>
        <v xml:space="preserve">2170561666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6.43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2</v>
      </c>
      <c r="BJ108" s="2">
        <v>3</v>
      </c>
      <c r="BK108" s="2">
        <v>3</v>
      </c>
      <c r="BL108" s="2">
        <v>62.59</v>
      </c>
      <c r="BM108" s="2">
        <v>8.76</v>
      </c>
      <c r="BN108" s="2">
        <v>71.349999999999994</v>
      </c>
      <c r="BO108" s="2">
        <v>71.349999999999994</v>
      </c>
      <c r="BP108" s="2"/>
      <c r="BQ108" s="2" t="s">
        <v>129</v>
      </c>
      <c r="BR108" s="2" t="s">
        <v>123</v>
      </c>
      <c r="BS108" s="3">
        <v>42837</v>
      </c>
      <c r="BT108" s="4">
        <v>0.4375</v>
      </c>
      <c r="BU108" s="2" t="s">
        <v>440</v>
      </c>
      <c r="BV108" s="2" t="s">
        <v>111</v>
      </c>
      <c r="BW108" s="2"/>
      <c r="BX108" s="2"/>
      <c r="BY108" s="2">
        <v>15028</v>
      </c>
      <c r="BZ108" s="2" t="s">
        <v>27</v>
      </c>
      <c r="CA108" s="2"/>
      <c r="CB108" s="2"/>
      <c r="CC108" s="2" t="s">
        <v>295</v>
      </c>
      <c r="CD108" s="2">
        <v>3610</v>
      </c>
      <c r="CE108" s="2" t="s">
        <v>135</v>
      </c>
      <c r="CF108" s="5">
        <v>42843</v>
      </c>
      <c r="CG108" s="2"/>
      <c r="CH108" s="2"/>
      <c r="CI108" s="2">
        <v>1</v>
      </c>
      <c r="CJ108" s="2">
        <v>1</v>
      </c>
      <c r="CK108" s="2">
        <v>21</v>
      </c>
      <c r="CL108" s="2" t="s">
        <v>86</v>
      </c>
      <c r="CM108" s="2"/>
    </row>
    <row r="109" spans="1:91">
      <c r="A109" s="2" t="s">
        <v>71</v>
      </c>
      <c r="B109" s="2" t="s">
        <v>72</v>
      </c>
      <c r="C109" s="2" t="s">
        <v>73</v>
      </c>
      <c r="D109" s="2"/>
      <c r="E109" s="2" t="str">
        <f>"FES1162541728"</f>
        <v>FES1162541728</v>
      </c>
      <c r="F109" s="3">
        <v>42830</v>
      </c>
      <c r="G109" s="2">
        <v>201710</v>
      </c>
      <c r="H109" s="2" t="s">
        <v>74</v>
      </c>
      <c r="I109" s="2" t="s">
        <v>75</v>
      </c>
      <c r="J109" s="2" t="s">
        <v>76</v>
      </c>
      <c r="K109" s="2" t="s">
        <v>77</v>
      </c>
      <c r="L109" s="2" t="s">
        <v>166</v>
      </c>
      <c r="M109" s="2" t="s">
        <v>167</v>
      </c>
      <c r="N109" s="2" t="s">
        <v>441</v>
      </c>
      <c r="O109" s="2" t="s">
        <v>115</v>
      </c>
      <c r="P109" s="2" t="str">
        <f>"2170560729                    "</f>
        <v xml:space="preserve">2170560729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3.35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</v>
      </c>
      <c r="BJ109" s="2">
        <v>0.2</v>
      </c>
      <c r="BK109" s="2">
        <v>1</v>
      </c>
      <c r="BL109" s="2">
        <v>32.6</v>
      </c>
      <c r="BM109" s="2">
        <v>4.5599999999999996</v>
      </c>
      <c r="BN109" s="2">
        <v>37.159999999999997</v>
      </c>
      <c r="BO109" s="2">
        <v>37.159999999999997</v>
      </c>
      <c r="BP109" s="2"/>
      <c r="BQ109" s="2" t="s">
        <v>442</v>
      </c>
      <c r="BR109" s="2" t="s">
        <v>123</v>
      </c>
      <c r="BS109" s="3">
        <v>42831</v>
      </c>
      <c r="BT109" s="4">
        <v>0.41666666666666669</v>
      </c>
      <c r="BU109" s="2" t="s">
        <v>290</v>
      </c>
      <c r="BV109" s="2" t="s">
        <v>111</v>
      </c>
      <c r="BW109" s="2"/>
      <c r="BX109" s="2"/>
      <c r="BY109" s="2">
        <v>1200</v>
      </c>
      <c r="BZ109" s="2" t="s">
        <v>27</v>
      </c>
      <c r="CA109" s="2"/>
      <c r="CB109" s="2"/>
      <c r="CC109" s="2" t="s">
        <v>167</v>
      </c>
      <c r="CD109" s="2">
        <v>2091</v>
      </c>
      <c r="CE109" s="2" t="s">
        <v>118</v>
      </c>
      <c r="CF109" s="5">
        <v>42832</v>
      </c>
      <c r="CG109" s="2"/>
      <c r="CH109" s="2"/>
      <c r="CI109" s="2">
        <v>1</v>
      </c>
      <c r="CJ109" s="2">
        <v>1</v>
      </c>
      <c r="CK109" s="2">
        <v>22</v>
      </c>
      <c r="CL109" s="2" t="s">
        <v>86</v>
      </c>
      <c r="CM109" s="2"/>
    </row>
    <row r="110" spans="1:91">
      <c r="A110" s="2" t="s">
        <v>71</v>
      </c>
      <c r="B110" s="2" t="s">
        <v>72</v>
      </c>
      <c r="C110" s="2" t="s">
        <v>73</v>
      </c>
      <c r="D110" s="2"/>
      <c r="E110" s="2" t="str">
        <f>"FES1162541346"</f>
        <v>FES1162541346</v>
      </c>
      <c r="F110" s="3">
        <v>42829</v>
      </c>
      <c r="G110" s="2">
        <v>201710</v>
      </c>
      <c r="H110" s="2" t="s">
        <v>74</v>
      </c>
      <c r="I110" s="2" t="s">
        <v>75</v>
      </c>
      <c r="J110" s="2" t="s">
        <v>76</v>
      </c>
      <c r="K110" s="2" t="s">
        <v>77</v>
      </c>
      <c r="L110" s="2" t="s">
        <v>443</v>
      </c>
      <c r="M110" s="2" t="s">
        <v>444</v>
      </c>
      <c r="N110" s="2" t="s">
        <v>445</v>
      </c>
      <c r="O110" s="2" t="s">
        <v>115</v>
      </c>
      <c r="P110" s="2" t="str">
        <f>"2170560419                    "</f>
        <v xml:space="preserve">2170560419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39.79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17.100000000000001</v>
      </c>
      <c r="BJ110" s="2">
        <v>17.7</v>
      </c>
      <c r="BK110" s="2">
        <v>18</v>
      </c>
      <c r="BL110" s="2">
        <v>376.75</v>
      </c>
      <c r="BM110" s="2">
        <v>52.75</v>
      </c>
      <c r="BN110" s="2">
        <v>429.5</v>
      </c>
      <c r="BO110" s="2">
        <v>429.5</v>
      </c>
      <c r="BP110" s="2"/>
      <c r="BQ110" s="2" t="s">
        <v>129</v>
      </c>
      <c r="BR110" s="2" t="s">
        <v>123</v>
      </c>
      <c r="BS110" s="3">
        <v>42830</v>
      </c>
      <c r="BT110" s="4">
        <v>0.41666666666666669</v>
      </c>
      <c r="BU110" s="2" t="s">
        <v>446</v>
      </c>
      <c r="BV110" s="2" t="s">
        <v>111</v>
      </c>
      <c r="BW110" s="2"/>
      <c r="BX110" s="2"/>
      <c r="BY110" s="2">
        <v>88721.64</v>
      </c>
      <c r="BZ110" s="2" t="s">
        <v>27</v>
      </c>
      <c r="CA110" s="2" t="s">
        <v>159</v>
      </c>
      <c r="CB110" s="2"/>
      <c r="CC110" s="2" t="s">
        <v>444</v>
      </c>
      <c r="CD110" s="2">
        <v>7130</v>
      </c>
      <c r="CE110" s="2" t="s">
        <v>135</v>
      </c>
      <c r="CF110" s="5">
        <v>42831</v>
      </c>
      <c r="CG110" s="2"/>
      <c r="CH110" s="2"/>
      <c r="CI110" s="2">
        <v>1</v>
      </c>
      <c r="CJ110" s="2">
        <v>1</v>
      </c>
      <c r="CK110" s="2">
        <v>21</v>
      </c>
      <c r="CL110" s="2" t="s">
        <v>86</v>
      </c>
      <c r="CM110" s="2"/>
    </row>
    <row r="111" spans="1:91">
      <c r="A111" s="2" t="s">
        <v>71</v>
      </c>
      <c r="B111" s="2" t="s">
        <v>72</v>
      </c>
      <c r="C111" s="2" t="s">
        <v>73</v>
      </c>
      <c r="D111" s="2"/>
      <c r="E111" s="2" t="str">
        <f>"FES1162543321"</f>
        <v>FES1162543321</v>
      </c>
      <c r="F111" s="3">
        <v>42837</v>
      </c>
      <c r="G111" s="2">
        <v>201710</v>
      </c>
      <c r="H111" s="2" t="s">
        <v>74</v>
      </c>
      <c r="I111" s="2" t="s">
        <v>75</v>
      </c>
      <c r="J111" s="2" t="s">
        <v>76</v>
      </c>
      <c r="K111" s="2" t="s">
        <v>77</v>
      </c>
      <c r="L111" s="2" t="s">
        <v>180</v>
      </c>
      <c r="M111" s="2" t="s">
        <v>181</v>
      </c>
      <c r="N111" s="2" t="s">
        <v>447</v>
      </c>
      <c r="O111" s="2" t="s">
        <v>115</v>
      </c>
      <c r="P111" s="2" t="str">
        <f>"2170561994                    "</f>
        <v xml:space="preserve">2170561994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4.29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</v>
      </c>
      <c r="BI111" s="2">
        <v>1</v>
      </c>
      <c r="BJ111" s="2">
        <v>0.2</v>
      </c>
      <c r="BK111" s="2">
        <v>1</v>
      </c>
      <c r="BL111" s="2">
        <v>41.73</v>
      </c>
      <c r="BM111" s="2">
        <v>5.84</v>
      </c>
      <c r="BN111" s="2">
        <v>47.57</v>
      </c>
      <c r="BO111" s="2">
        <v>47.57</v>
      </c>
      <c r="BP111" s="2"/>
      <c r="BQ111" s="2"/>
      <c r="BR111" s="2" t="s">
        <v>84</v>
      </c>
      <c r="BS111" s="3">
        <v>42838</v>
      </c>
      <c r="BT111" s="4">
        <v>0.38194444444444442</v>
      </c>
      <c r="BU111" s="2" t="s">
        <v>448</v>
      </c>
      <c r="BV111" s="2" t="s">
        <v>111</v>
      </c>
      <c r="BW111" s="2"/>
      <c r="BX111" s="2"/>
      <c r="BY111" s="2">
        <v>1200</v>
      </c>
      <c r="BZ111" s="2" t="s">
        <v>27</v>
      </c>
      <c r="CA111" s="2" t="s">
        <v>159</v>
      </c>
      <c r="CB111" s="2"/>
      <c r="CC111" s="2" t="s">
        <v>181</v>
      </c>
      <c r="CD111" s="2">
        <v>4052</v>
      </c>
      <c r="CE111" s="2" t="s">
        <v>118</v>
      </c>
      <c r="CF111" s="5">
        <v>42843</v>
      </c>
      <c r="CG111" s="2"/>
      <c r="CH111" s="2"/>
      <c r="CI111" s="2">
        <v>1</v>
      </c>
      <c r="CJ111" s="2">
        <v>1</v>
      </c>
      <c r="CK111" s="2">
        <v>21</v>
      </c>
      <c r="CL111" s="2" t="s">
        <v>86</v>
      </c>
      <c r="CM111" s="2"/>
    </row>
    <row r="112" spans="1:91">
      <c r="A112" s="2" t="s">
        <v>71</v>
      </c>
      <c r="B112" s="2" t="s">
        <v>72</v>
      </c>
      <c r="C112" s="2" t="s">
        <v>73</v>
      </c>
      <c r="D112" s="2"/>
      <c r="E112" s="2" t="str">
        <f>"FES1162541881"</f>
        <v>FES1162541881</v>
      </c>
      <c r="F112" s="3">
        <v>42831</v>
      </c>
      <c r="G112" s="2">
        <v>201710</v>
      </c>
      <c r="H112" s="2" t="s">
        <v>74</v>
      </c>
      <c r="I112" s="2" t="s">
        <v>75</v>
      </c>
      <c r="J112" s="2" t="s">
        <v>76</v>
      </c>
      <c r="K112" s="2" t="s">
        <v>77</v>
      </c>
      <c r="L112" s="2" t="s">
        <v>112</v>
      </c>
      <c r="M112" s="2" t="s">
        <v>113</v>
      </c>
      <c r="N112" s="2" t="s">
        <v>336</v>
      </c>
      <c r="O112" s="2" t="s">
        <v>115</v>
      </c>
      <c r="P112" s="2" t="str">
        <f>"2170560887                    "</f>
        <v xml:space="preserve">2170560887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4.29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1</v>
      </c>
      <c r="BJ112" s="2">
        <v>0.2</v>
      </c>
      <c r="BK112" s="2">
        <v>1</v>
      </c>
      <c r="BL112" s="2">
        <v>41.73</v>
      </c>
      <c r="BM112" s="2">
        <v>5.84</v>
      </c>
      <c r="BN112" s="2">
        <v>47.57</v>
      </c>
      <c r="BO112" s="2">
        <v>47.57</v>
      </c>
      <c r="BP112" s="2"/>
      <c r="BQ112" s="2" t="s">
        <v>449</v>
      </c>
      <c r="BR112" s="2" t="s">
        <v>123</v>
      </c>
      <c r="BS112" s="3">
        <v>42832</v>
      </c>
      <c r="BT112" s="4">
        <v>0.375</v>
      </c>
      <c r="BU112" s="2" t="s">
        <v>450</v>
      </c>
      <c r="BV112" s="2" t="s">
        <v>111</v>
      </c>
      <c r="BW112" s="2"/>
      <c r="BX112" s="2"/>
      <c r="BY112" s="2">
        <v>1200</v>
      </c>
      <c r="BZ112" s="2" t="s">
        <v>27</v>
      </c>
      <c r="CA112" s="2"/>
      <c r="CB112" s="2"/>
      <c r="CC112" s="2" t="s">
        <v>113</v>
      </c>
      <c r="CD112" s="2">
        <v>3201</v>
      </c>
      <c r="CE112" s="2" t="s">
        <v>144</v>
      </c>
      <c r="CF112" s="5">
        <v>42835</v>
      </c>
      <c r="CG112" s="2"/>
      <c r="CH112" s="2"/>
      <c r="CI112" s="2">
        <v>1</v>
      </c>
      <c r="CJ112" s="2">
        <v>1</v>
      </c>
      <c r="CK112" s="2">
        <v>21</v>
      </c>
      <c r="CL112" s="2" t="s">
        <v>86</v>
      </c>
      <c r="CM112" s="2"/>
    </row>
    <row r="113" spans="1:91">
      <c r="A113" s="2" t="s">
        <v>71</v>
      </c>
      <c r="B113" s="2" t="s">
        <v>72</v>
      </c>
      <c r="C113" s="2" t="s">
        <v>73</v>
      </c>
      <c r="D113" s="2"/>
      <c r="E113" s="2" t="str">
        <f>"FES1162541206"</f>
        <v>FES1162541206</v>
      </c>
      <c r="F113" s="3">
        <v>42829</v>
      </c>
      <c r="G113" s="2">
        <v>201710</v>
      </c>
      <c r="H113" s="2" t="s">
        <v>74</v>
      </c>
      <c r="I113" s="2" t="s">
        <v>75</v>
      </c>
      <c r="J113" s="2" t="s">
        <v>76</v>
      </c>
      <c r="K113" s="2" t="s">
        <v>77</v>
      </c>
      <c r="L113" s="2" t="s">
        <v>166</v>
      </c>
      <c r="M113" s="2" t="s">
        <v>167</v>
      </c>
      <c r="N113" s="2" t="s">
        <v>168</v>
      </c>
      <c r="O113" s="2" t="s">
        <v>115</v>
      </c>
      <c r="P113" s="2" t="str">
        <f>"2170560305                    "</f>
        <v xml:space="preserve">2170560305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3.45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1</v>
      </c>
      <c r="BJ113" s="2">
        <v>0.2</v>
      </c>
      <c r="BK113" s="2">
        <v>1</v>
      </c>
      <c r="BL113" s="2">
        <v>32.700000000000003</v>
      </c>
      <c r="BM113" s="2">
        <v>4.58</v>
      </c>
      <c r="BN113" s="2">
        <v>37.28</v>
      </c>
      <c r="BO113" s="2">
        <v>37.28</v>
      </c>
      <c r="BP113" s="2"/>
      <c r="BQ113" s="2" t="s">
        <v>169</v>
      </c>
      <c r="BR113" s="2" t="s">
        <v>123</v>
      </c>
      <c r="BS113" s="3">
        <v>42830</v>
      </c>
      <c r="BT113" s="4">
        <v>0.42777777777777781</v>
      </c>
      <c r="BU113" s="2" t="s">
        <v>198</v>
      </c>
      <c r="BV113" s="2" t="s">
        <v>111</v>
      </c>
      <c r="BW113" s="2"/>
      <c r="BX113" s="2"/>
      <c r="BY113" s="2">
        <v>1200</v>
      </c>
      <c r="BZ113" s="2" t="s">
        <v>27</v>
      </c>
      <c r="CA113" s="2" t="s">
        <v>171</v>
      </c>
      <c r="CB113" s="2"/>
      <c r="CC113" s="2" t="s">
        <v>167</v>
      </c>
      <c r="CD113" s="2">
        <v>2094</v>
      </c>
      <c r="CE113" s="2" t="s">
        <v>118</v>
      </c>
      <c r="CF113" s="5">
        <v>42830</v>
      </c>
      <c r="CG113" s="2"/>
      <c r="CH113" s="2"/>
      <c r="CI113" s="2">
        <v>1</v>
      </c>
      <c r="CJ113" s="2">
        <v>1</v>
      </c>
      <c r="CK113" s="2">
        <v>22</v>
      </c>
      <c r="CL113" s="2" t="s">
        <v>86</v>
      </c>
      <c r="CM113" s="2"/>
    </row>
    <row r="114" spans="1:91">
      <c r="A114" s="2" t="s">
        <v>71</v>
      </c>
      <c r="B114" s="2" t="s">
        <v>72</v>
      </c>
      <c r="C114" s="2" t="s">
        <v>73</v>
      </c>
      <c r="D114" s="2"/>
      <c r="E114" s="2" t="str">
        <f>"FES1162543049"</f>
        <v>FES1162543049</v>
      </c>
      <c r="F114" s="3">
        <v>42836</v>
      </c>
      <c r="G114" s="2">
        <v>201710</v>
      </c>
      <c r="H114" s="2" t="s">
        <v>74</v>
      </c>
      <c r="I114" s="2" t="s">
        <v>75</v>
      </c>
      <c r="J114" s="2" t="s">
        <v>76</v>
      </c>
      <c r="K114" s="2" t="s">
        <v>77</v>
      </c>
      <c r="L114" s="2" t="s">
        <v>99</v>
      </c>
      <c r="M114" s="2" t="s">
        <v>100</v>
      </c>
      <c r="N114" s="2" t="s">
        <v>451</v>
      </c>
      <c r="O114" s="2" t="s">
        <v>115</v>
      </c>
      <c r="P114" s="2" t="str">
        <f>"2170561833                    "</f>
        <v xml:space="preserve">2170561833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6.43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1</v>
      </c>
      <c r="BJ114" s="2">
        <v>3</v>
      </c>
      <c r="BK114" s="2">
        <v>3</v>
      </c>
      <c r="BL114" s="2">
        <v>62.59</v>
      </c>
      <c r="BM114" s="2">
        <v>8.76</v>
      </c>
      <c r="BN114" s="2">
        <v>71.349999999999994</v>
      </c>
      <c r="BO114" s="2">
        <v>71.349999999999994</v>
      </c>
      <c r="BP114" s="2"/>
      <c r="BQ114" s="2" t="s">
        <v>452</v>
      </c>
      <c r="BR114" s="2" t="s">
        <v>123</v>
      </c>
      <c r="BS114" s="3">
        <v>42837</v>
      </c>
      <c r="BT114" s="4">
        <v>0.34722222222222227</v>
      </c>
      <c r="BU114" s="2" t="s">
        <v>453</v>
      </c>
      <c r="BV114" s="2" t="s">
        <v>111</v>
      </c>
      <c r="BW114" s="2"/>
      <c r="BX114" s="2"/>
      <c r="BY114" s="2">
        <v>14868.67</v>
      </c>
      <c r="BZ114" s="2" t="s">
        <v>27</v>
      </c>
      <c r="CA114" s="2" t="s">
        <v>154</v>
      </c>
      <c r="CB114" s="2"/>
      <c r="CC114" s="2" t="s">
        <v>100</v>
      </c>
      <c r="CD114" s="2">
        <v>6001</v>
      </c>
      <c r="CE114" s="2" t="s">
        <v>144</v>
      </c>
      <c r="CF114" s="5">
        <v>42837</v>
      </c>
      <c r="CG114" s="2"/>
      <c r="CH114" s="2"/>
      <c r="CI114" s="2">
        <v>1</v>
      </c>
      <c r="CJ114" s="2">
        <v>1</v>
      </c>
      <c r="CK114" s="2">
        <v>21</v>
      </c>
      <c r="CL114" s="2" t="s">
        <v>86</v>
      </c>
      <c r="CM114" s="2"/>
    </row>
    <row r="115" spans="1:91">
      <c r="A115" s="2" t="s">
        <v>71</v>
      </c>
      <c r="B115" s="2" t="s">
        <v>72</v>
      </c>
      <c r="C115" s="2" t="s">
        <v>73</v>
      </c>
      <c r="D115" s="2"/>
      <c r="E115" s="2" t="str">
        <f>"FES1162541639"</f>
        <v>FES1162541639</v>
      </c>
      <c r="F115" s="3">
        <v>42830</v>
      </c>
      <c r="G115" s="2">
        <v>201710</v>
      </c>
      <c r="H115" s="2" t="s">
        <v>74</v>
      </c>
      <c r="I115" s="2" t="s">
        <v>75</v>
      </c>
      <c r="J115" s="2" t="s">
        <v>76</v>
      </c>
      <c r="K115" s="2" t="s">
        <v>77</v>
      </c>
      <c r="L115" s="2" t="s">
        <v>166</v>
      </c>
      <c r="M115" s="2" t="s">
        <v>167</v>
      </c>
      <c r="N115" s="2" t="s">
        <v>168</v>
      </c>
      <c r="O115" s="2" t="s">
        <v>115</v>
      </c>
      <c r="P115" s="2" t="str">
        <f>"2170558323                    "</f>
        <v xml:space="preserve">2170558323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3.35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2.2000000000000002</v>
      </c>
      <c r="BJ115" s="2">
        <v>3.3</v>
      </c>
      <c r="BK115" s="2">
        <v>4</v>
      </c>
      <c r="BL115" s="2">
        <v>32.6</v>
      </c>
      <c r="BM115" s="2">
        <v>4.5599999999999996</v>
      </c>
      <c r="BN115" s="2">
        <v>37.159999999999997</v>
      </c>
      <c r="BO115" s="2">
        <v>37.159999999999997</v>
      </c>
      <c r="BP115" s="2"/>
      <c r="BQ115" s="2" t="s">
        <v>169</v>
      </c>
      <c r="BR115" s="2" t="s">
        <v>123</v>
      </c>
      <c r="BS115" s="3">
        <v>42831</v>
      </c>
      <c r="BT115" s="4">
        <v>0.38194444444444442</v>
      </c>
      <c r="BU115" s="2" t="s">
        <v>170</v>
      </c>
      <c r="BV115" s="2" t="s">
        <v>111</v>
      </c>
      <c r="BW115" s="2"/>
      <c r="BX115" s="2"/>
      <c r="BY115" s="2">
        <v>16478.21</v>
      </c>
      <c r="BZ115" s="2" t="s">
        <v>27</v>
      </c>
      <c r="CA115" s="2"/>
      <c r="CB115" s="2"/>
      <c r="CC115" s="2" t="s">
        <v>167</v>
      </c>
      <c r="CD115" s="2">
        <v>2094</v>
      </c>
      <c r="CE115" s="2" t="s">
        <v>89</v>
      </c>
      <c r="CF115" s="5">
        <v>42832</v>
      </c>
      <c r="CG115" s="2"/>
      <c r="CH115" s="2"/>
      <c r="CI115" s="2">
        <v>1</v>
      </c>
      <c r="CJ115" s="2">
        <v>1</v>
      </c>
      <c r="CK115" s="2">
        <v>22</v>
      </c>
      <c r="CL115" s="2" t="s">
        <v>86</v>
      </c>
      <c r="CM115" s="2"/>
    </row>
    <row r="116" spans="1:91">
      <c r="A116" s="2" t="s">
        <v>71</v>
      </c>
      <c r="B116" s="2" t="s">
        <v>72</v>
      </c>
      <c r="C116" s="2" t="s">
        <v>73</v>
      </c>
      <c r="D116" s="2"/>
      <c r="E116" s="2" t="str">
        <f>"FES1162543351"</f>
        <v>FES1162543351</v>
      </c>
      <c r="F116" s="3">
        <v>42837</v>
      </c>
      <c r="G116" s="2">
        <v>201710</v>
      </c>
      <c r="H116" s="2" t="s">
        <v>74</v>
      </c>
      <c r="I116" s="2" t="s">
        <v>75</v>
      </c>
      <c r="J116" s="2" t="s">
        <v>76</v>
      </c>
      <c r="K116" s="2" t="s">
        <v>77</v>
      </c>
      <c r="L116" s="2" t="s">
        <v>112</v>
      </c>
      <c r="M116" s="2" t="s">
        <v>113</v>
      </c>
      <c r="N116" s="2" t="s">
        <v>454</v>
      </c>
      <c r="O116" s="2" t="s">
        <v>115</v>
      </c>
      <c r="P116" s="2" t="str">
        <f>"2170562025                    "</f>
        <v xml:space="preserve">2170562025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6.43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3</v>
      </c>
      <c r="BJ116" s="2">
        <v>2.2000000000000002</v>
      </c>
      <c r="BK116" s="2">
        <v>3</v>
      </c>
      <c r="BL116" s="2">
        <v>62.59</v>
      </c>
      <c r="BM116" s="2">
        <v>8.76</v>
      </c>
      <c r="BN116" s="2">
        <v>71.349999999999994</v>
      </c>
      <c r="BO116" s="2">
        <v>71.349999999999994</v>
      </c>
      <c r="BP116" s="2"/>
      <c r="BQ116" s="2" t="s">
        <v>455</v>
      </c>
      <c r="BR116" s="2" t="s">
        <v>84</v>
      </c>
      <c r="BS116" s="3">
        <v>42838</v>
      </c>
      <c r="BT116" s="4">
        <v>0.39583333333333331</v>
      </c>
      <c r="BU116" s="2" t="s">
        <v>456</v>
      </c>
      <c r="BV116" s="2" t="s">
        <v>111</v>
      </c>
      <c r="BW116" s="2"/>
      <c r="BX116" s="2"/>
      <c r="BY116" s="2">
        <v>10788.34</v>
      </c>
      <c r="BZ116" s="2" t="s">
        <v>27</v>
      </c>
      <c r="CA116" s="2" t="s">
        <v>159</v>
      </c>
      <c r="CB116" s="2"/>
      <c r="CC116" s="2" t="s">
        <v>113</v>
      </c>
      <c r="CD116" s="2">
        <v>3201</v>
      </c>
      <c r="CE116" s="2" t="s">
        <v>118</v>
      </c>
      <c r="CF116" s="5">
        <v>42843</v>
      </c>
      <c r="CG116" s="2"/>
      <c r="CH116" s="2"/>
      <c r="CI116" s="2">
        <v>1</v>
      </c>
      <c r="CJ116" s="2">
        <v>1</v>
      </c>
      <c r="CK116" s="2">
        <v>21</v>
      </c>
      <c r="CL116" s="2" t="s">
        <v>86</v>
      </c>
      <c r="CM116" s="2"/>
    </row>
    <row r="117" spans="1:91">
      <c r="A117" s="2" t="s">
        <v>71</v>
      </c>
      <c r="B117" s="2" t="s">
        <v>72</v>
      </c>
      <c r="C117" s="2" t="s">
        <v>73</v>
      </c>
      <c r="D117" s="2"/>
      <c r="E117" s="2" t="str">
        <f>"FES1162542137"</f>
        <v>FES1162542137</v>
      </c>
      <c r="F117" s="3">
        <v>42831</v>
      </c>
      <c r="G117" s="2">
        <v>201710</v>
      </c>
      <c r="H117" s="2" t="s">
        <v>74</v>
      </c>
      <c r="I117" s="2" t="s">
        <v>75</v>
      </c>
      <c r="J117" s="2" t="s">
        <v>76</v>
      </c>
      <c r="K117" s="2" t="s">
        <v>77</v>
      </c>
      <c r="L117" s="2" t="s">
        <v>180</v>
      </c>
      <c r="M117" s="2" t="s">
        <v>181</v>
      </c>
      <c r="N117" s="2" t="s">
        <v>457</v>
      </c>
      <c r="O117" s="2" t="s">
        <v>115</v>
      </c>
      <c r="P117" s="2" t="str">
        <f>"2170561040                    "</f>
        <v xml:space="preserve">2170561040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4.29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1</v>
      </c>
      <c r="BJ117" s="2">
        <v>0.2</v>
      </c>
      <c r="BK117" s="2">
        <v>1</v>
      </c>
      <c r="BL117" s="2">
        <v>41.73</v>
      </c>
      <c r="BM117" s="2">
        <v>5.84</v>
      </c>
      <c r="BN117" s="2">
        <v>47.57</v>
      </c>
      <c r="BO117" s="2">
        <v>47.57</v>
      </c>
      <c r="BP117" s="2"/>
      <c r="BQ117" s="2" t="s">
        <v>458</v>
      </c>
      <c r="BR117" s="2" t="s">
        <v>123</v>
      </c>
      <c r="BS117" s="3">
        <v>42832</v>
      </c>
      <c r="BT117" s="4">
        <v>0.4375</v>
      </c>
      <c r="BU117" s="2" t="s">
        <v>459</v>
      </c>
      <c r="BV117" s="2" t="s">
        <v>111</v>
      </c>
      <c r="BW117" s="2"/>
      <c r="BX117" s="2"/>
      <c r="BY117" s="2">
        <v>1200</v>
      </c>
      <c r="BZ117" s="2" t="s">
        <v>27</v>
      </c>
      <c r="CA117" s="2" t="s">
        <v>159</v>
      </c>
      <c r="CB117" s="2"/>
      <c r="CC117" s="2" t="s">
        <v>181</v>
      </c>
      <c r="CD117" s="2">
        <v>4001</v>
      </c>
      <c r="CE117" s="2" t="s">
        <v>144</v>
      </c>
      <c r="CF117" s="5">
        <v>42835</v>
      </c>
      <c r="CG117" s="2"/>
      <c r="CH117" s="2"/>
      <c r="CI117" s="2">
        <v>1</v>
      </c>
      <c r="CJ117" s="2">
        <v>1</v>
      </c>
      <c r="CK117" s="2">
        <v>21</v>
      </c>
      <c r="CL117" s="2" t="s">
        <v>86</v>
      </c>
      <c r="CM117" s="2"/>
    </row>
    <row r="118" spans="1:91">
      <c r="A118" s="2" t="s">
        <v>71</v>
      </c>
      <c r="B118" s="2" t="s">
        <v>72</v>
      </c>
      <c r="C118" s="2" t="s">
        <v>73</v>
      </c>
      <c r="D118" s="2"/>
      <c r="E118" s="2" t="str">
        <f>"FES1162541472"</f>
        <v>FES1162541472</v>
      </c>
      <c r="F118" s="3">
        <v>42829</v>
      </c>
      <c r="G118" s="2">
        <v>201710</v>
      </c>
      <c r="H118" s="2" t="s">
        <v>74</v>
      </c>
      <c r="I118" s="2" t="s">
        <v>75</v>
      </c>
      <c r="J118" s="2" t="s">
        <v>76</v>
      </c>
      <c r="K118" s="2" t="s">
        <v>77</v>
      </c>
      <c r="L118" s="2" t="s">
        <v>176</v>
      </c>
      <c r="M118" s="2" t="s">
        <v>176</v>
      </c>
      <c r="N118" s="2" t="s">
        <v>460</v>
      </c>
      <c r="O118" s="2" t="s">
        <v>115</v>
      </c>
      <c r="P118" s="2" t="str">
        <f>"2170560552                    "</f>
        <v xml:space="preserve">2170560552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4.42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1</v>
      </c>
      <c r="BJ118" s="2">
        <v>0.2</v>
      </c>
      <c r="BK118" s="2">
        <v>1</v>
      </c>
      <c r="BL118" s="2">
        <v>41.86</v>
      </c>
      <c r="BM118" s="2">
        <v>5.86</v>
      </c>
      <c r="BN118" s="2">
        <v>47.72</v>
      </c>
      <c r="BO118" s="2">
        <v>47.72</v>
      </c>
      <c r="BP118" s="2"/>
      <c r="BQ118" s="2" t="s">
        <v>461</v>
      </c>
      <c r="BR118" s="2" t="s">
        <v>123</v>
      </c>
      <c r="BS118" s="3">
        <v>42830</v>
      </c>
      <c r="BT118" s="4">
        <v>0.51041666666666663</v>
      </c>
      <c r="BU118" s="2" t="s">
        <v>462</v>
      </c>
      <c r="BV118" s="2" t="s">
        <v>111</v>
      </c>
      <c r="BW118" s="2"/>
      <c r="BX118" s="2"/>
      <c r="BY118" s="2">
        <v>1200</v>
      </c>
      <c r="BZ118" s="2" t="s">
        <v>27</v>
      </c>
      <c r="CA118" s="2"/>
      <c r="CB118" s="2"/>
      <c r="CC118" s="2" t="s">
        <v>176</v>
      </c>
      <c r="CD118" s="2">
        <v>7646</v>
      </c>
      <c r="CE118" s="2" t="s">
        <v>118</v>
      </c>
      <c r="CF118" s="5">
        <v>42831</v>
      </c>
      <c r="CG118" s="2"/>
      <c r="CH118" s="2"/>
      <c r="CI118" s="2">
        <v>1</v>
      </c>
      <c r="CJ118" s="2">
        <v>1</v>
      </c>
      <c r="CK118" s="2">
        <v>21</v>
      </c>
      <c r="CL118" s="2" t="s">
        <v>86</v>
      </c>
      <c r="CM118" s="2"/>
    </row>
    <row r="119" spans="1:91">
      <c r="A119" s="2" t="s">
        <v>71</v>
      </c>
      <c r="B119" s="2" t="s">
        <v>72</v>
      </c>
      <c r="C119" s="2" t="s">
        <v>73</v>
      </c>
      <c r="D119" s="2"/>
      <c r="E119" s="2" t="str">
        <f>"FES1162542870"</f>
        <v>FES1162542870</v>
      </c>
      <c r="F119" s="3">
        <v>42836</v>
      </c>
      <c r="G119" s="2">
        <v>201710</v>
      </c>
      <c r="H119" s="2" t="s">
        <v>74</v>
      </c>
      <c r="I119" s="2" t="s">
        <v>75</v>
      </c>
      <c r="J119" s="2" t="s">
        <v>76</v>
      </c>
      <c r="K119" s="2" t="s">
        <v>77</v>
      </c>
      <c r="L119" s="2" t="s">
        <v>160</v>
      </c>
      <c r="M119" s="2" t="s">
        <v>161</v>
      </c>
      <c r="N119" s="2" t="s">
        <v>463</v>
      </c>
      <c r="O119" s="2" t="s">
        <v>115</v>
      </c>
      <c r="P119" s="2" t="str">
        <f>"2170561209                    "</f>
        <v xml:space="preserve">2170561209 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4.29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1.4</v>
      </c>
      <c r="BJ119" s="2">
        <v>1</v>
      </c>
      <c r="BK119" s="2">
        <v>1.5</v>
      </c>
      <c r="BL119" s="2">
        <v>41.73</v>
      </c>
      <c r="BM119" s="2">
        <v>5.84</v>
      </c>
      <c r="BN119" s="2">
        <v>47.57</v>
      </c>
      <c r="BO119" s="2">
        <v>47.57</v>
      </c>
      <c r="BP119" s="2"/>
      <c r="BQ119" s="2" t="s">
        <v>129</v>
      </c>
      <c r="BR119" s="2" t="s">
        <v>123</v>
      </c>
      <c r="BS119" s="3">
        <v>42837</v>
      </c>
      <c r="BT119" s="4">
        <v>0.41666666666666669</v>
      </c>
      <c r="BU119" s="2" t="s">
        <v>464</v>
      </c>
      <c r="BV119" s="2" t="s">
        <v>111</v>
      </c>
      <c r="BW119" s="2"/>
      <c r="BX119" s="2"/>
      <c r="BY119" s="2">
        <v>5052.1000000000004</v>
      </c>
      <c r="BZ119" s="2" t="s">
        <v>27</v>
      </c>
      <c r="CA119" s="2"/>
      <c r="CB119" s="2"/>
      <c r="CC119" s="2" t="s">
        <v>161</v>
      </c>
      <c r="CD119" s="2">
        <v>5201</v>
      </c>
      <c r="CE119" s="2" t="s">
        <v>287</v>
      </c>
      <c r="CF119" s="5">
        <v>42838</v>
      </c>
      <c r="CG119" s="2"/>
      <c r="CH119" s="2"/>
      <c r="CI119" s="2">
        <v>1</v>
      </c>
      <c r="CJ119" s="2">
        <v>1</v>
      </c>
      <c r="CK119" s="2">
        <v>21</v>
      </c>
      <c r="CL119" s="2" t="s">
        <v>86</v>
      </c>
      <c r="CM119" s="2"/>
    </row>
    <row r="120" spans="1:91">
      <c r="A120" s="2" t="s">
        <v>71</v>
      </c>
      <c r="B120" s="2" t="s">
        <v>72</v>
      </c>
      <c r="C120" s="2" t="s">
        <v>73</v>
      </c>
      <c r="D120" s="2"/>
      <c r="E120" s="2" t="str">
        <f>"FES1162541864"</f>
        <v>FES1162541864</v>
      </c>
      <c r="F120" s="3">
        <v>42830</v>
      </c>
      <c r="G120" s="2">
        <v>201710</v>
      </c>
      <c r="H120" s="2" t="s">
        <v>74</v>
      </c>
      <c r="I120" s="2" t="s">
        <v>75</v>
      </c>
      <c r="J120" s="2" t="s">
        <v>76</v>
      </c>
      <c r="K120" s="2" t="s">
        <v>77</v>
      </c>
      <c r="L120" s="2" t="s">
        <v>369</v>
      </c>
      <c r="M120" s="2" t="s">
        <v>370</v>
      </c>
      <c r="N120" s="2" t="s">
        <v>465</v>
      </c>
      <c r="O120" s="2" t="s">
        <v>115</v>
      </c>
      <c r="P120" s="2" t="str">
        <f>"2170560872                    "</f>
        <v xml:space="preserve">2170560872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8.31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1</v>
      </c>
      <c r="BJ120" s="2">
        <v>0.2</v>
      </c>
      <c r="BK120" s="2">
        <v>1</v>
      </c>
      <c r="BL120" s="2">
        <v>80.849999999999994</v>
      </c>
      <c r="BM120" s="2">
        <v>11.32</v>
      </c>
      <c r="BN120" s="2">
        <v>92.17</v>
      </c>
      <c r="BO120" s="2">
        <v>92.17</v>
      </c>
      <c r="BP120" s="2"/>
      <c r="BQ120" s="2" t="s">
        <v>466</v>
      </c>
      <c r="BR120" s="2" t="s">
        <v>123</v>
      </c>
      <c r="BS120" s="3">
        <v>42831</v>
      </c>
      <c r="BT120" s="4">
        <v>0.4375</v>
      </c>
      <c r="BU120" s="2" t="s">
        <v>467</v>
      </c>
      <c r="BV120" s="2" t="s">
        <v>111</v>
      </c>
      <c r="BW120" s="2"/>
      <c r="BX120" s="2"/>
      <c r="BY120" s="2">
        <v>1200</v>
      </c>
      <c r="BZ120" s="2" t="s">
        <v>27</v>
      </c>
      <c r="CA120" s="2"/>
      <c r="CB120" s="2"/>
      <c r="CC120" s="2" t="s">
        <v>370</v>
      </c>
      <c r="CD120" s="2">
        <v>4252</v>
      </c>
      <c r="CE120" s="2" t="s">
        <v>118</v>
      </c>
      <c r="CF120" s="5">
        <v>42833</v>
      </c>
      <c r="CG120" s="2"/>
      <c r="CH120" s="2"/>
      <c r="CI120" s="2">
        <v>1</v>
      </c>
      <c r="CJ120" s="2">
        <v>1</v>
      </c>
      <c r="CK120" s="2">
        <v>23</v>
      </c>
      <c r="CL120" s="2" t="s">
        <v>86</v>
      </c>
      <c r="CM120" s="2"/>
    </row>
    <row r="121" spans="1:91">
      <c r="A121" s="2" t="s">
        <v>71</v>
      </c>
      <c r="B121" s="2" t="s">
        <v>72</v>
      </c>
      <c r="C121" s="2" t="s">
        <v>73</v>
      </c>
      <c r="D121" s="2"/>
      <c r="E121" s="2" t="str">
        <f>"FES1162541342"</f>
        <v>FES1162541342</v>
      </c>
      <c r="F121" s="3">
        <v>42829</v>
      </c>
      <c r="G121" s="2">
        <v>201710</v>
      </c>
      <c r="H121" s="2" t="s">
        <v>74</v>
      </c>
      <c r="I121" s="2" t="s">
        <v>75</v>
      </c>
      <c r="J121" s="2" t="s">
        <v>76</v>
      </c>
      <c r="K121" s="2" t="s">
        <v>77</v>
      </c>
      <c r="L121" s="2" t="s">
        <v>131</v>
      </c>
      <c r="M121" s="2" t="s">
        <v>132</v>
      </c>
      <c r="N121" s="2" t="s">
        <v>384</v>
      </c>
      <c r="O121" s="2" t="s">
        <v>115</v>
      </c>
      <c r="P121" s="2" t="str">
        <f>"2170560414                    "</f>
        <v xml:space="preserve">2170560414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16.579999999999998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7.3</v>
      </c>
      <c r="BJ121" s="2">
        <v>3.3</v>
      </c>
      <c r="BK121" s="2">
        <v>7.5</v>
      </c>
      <c r="BL121" s="2">
        <v>156.97999999999999</v>
      </c>
      <c r="BM121" s="2">
        <v>21.98</v>
      </c>
      <c r="BN121" s="2">
        <v>178.96</v>
      </c>
      <c r="BO121" s="2">
        <v>178.96</v>
      </c>
      <c r="BP121" s="2"/>
      <c r="BQ121" s="2" t="s">
        <v>468</v>
      </c>
      <c r="BR121" s="2" t="s">
        <v>123</v>
      </c>
      <c r="BS121" s="3">
        <v>42830</v>
      </c>
      <c r="BT121" s="4">
        <v>0.41666666666666669</v>
      </c>
      <c r="BU121" s="2" t="s">
        <v>469</v>
      </c>
      <c r="BV121" s="2" t="s">
        <v>111</v>
      </c>
      <c r="BW121" s="2"/>
      <c r="BX121" s="2"/>
      <c r="BY121" s="2">
        <v>16270.99</v>
      </c>
      <c r="BZ121" s="2" t="s">
        <v>27</v>
      </c>
      <c r="CA121" s="2"/>
      <c r="CB121" s="2"/>
      <c r="CC121" s="2" t="s">
        <v>132</v>
      </c>
      <c r="CD121" s="2">
        <v>7405</v>
      </c>
      <c r="CE121" s="2" t="s">
        <v>135</v>
      </c>
      <c r="CF121" s="5">
        <v>42831</v>
      </c>
      <c r="CG121" s="2"/>
      <c r="CH121" s="2"/>
      <c r="CI121" s="2">
        <v>1</v>
      </c>
      <c r="CJ121" s="2">
        <v>1</v>
      </c>
      <c r="CK121" s="2">
        <v>21</v>
      </c>
      <c r="CL121" s="2" t="s">
        <v>86</v>
      </c>
      <c r="CM121" s="2"/>
    </row>
    <row r="122" spans="1:91">
      <c r="A122" s="2" t="s">
        <v>71</v>
      </c>
      <c r="B122" s="2" t="s">
        <v>72</v>
      </c>
      <c r="C122" s="2" t="s">
        <v>73</v>
      </c>
      <c r="D122" s="2"/>
      <c r="E122" s="2" t="str">
        <f>"FES1162543329"</f>
        <v>FES1162543329</v>
      </c>
      <c r="F122" s="3">
        <v>42837</v>
      </c>
      <c r="G122" s="2">
        <v>201710</v>
      </c>
      <c r="H122" s="2" t="s">
        <v>74</v>
      </c>
      <c r="I122" s="2" t="s">
        <v>75</v>
      </c>
      <c r="J122" s="2" t="s">
        <v>76</v>
      </c>
      <c r="K122" s="2" t="s">
        <v>77</v>
      </c>
      <c r="L122" s="2" t="s">
        <v>260</v>
      </c>
      <c r="M122" s="2" t="s">
        <v>261</v>
      </c>
      <c r="N122" s="2" t="s">
        <v>470</v>
      </c>
      <c r="O122" s="2" t="s">
        <v>115</v>
      </c>
      <c r="P122" s="2" t="str">
        <f>"217062000                     "</f>
        <v xml:space="preserve">217062000 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3.35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1</v>
      </c>
      <c r="BJ122" s="2">
        <v>0.2</v>
      </c>
      <c r="BK122" s="2">
        <v>1</v>
      </c>
      <c r="BL122" s="2">
        <v>32.6</v>
      </c>
      <c r="BM122" s="2">
        <v>4.5599999999999996</v>
      </c>
      <c r="BN122" s="2">
        <v>37.159999999999997</v>
      </c>
      <c r="BO122" s="2">
        <v>37.159999999999997</v>
      </c>
      <c r="BP122" s="2"/>
      <c r="BQ122" s="2" t="s">
        <v>471</v>
      </c>
      <c r="BR122" s="2" t="s">
        <v>84</v>
      </c>
      <c r="BS122" s="3">
        <v>42838</v>
      </c>
      <c r="BT122" s="4">
        <v>0.42569444444444443</v>
      </c>
      <c r="BU122" s="2" t="s">
        <v>472</v>
      </c>
      <c r="BV122" s="2" t="s">
        <v>111</v>
      </c>
      <c r="BW122" s="2"/>
      <c r="BX122" s="2"/>
      <c r="BY122" s="2">
        <v>1200</v>
      </c>
      <c r="BZ122" s="2" t="s">
        <v>27</v>
      </c>
      <c r="CA122" s="2" t="s">
        <v>473</v>
      </c>
      <c r="CB122" s="2"/>
      <c r="CC122" s="2" t="s">
        <v>261</v>
      </c>
      <c r="CD122" s="2">
        <v>1449</v>
      </c>
      <c r="CE122" s="2" t="s">
        <v>118</v>
      </c>
      <c r="CF122" s="5">
        <v>42843</v>
      </c>
      <c r="CG122" s="2"/>
      <c r="CH122" s="2"/>
      <c r="CI122" s="2">
        <v>1</v>
      </c>
      <c r="CJ122" s="2">
        <v>1</v>
      </c>
      <c r="CK122" s="2">
        <v>22</v>
      </c>
      <c r="CL122" s="2" t="s">
        <v>86</v>
      </c>
      <c r="CM122" s="2"/>
    </row>
    <row r="123" spans="1:91">
      <c r="A123" s="2" t="s">
        <v>71</v>
      </c>
      <c r="B123" s="2" t="s">
        <v>72</v>
      </c>
      <c r="C123" s="2" t="s">
        <v>73</v>
      </c>
      <c r="D123" s="2"/>
      <c r="E123" s="2" t="str">
        <f>"FES1162541986"</f>
        <v>FES1162541986</v>
      </c>
      <c r="F123" s="3">
        <v>42831</v>
      </c>
      <c r="G123" s="2">
        <v>201710</v>
      </c>
      <c r="H123" s="2" t="s">
        <v>74</v>
      </c>
      <c r="I123" s="2" t="s">
        <v>75</v>
      </c>
      <c r="J123" s="2" t="s">
        <v>76</v>
      </c>
      <c r="K123" s="2" t="s">
        <v>77</v>
      </c>
      <c r="L123" s="2" t="s">
        <v>180</v>
      </c>
      <c r="M123" s="2" t="s">
        <v>181</v>
      </c>
      <c r="N123" s="2" t="s">
        <v>320</v>
      </c>
      <c r="O123" s="2" t="s">
        <v>115</v>
      </c>
      <c r="P123" s="2" t="str">
        <f>"2170558188                    "</f>
        <v xml:space="preserve">2170558188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4.29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0.2</v>
      </c>
      <c r="BK123" s="2">
        <v>1</v>
      </c>
      <c r="BL123" s="2">
        <v>41.73</v>
      </c>
      <c r="BM123" s="2">
        <v>5.84</v>
      </c>
      <c r="BN123" s="2">
        <v>47.57</v>
      </c>
      <c r="BO123" s="2">
        <v>47.57</v>
      </c>
      <c r="BP123" s="2"/>
      <c r="BQ123" s="2" t="s">
        <v>129</v>
      </c>
      <c r="BR123" s="2" t="s">
        <v>123</v>
      </c>
      <c r="BS123" s="3">
        <v>42832</v>
      </c>
      <c r="BT123" s="4">
        <v>0.43611111111111112</v>
      </c>
      <c r="BU123" s="2" t="s">
        <v>266</v>
      </c>
      <c r="BV123" s="2" t="s">
        <v>111</v>
      </c>
      <c r="BW123" s="2"/>
      <c r="BX123" s="2"/>
      <c r="BY123" s="2">
        <v>1200</v>
      </c>
      <c r="BZ123" s="2" t="s">
        <v>27</v>
      </c>
      <c r="CA123" s="2"/>
      <c r="CB123" s="2"/>
      <c r="CC123" s="2" t="s">
        <v>181</v>
      </c>
      <c r="CD123" s="2">
        <v>4051</v>
      </c>
      <c r="CE123" s="2" t="s">
        <v>144</v>
      </c>
      <c r="CF123" s="5">
        <v>42835</v>
      </c>
      <c r="CG123" s="2"/>
      <c r="CH123" s="2"/>
      <c r="CI123" s="2">
        <v>1</v>
      </c>
      <c r="CJ123" s="2">
        <v>1</v>
      </c>
      <c r="CK123" s="2">
        <v>21</v>
      </c>
      <c r="CL123" s="2" t="s">
        <v>86</v>
      </c>
      <c r="CM123" s="2"/>
    </row>
    <row r="124" spans="1:91">
      <c r="A124" s="2" t="s">
        <v>71</v>
      </c>
      <c r="B124" s="2" t="s">
        <v>72</v>
      </c>
      <c r="C124" s="2" t="s">
        <v>73</v>
      </c>
      <c r="D124" s="2"/>
      <c r="E124" s="2" t="str">
        <f>"FES1162541210"</f>
        <v>FES1162541210</v>
      </c>
      <c r="F124" s="3">
        <v>42829</v>
      </c>
      <c r="G124" s="2">
        <v>201710</v>
      </c>
      <c r="H124" s="2" t="s">
        <v>74</v>
      </c>
      <c r="I124" s="2" t="s">
        <v>75</v>
      </c>
      <c r="J124" s="2" t="s">
        <v>76</v>
      </c>
      <c r="K124" s="2" t="s">
        <v>77</v>
      </c>
      <c r="L124" s="2" t="s">
        <v>99</v>
      </c>
      <c r="M124" s="2" t="s">
        <v>100</v>
      </c>
      <c r="N124" s="2" t="s">
        <v>108</v>
      </c>
      <c r="O124" s="2" t="s">
        <v>115</v>
      </c>
      <c r="P124" s="2" t="str">
        <f>"2170556159                    "</f>
        <v xml:space="preserve">2170556159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9.9499999999999993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4.0999999999999996</v>
      </c>
      <c r="BJ124" s="2">
        <v>3.3</v>
      </c>
      <c r="BK124" s="2">
        <v>4.5</v>
      </c>
      <c r="BL124" s="2">
        <v>94.19</v>
      </c>
      <c r="BM124" s="2">
        <v>13.19</v>
      </c>
      <c r="BN124" s="2">
        <v>107.38</v>
      </c>
      <c r="BO124" s="2">
        <v>107.38</v>
      </c>
      <c r="BP124" s="2"/>
      <c r="BQ124" s="2" t="s">
        <v>109</v>
      </c>
      <c r="BR124" s="2" t="s">
        <v>123</v>
      </c>
      <c r="BS124" s="3">
        <v>42830</v>
      </c>
      <c r="BT124" s="4">
        <v>0.39583333333333331</v>
      </c>
      <c r="BU124" s="2" t="s">
        <v>110</v>
      </c>
      <c r="BV124" s="2" t="s">
        <v>111</v>
      </c>
      <c r="BW124" s="2"/>
      <c r="BX124" s="2"/>
      <c r="BY124" s="2">
        <v>16492.36</v>
      </c>
      <c r="BZ124" s="2" t="s">
        <v>27</v>
      </c>
      <c r="CA124" s="2" t="s">
        <v>106</v>
      </c>
      <c r="CB124" s="2"/>
      <c r="CC124" s="2" t="s">
        <v>100</v>
      </c>
      <c r="CD124" s="2">
        <v>6001</v>
      </c>
      <c r="CE124" s="2" t="s">
        <v>135</v>
      </c>
      <c r="CF124" s="5">
        <v>42830</v>
      </c>
      <c r="CG124" s="2"/>
      <c r="CH124" s="2"/>
      <c r="CI124" s="2">
        <v>1</v>
      </c>
      <c r="CJ124" s="2">
        <v>1</v>
      </c>
      <c r="CK124" s="2">
        <v>21</v>
      </c>
      <c r="CL124" s="2" t="s">
        <v>86</v>
      </c>
      <c r="CM124" s="2"/>
    </row>
    <row r="125" spans="1:91">
      <c r="A125" s="2" t="s">
        <v>71</v>
      </c>
      <c r="B125" s="2" t="s">
        <v>72</v>
      </c>
      <c r="C125" s="2" t="s">
        <v>73</v>
      </c>
      <c r="D125" s="2"/>
      <c r="E125" s="2" t="str">
        <f>"FES1162542965"</f>
        <v>FES1162542965</v>
      </c>
      <c r="F125" s="3">
        <v>42836</v>
      </c>
      <c r="G125" s="2">
        <v>201710</v>
      </c>
      <c r="H125" s="2" t="s">
        <v>74</v>
      </c>
      <c r="I125" s="2" t="s">
        <v>75</v>
      </c>
      <c r="J125" s="2" t="s">
        <v>76</v>
      </c>
      <c r="K125" s="2" t="s">
        <v>77</v>
      </c>
      <c r="L125" s="2" t="s">
        <v>474</v>
      </c>
      <c r="M125" s="2" t="s">
        <v>475</v>
      </c>
      <c r="N125" s="2" t="s">
        <v>476</v>
      </c>
      <c r="O125" s="2" t="s">
        <v>115</v>
      </c>
      <c r="P125" s="2" t="str">
        <f>"2170561756                    "</f>
        <v xml:space="preserve">2170561756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4.29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1</v>
      </c>
      <c r="BJ125" s="2">
        <v>1.3</v>
      </c>
      <c r="BK125" s="2">
        <v>1.5</v>
      </c>
      <c r="BL125" s="2">
        <v>41.73</v>
      </c>
      <c r="BM125" s="2">
        <v>5.84</v>
      </c>
      <c r="BN125" s="2">
        <v>47.57</v>
      </c>
      <c r="BO125" s="2">
        <v>47.57</v>
      </c>
      <c r="BP125" s="2"/>
      <c r="BQ125" s="2" t="s">
        <v>116</v>
      </c>
      <c r="BR125" s="2" t="s">
        <v>123</v>
      </c>
      <c r="BS125" s="3">
        <v>42837</v>
      </c>
      <c r="BT125" s="4">
        <v>0.51736111111111105</v>
      </c>
      <c r="BU125" s="2" t="s">
        <v>477</v>
      </c>
      <c r="BV125" s="2" t="s">
        <v>111</v>
      </c>
      <c r="BW125" s="2"/>
      <c r="BX125" s="2"/>
      <c r="BY125" s="2">
        <v>6591.24</v>
      </c>
      <c r="BZ125" s="2" t="s">
        <v>27</v>
      </c>
      <c r="CA125" s="2"/>
      <c r="CB125" s="2"/>
      <c r="CC125" s="2" t="s">
        <v>475</v>
      </c>
      <c r="CD125" s="2">
        <v>3280</v>
      </c>
      <c r="CE125" s="2" t="s">
        <v>144</v>
      </c>
      <c r="CF125" s="5">
        <v>42843</v>
      </c>
      <c r="CG125" s="2"/>
      <c r="CH125" s="2"/>
      <c r="CI125" s="2">
        <v>1</v>
      </c>
      <c r="CJ125" s="2">
        <v>1</v>
      </c>
      <c r="CK125" s="2">
        <v>21</v>
      </c>
      <c r="CL125" s="2" t="s">
        <v>86</v>
      </c>
      <c r="CM125" s="2"/>
    </row>
    <row r="126" spans="1:91">
      <c r="A126" s="2" t="s">
        <v>71</v>
      </c>
      <c r="B126" s="2" t="s">
        <v>72</v>
      </c>
      <c r="C126" s="2" t="s">
        <v>73</v>
      </c>
      <c r="D126" s="2"/>
      <c r="E126" s="2" t="str">
        <f>"FES1162541863"</f>
        <v>FES1162541863</v>
      </c>
      <c r="F126" s="3">
        <v>42830</v>
      </c>
      <c r="G126" s="2">
        <v>201710</v>
      </c>
      <c r="H126" s="2" t="s">
        <v>74</v>
      </c>
      <c r="I126" s="2" t="s">
        <v>75</v>
      </c>
      <c r="J126" s="2" t="s">
        <v>76</v>
      </c>
      <c r="K126" s="2" t="s">
        <v>77</v>
      </c>
      <c r="L126" s="2" t="s">
        <v>180</v>
      </c>
      <c r="M126" s="2" t="s">
        <v>181</v>
      </c>
      <c r="N126" s="2" t="s">
        <v>478</v>
      </c>
      <c r="O126" s="2" t="s">
        <v>115</v>
      </c>
      <c r="P126" s="2" t="str">
        <f>"2170560869                    "</f>
        <v xml:space="preserve">2170560869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4.29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1</v>
      </c>
      <c r="BJ126" s="2">
        <v>0.2</v>
      </c>
      <c r="BK126" s="2">
        <v>1</v>
      </c>
      <c r="BL126" s="2">
        <v>41.73</v>
      </c>
      <c r="BM126" s="2">
        <v>5.84</v>
      </c>
      <c r="BN126" s="2">
        <v>47.57</v>
      </c>
      <c r="BO126" s="2">
        <v>47.57</v>
      </c>
      <c r="BP126" s="2"/>
      <c r="BQ126" s="2" t="s">
        <v>129</v>
      </c>
      <c r="BR126" s="2" t="s">
        <v>123</v>
      </c>
      <c r="BS126" s="3">
        <v>42831</v>
      </c>
      <c r="BT126" s="4">
        <v>0.4375</v>
      </c>
      <c r="BU126" s="2" t="s">
        <v>479</v>
      </c>
      <c r="BV126" s="2" t="s">
        <v>111</v>
      </c>
      <c r="BW126" s="2"/>
      <c r="BX126" s="2"/>
      <c r="BY126" s="2">
        <v>1200</v>
      </c>
      <c r="BZ126" s="2" t="s">
        <v>27</v>
      </c>
      <c r="CA126" s="2" t="s">
        <v>480</v>
      </c>
      <c r="CB126" s="2"/>
      <c r="CC126" s="2" t="s">
        <v>181</v>
      </c>
      <c r="CD126" s="2">
        <v>4068</v>
      </c>
      <c r="CE126" s="2" t="s">
        <v>118</v>
      </c>
      <c r="CF126" s="5">
        <v>42832</v>
      </c>
      <c r="CG126" s="2"/>
      <c r="CH126" s="2"/>
      <c r="CI126" s="2">
        <v>1</v>
      </c>
      <c r="CJ126" s="2">
        <v>1</v>
      </c>
      <c r="CK126" s="2">
        <v>21</v>
      </c>
      <c r="CL126" s="2" t="s">
        <v>86</v>
      </c>
      <c r="CM126" s="2"/>
    </row>
    <row r="127" spans="1:91">
      <c r="A127" s="2" t="s">
        <v>71</v>
      </c>
      <c r="B127" s="2" t="s">
        <v>72</v>
      </c>
      <c r="C127" s="2" t="s">
        <v>73</v>
      </c>
      <c r="D127" s="2"/>
      <c r="E127" s="2" t="str">
        <f>"FES1162541514"</f>
        <v>FES1162541514</v>
      </c>
      <c r="F127" s="3">
        <v>42830</v>
      </c>
      <c r="G127" s="2">
        <v>201710</v>
      </c>
      <c r="H127" s="2" t="s">
        <v>74</v>
      </c>
      <c r="I127" s="2" t="s">
        <v>75</v>
      </c>
      <c r="J127" s="2" t="s">
        <v>76</v>
      </c>
      <c r="K127" s="2" t="s">
        <v>77</v>
      </c>
      <c r="L127" s="2" t="s">
        <v>99</v>
      </c>
      <c r="M127" s="2" t="s">
        <v>100</v>
      </c>
      <c r="N127" s="2" t="s">
        <v>481</v>
      </c>
      <c r="O127" s="2" t="s">
        <v>115</v>
      </c>
      <c r="P127" s="2" t="str">
        <f>"2170558354                    "</f>
        <v xml:space="preserve">2170558354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4.29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</v>
      </c>
      <c r="BJ127" s="2">
        <v>0.2</v>
      </c>
      <c r="BK127" s="2">
        <v>1</v>
      </c>
      <c r="BL127" s="2">
        <v>41.73</v>
      </c>
      <c r="BM127" s="2">
        <v>5.84</v>
      </c>
      <c r="BN127" s="2">
        <v>47.57</v>
      </c>
      <c r="BO127" s="2">
        <v>47.57</v>
      </c>
      <c r="BP127" s="2"/>
      <c r="BQ127" s="2" t="s">
        <v>482</v>
      </c>
      <c r="BR127" s="2" t="s">
        <v>123</v>
      </c>
      <c r="BS127" s="3">
        <v>42831</v>
      </c>
      <c r="BT127" s="4">
        <v>0.54097222222222219</v>
      </c>
      <c r="BU127" s="2" t="s">
        <v>483</v>
      </c>
      <c r="BV127" s="2" t="s">
        <v>86</v>
      </c>
      <c r="BW127" s="2" t="s">
        <v>484</v>
      </c>
      <c r="BX127" s="2" t="s">
        <v>485</v>
      </c>
      <c r="BY127" s="2">
        <v>1200</v>
      </c>
      <c r="BZ127" s="2" t="s">
        <v>27</v>
      </c>
      <c r="CA127" s="2" t="s">
        <v>159</v>
      </c>
      <c r="CB127" s="2"/>
      <c r="CC127" s="2" t="s">
        <v>100</v>
      </c>
      <c r="CD127" s="2">
        <v>6001</v>
      </c>
      <c r="CE127" s="2" t="s">
        <v>144</v>
      </c>
      <c r="CF127" s="5">
        <v>42832</v>
      </c>
      <c r="CG127" s="2"/>
      <c r="CH127" s="2"/>
      <c r="CI127" s="2">
        <v>1</v>
      </c>
      <c r="CJ127" s="2">
        <v>1</v>
      </c>
      <c r="CK127" s="2">
        <v>21</v>
      </c>
      <c r="CL127" s="2" t="s">
        <v>86</v>
      </c>
      <c r="CM127" s="2"/>
    </row>
    <row r="128" spans="1:91">
      <c r="A128" s="2" t="s">
        <v>71</v>
      </c>
      <c r="B128" s="2" t="s">
        <v>72</v>
      </c>
      <c r="C128" s="2" t="s">
        <v>73</v>
      </c>
      <c r="D128" s="2"/>
      <c r="E128" s="2" t="str">
        <f>"FES1162543346"</f>
        <v>FES1162543346</v>
      </c>
      <c r="F128" s="3">
        <v>42837</v>
      </c>
      <c r="G128" s="2">
        <v>201710</v>
      </c>
      <c r="H128" s="2" t="s">
        <v>74</v>
      </c>
      <c r="I128" s="2" t="s">
        <v>75</v>
      </c>
      <c r="J128" s="2" t="s">
        <v>76</v>
      </c>
      <c r="K128" s="2" t="s">
        <v>77</v>
      </c>
      <c r="L128" s="2" t="s">
        <v>166</v>
      </c>
      <c r="M128" s="2" t="s">
        <v>167</v>
      </c>
      <c r="N128" s="2" t="s">
        <v>486</v>
      </c>
      <c r="O128" s="2" t="s">
        <v>115</v>
      </c>
      <c r="P128" s="2" t="str">
        <f>"2170562023                    "</f>
        <v xml:space="preserve">2170562023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3.35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0.5</v>
      </c>
      <c r="BJ128" s="2">
        <v>1.4</v>
      </c>
      <c r="BK128" s="2">
        <v>2</v>
      </c>
      <c r="BL128" s="2">
        <v>32.6</v>
      </c>
      <c r="BM128" s="2">
        <v>4.5599999999999996</v>
      </c>
      <c r="BN128" s="2">
        <v>37.159999999999997</v>
      </c>
      <c r="BO128" s="2">
        <v>37.159999999999997</v>
      </c>
      <c r="BP128" s="2"/>
      <c r="BQ128" s="2" t="s">
        <v>487</v>
      </c>
      <c r="BR128" s="2" t="s">
        <v>84</v>
      </c>
      <c r="BS128" s="3">
        <v>42838</v>
      </c>
      <c r="BT128" s="4">
        <v>0.41666666666666669</v>
      </c>
      <c r="BU128" s="2" t="s">
        <v>290</v>
      </c>
      <c r="BV128" s="2" t="s">
        <v>111</v>
      </c>
      <c r="BW128" s="2"/>
      <c r="BX128" s="2"/>
      <c r="BY128" s="2">
        <v>7208.86</v>
      </c>
      <c r="BZ128" s="2" t="s">
        <v>27</v>
      </c>
      <c r="CA128" s="2"/>
      <c r="CB128" s="2"/>
      <c r="CC128" s="2" t="s">
        <v>167</v>
      </c>
      <c r="CD128" s="2">
        <v>2013</v>
      </c>
      <c r="CE128" s="2" t="s">
        <v>118</v>
      </c>
      <c r="CF128" s="5">
        <v>42843</v>
      </c>
      <c r="CG128" s="2"/>
      <c r="CH128" s="2"/>
      <c r="CI128" s="2">
        <v>1</v>
      </c>
      <c r="CJ128" s="2">
        <v>1</v>
      </c>
      <c r="CK128" s="2">
        <v>22</v>
      </c>
      <c r="CL128" s="2" t="s">
        <v>86</v>
      </c>
      <c r="CM128" s="2"/>
    </row>
    <row r="129" spans="1:91">
      <c r="A129" s="2" t="s">
        <v>71</v>
      </c>
      <c r="B129" s="2" t="s">
        <v>72</v>
      </c>
      <c r="C129" s="2" t="s">
        <v>73</v>
      </c>
      <c r="D129" s="2"/>
      <c r="E129" s="2" t="str">
        <f>"FES1162541903"</f>
        <v>FES1162541903</v>
      </c>
      <c r="F129" s="3">
        <v>42831</v>
      </c>
      <c r="G129" s="2">
        <v>201710</v>
      </c>
      <c r="H129" s="2" t="s">
        <v>74</v>
      </c>
      <c r="I129" s="2" t="s">
        <v>75</v>
      </c>
      <c r="J129" s="2" t="s">
        <v>76</v>
      </c>
      <c r="K129" s="2" t="s">
        <v>77</v>
      </c>
      <c r="L129" s="2" t="s">
        <v>74</v>
      </c>
      <c r="M129" s="2" t="s">
        <v>75</v>
      </c>
      <c r="N129" s="2" t="s">
        <v>488</v>
      </c>
      <c r="O129" s="2" t="s">
        <v>115</v>
      </c>
      <c r="P129" s="2" t="str">
        <f>"2170558693                    "</f>
        <v xml:space="preserve">2170558693 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3.35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1</v>
      </c>
      <c r="BJ129" s="2">
        <v>0.2</v>
      </c>
      <c r="BK129" s="2">
        <v>1</v>
      </c>
      <c r="BL129" s="2">
        <v>32.6</v>
      </c>
      <c r="BM129" s="2">
        <v>4.5599999999999996</v>
      </c>
      <c r="BN129" s="2">
        <v>37.159999999999997</v>
      </c>
      <c r="BO129" s="2">
        <v>37.159999999999997</v>
      </c>
      <c r="BP129" s="2"/>
      <c r="BQ129" s="2" t="s">
        <v>489</v>
      </c>
      <c r="BR129" s="2" t="s">
        <v>123</v>
      </c>
      <c r="BS129" s="3">
        <v>42832</v>
      </c>
      <c r="BT129" s="4">
        <v>0.41666666666666669</v>
      </c>
      <c r="BU129" s="2" t="s">
        <v>490</v>
      </c>
      <c r="BV129" s="2" t="s">
        <v>111</v>
      </c>
      <c r="BW129" s="2"/>
      <c r="BX129" s="2"/>
      <c r="BY129" s="2">
        <v>1200</v>
      </c>
      <c r="BZ129" s="2" t="s">
        <v>27</v>
      </c>
      <c r="CA129" s="2"/>
      <c r="CB129" s="2"/>
      <c r="CC129" s="2" t="s">
        <v>75</v>
      </c>
      <c r="CD129" s="2">
        <v>1645</v>
      </c>
      <c r="CE129" s="2" t="s">
        <v>118</v>
      </c>
      <c r="CF129" s="5">
        <v>42835</v>
      </c>
      <c r="CG129" s="2"/>
      <c r="CH129" s="2"/>
      <c r="CI129" s="2">
        <v>1</v>
      </c>
      <c r="CJ129" s="2">
        <v>1</v>
      </c>
      <c r="CK129" s="2">
        <v>22</v>
      </c>
      <c r="CL129" s="2" t="s">
        <v>86</v>
      </c>
      <c r="CM129" s="2"/>
    </row>
    <row r="130" spans="1:91">
      <c r="A130" s="2" t="s">
        <v>71</v>
      </c>
      <c r="B130" s="2" t="s">
        <v>72</v>
      </c>
      <c r="C130" s="2" t="s">
        <v>73</v>
      </c>
      <c r="D130" s="2"/>
      <c r="E130" s="2" t="str">
        <f>"FES1162541473"</f>
        <v>FES1162541473</v>
      </c>
      <c r="F130" s="3">
        <v>42829</v>
      </c>
      <c r="G130" s="2">
        <v>201710</v>
      </c>
      <c r="H130" s="2" t="s">
        <v>74</v>
      </c>
      <c r="I130" s="2" t="s">
        <v>75</v>
      </c>
      <c r="J130" s="2" t="s">
        <v>76</v>
      </c>
      <c r="K130" s="2" t="s">
        <v>77</v>
      </c>
      <c r="L130" s="2" t="s">
        <v>166</v>
      </c>
      <c r="M130" s="2" t="s">
        <v>167</v>
      </c>
      <c r="N130" s="2" t="s">
        <v>168</v>
      </c>
      <c r="O130" s="2" t="s">
        <v>115</v>
      </c>
      <c r="P130" s="2" t="str">
        <f>"2170560554                    "</f>
        <v xml:space="preserve">2170560554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3.45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1.2</v>
      </c>
      <c r="BJ130" s="2">
        <v>0.2</v>
      </c>
      <c r="BK130" s="2">
        <v>2</v>
      </c>
      <c r="BL130" s="2">
        <v>32.700000000000003</v>
      </c>
      <c r="BM130" s="2">
        <v>4.58</v>
      </c>
      <c r="BN130" s="2">
        <v>37.28</v>
      </c>
      <c r="BO130" s="2">
        <v>37.28</v>
      </c>
      <c r="BP130" s="2"/>
      <c r="BQ130" s="2" t="s">
        <v>169</v>
      </c>
      <c r="BR130" s="2" t="s">
        <v>123</v>
      </c>
      <c r="BS130" s="3">
        <v>42830</v>
      </c>
      <c r="BT130" s="4">
        <v>0.42777777777777781</v>
      </c>
      <c r="BU130" s="2" t="s">
        <v>198</v>
      </c>
      <c r="BV130" s="2" t="s">
        <v>111</v>
      </c>
      <c r="BW130" s="2"/>
      <c r="BX130" s="2"/>
      <c r="BY130" s="2">
        <v>1200</v>
      </c>
      <c r="BZ130" s="2" t="s">
        <v>27</v>
      </c>
      <c r="CA130" s="2" t="s">
        <v>171</v>
      </c>
      <c r="CB130" s="2"/>
      <c r="CC130" s="2" t="s">
        <v>167</v>
      </c>
      <c r="CD130" s="2">
        <v>2094</v>
      </c>
      <c r="CE130" s="2" t="s">
        <v>118</v>
      </c>
      <c r="CF130" s="5">
        <v>42830</v>
      </c>
      <c r="CG130" s="2"/>
      <c r="CH130" s="2"/>
      <c r="CI130" s="2">
        <v>1</v>
      </c>
      <c r="CJ130" s="2">
        <v>1</v>
      </c>
      <c r="CK130" s="2">
        <v>22</v>
      </c>
      <c r="CL130" s="2" t="s">
        <v>86</v>
      </c>
      <c r="CM130" s="2"/>
    </row>
    <row r="131" spans="1:91">
      <c r="A131" s="2" t="s">
        <v>71</v>
      </c>
      <c r="B131" s="2" t="s">
        <v>72</v>
      </c>
      <c r="C131" s="2" t="s">
        <v>73</v>
      </c>
      <c r="D131" s="2"/>
      <c r="E131" s="2" t="str">
        <f>"FES1162543059"</f>
        <v>FES1162543059</v>
      </c>
      <c r="F131" s="3">
        <v>42836</v>
      </c>
      <c r="G131" s="2">
        <v>201710</v>
      </c>
      <c r="H131" s="2" t="s">
        <v>74</v>
      </c>
      <c r="I131" s="2" t="s">
        <v>75</v>
      </c>
      <c r="J131" s="2" t="s">
        <v>76</v>
      </c>
      <c r="K131" s="2" t="s">
        <v>77</v>
      </c>
      <c r="L131" s="2" t="s">
        <v>99</v>
      </c>
      <c r="M131" s="2" t="s">
        <v>100</v>
      </c>
      <c r="N131" s="2" t="s">
        <v>351</v>
      </c>
      <c r="O131" s="2" t="s">
        <v>115</v>
      </c>
      <c r="P131" s="2" t="str">
        <f>"2170561844                    "</f>
        <v xml:space="preserve">2170561844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4.29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1</v>
      </c>
      <c r="BJ131" s="2">
        <v>0.2</v>
      </c>
      <c r="BK131" s="2">
        <v>1</v>
      </c>
      <c r="BL131" s="2">
        <v>41.73</v>
      </c>
      <c r="BM131" s="2">
        <v>5.84</v>
      </c>
      <c r="BN131" s="2">
        <v>47.57</v>
      </c>
      <c r="BO131" s="2">
        <v>47.57</v>
      </c>
      <c r="BP131" s="2"/>
      <c r="BQ131" s="2" t="s">
        <v>352</v>
      </c>
      <c r="BR131" s="2" t="s">
        <v>123</v>
      </c>
      <c r="BS131" s="3">
        <v>42837</v>
      </c>
      <c r="BT131" s="4">
        <v>0.42708333333333331</v>
      </c>
      <c r="BU131" s="2" t="s">
        <v>491</v>
      </c>
      <c r="BV131" s="2" t="s">
        <v>111</v>
      </c>
      <c r="BW131" s="2"/>
      <c r="BX131" s="2"/>
      <c r="BY131" s="2">
        <v>1200</v>
      </c>
      <c r="BZ131" s="2" t="s">
        <v>27</v>
      </c>
      <c r="CA131" s="2" t="s">
        <v>154</v>
      </c>
      <c r="CB131" s="2"/>
      <c r="CC131" s="2" t="s">
        <v>100</v>
      </c>
      <c r="CD131" s="2">
        <v>6001</v>
      </c>
      <c r="CE131" s="2" t="s">
        <v>144</v>
      </c>
      <c r="CF131" s="5">
        <v>42837</v>
      </c>
      <c r="CG131" s="2"/>
      <c r="CH131" s="2"/>
      <c r="CI131" s="2">
        <v>1</v>
      </c>
      <c r="CJ131" s="2">
        <v>1</v>
      </c>
      <c r="CK131" s="2">
        <v>21</v>
      </c>
      <c r="CL131" s="2" t="s">
        <v>86</v>
      </c>
      <c r="CM131" s="2"/>
    </row>
    <row r="132" spans="1:91">
      <c r="A132" s="2" t="s">
        <v>71</v>
      </c>
      <c r="B132" s="2" t="s">
        <v>72</v>
      </c>
      <c r="C132" s="2" t="s">
        <v>73</v>
      </c>
      <c r="D132" s="2"/>
      <c r="E132" s="2" t="str">
        <f>"FES1162541809"</f>
        <v>FES1162541809</v>
      </c>
      <c r="F132" s="3">
        <v>42830</v>
      </c>
      <c r="G132" s="2">
        <v>201710</v>
      </c>
      <c r="H132" s="2" t="s">
        <v>74</v>
      </c>
      <c r="I132" s="2" t="s">
        <v>75</v>
      </c>
      <c r="J132" s="2" t="s">
        <v>76</v>
      </c>
      <c r="K132" s="2" t="s">
        <v>77</v>
      </c>
      <c r="L132" s="2" t="s">
        <v>166</v>
      </c>
      <c r="M132" s="2" t="s">
        <v>167</v>
      </c>
      <c r="N132" s="2" t="s">
        <v>168</v>
      </c>
      <c r="O132" s="2" t="s">
        <v>115</v>
      </c>
      <c r="P132" s="2" t="str">
        <f>"2170560820                    "</f>
        <v xml:space="preserve">2170560820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3.35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1</v>
      </c>
      <c r="BJ132" s="2">
        <v>0.2</v>
      </c>
      <c r="BK132" s="2">
        <v>1</v>
      </c>
      <c r="BL132" s="2">
        <v>32.6</v>
      </c>
      <c r="BM132" s="2">
        <v>4.5599999999999996</v>
      </c>
      <c r="BN132" s="2">
        <v>37.159999999999997</v>
      </c>
      <c r="BO132" s="2">
        <v>37.159999999999997</v>
      </c>
      <c r="BP132" s="2"/>
      <c r="BQ132" s="2" t="s">
        <v>169</v>
      </c>
      <c r="BR132" s="2" t="s">
        <v>123</v>
      </c>
      <c r="BS132" s="3">
        <v>42831</v>
      </c>
      <c r="BT132" s="4">
        <v>0.38194444444444442</v>
      </c>
      <c r="BU132" s="2" t="s">
        <v>170</v>
      </c>
      <c r="BV132" s="2" t="s">
        <v>111</v>
      </c>
      <c r="BW132" s="2"/>
      <c r="BX132" s="2"/>
      <c r="BY132" s="2">
        <v>1200</v>
      </c>
      <c r="BZ132" s="2" t="s">
        <v>27</v>
      </c>
      <c r="CA132" s="2"/>
      <c r="CB132" s="2"/>
      <c r="CC132" s="2" t="s">
        <v>167</v>
      </c>
      <c r="CD132" s="2">
        <v>2094</v>
      </c>
      <c r="CE132" s="2" t="s">
        <v>118</v>
      </c>
      <c r="CF132" s="5">
        <v>42832</v>
      </c>
      <c r="CG132" s="2"/>
      <c r="CH132" s="2"/>
      <c r="CI132" s="2">
        <v>1</v>
      </c>
      <c r="CJ132" s="2">
        <v>1</v>
      </c>
      <c r="CK132" s="2">
        <v>22</v>
      </c>
      <c r="CL132" s="2" t="s">
        <v>86</v>
      </c>
      <c r="CM132" s="2"/>
    </row>
    <row r="133" spans="1:91">
      <c r="A133" s="2" t="s">
        <v>71</v>
      </c>
      <c r="B133" s="2" t="s">
        <v>72</v>
      </c>
      <c r="C133" s="2" t="s">
        <v>73</v>
      </c>
      <c r="D133" s="2"/>
      <c r="E133" s="2" t="str">
        <f>"FES1162541277"</f>
        <v>FES1162541277</v>
      </c>
      <c r="F133" s="3">
        <v>42829</v>
      </c>
      <c r="G133" s="2">
        <v>201710</v>
      </c>
      <c r="H133" s="2" t="s">
        <v>74</v>
      </c>
      <c r="I133" s="2" t="s">
        <v>75</v>
      </c>
      <c r="J133" s="2" t="s">
        <v>76</v>
      </c>
      <c r="K133" s="2" t="s">
        <v>77</v>
      </c>
      <c r="L133" s="2" t="s">
        <v>492</v>
      </c>
      <c r="M133" s="2" t="s">
        <v>493</v>
      </c>
      <c r="N133" s="2" t="s">
        <v>494</v>
      </c>
      <c r="O133" s="2" t="s">
        <v>115</v>
      </c>
      <c r="P133" s="2" t="str">
        <f>"2170560338                    "</f>
        <v xml:space="preserve">2170560338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15.48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3.9</v>
      </c>
      <c r="BJ133" s="2">
        <v>7</v>
      </c>
      <c r="BK133" s="2">
        <v>7</v>
      </c>
      <c r="BL133" s="2">
        <v>146.52000000000001</v>
      </c>
      <c r="BM133" s="2">
        <v>20.51</v>
      </c>
      <c r="BN133" s="2">
        <v>167.03</v>
      </c>
      <c r="BO133" s="2">
        <v>167.03</v>
      </c>
      <c r="BP133" s="2"/>
      <c r="BQ133" s="2" t="s">
        <v>129</v>
      </c>
      <c r="BR133" s="2" t="s">
        <v>123</v>
      </c>
      <c r="BS133" s="3">
        <v>42830</v>
      </c>
      <c r="BT133" s="4">
        <v>0.41666666666666669</v>
      </c>
      <c r="BU133" s="2" t="s">
        <v>495</v>
      </c>
      <c r="BV133" s="2" t="s">
        <v>111</v>
      </c>
      <c r="BW133" s="2"/>
      <c r="BX133" s="2"/>
      <c r="BY133" s="2">
        <v>34965.78</v>
      </c>
      <c r="BZ133" s="2" t="s">
        <v>27</v>
      </c>
      <c r="CA133" s="2" t="s">
        <v>159</v>
      </c>
      <c r="CB133" s="2"/>
      <c r="CC133" s="2" t="s">
        <v>493</v>
      </c>
      <c r="CD133" s="2">
        <v>7129</v>
      </c>
      <c r="CE133" s="2" t="s">
        <v>287</v>
      </c>
      <c r="CF133" s="5">
        <v>42831</v>
      </c>
      <c r="CG133" s="2"/>
      <c r="CH133" s="2"/>
      <c r="CI133" s="2">
        <v>1</v>
      </c>
      <c r="CJ133" s="2">
        <v>1</v>
      </c>
      <c r="CK133" s="2">
        <v>21</v>
      </c>
      <c r="CL133" s="2" t="s">
        <v>86</v>
      </c>
      <c r="CM133" s="2"/>
    </row>
    <row r="134" spans="1:91">
      <c r="A134" s="2" t="s">
        <v>71</v>
      </c>
      <c r="B134" s="2" t="s">
        <v>72</v>
      </c>
      <c r="C134" s="2" t="s">
        <v>73</v>
      </c>
      <c r="D134" s="2"/>
      <c r="E134" s="2" t="str">
        <f>"FES1162543310"</f>
        <v>FES1162543310</v>
      </c>
      <c r="F134" s="3">
        <v>42837</v>
      </c>
      <c r="G134" s="2">
        <v>201710</v>
      </c>
      <c r="H134" s="2" t="s">
        <v>74</v>
      </c>
      <c r="I134" s="2" t="s">
        <v>75</v>
      </c>
      <c r="J134" s="2" t="s">
        <v>76</v>
      </c>
      <c r="K134" s="2" t="s">
        <v>77</v>
      </c>
      <c r="L134" s="2" t="s">
        <v>496</v>
      </c>
      <c r="M134" s="2" t="s">
        <v>497</v>
      </c>
      <c r="N134" s="2" t="s">
        <v>498</v>
      </c>
      <c r="O134" s="2" t="s">
        <v>115</v>
      </c>
      <c r="P134" s="2" t="str">
        <f>"2170561416                    "</f>
        <v xml:space="preserve">2170561416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3.35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1</v>
      </c>
      <c r="BJ134" s="2">
        <v>0.2</v>
      </c>
      <c r="BK134" s="2">
        <v>1</v>
      </c>
      <c r="BL134" s="2">
        <v>32.6</v>
      </c>
      <c r="BM134" s="2">
        <v>4.5599999999999996</v>
      </c>
      <c r="BN134" s="2">
        <v>37.159999999999997</v>
      </c>
      <c r="BO134" s="2">
        <v>37.159999999999997</v>
      </c>
      <c r="BP134" s="2"/>
      <c r="BQ134" s="2" t="s">
        <v>122</v>
      </c>
      <c r="BR134" s="2" t="s">
        <v>84</v>
      </c>
      <c r="BS134" s="3">
        <v>42838</v>
      </c>
      <c r="BT134" s="4">
        <v>0.30555555555555552</v>
      </c>
      <c r="BU134" s="2" t="s">
        <v>499</v>
      </c>
      <c r="BV134" s="2" t="s">
        <v>111</v>
      </c>
      <c r="BW134" s="2"/>
      <c r="BX134" s="2"/>
      <c r="BY134" s="2">
        <v>1200</v>
      </c>
      <c r="BZ134" s="2" t="s">
        <v>27</v>
      </c>
      <c r="CA134" s="2"/>
      <c r="CB134" s="2"/>
      <c r="CC134" s="2" t="s">
        <v>497</v>
      </c>
      <c r="CD134" s="2">
        <v>1559</v>
      </c>
      <c r="CE134" s="2" t="s">
        <v>118</v>
      </c>
      <c r="CF134" s="5">
        <v>42843</v>
      </c>
      <c r="CG134" s="2"/>
      <c r="CH134" s="2"/>
      <c r="CI134" s="2">
        <v>1</v>
      </c>
      <c r="CJ134" s="2">
        <v>1</v>
      </c>
      <c r="CK134" s="2">
        <v>22</v>
      </c>
      <c r="CL134" s="2" t="s">
        <v>86</v>
      </c>
      <c r="CM134" s="2"/>
    </row>
    <row r="135" spans="1:91">
      <c r="A135" s="2" t="s">
        <v>71</v>
      </c>
      <c r="B135" s="2" t="s">
        <v>72</v>
      </c>
      <c r="C135" s="2" t="s">
        <v>73</v>
      </c>
      <c r="D135" s="2"/>
      <c r="E135" s="2" t="str">
        <f>"FES1162541957"</f>
        <v>FES1162541957</v>
      </c>
      <c r="F135" s="3">
        <v>42831</v>
      </c>
      <c r="G135" s="2">
        <v>201710</v>
      </c>
      <c r="H135" s="2" t="s">
        <v>74</v>
      </c>
      <c r="I135" s="2" t="s">
        <v>75</v>
      </c>
      <c r="J135" s="2" t="s">
        <v>76</v>
      </c>
      <c r="K135" s="2" t="s">
        <v>77</v>
      </c>
      <c r="L135" s="2" t="s">
        <v>396</v>
      </c>
      <c r="M135" s="2" t="s">
        <v>397</v>
      </c>
      <c r="N135" s="2" t="s">
        <v>500</v>
      </c>
      <c r="O135" s="2" t="s">
        <v>115</v>
      </c>
      <c r="P135" s="2" t="str">
        <f>"2170560951                    "</f>
        <v xml:space="preserve">2170560951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4.29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1</v>
      </c>
      <c r="BJ135" s="2">
        <v>0.2</v>
      </c>
      <c r="BK135" s="2">
        <v>1</v>
      </c>
      <c r="BL135" s="2">
        <v>41.73</v>
      </c>
      <c r="BM135" s="2">
        <v>5.84</v>
      </c>
      <c r="BN135" s="2">
        <v>47.57</v>
      </c>
      <c r="BO135" s="2">
        <v>47.57</v>
      </c>
      <c r="BP135" s="2"/>
      <c r="BQ135" s="2" t="s">
        <v>501</v>
      </c>
      <c r="BR135" s="2" t="s">
        <v>123</v>
      </c>
      <c r="BS135" s="3">
        <v>42832</v>
      </c>
      <c r="BT135" s="4">
        <v>0.54166666666666663</v>
      </c>
      <c r="BU135" s="2" t="s">
        <v>502</v>
      </c>
      <c r="BV135" s="2" t="s">
        <v>111</v>
      </c>
      <c r="BW135" s="2"/>
      <c r="BX135" s="2"/>
      <c r="BY135" s="2">
        <v>1200</v>
      </c>
      <c r="BZ135" s="2" t="s">
        <v>27</v>
      </c>
      <c r="CA135" s="2"/>
      <c r="CB135" s="2"/>
      <c r="CC135" s="2" t="s">
        <v>397</v>
      </c>
      <c r="CD135" s="2">
        <v>4302</v>
      </c>
      <c r="CE135" s="2" t="s">
        <v>144</v>
      </c>
      <c r="CF135" s="5">
        <v>42835</v>
      </c>
      <c r="CG135" s="2"/>
      <c r="CH135" s="2"/>
      <c r="CI135" s="2">
        <v>1</v>
      </c>
      <c r="CJ135" s="2">
        <v>1</v>
      </c>
      <c r="CK135" s="2">
        <v>21</v>
      </c>
      <c r="CL135" s="2" t="s">
        <v>86</v>
      </c>
      <c r="CM135" s="2"/>
    </row>
    <row r="136" spans="1:91">
      <c r="A136" s="2" t="s">
        <v>71</v>
      </c>
      <c r="B136" s="2" t="s">
        <v>72</v>
      </c>
      <c r="C136" s="2" t="s">
        <v>73</v>
      </c>
      <c r="D136" s="2"/>
      <c r="E136" s="2" t="str">
        <f>"FES1162541296"</f>
        <v>FES1162541296</v>
      </c>
      <c r="F136" s="3">
        <v>42829</v>
      </c>
      <c r="G136" s="2">
        <v>201710</v>
      </c>
      <c r="H136" s="2" t="s">
        <v>74</v>
      </c>
      <c r="I136" s="2" t="s">
        <v>75</v>
      </c>
      <c r="J136" s="2" t="s">
        <v>76</v>
      </c>
      <c r="K136" s="2" t="s">
        <v>77</v>
      </c>
      <c r="L136" s="2" t="s">
        <v>503</v>
      </c>
      <c r="M136" s="2" t="s">
        <v>504</v>
      </c>
      <c r="N136" s="2" t="s">
        <v>505</v>
      </c>
      <c r="O136" s="2" t="s">
        <v>115</v>
      </c>
      <c r="P136" s="2" t="str">
        <f>"2170560148                    "</f>
        <v xml:space="preserve">2170560148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3.45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6</v>
      </c>
      <c r="BJ136" s="2">
        <v>7.5</v>
      </c>
      <c r="BK136" s="2">
        <v>8</v>
      </c>
      <c r="BL136" s="2">
        <v>32.700000000000003</v>
      </c>
      <c r="BM136" s="2">
        <v>4.58</v>
      </c>
      <c r="BN136" s="2">
        <v>37.28</v>
      </c>
      <c r="BO136" s="2">
        <v>37.28</v>
      </c>
      <c r="BP136" s="2"/>
      <c r="BQ136" s="2" t="s">
        <v>122</v>
      </c>
      <c r="BR136" s="2" t="s">
        <v>123</v>
      </c>
      <c r="BS136" s="3">
        <v>42830</v>
      </c>
      <c r="BT136" s="4">
        <v>0.31944444444444448</v>
      </c>
      <c r="BU136" s="2" t="s">
        <v>290</v>
      </c>
      <c r="BV136" s="2" t="s">
        <v>111</v>
      </c>
      <c r="BW136" s="2"/>
      <c r="BX136" s="2"/>
      <c r="BY136" s="2">
        <v>37639.839999999997</v>
      </c>
      <c r="BZ136" s="2" t="s">
        <v>27</v>
      </c>
      <c r="CA136" s="2"/>
      <c r="CB136" s="2"/>
      <c r="CC136" s="2" t="s">
        <v>504</v>
      </c>
      <c r="CD136" s="2">
        <v>1501</v>
      </c>
      <c r="CE136" s="2" t="s">
        <v>172</v>
      </c>
      <c r="CF136" s="5">
        <v>42832</v>
      </c>
      <c r="CG136" s="2"/>
      <c r="CH136" s="2"/>
      <c r="CI136" s="2">
        <v>1</v>
      </c>
      <c r="CJ136" s="2">
        <v>1</v>
      </c>
      <c r="CK136" s="2">
        <v>22</v>
      </c>
      <c r="CL136" s="2" t="s">
        <v>86</v>
      </c>
      <c r="CM136" s="2"/>
    </row>
    <row r="137" spans="1:91">
      <c r="A137" s="2" t="s">
        <v>71</v>
      </c>
      <c r="B137" s="2" t="s">
        <v>72</v>
      </c>
      <c r="C137" s="2" t="s">
        <v>73</v>
      </c>
      <c r="D137" s="2"/>
      <c r="E137" s="2" t="str">
        <f>"FES1162542928"</f>
        <v>FES1162542928</v>
      </c>
      <c r="F137" s="3">
        <v>42836</v>
      </c>
      <c r="G137" s="2">
        <v>201710</v>
      </c>
      <c r="H137" s="2" t="s">
        <v>74</v>
      </c>
      <c r="I137" s="2" t="s">
        <v>75</v>
      </c>
      <c r="J137" s="2" t="s">
        <v>76</v>
      </c>
      <c r="K137" s="2" t="s">
        <v>77</v>
      </c>
      <c r="L137" s="2" t="s">
        <v>176</v>
      </c>
      <c r="M137" s="2" t="s">
        <v>176</v>
      </c>
      <c r="N137" s="2" t="s">
        <v>339</v>
      </c>
      <c r="O137" s="2" t="s">
        <v>115</v>
      </c>
      <c r="P137" s="2" t="str">
        <f>"2170559453                    "</f>
        <v xml:space="preserve">2170559453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4.29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1</v>
      </c>
      <c r="BJ137" s="2">
        <v>0.2</v>
      </c>
      <c r="BK137" s="2">
        <v>1</v>
      </c>
      <c r="BL137" s="2">
        <v>41.73</v>
      </c>
      <c r="BM137" s="2">
        <v>5.84</v>
      </c>
      <c r="BN137" s="2">
        <v>47.57</v>
      </c>
      <c r="BO137" s="2">
        <v>47.57</v>
      </c>
      <c r="BP137" s="2"/>
      <c r="BQ137" s="2" t="s">
        <v>340</v>
      </c>
      <c r="BR137" s="2" t="s">
        <v>123</v>
      </c>
      <c r="BS137" s="3">
        <v>42837</v>
      </c>
      <c r="BT137" s="4">
        <v>0.55555555555555558</v>
      </c>
      <c r="BU137" s="2" t="s">
        <v>341</v>
      </c>
      <c r="BV137" s="2" t="s">
        <v>111</v>
      </c>
      <c r="BW137" s="2"/>
      <c r="BX137" s="2"/>
      <c r="BY137" s="2">
        <v>1200</v>
      </c>
      <c r="BZ137" s="2" t="s">
        <v>27</v>
      </c>
      <c r="CA137" s="2"/>
      <c r="CB137" s="2"/>
      <c r="CC137" s="2" t="s">
        <v>176</v>
      </c>
      <c r="CD137" s="2">
        <v>7646</v>
      </c>
      <c r="CE137" s="2" t="s">
        <v>144</v>
      </c>
      <c r="CF137" s="5">
        <v>42838</v>
      </c>
      <c r="CG137" s="2"/>
      <c r="CH137" s="2"/>
      <c r="CI137" s="2">
        <v>1</v>
      </c>
      <c r="CJ137" s="2">
        <v>1</v>
      </c>
      <c r="CK137" s="2">
        <v>21</v>
      </c>
      <c r="CL137" s="2" t="s">
        <v>86</v>
      </c>
      <c r="CM137" s="2"/>
    </row>
    <row r="138" spans="1:91">
      <c r="A138" s="2" t="s">
        <v>71</v>
      </c>
      <c r="B138" s="2" t="s">
        <v>72</v>
      </c>
      <c r="C138" s="2" t="s">
        <v>73</v>
      </c>
      <c r="D138" s="2"/>
      <c r="E138" s="2" t="str">
        <f>"FES1162541874"</f>
        <v>FES1162541874</v>
      </c>
      <c r="F138" s="3">
        <v>42830</v>
      </c>
      <c r="G138" s="2">
        <v>201710</v>
      </c>
      <c r="H138" s="2" t="s">
        <v>74</v>
      </c>
      <c r="I138" s="2" t="s">
        <v>75</v>
      </c>
      <c r="J138" s="2" t="s">
        <v>76</v>
      </c>
      <c r="K138" s="2" t="s">
        <v>77</v>
      </c>
      <c r="L138" s="2" t="s">
        <v>506</v>
      </c>
      <c r="M138" s="2" t="s">
        <v>507</v>
      </c>
      <c r="N138" s="2" t="s">
        <v>283</v>
      </c>
      <c r="O138" s="2" t="s">
        <v>115</v>
      </c>
      <c r="P138" s="2" t="str">
        <f>"2170560878                    "</f>
        <v xml:space="preserve">2170560878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23.31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4</v>
      </c>
      <c r="BJ138" s="2">
        <v>5.9</v>
      </c>
      <c r="BK138" s="2">
        <v>6</v>
      </c>
      <c r="BL138" s="2">
        <v>226.89</v>
      </c>
      <c r="BM138" s="2">
        <v>31.76</v>
      </c>
      <c r="BN138" s="2">
        <v>258.64999999999998</v>
      </c>
      <c r="BO138" s="2">
        <v>258.64999999999998</v>
      </c>
      <c r="BP138" s="2"/>
      <c r="BQ138" s="2" t="s">
        <v>122</v>
      </c>
      <c r="BR138" s="2" t="s">
        <v>123</v>
      </c>
      <c r="BS138" s="3">
        <v>42832</v>
      </c>
      <c r="BT138" s="4">
        <v>0.41666666666666669</v>
      </c>
      <c r="BU138" s="2" t="s">
        <v>508</v>
      </c>
      <c r="BV138" s="2" t="s">
        <v>111</v>
      </c>
      <c r="BW138" s="2"/>
      <c r="BX138" s="2"/>
      <c r="BY138" s="2">
        <v>29733.119999999999</v>
      </c>
      <c r="BZ138" s="2" t="s">
        <v>27</v>
      </c>
      <c r="CA138" s="2"/>
      <c r="CB138" s="2"/>
      <c r="CC138" s="2" t="s">
        <v>507</v>
      </c>
      <c r="CD138" s="2">
        <v>7380</v>
      </c>
      <c r="CE138" s="2" t="s">
        <v>89</v>
      </c>
      <c r="CF138" s="5">
        <v>42836</v>
      </c>
      <c r="CG138" s="2"/>
      <c r="CH138" s="2"/>
      <c r="CI138" s="2">
        <v>3</v>
      </c>
      <c r="CJ138" s="2">
        <v>2</v>
      </c>
      <c r="CK138" s="2">
        <v>23</v>
      </c>
      <c r="CL138" s="2" t="s">
        <v>86</v>
      </c>
      <c r="CM138" s="2"/>
    </row>
    <row r="139" spans="1:91">
      <c r="A139" s="2" t="s">
        <v>71</v>
      </c>
      <c r="B139" s="2" t="s">
        <v>72</v>
      </c>
      <c r="C139" s="2" t="s">
        <v>73</v>
      </c>
      <c r="D139" s="2"/>
      <c r="E139" s="2" t="str">
        <f>"FES1162541534"</f>
        <v>FES1162541534</v>
      </c>
      <c r="F139" s="3">
        <v>42830</v>
      </c>
      <c r="G139" s="2">
        <v>201710</v>
      </c>
      <c r="H139" s="2" t="s">
        <v>74</v>
      </c>
      <c r="I139" s="2" t="s">
        <v>75</v>
      </c>
      <c r="J139" s="2" t="s">
        <v>76</v>
      </c>
      <c r="K139" s="2" t="s">
        <v>77</v>
      </c>
      <c r="L139" s="2" t="s">
        <v>212</v>
      </c>
      <c r="M139" s="2" t="s">
        <v>213</v>
      </c>
      <c r="N139" s="2" t="s">
        <v>509</v>
      </c>
      <c r="O139" s="2" t="s">
        <v>115</v>
      </c>
      <c r="P139" s="2" t="str">
        <f>"2170560362                    "</f>
        <v xml:space="preserve">2170560362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6.03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1</v>
      </c>
      <c r="BJ139" s="2">
        <v>0.2</v>
      </c>
      <c r="BK139" s="2">
        <v>1</v>
      </c>
      <c r="BL139" s="2">
        <v>58.68</v>
      </c>
      <c r="BM139" s="2">
        <v>8.2200000000000006</v>
      </c>
      <c r="BN139" s="2">
        <v>66.900000000000006</v>
      </c>
      <c r="BO139" s="2">
        <v>66.900000000000006</v>
      </c>
      <c r="BP139" s="2"/>
      <c r="BQ139" s="2" t="s">
        <v>510</v>
      </c>
      <c r="BR139" s="2" t="s">
        <v>123</v>
      </c>
      <c r="BS139" s="3">
        <v>42831</v>
      </c>
      <c r="BT139" s="4">
        <v>0.54166666666666663</v>
      </c>
      <c r="BU139" s="2" t="s">
        <v>511</v>
      </c>
      <c r="BV139" s="2" t="s">
        <v>111</v>
      </c>
      <c r="BW139" s="2"/>
      <c r="BX139" s="2"/>
      <c r="BY139" s="2">
        <v>1200</v>
      </c>
      <c r="BZ139" s="2" t="s">
        <v>27</v>
      </c>
      <c r="CA139" s="2"/>
      <c r="CB139" s="2"/>
      <c r="CC139" s="2" t="s">
        <v>213</v>
      </c>
      <c r="CD139" s="2">
        <v>1001</v>
      </c>
      <c r="CE139" s="2" t="s">
        <v>144</v>
      </c>
      <c r="CF139" s="5">
        <v>42835</v>
      </c>
      <c r="CG139" s="2"/>
      <c r="CH139" s="2"/>
      <c r="CI139" s="2">
        <v>0</v>
      </c>
      <c r="CJ139" s="2">
        <v>0</v>
      </c>
      <c r="CK139" s="2">
        <v>24</v>
      </c>
      <c r="CL139" s="2" t="s">
        <v>86</v>
      </c>
      <c r="CM139" s="2"/>
    </row>
    <row r="140" spans="1:91">
      <c r="A140" s="2" t="s">
        <v>71</v>
      </c>
      <c r="B140" s="2" t="s">
        <v>72</v>
      </c>
      <c r="C140" s="2" t="s">
        <v>73</v>
      </c>
      <c r="D140" s="2"/>
      <c r="E140" s="2" t="str">
        <f>"FES1162543265"</f>
        <v>FES1162543265</v>
      </c>
      <c r="F140" s="3">
        <v>42837</v>
      </c>
      <c r="G140" s="2">
        <v>201710</v>
      </c>
      <c r="H140" s="2" t="s">
        <v>74</v>
      </c>
      <c r="I140" s="2" t="s">
        <v>75</v>
      </c>
      <c r="J140" s="2" t="s">
        <v>76</v>
      </c>
      <c r="K140" s="2" t="s">
        <v>77</v>
      </c>
      <c r="L140" s="2" t="s">
        <v>180</v>
      </c>
      <c r="M140" s="2" t="s">
        <v>181</v>
      </c>
      <c r="N140" s="2" t="s">
        <v>320</v>
      </c>
      <c r="O140" s="2" t="s">
        <v>115</v>
      </c>
      <c r="P140" s="2" t="str">
        <f>"2170559555                    "</f>
        <v xml:space="preserve">2170559555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4.29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41.73</v>
      </c>
      <c r="BM140" s="2">
        <v>5.84</v>
      </c>
      <c r="BN140" s="2">
        <v>47.57</v>
      </c>
      <c r="BO140" s="2">
        <v>47.57</v>
      </c>
      <c r="BP140" s="2"/>
      <c r="BQ140" s="2" t="s">
        <v>129</v>
      </c>
      <c r="BR140" s="2" t="s">
        <v>84</v>
      </c>
      <c r="BS140" s="3">
        <v>42838</v>
      </c>
      <c r="BT140" s="4">
        <v>0.4375</v>
      </c>
      <c r="BU140" s="2" t="s">
        <v>321</v>
      </c>
      <c r="BV140" s="2" t="s">
        <v>111</v>
      </c>
      <c r="BW140" s="2"/>
      <c r="BX140" s="2"/>
      <c r="BY140" s="2">
        <v>1200</v>
      </c>
      <c r="BZ140" s="2" t="s">
        <v>27</v>
      </c>
      <c r="CA140" s="2"/>
      <c r="CB140" s="2"/>
      <c r="CC140" s="2" t="s">
        <v>181</v>
      </c>
      <c r="CD140" s="2">
        <v>4051</v>
      </c>
      <c r="CE140" s="2" t="s">
        <v>118</v>
      </c>
      <c r="CF140" s="5">
        <v>42843</v>
      </c>
      <c r="CG140" s="2"/>
      <c r="CH140" s="2"/>
      <c r="CI140" s="2">
        <v>1</v>
      </c>
      <c r="CJ140" s="2">
        <v>1</v>
      </c>
      <c r="CK140" s="2">
        <v>21</v>
      </c>
      <c r="CL140" s="2" t="s">
        <v>86</v>
      </c>
      <c r="CM140" s="2"/>
    </row>
    <row r="141" spans="1:91">
      <c r="A141" s="2" t="s">
        <v>71</v>
      </c>
      <c r="B141" s="2" t="s">
        <v>72</v>
      </c>
      <c r="C141" s="2" t="s">
        <v>73</v>
      </c>
      <c r="D141" s="2"/>
      <c r="E141" s="2" t="str">
        <f>"FES1162541998"</f>
        <v>FES1162541998</v>
      </c>
      <c r="F141" s="3">
        <v>42831</v>
      </c>
      <c r="G141" s="2">
        <v>201710</v>
      </c>
      <c r="H141" s="2" t="s">
        <v>74</v>
      </c>
      <c r="I141" s="2" t="s">
        <v>75</v>
      </c>
      <c r="J141" s="2" t="s">
        <v>76</v>
      </c>
      <c r="K141" s="2" t="s">
        <v>77</v>
      </c>
      <c r="L141" s="2" t="s">
        <v>166</v>
      </c>
      <c r="M141" s="2" t="s">
        <v>167</v>
      </c>
      <c r="N141" s="2" t="s">
        <v>283</v>
      </c>
      <c r="O141" s="2" t="s">
        <v>115</v>
      </c>
      <c r="P141" s="2" t="str">
        <f>"2170558221                    "</f>
        <v xml:space="preserve">2170558221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3.35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1</v>
      </c>
      <c r="BJ141" s="2">
        <v>0.2</v>
      </c>
      <c r="BK141" s="2">
        <v>1</v>
      </c>
      <c r="BL141" s="2">
        <v>32.6</v>
      </c>
      <c r="BM141" s="2">
        <v>4.5599999999999996</v>
      </c>
      <c r="BN141" s="2">
        <v>37.159999999999997</v>
      </c>
      <c r="BO141" s="2">
        <v>37.159999999999997</v>
      </c>
      <c r="BP141" s="2"/>
      <c r="BQ141" s="2" t="s">
        <v>122</v>
      </c>
      <c r="BR141" s="2" t="s">
        <v>123</v>
      </c>
      <c r="BS141" s="3">
        <v>42832</v>
      </c>
      <c r="BT141" s="4">
        <v>0.38611111111111113</v>
      </c>
      <c r="BU141" s="2" t="s">
        <v>512</v>
      </c>
      <c r="BV141" s="2" t="s">
        <v>111</v>
      </c>
      <c r="BW141" s="2"/>
      <c r="BX141" s="2"/>
      <c r="BY141" s="2">
        <v>1200</v>
      </c>
      <c r="BZ141" s="2" t="s">
        <v>27</v>
      </c>
      <c r="CA141" s="2" t="s">
        <v>171</v>
      </c>
      <c r="CB141" s="2"/>
      <c r="CC141" s="2" t="s">
        <v>167</v>
      </c>
      <c r="CD141" s="2">
        <v>2011</v>
      </c>
      <c r="CE141" s="2" t="s">
        <v>118</v>
      </c>
      <c r="CF141" s="5">
        <v>42835</v>
      </c>
      <c r="CG141" s="2"/>
      <c r="CH141" s="2"/>
      <c r="CI141" s="2">
        <v>1</v>
      </c>
      <c r="CJ141" s="2">
        <v>1</v>
      </c>
      <c r="CK141" s="2">
        <v>22</v>
      </c>
      <c r="CL141" s="2" t="s">
        <v>86</v>
      </c>
      <c r="CM141" s="2"/>
    </row>
    <row r="142" spans="1:91">
      <c r="A142" s="2" t="s">
        <v>71</v>
      </c>
      <c r="B142" s="2" t="s">
        <v>72</v>
      </c>
      <c r="C142" s="2" t="s">
        <v>73</v>
      </c>
      <c r="D142" s="2"/>
      <c r="E142" s="2" t="str">
        <f>"FES1162541416"</f>
        <v>FES1162541416</v>
      </c>
      <c r="F142" s="3">
        <v>42829</v>
      </c>
      <c r="G142" s="2">
        <v>201710</v>
      </c>
      <c r="H142" s="2" t="s">
        <v>74</v>
      </c>
      <c r="I142" s="2" t="s">
        <v>75</v>
      </c>
      <c r="J142" s="2" t="s">
        <v>76</v>
      </c>
      <c r="K142" s="2" t="s">
        <v>77</v>
      </c>
      <c r="L142" s="2" t="s">
        <v>99</v>
      </c>
      <c r="M142" s="2" t="s">
        <v>100</v>
      </c>
      <c r="N142" s="2" t="s">
        <v>513</v>
      </c>
      <c r="O142" s="2" t="s">
        <v>115</v>
      </c>
      <c r="P142" s="2" t="str">
        <f>"2170560510                    "</f>
        <v xml:space="preserve">2170560510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85.12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38</v>
      </c>
      <c r="BJ142" s="2">
        <v>38.299999999999997</v>
      </c>
      <c r="BK142" s="2">
        <v>38.5</v>
      </c>
      <c r="BL142" s="2">
        <v>805.84</v>
      </c>
      <c r="BM142" s="2">
        <v>112.82</v>
      </c>
      <c r="BN142" s="2">
        <v>918.66</v>
      </c>
      <c r="BO142" s="2">
        <v>918.66</v>
      </c>
      <c r="BP142" s="2" t="s">
        <v>514</v>
      </c>
      <c r="BQ142" s="2" t="s">
        <v>515</v>
      </c>
      <c r="BR142" s="2" t="s">
        <v>123</v>
      </c>
      <c r="BS142" s="3">
        <v>42830</v>
      </c>
      <c r="BT142" s="4">
        <v>0.38472222222222219</v>
      </c>
      <c r="BU142" s="2" t="s">
        <v>245</v>
      </c>
      <c r="BV142" s="2" t="s">
        <v>111</v>
      </c>
      <c r="BW142" s="2"/>
      <c r="BX142" s="2"/>
      <c r="BY142" s="2">
        <v>191268</v>
      </c>
      <c r="BZ142" s="2" t="s">
        <v>27</v>
      </c>
      <c r="CA142" s="2"/>
      <c r="CB142" s="2"/>
      <c r="CC142" s="2" t="s">
        <v>100</v>
      </c>
      <c r="CD142" s="2">
        <v>6045</v>
      </c>
      <c r="CE142" s="2" t="s">
        <v>172</v>
      </c>
      <c r="CF142" s="5">
        <v>42832</v>
      </c>
      <c r="CG142" s="2"/>
      <c r="CH142" s="2"/>
      <c r="CI142" s="2">
        <v>1</v>
      </c>
      <c r="CJ142" s="2">
        <v>1</v>
      </c>
      <c r="CK142" s="2">
        <v>21</v>
      </c>
      <c r="CL142" s="2" t="s">
        <v>86</v>
      </c>
      <c r="CM142" s="2"/>
    </row>
    <row r="143" spans="1:91">
      <c r="A143" s="2" t="s">
        <v>71</v>
      </c>
      <c r="B143" s="2" t="s">
        <v>72</v>
      </c>
      <c r="C143" s="2" t="s">
        <v>73</v>
      </c>
      <c r="D143" s="2"/>
      <c r="E143" s="2" t="str">
        <f>"FES1162542760"</f>
        <v>FES1162542760</v>
      </c>
      <c r="F143" s="3">
        <v>42836</v>
      </c>
      <c r="G143" s="2">
        <v>201710</v>
      </c>
      <c r="H143" s="2" t="s">
        <v>74</v>
      </c>
      <c r="I143" s="2" t="s">
        <v>75</v>
      </c>
      <c r="J143" s="2" t="s">
        <v>76</v>
      </c>
      <c r="K143" s="2" t="s">
        <v>77</v>
      </c>
      <c r="L143" s="2" t="s">
        <v>516</v>
      </c>
      <c r="M143" s="2" t="s">
        <v>517</v>
      </c>
      <c r="N143" s="2" t="s">
        <v>518</v>
      </c>
      <c r="O143" s="2" t="s">
        <v>115</v>
      </c>
      <c r="P143" s="2" t="str">
        <f>"2170561652                    "</f>
        <v xml:space="preserve">2170561652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3.35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1</v>
      </c>
      <c r="BJ143" s="2">
        <v>0.2</v>
      </c>
      <c r="BK143" s="2">
        <v>1</v>
      </c>
      <c r="BL143" s="2">
        <v>32.6</v>
      </c>
      <c r="BM143" s="2">
        <v>4.5599999999999996</v>
      </c>
      <c r="BN143" s="2">
        <v>37.159999999999997</v>
      </c>
      <c r="BO143" s="2">
        <v>37.159999999999997</v>
      </c>
      <c r="BP143" s="2"/>
      <c r="BQ143" s="2"/>
      <c r="BR143" s="2" t="s">
        <v>123</v>
      </c>
      <c r="BS143" s="3">
        <v>42837</v>
      </c>
      <c r="BT143" s="4">
        <v>0.30624999999999997</v>
      </c>
      <c r="BU143" s="2" t="s">
        <v>519</v>
      </c>
      <c r="BV143" s="2" t="s">
        <v>111</v>
      </c>
      <c r="BW143" s="2"/>
      <c r="BX143" s="2"/>
      <c r="BY143" s="2">
        <v>1200</v>
      </c>
      <c r="BZ143" s="2" t="s">
        <v>27</v>
      </c>
      <c r="CA143" s="2" t="s">
        <v>520</v>
      </c>
      <c r="CB143" s="2"/>
      <c r="CC143" s="2" t="s">
        <v>517</v>
      </c>
      <c r="CD143" s="2">
        <v>1459</v>
      </c>
      <c r="CE143" s="2" t="s">
        <v>118</v>
      </c>
      <c r="CF143" s="5">
        <v>42838</v>
      </c>
      <c r="CG143" s="2"/>
      <c r="CH143" s="2"/>
      <c r="CI143" s="2">
        <v>1</v>
      </c>
      <c r="CJ143" s="2">
        <v>1</v>
      </c>
      <c r="CK143" s="2">
        <v>22</v>
      </c>
      <c r="CL143" s="2" t="s">
        <v>86</v>
      </c>
      <c r="CM143" s="2"/>
    </row>
    <row r="144" spans="1:91">
      <c r="A144" s="2" t="s">
        <v>71</v>
      </c>
      <c r="B144" s="2" t="s">
        <v>72</v>
      </c>
      <c r="C144" s="2" t="s">
        <v>73</v>
      </c>
      <c r="D144" s="2"/>
      <c r="E144" s="2" t="str">
        <f>"FES1162541736"</f>
        <v>FES1162541736</v>
      </c>
      <c r="F144" s="3">
        <v>42830</v>
      </c>
      <c r="G144" s="2">
        <v>201710</v>
      </c>
      <c r="H144" s="2" t="s">
        <v>74</v>
      </c>
      <c r="I144" s="2" t="s">
        <v>75</v>
      </c>
      <c r="J144" s="2" t="s">
        <v>76</v>
      </c>
      <c r="K144" s="2" t="s">
        <v>77</v>
      </c>
      <c r="L144" s="2" t="s">
        <v>294</v>
      </c>
      <c r="M144" s="2" t="s">
        <v>295</v>
      </c>
      <c r="N144" s="2" t="s">
        <v>521</v>
      </c>
      <c r="O144" s="2" t="s">
        <v>115</v>
      </c>
      <c r="P144" s="2" t="str">
        <f>"2170560743                    "</f>
        <v xml:space="preserve">2170560743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7.5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2</v>
      </c>
      <c r="BJ144" s="2">
        <v>3.2</v>
      </c>
      <c r="BK144" s="2">
        <v>3.5</v>
      </c>
      <c r="BL144" s="2">
        <v>73.02</v>
      </c>
      <c r="BM144" s="2">
        <v>10.220000000000001</v>
      </c>
      <c r="BN144" s="2">
        <v>83.24</v>
      </c>
      <c r="BO144" s="2">
        <v>83.24</v>
      </c>
      <c r="BP144" s="2"/>
      <c r="BQ144" s="2" t="s">
        <v>129</v>
      </c>
      <c r="BR144" s="2" t="s">
        <v>123</v>
      </c>
      <c r="BS144" s="3">
        <v>42831</v>
      </c>
      <c r="BT144" s="4">
        <v>0.4375</v>
      </c>
      <c r="BU144" s="2" t="s">
        <v>338</v>
      </c>
      <c r="BV144" s="2" t="s">
        <v>111</v>
      </c>
      <c r="BW144" s="2"/>
      <c r="BX144" s="2"/>
      <c r="BY144" s="2">
        <v>16240</v>
      </c>
      <c r="BZ144" s="2" t="s">
        <v>27</v>
      </c>
      <c r="CA144" s="2"/>
      <c r="CB144" s="2"/>
      <c r="CC144" s="2" t="s">
        <v>295</v>
      </c>
      <c r="CD144" s="2">
        <v>3610</v>
      </c>
      <c r="CE144" s="2" t="s">
        <v>89</v>
      </c>
      <c r="CF144" s="5">
        <v>42832</v>
      </c>
      <c r="CG144" s="2"/>
      <c r="CH144" s="2"/>
      <c r="CI144" s="2">
        <v>1</v>
      </c>
      <c r="CJ144" s="2">
        <v>1</v>
      </c>
      <c r="CK144" s="2">
        <v>21</v>
      </c>
      <c r="CL144" s="2" t="s">
        <v>86</v>
      </c>
      <c r="CM144" s="2"/>
    </row>
    <row r="145" spans="1:91">
      <c r="A145" s="2" t="s">
        <v>71</v>
      </c>
      <c r="B145" s="2" t="s">
        <v>72</v>
      </c>
      <c r="C145" s="2" t="s">
        <v>73</v>
      </c>
      <c r="D145" s="2"/>
      <c r="E145" s="2" t="str">
        <f>"FES1162543264"</f>
        <v>FES1162543264</v>
      </c>
      <c r="F145" s="3">
        <v>42837</v>
      </c>
      <c r="G145" s="2">
        <v>201710</v>
      </c>
      <c r="H145" s="2" t="s">
        <v>74</v>
      </c>
      <c r="I145" s="2" t="s">
        <v>75</v>
      </c>
      <c r="J145" s="2" t="s">
        <v>76</v>
      </c>
      <c r="K145" s="2" t="s">
        <v>77</v>
      </c>
      <c r="L145" s="2" t="s">
        <v>180</v>
      </c>
      <c r="M145" s="2" t="s">
        <v>181</v>
      </c>
      <c r="N145" s="2" t="s">
        <v>320</v>
      </c>
      <c r="O145" s="2" t="s">
        <v>115</v>
      </c>
      <c r="P145" s="2" t="str">
        <f>"2170559552                    "</f>
        <v xml:space="preserve">2170559552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4.29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1</v>
      </c>
      <c r="BJ145" s="2">
        <v>0.2</v>
      </c>
      <c r="BK145" s="2">
        <v>1</v>
      </c>
      <c r="BL145" s="2">
        <v>41.73</v>
      </c>
      <c r="BM145" s="2">
        <v>5.84</v>
      </c>
      <c r="BN145" s="2">
        <v>47.57</v>
      </c>
      <c r="BO145" s="2">
        <v>47.57</v>
      </c>
      <c r="BP145" s="2"/>
      <c r="BQ145" s="2" t="s">
        <v>129</v>
      </c>
      <c r="BR145" s="2" t="s">
        <v>84</v>
      </c>
      <c r="BS145" s="3">
        <v>42838</v>
      </c>
      <c r="BT145" s="4">
        <v>0.4375</v>
      </c>
      <c r="BU145" s="2" t="s">
        <v>266</v>
      </c>
      <c r="BV145" s="2" t="s">
        <v>111</v>
      </c>
      <c r="BW145" s="2"/>
      <c r="BX145" s="2"/>
      <c r="BY145" s="2">
        <v>1200</v>
      </c>
      <c r="BZ145" s="2" t="s">
        <v>27</v>
      </c>
      <c r="CA145" s="2"/>
      <c r="CB145" s="2"/>
      <c r="CC145" s="2" t="s">
        <v>181</v>
      </c>
      <c r="CD145" s="2">
        <v>4051</v>
      </c>
      <c r="CE145" s="2" t="s">
        <v>118</v>
      </c>
      <c r="CF145" s="5">
        <v>42843</v>
      </c>
      <c r="CG145" s="2"/>
      <c r="CH145" s="2"/>
      <c r="CI145" s="2">
        <v>1</v>
      </c>
      <c r="CJ145" s="2">
        <v>1</v>
      </c>
      <c r="CK145" s="2">
        <v>21</v>
      </c>
      <c r="CL145" s="2" t="s">
        <v>86</v>
      </c>
      <c r="CM145" s="2"/>
    </row>
    <row r="146" spans="1:91">
      <c r="A146" s="2" t="s">
        <v>71</v>
      </c>
      <c r="B146" s="2" t="s">
        <v>72</v>
      </c>
      <c r="C146" s="2" t="s">
        <v>73</v>
      </c>
      <c r="D146" s="2"/>
      <c r="E146" s="2" t="str">
        <f>"FES1162542095"</f>
        <v>FES1162542095</v>
      </c>
      <c r="F146" s="3">
        <v>42831</v>
      </c>
      <c r="G146" s="2">
        <v>201710</v>
      </c>
      <c r="H146" s="2" t="s">
        <v>74</v>
      </c>
      <c r="I146" s="2" t="s">
        <v>75</v>
      </c>
      <c r="J146" s="2" t="s">
        <v>76</v>
      </c>
      <c r="K146" s="2" t="s">
        <v>77</v>
      </c>
      <c r="L146" s="2" t="s">
        <v>396</v>
      </c>
      <c r="M146" s="2" t="s">
        <v>397</v>
      </c>
      <c r="N146" s="2" t="s">
        <v>398</v>
      </c>
      <c r="O146" s="2" t="s">
        <v>115</v>
      </c>
      <c r="P146" s="2" t="str">
        <f>"2170558667                    "</f>
        <v xml:space="preserve">2170558667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4.29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0.2</v>
      </c>
      <c r="BK146" s="2">
        <v>1</v>
      </c>
      <c r="BL146" s="2">
        <v>41.73</v>
      </c>
      <c r="BM146" s="2">
        <v>5.84</v>
      </c>
      <c r="BN146" s="2">
        <v>47.57</v>
      </c>
      <c r="BO146" s="2">
        <v>47.57</v>
      </c>
      <c r="BP146" s="2"/>
      <c r="BQ146" s="2" t="s">
        <v>399</v>
      </c>
      <c r="BR146" s="2" t="s">
        <v>123</v>
      </c>
      <c r="BS146" s="3">
        <v>42832</v>
      </c>
      <c r="BT146" s="4">
        <v>0.4375</v>
      </c>
      <c r="BU146" s="2" t="s">
        <v>469</v>
      </c>
      <c r="BV146" s="2" t="s">
        <v>111</v>
      </c>
      <c r="BW146" s="2"/>
      <c r="BX146" s="2"/>
      <c r="BY146" s="2">
        <v>1200</v>
      </c>
      <c r="BZ146" s="2" t="s">
        <v>27</v>
      </c>
      <c r="CA146" s="2"/>
      <c r="CB146" s="2"/>
      <c r="CC146" s="2" t="s">
        <v>397</v>
      </c>
      <c r="CD146" s="2">
        <v>4300</v>
      </c>
      <c r="CE146" s="2" t="s">
        <v>144</v>
      </c>
      <c r="CF146" s="5">
        <v>42835</v>
      </c>
      <c r="CG146" s="2"/>
      <c r="CH146" s="2"/>
      <c r="CI146" s="2">
        <v>1</v>
      </c>
      <c r="CJ146" s="2">
        <v>1</v>
      </c>
      <c r="CK146" s="2">
        <v>21</v>
      </c>
      <c r="CL146" s="2" t="s">
        <v>86</v>
      </c>
      <c r="CM146" s="2"/>
    </row>
    <row r="147" spans="1:91">
      <c r="A147" s="2" t="s">
        <v>71</v>
      </c>
      <c r="B147" s="2" t="s">
        <v>72</v>
      </c>
      <c r="C147" s="2" t="s">
        <v>73</v>
      </c>
      <c r="D147" s="2"/>
      <c r="E147" s="2" t="str">
        <f>"FES1162541245"</f>
        <v>FES1162541245</v>
      </c>
      <c r="F147" s="3">
        <v>42829</v>
      </c>
      <c r="G147" s="2">
        <v>201710</v>
      </c>
      <c r="H147" s="2" t="s">
        <v>74</v>
      </c>
      <c r="I147" s="2" t="s">
        <v>75</v>
      </c>
      <c r="J147" s="2" t="s">
        <v>76</v>
      </c>
      <c r="K147" s="2" t="s">
        <v>77</v>
      </c>
      <c r="L147" s="2" t="s">
        <v>180</v>
      </c>
      <c r="M147" s="2" t="s">
        <v>181</v>
      </c>
      <c r="N147" s="2" t="s">
        <v>457</v>
      </c>
      <c r="O147" s="2" t="s">
        <v>115</v>
      </c>
      <c r="P147" s="2" t="str">
        <f>"2170560015                    "</f>
        <v xml:space="preserve">2170560015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4.42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1.4</v>
      </c>
      <c r="BJ147" s="2">
        <v>1.4</v>
      </c>
      <c r="BK147" s="2">
        <v>1.5</v>
      </c>
      <c r="BL147" s="2">
        <v>41.86</v>
      </c>
      <c r="BM147" s="2">
        <v>5.86</v>
      </c>
      <c r="BN147" s="2">
        <v>47.72</v>
      </c>
      <c r="BO147" s="2">
        <v>47.72</v>
      </c>
      <c r="BP147" s="2"/>
      <c r="BQ147" s="2" t="s">
        <v>458</v>
      </c>
      <c r="BR147" s="2" t="s">
        <v>123</v>
      </c>
      <c r="BS147" s="3">
        <v>42830</v>
      </c>
      <c r="BT147" s="4">
        <v>0.4375</v>
      </c>
      <c r="BU147" s="2" t="s">
        <v>522</v>
      </c>
      <c r="BV147" s="2" t="s">
        <v>111</v>
      </c>
      <c r="BW147" s="2"/>
      <c r="BX147" s="2"/>
      <c r="BY147" s="2">
        <v>7072.6</v>
      </c>
      <c r="BZ147" s="2" t="s">
        <v>27</v>
      </c>
      <c r="CA147" s="2"/>
      <c r="CB147" s="2"/>
      <c r="CC147" s="2" t="s">
        <v>181</v>
      </c>
      <c r="CD147" s="2">
        <v>4001</v>
      </c>
      <c r="CE147" s="2" t="s">
        <v>135</v>
      </c>
      <c r="CF147" s="5">
        <v>42831</v>
      </c>
      <c r="CG147" s="2"/>
      <c r="CH147" s="2"/>
      <c r="CI147" s="2">
        <v>1</v>
      </c>
      <c r="CJ147" s="2">
        <v>1</v>
      </c>
      <c r="CK147" s="2">
        <v>21</v>
      </c>
      <c r="CL147" s="2" t="s">
        <v>86</v>
      </c>
      <c r="CM147" s="2"/>
    </row>
    <row r="148" spans="1:91">
      <c r="A148" s="2" t="s">
        <v>71</v>
      </c>
      <c r="B148" s="2" t="s">
        <v>72</v>
      </c>
      <c r="C148" s="2" t="s">
        <v>73</v>
      </c>
      <c r="D148" s="2"/>
      <c r="E148" s="2" t="str">
        <f>"FES1162542839"</f>
        <v>FES1162542839</v>
      </c>
      <c r="F148" s="3">
        <v>42836</v>
      </c>
      <c r="G148" s="2">
        <v>201710</v>
      </c>
      <c r="H148" s="2" t="s">
        <v>74</v>
      </c>
      <c r="I148" s="2" t="s">
        <v>75</v>
      </c>
      <c r="J148" s="2" t="s">
        <v>76</v>
      </c>
      <c r="K148" s="2" t="s">
        <v>77</v>
      </c>
      <c r="L148" s="2" t="s">
        <v>496</v>
      </c>
      <c r="M148" s="2" t="s">
        <v>497</v>
      </c>
      <c r="N148" s="2" t="s">
        <v>523</v>
      </c>
      <c r="O148" s="2" t="s">
        <v>115</v>
      </c>
      <c r="P148" s="2" t="str">
        <f>"2170561705                    "</f>
        <v xml:space="preserve">2170561705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3.35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1</v>
      </c>
      <c r="BJ148" s="2">
        <v>0.2</v>
      </c>
      <c r="BK148" s="2">
        <v>1</v>
      </c>
      <c r="BL148" s="2">
        <v>32.6</v>
      </c>
      <c r="BM148" s="2">
        <v>4.5599999999999996</v>
      </c>
      <c r="BN148" s="2">
        <v>37.159999999999997</v>
      </c>
      <c r="BO148" s="2">
        <v>37.159999999999997</v>
      </c>
      <c r="BP148" s="2"/>
      <c r="BQ148" s="2"/>
      <c r="BR148" s="2" t="s">
        <v>123</v>
      </c>
      <c r="BS148" s="3">
        <v>42837</v>
      </c>
      <c r="BT148" s="4">
        <v>0.4375</v>
      </c>
      <c r="BU148" s="2" t="s">
        <v>524</v>
      </c>
      <c r="BV148" s="2" t="s">
        <v>111</v>
      </c>
      <c r="BW148" s="2"/>
      <c r="BX148" s="2"/>
      <c r="BY148" s="2">
        <v>1200</v>
      </c>
      <c r="BZ148" s="2" t="s">
        <v>27</v>
      </c>
      <c r="CA148" s="2"/>
      <c r="CB148" s="2"/>
      <c r="CC148" s="2" t="s">
        <v>497</v>
      </c>
      <c r="CD148" s="2">
        <v>1559</v>
      </c>
      <c r="CE148" s="2" t="s">
        <v>118</v>
      </c>
      <c r="CF148" s="5">
        <v>42838</v>
      </c>
      <c r="CG148" s="2"/>
      <c r="CH148" s="2"/>
      <c r="CI148" s="2">
        <v>1</v>
      </c>
      <c r="CJ148" s="2">
        <v>1</v>
      </c>
      <c r="CK148" s="2">
        <v>22</v>
      </c>
      <c r="CL148" s="2" t="s">
        <v>86</v>
      </c>
      <c r="CM148" s="2"/>
    </row>
    <row r="149" spans="1:91">
      <c r="A149" s="2" t="s">
        <v>71</v>
      </c>
      <c r="B149" s="2" t="s">
        <v>72</v>
      </c>
      <c r="C149" s="2" t="s">
        <v>73</v>
      </c>
      <c r="D149" s="2"/>
      <c r="E149" s="2" t="str">
        <f>"FES1162541873"</f>
        <v>FES1162541873</v>
      </c>
      <c r="F149" s="3">
        <v>42830</v>
      </c>
      <c r="G149" s="2">
        <v>201710</v>
      </c>
      <c r="H149" s="2" t="s">
        <v>74</v>
      </c>
      <c r="I149" s="2" t="s">
        <v>75</v>
      </c>
      <c r="J149" s="2" t="s">
        <v>76</v>
      </c>
      <c r="K149" s="2" t="s">
        <v>77</v>
      </c>
      <c r="L149" s="2" t="s">
        <v>525</v>
      </c>
      <c r="M149" s="2" t="s">
        <v>526</v>
      </c>
      <c r="N149" s="2" t="s">
        <v>527</v>
      </c>
      <c r="O149" s="2" t="s">
        <v>115</v>
      </c>
      <c r="P149" s="2" t="str">
        <f>"2170560877                    "</f>
        <v xml:space="preserve">2170560877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6.03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1</v>
      </c>
      <c r="BJ149" s="2">
        <v>0.2</v>
      </c>
      <c r="BK149" s="2">
        <v>1</v>
      </c>
      <c r="BL149" s="2">
        <v>58.68</v>
      </c>
      <c r="BM149" s="2">
        <v>8.2200000000000006</v>
      </c>
      <c r="BN149" s="2">
        <v>66.900000000000006</v>
      </c>
      <c r="BO149" s="2">
        <v>66.900000000000006</v>
      </c>
      <c r="BP149" s="2"/>
      <c r="BQ149" s="2" t="s">
        <v>528</v>
      </c>
      <c r="BR149" s="2" t="s">
        <v>123</v>
      </c>
      <c r="BS149" s="3">
        <v>42831</v>
      </c>
      <c r="BT149" s="4">
        <v>0.65763888888888888</v>
      </c>
      <c r="BU149" s="2" t="s">
        <v>529</v>
      </c>
      <c r="BV149" s="2" t="s">
        <v>111</v>
      </c>
      <c r="BW149" s="2"/>
      <c r="BX149" s="2"/>
      <c r="BY149" s="2">
        <v>1200</v>
      </c>
      <c r="BZ149" s="2" t="s">
        <v>27</v>
      </c>
      <c r="CA149" s="2"/>
      <c r="CB149" s="2"/>
      <c r="CC149" s="2" t="s">
        <v>526</v>
      </c>
      <c r="CD149" s="2">
        <v>2210</v>
      </c>
      <c r="CE149" s="2" t="s">
        <v>118</v>
      </c>
      <c r="CF149" s="5">
        <v>42833</v>
      </c>
      <c r="CG149" s="2"/>
      <c r="CH149" s="2"/>
      <c r="CI149" s="2">
        <v>1</v>
      </c>
      <c r="CJ149" s="2">
        <v>1</v>
      </c>
      <c r="CK149" s="2">
        <v>24</v>
      </c>
      <c r="CL149" s="2" t="s">
        <v>86</v>
      </c>
      <c r="CM149" s="2"/>
    </row>
    <row r="150" spans="1:91">
      <c r="A150" s="2" t="s">
        <v>71</v>
      </c>
      <c r="B150" s="2" t="s">
        <v>72</v>
      </c>
      <c r="C150" s="2" t="s">
        <v>73</v>
      </c>
      <c r="D150" s="2"/>
      <c r="E150" s="2" t="str">
        <f>"FES1162541631"</f>
        <v>FES1162541631</v>
      </c>
      <c r="F150" s="3">
        <v>42830</v>
      </c>
      <c r="G150" s="2">
        <v>201710</v>
      </c>
      <c r="H150" s="2" t="s">
        <v>74</v>
      </c>
      <c r="I150" s="2" t="s">
        <v>75</v>
      </c>
      <c r="J150" s="2" t="s">
        <v>76</v>
      </c>
      <c r="K150" s="2" t="s">
        <v>77</v>
      </c>
      <c r="L150" s="2" t="s">
        <v>99</v>
      </c>
      <c r="M150" s="2" t="s">
        <v>100</v>
      </c>
      <c r="N150" s="2" t="s">
        <v>108</v>
      </c>
      <c r="O150" s="2" t="s">
        <v>115</v>
      </c>
      <c r="P150" s="2" t="str">
        <f>"2170558136                    "</f>
        <v xml:space="preserve">2170558136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4.29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1.3</v>
      </c>
      <c r="BK150" s="2">
        <v>1.5</v>
      </c>
      <c r="BL150" s="2">
        <v>41.73</v>
      </c>
      <c r="BM150" s="2">
        <v>5.84</v>
      </c>
      <c r="BN150" s="2">
        <v>47.57</v>
      </c>
      <c r="BO150" s="2">
        <v>47.57</v>
      </c>
      <c r="BP150" s="2"/>
      <c r="BQ150" s="2" t="s">
        <v>109</v>
      </c>
      <c r="BR150" s="2" t="s">
        <v>123</v>
      </c>
      <c r="BS150" s="3">
        <v>42831</v>
      </c>
      <c r="BT150" s="4">
        <v>0.41666666666666669</v>
      </c>
      <c r="BU150" s="2" t="s">
        <v>110</v>
      </c>
      <c r="BV150" s="2" t="s">
        <v>111</v>
      </c>
      <c r="BW150" s="2"/>
      <c r="BX150" s="2"/>
      <c r="BY150" s="2">
        <v>6720</v>
      </c>
      <c r="BZ150" s="2" t="s">
        <v>27</v>
      </c>
      <c r="CA150" s="2" t="s">
        <v>106</v>
      </c>
      <c r="CB150" s="2"/>
      <c r="CC150" s="2" t="s">
        <v>100</v>
      </c>
      <c r="CD150" s="2">
        <v>6001</v>
      </c>
      <c r="CE150" s="2" t="s">
        <v>144</v>
      </c>
      <c r="CF150" s="5">
        <v>42831</v>
      </c>
      <c r="CG150" s="2"/>
      <c r="CH150" s="2"/>
      <c r="CI150" s="2">
        <v>1</v>
      </c>
      <c r="CJ150" s="2">
        <v>1</v>
      </c>
      <c r="CK150" s="2">
        <v>21</v>
      </c>
      <c r="CL150" s="2" t="s">
        <v>86</v>
      </c>
      <c r="CM150" s="2"/>
    </row>
    <row r="151" spans="1:91">
      <c r="A151" s="2" t="s">
        <v>71</v>
      </c>
      <c r="B151" s="2" t="s">
        <v>72</v>
      </c>
      <c r="C151" s="2" t="s">
        <v>73</v>
      </c>
      <c r="D151" s="2"/>
      <c r="E151" s="2" t="str">
        <f>"FES1162543402"</f>
        <v>FES1162543402</v>
      </c>
      <c r="F151" s="3">
        <v>42837</v>
      </c>
      <c r="G151" s="2">
        <v>201710</v>
      </c>
      <c r="H151" s="2" t="s">
        <v>74</v>
      </c>
      <c r="I151" s="2" t="s">
        <v>75</v>
      </c>
      <c r="J151" s="2" t="s">
        <v>76</v>
      </c>
      <c r="K151" s="2" t="s">
        <v>77</v>
      </c>
      <c r="L151" s="2" t="s">
        <v>99</v>
      </c>
      <c r="M151" s="2" t="s">
        <v>100</v>
      </c>
      <c r="N151" s="2" t="s">
        <v>481</v>
      </c>
      <c r="O151" s="2" t="s">
        <v>115</v>
      </c>
      <c r="P151" s="2" t="str">
        <f>"2170561700                    "</f>
        <v xml:space="preserve">2170561700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4.29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1</v>
      </c>
      <c r="BJ151" s="2">
        <v>0.2</v>
      </c>
      <c r="BK151" s="2">
        <v>1</v>
      </c>
      <c r="BL151" s="2">
        <v>41.73</v>
      </c>
      <c r="BM151" s="2">
        <v>5.84</v>
      </c>
      <c r="BN151" s="2">
        <v>47.57</v>
      </c>
      <c r="BO151" s="2">
        <v>47.57</v>
      </c>
      <c r="BP151" s="2"/>
      <c r="BQ151" s="2" t="s">
        <v>482</v>
      </c>
      <c r="BR151" s="2" t="s">
        <v>84</v>
      </c>
      <c r="BS151" s="3">
        <v>42838</v>
      </c>
      <c r="BT151" s="4">
        <v>0.34930555555555554</v>
      </c>
      <c r="BU151" s="2" t="s">
        <v>245</v>
      </c>
      <c r="BV151" s="2" t="s">
        <v>111</v>
      </c>
      <c r="BW151" s="2"/>
      <c r="BX151" s="2"/>
      <c r="BY151" s="2">
        <v>1200</v>
      </c>
      <c r="BZ151" s="2" t="s">
        <v>27</v>
      </c>
      <c r="CA151" s="2"/>
      <c r="CB151" s="2"/>
      <c r="CC151" s="2" t="s">
        <v>100</v>
      </c>
      <c r="CD151" s="2">
        <v>6001</v>
      </c>
      <c r="CE151" s="2" t="s">
        <v>118</v>
      </c>
      <c r="CF151" s="5">
        <v>42843</v>
      </c>
      <c r="CG151" s="2"/>
      <c r="CH151" s="2"/>
      <c r="CI151" s="2">
        <v>1</v>
      </c>
      <c r="CJ151" s="2">
        <v>1</v>
      </c>
      <c r="CK151" s="2">
        <v>21</v>
      </c>
      <c r="CL151" s="2" t="s">
        <v>86</v>
      </c>
      <c r="CM151" s="2"/>
    </row>
    <row r="152" spans="1:91">
      <c r="A152" s="2" t="s">
        <v>71</v>
      </c>
      <c r="B152" s="2" t="s">
        <v>72</v>
      </c>
      <c r="C152" s="2" t="s">
        <v>73</v>
      </c>
      <c r="D152" s="2"/>
      <c r="E152" s="2" t="str">
        <f>"FES1162541919"</f>
        <v>FES1162541919</v>
      </c>
      <c r="F152" s="3">
        <v>42831</v>
      </c>
      <c r="G152" s="2">
        <v>201710</v>
      </c>
      <c r="H152" s="2" t="s">
        <v>74</v>
      </c>
      <c r="I152" s="2" t="s">
        <v>75</v>
      </c>
      <c r="J152" s="2" t="s">
        <v>76</v>
      </c>
      <c r="K152" s="2" t="s">
        <v>77</v>
      </c>
      <c r="L152" s="2" t="s">
        <v>91</v>
      </c>
      <c r="M152" s="2" t="s">
        <v>92</v>
      </c>
      <c r="N152" s="2" t="s">
        <v>356</v>
      </c>
      <c r="O152" s="2" t="s">
        <v>115</v>
      </c>
      <c r="P152" s="2" t="str">
        <f>"2170560892                    "</f>
        <v xml:space="preserve">2170560892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3.35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1</v>
      </c>
      <c r="BJ152" s="2">
        <v>1</v>
      </c>
      <c r="BK152" s="2">
        <v>1</v>
      </c>
      <c r="BL152" s="2">
        <v>32.6</v>
      </c>
      <c r="BM152" s="2">
        <v>4.5599999999999996</v>
      </c>
      <c r="BN152" s="2">
        <v>37.159999999999997</v>
      </c>
      <c r="BO152" s="2">
        <v>37.159999999999997</v>
      </c>
      <c r="BP152" s="2"/>
      <c r="BQ152" s="2" t="s">
        <v>122</v>
      </c>
      <c r="BR152" s="2" t="s">
        <v>123</v>
      </c>
      <c r="BS152" s="3">
        <v>42832</v>
      </c>
      <c r="BT152" s="4">
        <v>0.41666666666666669</v>
      </c>
      <c r="BU152" s="2" t="s">
        <v>357</v>
      </c>
      <c r="BV152" s="2" t="s">
        <v>111</v>
      </c>
      <c r="BW152" s="2"/>
      <c r="BX152" s="2"/>
      <c r="BY152" s="2">
        <v>5132.6400000000003</v>
      </c>
      <c r="BZ152" s="2" t="s">
        <v>27</v>
      </c>
      <c r="CA152" s="2"/>
      <c r="CB152" s="2"/>
      <c r="CC152" s="2" t="s">
        <v>92</v>
      </c>
      <c r="CD152" s="2">
        <v>1422</v>
      </c>
      <c r="CE152" s="2" t="s">
        <v>89</v>
      </c>
      <c r="CF152" s="5">
        <v>42835</v>
      </c>
      <c r="CG152" s="2"/>
      <c r="CH152" s="2"/>
      <c r="CI152" s="2">
        <v>1</v>
      </c>
      <c r="CJ152" s="2">
        <v>1</v>
      </c>
      <c r="CK152" s="2">
        <v>22</v>
      </c>
      <c r="CL152" s="2" t="s">
        <v>86</v>
      </c>
      <c r="CM152" s="2"/>
    </row>
    <row r="153" spans="1:91">
      <c r="A153" s="2" t="s">
        <v>71</v>
      </c>
      <c r="B153" s="2" t="s">
        <v>72</v>
      </c>
      <c r="C153" s="2" t="s">
        <v>73</v>
      </c>
      <c r="D153" s="2"/>
      <c r="E153" s="2" t="str">
        <f>"FES1162541387"</f>
        <v>FES1162541387</v>
      </c>
      <c r="F153" s="3">
        <v>42829</v>
      </c>
      <c r="G153" s="2">
        <v>201710</v>
      </c>
      <c r="H153" s="2" t="s">
        <v>74</v>
      </c>
      <c r="I153" s="2" t="s">
        <v>75</v>
      </c>
      <c r="J153" s="2" t="s">
        <v>76</v>
      </c>
      <c r="K153" s="2" t="s">
        <v>77</v>
      </c>
      <c r="L153" s="2" t="s">
        <v>139</v>
      </c>
      <c r="M153" s="2" t="s">
        <v>140</v>
      </c>
      <c r="N153" s="2" t="s">
        <v>530</v>
      </c>
      <c r="O153" s="2" t="s">
        <v>115</v>
      </c>
      <c r="P153" s="2" t="str">
        <f>"2170560327                    "</f>
        <v xml:space="preserve">2170560327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4.42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1</v>
      </c>
      <c r="BJ153" s="2">
        <v>0.2</v>
      </c>
      <c r="BK153" s="2">
        <v>1</v>
      </c>
      <c r="BL153" s="2">
        <v>41.86</v>
      </c>
      <c r="BM153" s="2">
        <v>5.86</v>
      </c>
      <c r="BN153" s="2">
        <v>47.72</v>
      </c>
      <c r="BO153" s="2">
        <v>47.72</v>
      </c>
      <c r="BP153" s="2"/>
      <c r="BQ153" s="2" t="s">
        <v>531</v>
      </c>
      <c r="BR153" s="2" t="s">
        <v>123</v>
      </c>
      <c r="BS153" s="3">
        <v>42830</v>
      </c>
      <c r="BT153" s="4">
        <v>0.35833333333333334</v>
      </c>
      <c r="BU153" s="2" t="s">
        <v>532</v>
      </c>
      <c r="BV153" s="2" t="s">
        <v>111</v>
      </c>
      <c r="BW153" s="2"/>
      <c r="BX153" s="2"/>
      <c r="BY153" s="2">
        <v>1200</v>
      </c>
      <c r="BZ153" s="2" t="s">
        <v>27</v>
      </c>
      <c r="CA153" s="2"/>
      <c r="CB153" s="2"/>
      <c r="CC153" s="2" t="s">
        <v>140</v>
      </c>
      <c r="CD153" s="2">
        <v>157</v>
      </c>
      <c r="CE153" s="2" t="s">
        <v>118</v>
      </c>
      <c r="CF153" s="5">
        <v>42832</v>
      </c>
      <c r="CG153" s="2"/>
      <c r="CH153" s="2"/>
      <c r="CI153" s="2">
        <v>0</v>
      </c>
      <c r="CJ153" s="2">
        <v>0</v>
      </c>
      <c r="CK153" s="2">
        <v>21</v>
      </c>
      <c r="CL153" s="2" t="s">
        <v>86</v>
      </c>
      <c r="CM153" s="2"/>
    </row>
    <row r="154" spans="1:91">
      <c r="A154" s="2" t="s">
        <v>71</v>
      </c>
      <c r="B154" s="2" t="s">
        <v>72</v>
      </c>
      <c r="C154" s="2" t="s">
        <v>73</v>
      </c>
      <c r="D154" s="2"/>
      <c r="E154" s="2" t="str">
        <f>"FES1162542974"</f>
        <v>FES1162542974</v>
      </c>
      <c r="F154" s="3">
        <v>42836</v>
      </c>
      <c r="G154" s="2">
        <v>201710</v>
      </c>
      <c r="H154" s="2" t="s">
        <v>74</v>
      </c>
      <c r="I154" s="2" t="s">
        <v>75</v>
      </c>
      <c r="J154" s="2" t="s">
        <v>76</v>
      </c>
      <c r="K154" s="2" t="s">
        <v>77</v>
      </c>
      <c r="L154" s="2" t="s">
        <v>112</v>
      </c>
      <c r="M154" s="2" t="s">
        <v>113</v>
      </c>
      <c r="N154" s="2" t="s">
        <v>114</v>
      </c>
      <c r="O154" s="2" t="s">
        <v>115</v>
      </c>
      <c r="P154" s="2" t="str">
        <f>"2170561761                    "</f>
        <v xml:space="preserve">2170561761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24.65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11.5</v>
      </c>
      <c r="BJ154" s="2">
        <v>9.1999999999999993</v>
      </c>
      <c r="BK154" s="2">
        <v>11.5</v>
      </c>
      <c r="BL154" s="2">
        <v>239.93</v>
      </c>
      <c r="BM154" s="2">
        <v>33.590000000000003</v>
      </c>
      <c r="BN154" s="2">
        <v>273.52</v>
      </c>
      <c r="BO154" s="2">
        <v>273.52</v>
      </c>
      <c r="BP154" s="2"/>
      <c r="BQ154" s="2" t="s">
        <v>116</v>
      </c>
      <c r="BR154" s="2" t="s">
        <v>123</v>
      </c>
      <c r="BS154" s="3">
        <v>42837</v>
      </c>
      <c r="BT154" s="4">
        <v>0.375</v>
      </c>
      <c r="BU154" s="2" t="s">
        <v>533</v>
      </c>
      <c r="BV154" s="2" t="s">
        <v>111</v>
      </c>
      <c r="BW154" s="2"/>
      <c r="BX154" s="2"/>
      <c r="BY154" s="2">
        <v>45852.800000000003</v>
      </c>
      <c r="BZ154" s="2" t="s">
        <v>27</v>
      </c>
      <c r="CA154" s="2"/>
      <c r="CB154" s="2"/>
      <c r="CC154" s="2" t="s">
        <v>113</v>
      </c>
      <c r="CD154" s="2">
        <v>3201</v>
      </c>
      <c r="CE154" s="2" t="s">
        <v>287</v>
      </c>
      <c r="CF154" s="5">
        <v>42843</v>
      </c>
      <c r="CG154" s="2"/>
      <c r="CH154" s="2"/>
      <c r="CI154" s="2">
        <v>1</v>
      </c>
      <c r="CJ154" s="2">
        <v>1</v>
      </c>
      <c r="CK154" s="2">
        <v>21</v>
      </c>
      <c r="CL154" s="2" t="s">
        <v>86</v>
      </c>
      <c r="CM154" s="2"/>
    </row>
    <row r="155" spans="1:91">
      <c r="A155" s="2" t="s">
        <v>71</v>
      </c>
      <c r="B155" s="2" t="s">
        <v>72</v>
      </c>
      <c r="C155" s="2" t="s">
        <v>73</v>
      </c>
      <c r="D155" s="2"/>
      <c r="E155" s="2" t="str">
        <f>"FES1162540331"</f>
        <v>FES1162540331</v>
      </c>
      <c r="F155" s="3">
        <v>42830</v>
      </c>
      <c r="G155" s="2">
        <v>201710</v>
      </c>
      <c r="H155" s="2" t="s">
        <v>74</v>
      </c>
      <c r="I155" s="2" t="s">
        <v>75</v>
      </c>
      <c r="J155" s="2" t="s">
        <v>76</v>
      </c>
      <c r="K155" s="2" t="s">
        <v>77</v>
      </c>
      <c r="L155" s="2" t="s">
        <v>74</v>
      </c>
      <c r="M155" s="2" t="s">
        <v>75</v>
      </c>
      <c r="N155" s="2" t="s">
        <v>534</v>
      </c>
      <c r="O155" s="2" t="s">
        <v>115</v>
      </c>
      <c r="P155" s="2" t="str">
        <f>"2170559483                    "</f>
        <v xml:space="preserve">2170559483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3.35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2</v>
      </c>
      <c r="BJ155" s="2">
        <v>1.8</v>
      </c>
      <c r="BK155" s="2">
        <v>2</v>
      </c>
      <c r="BL155" s="2">
        <v>32.6</v>
      </c>
      <c r="BM155" s="2">
        <v>4.5599999999999996</v>
      </c>
      <c r="BN155" s="2">
        <v>37.159999999999997</v>
      </c>
      <c r="BO155" s="2">
        <v>37.159999999999997</v>
      </c>
      <c r="BP155" s="2"/>
      <c r="BQ155" s="2" t="s">
        <v>535</v>
      </c>
      <c r="BR155" s="2" t="s">
        <v>123</v>
      </c>
      <c r="BS155" s="3">
        <v>42831</v>
      </c>
      <c r="BT155" s="4">
        <v>0.33333333333333331</v>
      </c>
      <c r="BU155" s="2" t="s">
        <v>536</v>
      </c>
      <c r="BV155" s="2" t="s">
        <v>111</v>
      </c>
      <c r="BW155" s="2"/>
      <c r="BX155" s="2"/>
      <c r="BY155" s="2">
        <v>9200.4599999999991</v>
      </c>
      <c r="BZ155" s="2" t="s">
        <v>27</v>
      </c>
      <c r="CA155" s="2"/>
      <c r="CB155" s="2"/>
      <c r="CC155" s="2" t="s">
        <v>75</v>
      </c>
      <c r="CD155" s="2">
        <v>1601</v>
      </c>
      <c r="CE155" s="2" t="s">
        <v>89</v>
      </c>
      <c r="CF155" s="5">
        <v>42832</v>
      </c>
      <c r="CG155" s="2"/>
      <c r="CH155" s="2"/>
      <c r="CI155" s="2">
        <v>1</v>
      </c>
      <c r="CJ155" s="2">
        <v>1</v>
      </c>
      <c r="CK155" s="2">
        <v>22</v>
      </c>
      <c r="CL155" s="2" t="s">
        <v>86</v>
      </c>
      <c r="CM155" s="2"/>
    </row>
    <row r="156" spans="1:91">
      <c r="A156" s="2" t="s">
        <v>71</v>
      </c>
      <c r="B156" s="2" t="s">
        <v>72</v>
      </c>
      <c r="C156" s="2" t="s">
        <v>73</v>
      </c>
      <c r="D156" s="2"/>
      <c r="E156" s="2" t="str">
        <f>"FES1162541198"</f>
        <v>FES1162541198</v>
      </c>
      <c r="F156" s="3">
        <v>42829</v>
      </c>
      <c r="G156" s="2">
        <v>201710</v>
      </c>
      <c r="H156" s="2" t="s">
        <v>74</v>
      </c>
      <c r="I156" s="2" t="s">
        <v>75</v>
      </c>
      <c r="J156" s="2" t="s">
        <v>200</v>
      </c>
      <c r="K156" s="2" t="s">
        <v>77</v>
      </c>
      <c r="L156" s="2" t="s">
        <v>537</v>
      </c>
      <c r="M156" s="2" t="s">
        <v>538</v>
      </c>
      <c r="N156" s="2" t="s">
        <v>539</v>
      </c>
      <c r="O156" s="2" t="s">
        <v>115</v>
      </c>
      <c r="P156" s="2" t="str">
        <f>"2170560121                    "</f>
        <v xml:space="preserve">2170560121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234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8.57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450</v>
      </c>
      <c r="BH156" s="2">
        <v>1</v>
      </c>
      <c r="BI156" s="2">
        <v>1</v>
      </c>
      <c r="BJ156" s="2">
        <v>0.2</v>
      </c>
      <c r="BK156" s="2">
        <v>1</v>
      </c>
      <c r="BL156" s="2">
        <v>765.11</v>
      </c>
      <c r="BM156" s="2">
        <v>107.12</v>
      </c>
      <c r="BN156" s="2">
        <v>872.23</v>
      </c>
      <c r="BO156" s="2">
        <v>872.23</v>
      </c>
      <c r="BP156" s="2" t="s">
        <v>540</v>
      </c>
      <c r="BQ156" s="2" t="s">
        <v>541</v>
      </c>
      <c r="BR156" s="2" t="s">
        <v>204</v>
      </c>
      <c r="BS156" s="3">
        <v>42830</v>
      </c>
      <c r="BT156" s="4">
        <v>0.3298611111111111</v>
      </c>
      <c r="BU156" s="2" t="s">
        <v>542</v>
      </c>
      <c r="BV156" s="2" t="s">
        <v>111</v>
      </c>
      <c r="BW156" s="2"/>
      <c r="BX156" s="2"/>
      <c r="BY156" s="2">
        <v>1200</v>
      </c>
      <c r="BZ156" s="2" t="s">
        <v>543</v>
      </c>
      <c r="CA156" s="2"/>
      <c r="CB156" s="2"/>
      <c r="CC156" s="2" t="s">
        <v>538</v>
      </c>
      <c r="CD156" s="2">
        <v>4339</v>
      </c>
      <c r="CE156" s="2" t="s">
        <v>118</v>
      </c>
      <c r="CF156" s="5">
        <v>42831</v>
      </c>
      <c r="CG156" s="2"/>
      <c r="CH156" s="2"/>
      <c r="CI156" s="2">
        <v>1</v>
      </c>
      <c r="CJ156" s="2">
        <v>1</v>
      </c>
      <c r="CK156" s="2">
        <v>23</v>
      </c>
      <c r="CL156" s="2" t="s">
        <v>111</v>
      </c>
      <c r="CM156" s="4">
        <v>0.3298611111111111</v>
      </c>
    </row>
    <row r="157" spans="1:91">
      <c r="A157" s="2" t="s">
        <v>71</v>
      </c>
      <c r="B157" s="2" t="s">
        <v>72</v>
      </c>
      <c r="C157" s="2" t="s">
        <v>73</v>
      </c>
      <c r="D157" s="2"/>
      <c r="E157" s="2" t="str">
        <f>"FES1162543158"</f>
        <v>FES1162543158</v>
      </c>
      <c r="F157" s="3">
        <v>42837</v>
      </c>
      <c r="G157" s="2">
        <v>201710</v>
      </c>
      <c r="H157" s="2" t="s">
        <v>74</v>
      </c>
      <c r="I157" s="2" t="s">
        <v>75</v>
      </c>
      <c r="J157" s="2" t="s">
        <v>76</v>
      </c>
      <c r="K157" s="2" t="s">
        <v>77</v>
      </c>
      <c r="L157" s="2" t="s">
        <v>99</v>
      </c>
      <c r="M157" s="2" t="s">
        <v>100</v>
      </c>
      <c r="N157" s="2" t="s">
        <v>151</v>
      </c>
      <c r="O157" s="2" t="s">
        <v>115</v>
      </c>
      <c r="P157" s="2" t="str">
        <f>"2170561943                    "</f>
        <v xml:space="preserve">2170561943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8.57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3.6</v>
      </c>
      <c r="BJ157" s="2">
        <v>1.7</v>
      </c>
      <c r="BK157" s="2">
        <v>4</v>
      </c>
      <c r="BL157" s="2">
        <v>83.45</v>
      </c>
      <c r="BM157" s="2">
        <v>11.68</v>
      </c>
      <c r="BN157" s="2">
        <v>95.13</v>
      </c>
      <c r="BO157" s="2">
        <v>95.13</v>
      </c>
      <c r="BP157" s="2"/>
      <c r="BQ157" s="2" t="s">
        <v>152</v>
      </c>
      <c r="BR157" s="2" t="s">
        <v>84</v>
      </c>
      <c r="BS157" s="3">
        <v>42838</v>
      </c>
      <c r="BT157" s="4">
        <v>0.33680555555555558</v>
      </c>
      <c r="BU157" s="2" t="s">
        <v>544</v>
      </c>
      <c r="BV157" s="2" t="s">
        <v>111</v>
      </c>
      <c r="BW157" s="2"/>
      <c r="BX157" s="2"/>
      <c r="BY157" s="2">
        <v>8426.42</v>
      </c>
      <c r="BZ157" s="2" t="s">
        <v>27</v>
      </c>
      <c r="CA157" s="2"/>
      <c r="CB157" s="2"/>
      <c r="CC157" s="2" t="s">
        <v>100</v>
      </c>
      <c r="CD157" s="2">
        <v>6001</v>
      </c>
      <c r="CE157" s="2" t="s">
        <v>89</v>
      </c>
      <c r="CF157" s="5">
        <v>42843</v>
      </c>
      <c r="CG157" s="2"/>
      <c r="CH157" s="2"/>
      <c r="CI157" s="2">
        <v>1</v>
      </c>
      <c r="CJ157" s="2">
        <v>1</v>
      </c>
      <c r="CK157" s="2">
        <v>21</v>
      </c>
      <c r="CL157" s="2" t="s">
        <v>86</v>
      </c>
      <c r="CM157" s="2"/>
    </row>
    <row r="158" spans="1:91">
      <c r="A158" s="2" t="s">
        <v>71</v>
      </c>
      <c r="B158" s="2" t="s">
        <v>72</v>
      </c>
      <c r="C158" s="2" t="s">
        <v>73</v>
      </c>
      <c r="D158" s="2"/>
      <c r="E158" s="2" t="str">
        <f>"FES1162541871"</f>
        <v>FES1162541871</v>
      </c>
      <c r="F158" s="3">
        <v>42831</v>
      </c>
      <c r="G158" s="2">
        <v>201710</v>
      </c>
      <c r="H158" s="2" t="s">
        <v>74</v>
      </c>
      <c r="I158" s="2" t="s">
        <v>75</v>
      </c>
      <c r="J158" s="2" t="s">
        <v>76</v>
      </c>
      <c r="K158" s="2" t="s">
        <v>77</v>
      </c>
      <c r="L158" s="2" t="s">
        <v>166</v>
      </c>
      <c r="M158" s="2" t="s">
        <v>167</v>
      </c>
      <c r="N158" s="2" t="s">
        <v>283</v>
      </c>
      <c r="O158" s="2" t="s">
        <v>115</v>
      </c>
      <c r="P158" s="2" t="str">
        <f>"2170560875                    "</f>
        <v xml:space="preserve">2170560875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3.35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</v>
      </c>
      <c r="BJ158" s="2">
        <v>0.2</v>
      </c>
      <c r="BK158" s="2">
        <v>1</v>
      </c>
      <c r="BL158" s="2">
        <v>32.6</v>
      </c>
      <c r="BM158" s="2">
        <v>4.5599999999999996</v>
      </c>
      <c r="BN158" s="2">
        <v>37.159999999999997</v>
      </c>
      <c r="BO158" s="2">
        <v>37.159999999999997</v>
      </c>
      <c r="BP158" s="2"/>
      <c r="BQ158" s="2" t="s">
        <v>122</v>
      </c>
      <c r="BR158" s="2" t="s">
        <v>123</v>
      </c>
      <c r="BS158" s="3">
        <v>42832</v>
      </c>
      <c r="BT158" s="4">
        <v>0.38680555555555557</v>
      </c>
      <c r="BU158" s="2" t="s">
        <v>512</v>
      </c>
      <c r="BV158" s="2" t="s">
        <v>111</v>
      </c>
      <c r="BW158" s="2"/>
      <c r="BX158" s="2"/>
      <c r="BY158" s="2">
        <v>1200</v>
      </c>
      <c r="BZ158" s="2" t="s">
        <v>27</v>
      </c>
      <c r="CA158" s="2" t="s">
        <v>171</v>
      </c>
      <c r="CB158" s="2"/>
      <c r="CC158" s="2" t="s">
        <v>167</v>
      </c>
      <c r="CD158" s="2">
        <v>2011</v>
      </c>
      <c r="CE158" s="2" t="s">
        <v>118</v>
      </c>
      <c r="CF158" s="5">
        <v>42835</v>
      </c>
      <c r="CG158" s="2"/>
      <c r="CH158" s="2"/>
      <c r="CI158" s="2">
        <v>1</v>
      </c>
      <c r="CJ158" s="2">
        <v>1</v>
      </c>
      <c r="CK158" s="2">
        <v>22</v>
      </c>
      <c r="CL158" s="2" t="s">
        <v>86</v>
      </c>
      <c r="CM158" s="2"/>
    </row>
    <row r="159" spans="1:91">
      <c r="A159" s="2" t="s">
        <v>71</v>
      </c>
      <c r="B159" s="2" t="s">
        <v>72</v>
      </c>
      <c r="C159" s="2" t="s">
        <v>73</v>
      </c>
      <c r="D159" s="2"/>
      <c r="E159" s="2" t="str">
        <f>"FES1162542750"</f>
        <v>FES1162542750</v>
      </c>
      <c r="F159" s="3">
        <v>42836</v>
      </c>
      <c r="G159" s="2">
        <v>201710</v>
      </c>
      <c r="H159" s="2" t="s">
        <v>74</v>
      </c>
      <c r="I159" s="2" t="s">
        <v>75</v>
      </c>
      <c r="J159" s="2" t="s">
        <v>76</v>
      </c>
      <c r="K159" s="2" t="s">
        <v>77</v>
      </c>
      <c r="L159" s="2" t="s">
        <v>166</v>
      </c>
      <c r="M159" s="2" t="s">
        <v>167</v>
      </c>
      <c r="N159" s="2" t="s">
        <v>168</v>
      </c>
      <c r="O159" s="2" t="s">
        <v>115</v>
      </c>
      <c r="P159" s="2" t="str">
        <f>"2170561638                    "</f>
        <v xml:space="preserve">2170561638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3.35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1</v>
      </c>
      <c r="BJ159" s="2">
        <v>0.2</v>
      </c>
      <c r="BK159" s="2">
        <v>1</v>
      </c>
      <c r="BL159" s="2">
        <v>32.6</v>
      </c>
      <c r="BM159" s="2">
        <v>4.5599999999999996</v>
      </c>
      <c r="BN159" s="2">
        <v>37.159999999999997</v>
      </c>
      <c r="BO159" s="2">
        <v>37.159999999999997</v>
      </c>
      <c r="BP159" s="2"/>
      <c r="BQ159" s="2" t="s">
        <v>169</v>
      </c>
      <c r="BR159" s="2" t="s">
        <v>123</v>
      </c>
      <c r="BS159" s="3">
        <v>42837</v>
      </c>
      <c r="BT159" s="4">
        <v>0.39583333333333331</v>
      </c>
      <c r="BU159" s="2" t="s">
        <v>170</v>
      </c>
      <c r="BV159" s="2" t="s">
        <v>111</v>
      </c>
      <c r="BW159" s="2"/>
      <c r="BX159" s="2"/>
      <c r="BY159" s="2">
        <v>1200</v>
      </c>
      <c r="BZ159" s="2" t="s">
        <v>27</v>
      </c>
      <c r="CA159" s="2" t="s">
        <v>171</v>
      </c>
      <c r="CB159" s="2"/>
      <c r="CC159" s="2" t="s">
        <v>167</v>
      </c>
      <c r="CD159" s="2">
        <v>2094</v>
      </c>
      <c r="CE159" s="2" t="s">
        <v>118</v>
      </c>
      <c r="CF159" s="5">
        <v>42837</v>
      </c>
      <c r="CG159" s="2"/>
      <c r="CH159" s="2"/>
      <c r="CI159" s="2">
        <v>1</v>
      </c>
      <c r="CJ159" s="2">
        <v>1</v>
      </c>
      <c r="CK159" s="2">
        <v>22</v>
      </c>
      <c r="CL159" s="2" t="s">
        <v>86</v>
      </c>
      <c r="CM159" s="2"/>
    </row>
    <row r="160" spans="1:91">
      <c r="A160" s="2" t="s">
        <v>71</v>
      </c>
      <c r="B160" s="2" t="s">
        <v>72</v>
      </c>
      <c r="C160" s="2" t="s">
        <v>73</v>
      </c>
      <c r="D160" s="2"/>
      <c r="E160" s="2" t="str">
        <f>"FES1162541661"</f>
        <v>FES1162541661</v>
      </c>
      <c r="F160" s="3">
        <v>42830</v>
      </c>
      <c r="G160" s="2">
        <v>201710</v>
      </c>
      <c r="H160" s="2" t="s">
        <v>74</v>
      </c>
      <c r="I160" s="2" t="s">
        <v>75</v>
      </c>
      <c r="J160" s="2" t="s">
        <v>76</v>
      </c>
      <c r="K160" s="2" t="s">
        <v>77</v>
      </c>
      <c r="L160" s="2" t="s">
        <v>99</v>
      </c>
      <c r="M160" s="2" t="s">
        <v>100</v>
      </c>
      <c r="N160" s="2" t="s">
        <v>151</v>
      </c>
      <c r="O160" s="2" t="s">
        <v>115</v>
      </c>
      <c r="P160" s="2" t="str">
        <f>"2170558545                    "</f>
        <v xml:space="preserve">2170558545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4.29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41.73</v>
      </c>
      <c r="BM160" s="2">
        <v>5.84</v>
      </c>
      <c r="BN160" s="2">
        <v>47.57</v>
      </c>
      <c r="BO160" s="2">
        <v>47.57</v>
      </c>
      <c r="BP160" s="2"/>
      <c r="BQ160" s="2" t="s">
        <v>152</v>
      </c>
      <c r="BR160" s="2" t="s">
        <v>123</v>
      </c>
      <c r="BS160" s="3">
        <v>42831</v>
      </c>
      <c r="BT160" s="4">
        <v>0.51736111111111105</v>
      </c>
      <c r="BU160" s="2" t="s">
        <v>545</v>
      </c>
      <c r="BV160" s="2" t="s">
        <v>86</v>
      </c>
      <c r="BW160" s="2"/>
      <c r="BX160" s="2"/>
      <c r="BY160" s="2">
        <v>1200</v>
      </c>
      <c r="BZ160" s="2" t="s">
        <v>27</v>
      </c>
      <c r="CA160" s="2"/>
      <c r="CB160" s="2"/>
      <c r="CC160" s="2" t="s">
        <v>100</v>
      </c>
      <c r="CD160" s="2">
        <v>6001</v>
      </c>
      <c r="CE160" s="2" t="s">
        <v>144</v>
      </c>
      <c r="CF160" s="5">
        <v>42832</v>
      </c>
      <c r="CG160" s="2"/>
      <c r="CH160" s="2"/>
      <c r="CI160" s="2">
        <v>1</v>
      </c>
      <c r="CJ160" s="2">
        <v>1</v>
      </c>
      <c r="CK160" s="2">
        <v>21</v>
      </c>
      <c r="CL160" s="2" t="s">
        <v>86</v>
      </c>
      <c r="CM160" s="2"/>
    </row>
    <row r="161" spans="1:91">
      <c r="A161" s="2" t="s">
        <v>71</v>
      </c>
      <c r="B161" s="2" t="s">
        <v>72</v>
      </c>
      <c r="C161" s="2" t="s">
        <v>73</v>
      </c>
      <c r="D161" s="2"/>
      <c r="E161" s="2" t="str">
        <f>"FES1162543404"</f>
        <v>FES1162543404</v>
      </c>
      <c r="F161" s="3">
        <v>42837</v>
      </c>
      <c r="G161" s="2">
        <v>201710</v>
      </c>
      <c r="H161" s="2" t="s">
        <v>74</v>
      </c>
      <c r="I161" s="2" t="s">
        <v>75</v>
      </c>
      <c r="J161" s="2" t="s">
        <v>76</v>
      </c>
      <c r="K161" s="2" t="s">
        <v>77</v>
      </c>
      <c r="L161" s="2" t="s">
        <v>358</v>
      </c>
      <c r="M161" s="2" t="s">
        <v>359</v>
      </c>
      <c r="N161" s="2" t="s">
        <v>546</v>
      </c>
      <c r="O161" s="2" t="s">
        <v>115</v>
      </c>
      <c r="P161" s="2" t="str">
        <f>"2170562016                    "</f>
        <v xml:space="preserve">2170562016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6.43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2.8</v>
      </c>
      <c r="BJ161" s="2">
        <v>1.7</v>
      </c>
      <c r="BK161" s="2">
        <v>3</v>
      </c>
      <c r="BL161" s="2">
        <v>62.59</v>
      </c>
      <c r="BM161" s="2">
        <v>8.76</v>
      </c>
      <c r="BN161" s="2">
        <v>71.349999999999994</v>
      </c>
      <c r="BO161" s="2">
        <v>71.349999999999994</v>
      </c>
      <c r="BP161" s="2"/>
      <c r="BQ161" s="2" t="s">
        <v>547</v>
      </c>
      <c r="BR161" s="2" t="s">
        <v>84</v>
      </c>
      <c r="BS161" s="3">
        <v>42838</v>
      </c>
      <c r="BT161" s="4">
        <v>0.33333333333333331</v>
      </c>
      <c r="BU161" s="2" t="s">
        <v>548</v>
      </c>
      <c r="BV161" s="2" t="s">
        <v>111</v>
      </c>
      <c r="BW161" s="2"/>
      <c r="BX161" s="2"/>
      <c r="BY161" s="2">
        <v>8609.33</v>
      </c>
      <c r="BZ161" s="2" t="s">
        <v>27</v>
      </c>
      <c r="CA161" s="2" t="s">
        <v>159</v>
      </c>
      <c r="CB161" s="2"/>
      <c r="CC161" s="2" t="s">
        <v>359</v>
      </c>
      <c r="CD161" s="2">
        <v>6230</v>
      </c>
      <c r="CE161" s="2" t="s">
        <v>89</v>
      </c>
      <c r="CF161" s="5">
        <v>42843</v>
      </c>
      <c r="CG161" s="2"/>
      <c r="CH161" s="2"/>
      <c r="CI161" s="2">
        <v>1</v>
      </c>
      <c r="CJ161" s="2">
        <v>1</v>
      </c>
      <c r="CK161" s="2">
        <v>21</v>
      </c>
      <c r="CL161" s="2" t="s">
        <v>86</v>
      </c>
      <c r="CM161" s="2"/>
    </row>
    <row r="162" spans="1:91">
      <c r="A162" s="2" t="s">
        <v>71</v>
      </c>
      <c r="B162" s="2" t="s">
        <v>72</v>
      </c>
      <c r="C162" s="2" t="s">
        <v>73</v>
      </c>
      <c r="D162" s="2"/>
      <c r="E162" s="2" t="str">
        <f>"FES1162541977"</f>
        <v>FES1162541977</v>
      </c>
      <c r="F162" s="3">
        <v>42831</v>
      </c>
      <c r="G162" s="2">
        <v>201710</v>
      </c>
      <c r="H162" s="2" t="s">
        <v>74</v>
      </c>
      <c r="I162" s="2" t="s">
        <v>75</v>
      </c>
      <c r="J162" s="2" t="s">
        <v>76</v>
      </c>
      <c r="K162" s="2" t="s">
        <v>77</v>
      </c>
      <c r="L162" s="2" t="s">
        <v>91</v>
      </c>
      <c r="M162" s="2" t="s">
        <v>92</v>
      </c>
      <c r="N162" s="2" t="s">
        <v>356</v>
      </c>
      <c r="O162" s="2" t="s">
        <v>115</v>
      </c>
      <c r="P162" s="2" t="str">
        <f>"2170557988                    "</f>
        <v xml:space="preserve">2170557988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3.35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</v>
      </c>
      <c r="BJ162" s="2">
        <v>0.2</v>
      </c>
      <c r="BK162" s="2">
        <v>1</v>
      </c>
      <c r="BL162" s="2">
        <v>32.6</v>
      </c>
      <c r="BM162" s="2">
        <v>4.5599999999999996</v>
      </c>
      <c r="BN162" s="2">
        <v>37.159999999999997</v>
      </c>
      <c r="BO162" s="2">
        <v>37.159999999999997</v>
      </c>
      <c r="BP162" s="2"/>
      <c r="BQ162" s="2" t="s">
        <v>122</v>
      </c>
      <c r="BR162" s="2" t="s">
        <v>123</v>
      </c>
      <c r="BS162" s="3">
        <v>42832</v>
      </c>
      <c r="BT162" s="4">
        <v>0.41666666666666669</v>
      </c>
      <c r="BU162" s="2" t="s">
        <v>357</v>
      </c>
      <c r="BV162" s="2" t="s">
        <v>111</v>
      </c>
      <c r="BW162" s="2"/>
      <c r="BX162" s="2"/>
      <c r="BY162" s="2">
        <v>1200</v>
      </c>
      <c r="BZ162" s="2" t="s">
        <v>27</v>
      </c>
      <c r="CA162" s="2"/>
      <c r="CB162" s="2"/>
      <c r="CC162" s="2" t="s">
        <v>92</v>
      </c>
      <c r="CD162" s="2">
        <v>1422</v>
      </c>
      <c r="CE162" s="2" t="s">
        <v>118</v>
      </c>
      <c r="CF162" s="5">
        <v>42835</v>
      </c>
      <c r="CG162" s="2"/>
      <c r="CH162" s="2"/>
      <c r="CI162" s="2">
        <v>1</v>
      </c>
      <c r="CJ162" s="2">
        <v>1</v>
      </c>
      <c r="CK162" s="2">
        <v>22</v>
      </c>
      <c r="CL162" s="2" t="s">
        <v>86</v>
      </c>
      <c r="CM162" s="2"/>
    </row>
    <row r="163" spans="1:91">
      <c r="A163" s="2" t="s">
        <v>71</v>
      </c>
      <c r="B163" s="2" t="s">
        <v>72</v>
      </c>
      <c r="C163" s="2" t="s">
        <v>73</v>
      </c>
      <c r="D163" s="2"/>
      <c r="E163" s="2" t="str">
        <f>"FES1162541421"</f>
        <v>FES1162541421</v>
      </c>
      <c r="F163" s="3">
        <v>42829</v>
      </c>
      <c r="G163" s="2">
        <v>201710</v>
      </c>
      <c r="H163" s="2" t="s">
        <v>74</v>
      </c>
      <c r="I163" s="2" t="s">
        <v>75</v>
      </c>
      <c r="J163" s="2" t="s">
        <v>76</v>
      </c>
      <c r="K163" s="2" t="s">
        <v>77</v>
      </c>
      <c r="L163" s="2" t="s">
        <v>180</v>
      </c>
      <c r="M163" s="2" t="s">
        <v>181</v>
      </c>
      <c r="N163" s="2" t="s">
        <v>182</v>
      </c>
      <c r="O163" s="2" t="s">
        <v>115</v>
      </c>
      <c r="P163" s="2" t="str">
        <f>"2170560508                    "</f>
        <v xml:space="preserve">2170560508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4.42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1.4</v>
      </c>
      <c r="BJ163" s="2">
        <v>0.2</v>
      </c>
      <c r="BK163" s="2">
        <v>1.5</v>
      </c>
      <c r="BL163" s="2">
        <v>41.86</v>
      </c>
      <c r="BM163" s="2">
        <v>5.86</v>
      </c>
      <c r="BN163" s="2">
        <v>47.72</v>
      </c>
      <c r="BO163" s="2">
        <v>47.72</v>
      </c>
      <c r="BP163" s="2"/>
      <c r="BQ163" s="2" t="s">
        <v>183</v>
      </c>
      <c r="BR163" s="2" t="s">
        <v>123</v>
      </c>
      <c r="BS163" s="3">
        <v>42830</v>
      </c>
      <c r="BT163" s="4">
        <v>0.4375</v>
      </c>
      <c r="BU163" s="2" t="s">
        <v>130</v>
      </c>
      <c r="BV163" s="2" t="s">
        <v>111</v>
      </c>
      <c r="BW163" s="2"/>
      <c r="BX163" s="2"/>
      <c r="BY163" s="2">
        <v>1200</v>
      </c>
      <c r="BZ163" s="2" t="s">
        <v>27</v>
      </c>
      <c r="CA163" s="2"/>
      <c r="CB163" s="2"/>
      <c r="CC163" s="2" t="s">
        <v>181</v>
      </c>
      <c r="CD163" s="2">
        <v>4001</v>
      </c>
      <c r="CE163" s="2" t="s">
        <v>118</v>
      </c>
      <c r="CF163" s="5">
        <v>42831</v>
      </c>
      <c r="CG163" s="2"/>
      <c r="CH163" s="2"/>
      <c r="CI163" s="2">
        <v>1</v>
      </c>
      <c r="CJ163" s="2">
        <v>1</v>
      </c>
      <c r="CK163" s="2">
        <v>21</v>
      </c>
      <c r="CL163" s="2" t="s">
        <v>86</v>
      </c>
      <c r="CM163" s="2"/>
    </row>
    <row r="164" spans="1:91">
      <c r="A164" s="2" t="s">
        <v>71</v>
      </c>
      <c r="B164" s="2" t="s">
        <v>72</v>
      </c>
      <c r="C164" s="2" t="s">
        <v>73</v>
      </c>
      <c r="D164" s="2"/>
      <c r="E164" s="2" t="str">
        <f>"FES1162542762"</f>
        <v>FES1162542762</v>
      </c>
      <c r="F164" s="3">
        <v>42836</v>
      </c>
      <c r="G164" s="2">
        <v>201710</v>
      </c>
      <c r="H164" s="2" t="s">
        <v>74</v>
      </c>
      <c r="I164" s="2" t="s">
        <v>75</v>
      </c>
      <c r="J164" s="2" t="s">
        <v>76</v>
      </c>
      <c r="K164" s="2" t="s">
        <v>77</v>
      </c>
      <c r="L164" s="2" t="s">
        <v>166</v>
      </c>
      <c r="M164" s="2" t="s">
        <v>167</v>
      </c>
      <c r="N164" s="2" t="s">
        <v>168</v>
      </c>
      <c r="O164" s="2" t="s">
        <v>115</v>
      </c>
      <c r="P164" s="2" t="str">
        <f>"2170561658                    "</f>
        <v xml:space="preserve">2170561658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3.35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0.2</v>
      </c>
      <c r="BK164" s="2">
        <v>1</v>
      </c>
      <c r="BL164" s="2">
        <v>32.6</v>
      </c>
      <c r="BM164" s="2">
        <v>4.5599999999999996</v>
      </c>
      <c r="BN164" s="2">
        <v>37.159999999999997</v>
      </c>
      <c r="BO164" s="2">
        <v>37.159999999999997</v>
      </c>
      <c r="BP164" s="2"/>
      <c r="BQ164" s="2" t="s">
        <v>169</v>
      </c>
      <c r="BR164" s="2" t="s">
        <v>123</v>
      </c>
      <c r="BS164" s="3">
        <v>42837</v>
      </c>
      <c r="BT164" s="4">
        <v>0.3888888888888889</v>
      </c>
      <c r="BU164" s="2" t="s">
        <v>170</v>
      </c>
      <c r="BV164" s="2" t="s">
        <v>111</v>
      </c>
      <c r="BW164" s="2"/>
      <c r="BX164" s="2"/>
      <c r="BY164" s="2">
        <v>1200</v>
      </c>
      <c r="BZ164" s="2" t="s">
        <v>27</v>
      </c>
      <c r="CA164" s="2" t="s">
        <v>171</v>
      </c>
      <c r="CB164" s="2"/>
      <c r="CC164" s="2" t="s">
        <v>167</v>
      </c>
      <c r="CD164" s="2">
        <v>2094</v>
      </c>
      <c r="CE164" s="2" t="s">
        <v>118</v>
      </c>
      <c r="CF164" s="5">
        <v>42837</v>
      </c>
      <c r="CG164" s="2"/>
      <c r="CH164" s="2"/>
      <c r="CI164" s="2">
        <v>1</v>
      </c>
      <c r="CJ164" s="2">
        <v>1</v>
      </c>
      <c r="CK164" s="2">
        <v>22</v>
      </c>
      <c r="CL164" s="2" t="s">
        <v>86</v>
      </c>
      <c r="CM164" s="2"/>
    </row>
    <row r="165" spans="1:91">
      <c r="A165" s="2" t="s">
        <v>71</v>
      </c>
      <c r="B165" s="2" t="s">
        <v>72</v>
      </c>
      <c r="C165" s="2" t="s">
        <v>73</v>
      </c>
      <c r="D165" s="2"/>
      <c r="E165" s="2" t="str">
        <f>"FES1162541767"</f>
        <v>FES1162541767</v>
      </c>
      <c r="F165" s="3">
        <v>42830</v>
      </c>
      <c r="G165" s="2">
        <v>201710</v>
      </c>
      <c r="H165" s="2" t="s">
        <v>74</v>
      </c>
      <c r="I165" s="2" t="s">
        <v>75</v>
      </c>
      <c r="J165" s="2" t="s">
        <v>76</v>
      </c>
      <c r="K165" s="2" t="s">
        <v>77</v>
      </c>
      <c r="L165" s="2" t="s">
        <v>549</v>
      </c>
      <c r="M165" s="2" t="s">
        <v>550</v>
      </c>
      <c r="N165" s="2" t="s">
        <v>551</v>
      </c>
      <c r="O165" s="2" t="s">
        <v>115</v>
      </c>
      <c r="P165" s="2" t="str">
        <f>"2170560119                    "</f>
        <v xml:space="preserve">2170560119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5.36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2.4</v>
      </c>
      <c r="BJ165" s="2">
        <v>1.4</v>
      </c>
      <c r="BK165" s="2">
        <v>2.5</v>
      </c>
      <c r="BL165" s="2">
        <v>52.16</v>
      </c>
      <c r="BM165" s="2">
        <v>7.3</v>
      </c>
      <c r="BN165" s="2">
        <v>59.46</v>
      </c>
      <c r="BO165" s="2">
        <v>59.46</v>
      </c>
      <c r="BP165" s="2"/>
      <c r="BQ165" s="2" t="s">
        <v>552</v>
      </c>
      <c r="BR165" s="2" t="s">
        <v>123</v>
      </c>
      <c r="BS165" s="3">
        <v>42831</v>
      </c>
      <c r="BT165" s="4">
        <v>0.41666666666666669</v>
      </c>
      <c r="BU165" s="2" t="s">
        <v>553</v>
      </c>
      <c r="BV165" s="2" t="s">
        <v>111</v>
      </c>
      <c r="BW165" s="2"/>
      <c r="BX165" s="2"/>
      <c r="BY165" s="2">
        <v>6828.33</v>
      </c>
      <c r="BZ165" s="2" t="s">
        <v>27</v>
      </c>
      <c r="CA165" s="2"/>
      <c r="CB165" s="2"/>
      <c r="CC165" s="2" t="s">
        <v>550</v>
      </c>
      <c r="CD165" s="2">
        <v>3700</v>
      </c>
      <c r="CE165" s="2" t="s">
        <v>89</v>
      </c>
      <c r="CF165" s="5">
        <v>42833</v>
      </c>
      <c r="CG165" s="2"/>
      <c r="CH165" s="2"/>
      <c r="CI165" s="2">
        <v>1</v>
      </c>
      <c r="CJ165" s="2">
        <v>1</v>
      </c>
      <c r="CK165" s="2">
        <v>21</v>
      </c>
      <c r="CL165" s="2" t="s">
        <v>86</v>
      </c>
      <c r="CM165" s="2"/>
    </row>
    <row r="166" spans="1:91">
      <c r="A166" s="2" t="s">
        <v>71</v>
      </c>
      <c r="B166" s="2" t="s">
        <v>72</v>
      </c>
      <c r="C166" s="2" t="s">
        <v>73</v>
      </c>
      <c r="D166" s="2"/>
      <c r="E166" s="2" t="str">
        <f>"FES1162541414"</f>
        <v>FES1162541414</v>
      </c>
      <c r="F166" s="3">
        <v>42829</v>
      </c>
      <c r="G166" s="2">
        <v>201710</v>
      </c>
      <c r="H166" s="2" t="s">
        <v>74</v>
      </c>
      <c r="I166" s="2" t="s">
        <v>75</v>
      </c>
      <c r="J166" s="2" t="s">
        <v>76</v>
      </c>
      <c r="K166" s="2" t="s">
        <v>77</v>
      </c>
      <c r="L166" s="2" t="s">
        <v>299</v>
      </c>
      <c r="M166" s="2" t="s">
        <v>300</v>
      </c>
      <c r="N166" s="2" t="s">
        <v>301</v>
      </c>
      <c r="O166" s="2" t="s">
        <v>115</v>
      </c>
      <c r="P166" s="2" t="str">
        <f>"2170560500                    "</f>
        <v xml:space="preserve">2170560500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6.22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</v>
      </c>
      <c r="BJ166" s="2">
        <v>0.2</v>
      </c>
      <c r="BK166" s="2">
        <v>1</v>
      </c>
      <c r="BL166" s="2">
        <v>58.87</v>
      </c>
      <c r="BM166" s="2">
        <v>8.24</v>
      </c>
      <c r="BN166" s="2">
        <v>67.11</v>
      </c>
      <c r="BO166" s="2">
        <v>67.11</v>
      </c>
      <c r="BP166" s="2"/>
      <c r="BQ166" s="2" t="s">
        <v>302</v>
      </c>
      <c r="BR166" s="2" t="s">
        <v>123</v>
      </c>
      <c r="BS166" s="3">
        <v>42830</v>
      </c>
      <c r="BT166" s="4">
        <v>0.47361111111111115</v>
      </c>
      <c r="BU166" s="2" t="s">
        <v>554</v>
      </c>
      <c r="BV166" s="2" t="s">
        <v>111</v>
      </c>
      <c r="BW166" s="2"/>
      <c r="BX166" s="2"/>
      <c r="BY166" s="2">
        <v>1200</v>
      </c>
      <c r="BZ166" s="2" t="s">
        <v>27</v>
      </c>
      <c r="CA166" s="2"/>
      <c r="CB166" s="2"/>
      <c r="CC166" s="2" t="s">
        <v>300</v>
      </c>
      <c r="CD166" s="2">
        <v>208</v>
      </c>
      <c r="CE166" s="2" t="s">
        <v>144</v>
      </c>
      <c r="CF166" s="5">
        <v>42833</v>
      </c>
      <c r="CG166" s="2"/>
      <c r="CH166" s="2"/>
      <c r="CI166" s="2">
        <v>0</v>
      </c>
      <c r="CJ166" s="2">
        <v>0</v>
      </c>
      <c r="CK166" s="2">
        <v>24</v>
      </c>
      <c r="CL166" s="2" t="s">
        <v>86</v>
      </c>
      <c r="CM166" s="2"/>
    </row>
    <row r="167" spans="1:91">
      <c r="A167" s="2" t="s">
        <v>71</v>
      </c>
      <c r="B167" s="2" t="s">
        <v>72</v>
      </c>
      <c r="C167" s="2" t="s">
        <v>73</v>
      </c>
      <c r="D167" s="2"/>
      <c r="E167" s="2" t="str">
        <f>"FES1162543216"</f>
        <v>FES1162543216</v>
      </c>
      <c r="F167" s="3">
        <v>42837</v>
      </c>
      <c r="G167" s="2">
        <v>201710</v>
      </c>
      <c r="H167" s="2" t="s">
        <v>74</v>
      </c>
      <c r="I167" s="2" t="s">
        <v>75</v>
      </c>
      <c r="J167" s="2" t="s">
        <v>76</v>
      </c>
      <c r="K167" s="2" t="s">
        <v>77</v>
      </c>
      <c r="L167" s="2" t="s">
        <v>99</v>
      </c>
      <c r="M167" s="2" t="s">
        <v>100</v>
      </c>
      <c r="N167" s="2" t="s">
        <v>555</v>
      </c>
      <c r="O167" s="2" t="s">
        <v>115</v>
      </c>
      <c r="P167" s="2" t="str">
        <f>"2170561977                    "</f>
        <v xml:space="preserve">2170561977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7.5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3.3</v>
      </c>
      <c r="BJ167" s="2">
        <v>1.8</v>
      </c>
      <c r="BK167" s="2">
        <v>3.5</v>
      </c>
      <c r="BL167" s="2">
        <v>73.02</v>
      </c>
      <c r="BM167" s="2">
        <v>10.220000000000001</v>
      </c>
      <c r="BN167" s="2">
        <v>83.24</v>
      </c>
      <c r="BO167" s="2">
        <v>83.24</v>
      </c>
      <c r="BP167" s="2"/>
      <c r="BQ167" s="2" t="s">
        <v>556</v>
      </c>
      <c r="BR167" s="2" t="s">
        <v>84</v>
      </c>
      <c r="BS167" s="3">
        <v>42838</v>
      </c>
      <c r="BT167" s="4">
        <v>0.37083333333333335</v>
      </c>
      <c r="BU167" s="2" t="s">
        <v>557</v>
      </c>
      <c r="BV167" s="2" t="s">
        <v>111</v>
      </c>
      <c r="BW167" s="2"/>
      <c r="BX167" s="2"/>
      <c r="BY167" s="2">
        <v>8831.2000000000007</v>
      </c>
      <c r="BZ167" s="2" t="s">
        <v>27</v>
      </c>
      <c r="CA167" s="2" t="s">
        <v>106</v>
      </c>
      <c r="CB167" s="2"/>
      <c r="CC167" s="2" t="s">
        <v>100</v>
      </c>
      <c r="CD167" s="2">
        <v>6001</v>
      </c>
      <c r="CE167" s="2" t="s">
        <v>89</v>
      </c>
      <c r="CF167" s="5">
        <v>42838</v>
      </c>
      <c r="CG167" s="2"/>
      <c r="CH167" s="2"/>
      <c r="CI167" s="2">
        <v>1</v>
      </c>
      <c r="CJ167" s="2">
        <v>1</v>
      </c>
      <c r="CK167" s="2">
        <v>21</v>
      </c>
      <c r="CL167" s="2" t="s">
        <v>86</v>
      </c>
      <c r="CM167" s="2"/>
    </row>
    <row r="168" spans="1:91">
      <c r="A168" s="2" t="s">
        <v>71</v>
      </c>
      <c r="B168" s="2" t="s">
        <v>72</v>
      </c>
      <c r="C168" s="2" t="s">
        <v>73</v>
      </c>
      <c r="D168" s="2"/>
      <c r="E168" s="2" t="str">
        <f>"FES1162541885"</f>
        <v>FES1162541885</v>
      </c>
      <c r="F168" s="3">
        <v>42831</v>
      </c>
      <c r="G168" s="2">
        <v>201710</v>
      </c>
      <c r="H168" s="2" t="s">
        <v>74</v>
      </c>
      <c r="I168" s="2" t="s">
        <v>75</v>
      </c>
      <c r="J168" s="2" t="s">
        <v>76</v>
      </c>
      <c r="K168" s="2" t="s">
        <v>77</v>
      </c>
      <c r="L168" s="2" t="s">
        <v>267</v>
      </c>
      <c r="M168" s="2" t="s">
        <v>268</v>
      </c>
      <c r="N168" s="2" t="s">
        <v>269</v>
      </c>
      <c r="O168" s="2" t="s">
        <v>115</v>
      </c>
      <c r="P168" s="2" t="str">
        <f>"2170560895                    "</f>
        <v xml:space="preserve">2170560895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3.35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1</v>
      </c>
      <c r="BJ168" s="2">
        <v>0.9</v>
      </c>
      <c r="BK168" s="2">
        <v>1</v>
      </c>
      <c r="BL168" s="2">
        <v>32.6</v>
      </c>
      <c r="BM168" s="2">
        <v>4.5599999999999996</v>
      </c>
      <c r="BN168" s="2">
        <v>37.159999999999997</v>
      </c>
      <c r="BO168" s="2">
        <v>37.159999999999997</v>
      </c>
      <c r="BP168" s="2"/>
      <c r="BQ168" s="2" t="s">
        <v>270</v>
      </c>
      <c r="BR168" s="2" t="s">
        <v>123</v>
      </c>
      <c r="BS168" s="3">
        <v>42832</v>
      </c>
      <c r="BT168" s="4">
        <v>0.4375</v>
      </c>
      <c r="BU168" s="2" t="s">
        <v>558</v>
      </c>
      <c r="BV168" s="2" t="s">
        <v>111</v>
      </c>
      <c r="BW168" s="2"/>
      <c r="BX168" s="2"/>
      <c r="BY168" s="2">
        <v>4387.83</v>
      </c>
      <c r="BZ168" s="2" t="s">
        <v>27</v>
      </c>
      <c r="CA168" s="2"/>
      <c r="CB168" s="2"/>
      <c r="CC168" s="2" t="s">
        <v>268</v>
      </c>
      <c r="CD168" s="2">
        <v>1709</v>
      </c>
      <c r="CE168" s="2" t="s">
        <v>118</v>
      </c>
      <c r="CF168" s="5">
        <v>42835</v>
      </c>
      <c r="CG168" s="2"/>
      <c r="CH168" s="2"/>
      <c r="CI168" s="2">
        <v>1</v>
      </c>
      <c r="CJ168" s="2">
        <v>1</v>
      </c>
      <c r="CK168" s="2">
        <v>22</v>
      </c>
      <c r="CL168" s="2" t="s">
        <v>86</v>
      </c>
      <c r="CM168" s="2"/>
    </row>
    <row r="169" spans="1:91">
      <c r="A169" s="2" t="s">
        <v>71</v>
      </c>
      <c r="B169" s="2" t="s">
        <v>72</v>
      </c>
      <c r="C169" s="2" t="s">
        <v>73</v>
      </c>
      <c r="D169" s="2"/>
      <c r="E169" s="2" t="str">
        <f>"FES1162541199"</f>
        <v>FES1162541199</v>
      </c>
      <c r="F169" s="3">
        <v>42829</v>
      </c>
      <c r="G169" s="2">
        <v>201710</v>
      </c>
      <c r="H169" s="2" t="s">
        <v>74</v>
      </c>
      <c r="I169" s="2" t="s">
        <v>75</v>
      </c>
      <c r="J169" s="2" t="s">
        <v>76</v>
      </c>
      <c r="K169" s="2" t="s">
        <v>77</v>
      </c>
      <c r="L169" s="2" t="s">
        <v>112</v>
      </c>
      <c r="M169" s="2" t="s">
        <v>113</v>
      </c>
      <c r="N169" s="2" t="s">
        <v>246</v>
      </c>
      <c r="O169" s="2" t="s">
        <v>115</v>
      </c>
      <c r="P169" s="2" t="str">
        <f>"2170560204                    "</f>
        <v xml:space="preserve">2170560204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15.48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6.8</v>
      </c>
      <c r="BJ169" s="2">
        <v>3.2</v>
      </c>
      <c r="BK169" s="2">
        <v>7</v>
      </c>
      <c r="BL169" s="2">
        <v>146.52000000000001</v>
      </c>
      <c r="BM169" s="2">
        <v>20.51</v>
      </c>
      <c r="BN169" s="2">
        <v>167.03</v>
      </c>
      <c r="BO169" s="2">
        <v>167.03</v>
      </c>
      <c r="BP169" s="2"/>
      <c r="BQ169" s="2" t="s">
        <v>122</v>
      </c>
      <c r="BR169" s="2" t="s">
        <v>123</v>
      </c>
      <c r="BS169" s="3">
        <v>42830</v>
      </c>
      <c r="BT169" s="4">
        <v>0.41319444444444442</v>
      </c>
      <c r="BU169" s="2" t="s">
        <v>559</v>
      </c>
      <c r="BV169" s="2" t="s">
        <v>111</v>
      </c>
      <c r="BW169" s="2"/>
      <c r="BX169" s="2"/>
      <c r="BY169" s="2">
        <v>15869.95</v>
      </c>
      <c r="BZ169" s="2" t="s">
        <v>27</v>
      </c>
      <c r="CA169" s="2" t="s">
        <v>159</v>
      </c>
      <c r="CB169" s="2"/>
      <c r="CC169" s="2" t="s">
        <v>113</v>
      </c>
      <c r="CD169" s="2">
        <v>3212</v>
      </c>
      <c r="CE169" s="2" t="s">
        <v>135</v>
      </c>
      <c r="CF169" s="5">
        <v>42832</v>
      </c>
      <c r="CG169" s="2"/>
      <c r="CH169" s="2"/>
      <c r="CI169" s="2">
        <v>1</v>
      </c>
      <c r="CJ169" s="2">
        <v>1</v>
      </c>
      <c r="CK169" s="2">
        <v>21</v>
      </c>
      <c r="CL169" s="2" t="s">
        <v>86</v>
      </c>
      <c r="CM169" s="2"/>
    </row>
    <row r="170" spans="1:91">
      <c r="A170" s="2" t="s">
        <v>71</v>
      </c>
      <c r="B170" s="2" t="s">
        <v>72</v>
      </c>
      <c r="C170" s="2" t="s">
        <v>73</v>
      </c>
      <c r="D170" s="2"/>
      <c r="E170" s="2" t="str">
        <f>"FES1162541647"</f>
        <v>FES1162541647</v>
      </c>
      <c r="F170" s="3">
        <v>42830</v>
      </c>
      <c r="G170" s="2">
        <v>201710</v>
      </c>
      <c r="H170" s="2" t="s">
        <v>74</v>
      </c>
      <c r="I170" s="2" t="s">
        <v>75</v>
      </c>
      <c r="J170" s="2" t="s">
        <v>76</v>
      </c>
      <c r="K170" s="2" t="s">
        <v>77</v>
      </c>
      <c r="L170" s="2" t="s">
        <v>74</v>
      </c>
      <c r="M170" s="2" t="s">
        <v>75</v>
      </c>
      <c r="N170" s="2" t="s">
        <v>560</v>
      </c>
      <c r="O170" s="2" t="s">
        <v>115</v>
      </c>
      <c r="P170" s="2" t="str">
        <f>"2170558407                    "</f>
        <v xml:space="preserve">2170558407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3.35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1</v>
      </c>
      <c r="BJ170" s="2">
        <v>0.2</v>
      </c>
      <c r="BK170" s="2">
        <v>1</v>
      </c>
      <c r="BL170" s="2">
        <v>32.6</v>
      </c>
      <c r="BM170" s="2">
        <v>4.5599999999999996</v>
      </c>
      <c r="BN170" s="2">
        <v>37.159999999999997</v>
      </c>
      <c r="BO170" s="2">
        <v>37.159999999999997</v>
      </c>
      <c r="BP170" s="2"/>
      <c r="BQ170" s="2" t="s">
        <v>561</v>
      </c>
      <c r="BR170" s="2" t="s">
        <v>123</v>
      </c>
      <c r="BS170" s="3">
        <v>42831</v>
      </c>
      <c r="BT170" s="4">
        <v>0.41666666666666669</v>
      </c>
      <c r="BU170" s="2" t="s">
        <v>562</v>
      </c>
      <c r="BV170" s="2" t="s">
        <v>111</v>
      </c>
      <c r="BW170" s="2"/>
      <c r="BX170" s="2"/>
      <c r="BY170" s="2">
        <v>1200</v>
      </c>
      <c r="BZ170" s="2" t="s">
        <v>27</v>
      </c>
      <c r="CA170" s="2"/>
      <c r="CB170" s="2"/>
      <c r="CC170" s="2" t="s">
        <v>75</v>
      </c>
      <c r="CD170" s="2">
        <v>1600</v>
      </c>
      <c r="CE170" s="2" t="s">
        <v>118</v>
      </c>
      <c r="CF170" s="5">
        <v>42832</v>
      </c>
      <c r="CG170" s="2"/>
      <c r="CH170" s="2"/>
      <c r="CI170" s="2">
        <v>1</v>
      </c>
      <c r="CJ170" s="2">
        <v>1</v>
      </c>
      <c r="CK170" s="2">
        <v>22</v>
      </c>
      <c r="CL170" s="2" t="s">
        <v>86</v>
      </c>
      <c r="CM170" s="2"/>
    </row>
    <row r="171" spans="1:91">
      <c r="A171" s="2" t="s">
        <v>71</v>
      </c>
      <c r="B171" s="2" t="s">
        <v>72</v>
      </c>
      <c r="C171" s="2" t="s">
        <v>73</v>
      </c>
      <c r="D171" s="2"/>
      <c r="E171" s="2" t="str">
        <f>"FES1162541513"</f>
        <v>FES1162541513</v>
      </c>
      <c r="F171" s="3">
        <v>42830</v>
      </c>
      <c r="G171" s="2">
        <v>201710</v>
      </c>
      <c r="H171" s="2" t="s">
        <v>74</v>
      </c>
      <c r="I171" s="2" t="s">
        <v>75</v>
      </c>
      <c r="J171" s="2" t="s">
        <v>76</v>
      </c>
      <c r="K171" s="2" t="s">
        <v>77</v>
      </c>
      <c r="L171" s="2" t="s">
        <v>99</v>
      </c>
      <c r="M171" s="2" t="s">
        <v>100</v>
      </c>
      <c r="N171" s="2" t="s">
        <v>108</v>
      </c>
      <c r="O171" s="2" t="s">
        <v>115</v>
      </c>
      <c r="P171" s="2" t="str">
        <f>"2170558151                    "</f>
        <v xml:space="preserve">2170558151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4.29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1</v>
      </c>
      <c r="BJ171" s="2">
        <v>0.2</v>
      </c>
      <c r="BK171" s="2">
        <v>1</v>
      </c>
      <c r="BL171" s="2">
        <v>41.73</v>
      </c>
      <c r="BM171" s="2">
        <v>5.84</v>
      </c>
      <c r="BN171" s="2">
        <v>47.57</v>
      </c>
      <c r="BO171" s="2">
        <v>47.57</v>
      </c>
      <c r="BP171" s="2"/>
      <c r="BQ171" s="2" t="s">
        <v>109</v>
      </c>
      <c r="BR171" s="2" t="s">
        <v>123</v>
      </c>
      <c r="BS171" s="3">
        <v>42831</v>
      </c>
      <c r="BT171" s="4">
        <v>0.41666666666666669</v>
      </c>
      <c r="BU171" s="2" t="s">
        <v>110</v>
      </c>
      <c r="BV171" s="2" t="s">
        <v>111</v>
      </c>
      <c r="BW171" s="2"/>
      <c r="BX171" s="2"/>
      <c r="BY171" s="2">
        <v>1200</v>
      </c>
      <c r="BZ171" s="2" t="s">
        <v>27</v>
      </c>
      <c r="CA171" s="2" t="s">
        <v>106</v>
      </c>
      <c r="CB171" s="2"/>
      <c r="CC171" s="2" t="s">
        <v>100</v>
      </c>
      <c r="CD171" s="2">
        <v>6001</v>
      </c>
      <c r="CE171" s="2" t="s">
        <v>144</v>
      </c>
      <c r="CF171" s="5">
        <v>42831</v>
      </c>
      <c r="CG171" s="2"/>
      <c r="CH171" s="2"/>
      <c r="CI171" s="2">
        <v>1</v>
      </c>
      <c r="CJ171" s="2">
        <v>1</v>
      </c>
      <c r="CK171" s="2">
        <v>21</v>
      </c>
      <c r="CL171" s="2" t="s">
        <v>86</v>
      </c>
      <c r="CM171" s="2"/>
    </row>
    <row r="172" spans="1:91">
      <c r="A172" s="2" t="s">
        <v>71</v>
      </c>
      <c r="B172" s="2" t="s">
        <v>72</v>
      </c>
      <c r="C172" s="2" t="s">
        <v>73</v>
      </c>
      <c r="D172" s="2"/>
      <c r="E172" s="2" t="str">
        <f>"FES1162543176"</f>
        <v>FES1162543176</v>
      </c>
      <c r="F172" s="3">
        <v>42837</v>
      </c>
      <c r="G172" s="2">
        <v>201710</v>
      </c>
      <c r="H172" s="2" t="s">
        <v>74</v>
      </c>
      <c r="I172" s="2" t="s">
        <v>75</v>
      </c>
      <c r="J172" s="2" t="s">
        <v>76</v>
      </c>
      <c r="K172" s="2" t="s">
        <v>77</v>
      </c>
      <c r="L172" s="2" t="s">
        <v>112</v>
      </c>
      <c r="M172" s="2" t="s">
        <v>113</v>
      </c>
      <c r="N172" s="2" t="s">
        <v>386</v>
      </c>
      <c r="O172" s="2" t="s">
        <v>115</v>
      </c>
      <c r="P172" s="2" t="str">
        <f>"2170559815                    "</f>
        <v xml:space="preserve">2170559815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4.29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1</v>
      </c>
      <c r="BJ172" s="2">
        <v>1.9</v>
      </c>
      <c r="BK172" s="2">
        <v>2</v>
      </c>
      <c r="BL172" s="2">
        <v>41.73</v>
      </c>
      <c r="BM172" s="2">
        <v>5.84</v>
      </c>
      <c r="BN172" s="2">
        <v>47.57</v>
      </c>
      <c r="BO172" s="2">
        <v>47.57</v>
      </c>
      <c r="BP172" s="2"/>
      <c r="BQ172" s="2" t="s">
        <v>122</v>
      </c>
      <c r="BR172" s="2" t="s">
        <v>84</v>
      </c>
      <c r="BS172" s="3">
        <v>42838</v>
      </c>
      <c r="BT172" s="4">
        <v>0.39583333333333331</v>
      </c>
      <c r="BU172" s="2" t="s">
        <v>387</v>
      </c>
      <c r="BV172" s="2" t="s">
        <v>111</v>
      </c>
      <c r="BW172" s="2"/>
      <c r="BX172" s="2"/>
      <c r="BY172" s="2">
        <v>9360</v>
      </c>
      <c r="BZ172" s="2" t="s">
        <v>27</v>
      </c>
      <c r="CA172" s="2" t="s">
        <v>159</v>
      </c>
      <c r="CB172" s="2"/>
      <c r="CC172" s="2" t="s">
        <v>113</v>
      </c>
      <c r="CD172" s="2">
        <v>3200</v>
      </c>
      <c r="CE172" s="2" t="s">
        <v>172</v>
      </c>
      <c r="CF172" s="5">
        <v>42843</v>
      </c>
      <c r="CG172" s="2"/>
      <c r="CH172" s="2"/>
      <c r="CI172" s="2">
        <v>1</v>
      </c>
      <c r="CJ172" s="2">
        <v>1</v>
      </c>
      <c r="CK172" s="2">
        <v>21</v>
      </c>
      <c r="CL172" s="2" t="s">
        <v>86</v>
      </c>
      <c r="CM172" s="2"/>
    </row>
    <row r="173" spans="1:91">
      <c r="A173" s="2" t="s">
        <v>71</v>
      </c>
      <c r="B173" s="2" t="s">
        <v>72</v>
      </c>
      <c r="C173" s="2" t="s">
        <v>73</v>
      </c>
      <c r="D173" s="2"/>
      <c r="E173" s="2" t="str">
        <f>"FES1162541889"</f>
        <v>FES1162541889</v>
      </c>
      <c r="F173" s="3">
        <v>42831</v>
      </c>
      <c r="G173" s="2">
        <v>201710</v>
      </c>
      <c r="H173" s="2" t="s">
        <v>74</v>
      </c>
      <c r="I173" s="2" t="s">
        <v>75</v>
      </c>
      <c r="J173" s="2" t="s">
        <v>76</v>
      </c>
      <c r="K173" s="2" t="s">
        <v>77</v>
      </c>
      <c r="L173" s="2" t="s">
        <v>99</v>
      </c>
      <c r="M173" s="2" t="s">
        <v>100</v>
      </c>
      <c r="N173" s="2" t="s">
        <v>433</v>
      </c>
      <c r="O173" s="2" t="s">
        <v>115</v>
      </c>
      <c r="P173" s="2" t="str">
        <f>"2170560901                    "</f>
        <v xml:space="preserve">2170560901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6.43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3</v>
      </c>
      <c r="BJ173" s="2">
        <v>2.4</v>
      </c>
      <c r="BK173" s="2">
        <v>3</v>
      </c>
      <c r="BL173" s="2">
        <v>62.59</v>
      </c>
      <c r="BM173" s="2">
        <v>8.76</v>
      </c>
      <c r="BN173" s="2">
        <v>71.349999999999994</v>
      </c>
      <c r="BO173" s="2">
        <v>71.349999999999994</v>
      </c>
      <c r="BP173" s="2"/>
      <c r="BQ173" s="2" t="s">
        <v>434</v>
      </c>
      <c r="BR173" s="2" t="s">
        <v>123</v>
      </c>
      <c r="BS173" s="3">
        <v>42835</v>
      </c>
      <c r="BT173" s="4">
        <v>0.45694444444444443</v>
      </c>
      <c r="BU173" s="2" t="s">
        <v>563</v>
      </c>
      <c r="BV173" s="2" t="s">
        <v>86</v>
      </c>
      <c r="BW173" s="2"/>
      <c r="BX173" s="2"/>
      <c r="BY173" s="2">
        <v>11913</v>
      </c>
      <c r="BZ173" s="2" t="s">
        <v>27</v>
      </c>
      <c r="CA173" s="2" t="s">
        <v>159</v>
      </c>
      <c r="CB173" s="2"/>
      <c r="CC173" s="2" t="s">
        <v>100</v>
      </c>
      <c r="CD173" s="2">
        <v>6001</v>
      </c>
      <c r="CE173" s="2" t="s">
        <v>287</v>
      </c>
      <c r="CF173" s="5">
        <v>42836</v>
      </c>
      <c r="CG173" s="2"/>
      <c r="CH173" s="2"/>
      <c r="CI173" s="2">
        <v>1</v>
      </c>
      <c r="CJ173" s="2">
        <v>2</v>
      </c>
      <c r="CK173" s="2">
        <v>21</v>
      </c>
      <c r="CL173" s="2" t="s">
        <v>86</v>
      </c>
      <c r="CM173" s="2"/>
    </row>
    <row r="174" spans="1:91">
      <c r="A174" s="2" t="s">
        <v>71</v>
      </c>
      <c r="B174" s="2" t="s">
        <v>72</v>
      </c>
      <c r="C174" s="2" t="s">
        <v>73</v>
      </c>
      <c r="D174" s="2"/>
      <c r="E174" s="2" t="str">
        <f>"FES1162541433"</f>
        <v>FES1162541433</v>
      </c>
      <c r="F174" s="3">
        <v>42829</v>
      </c>
      <c r="G174" s="2">
        <v>201710</v>
      </c>
      <c r="H174" s="2" t="s">
        <v>74</v>
      </c>
      <c r="I174" s="2" t="s">
        <v>75</v>
      </c>
      <c r="J174" s="2" t="s">
        <v>76</v>
      </c>
      <c r="K174" s="2" t="s">
        <v>77</v>
      </c>
      <c r="L174" s="2" t="s">
        <v>131</v>
      </c>
      <c r="M174" s="2" t="s">
        <v>132</v>
      </c>
      <c r="N174" s="2" t="s">
        <v>564</v>
      </c>
      <c r="O174" s="2" t="s">
        <v>115</v>
      </c>
      <c r="P174" s="2" t="str">
        <f>"2170560528                    "</f>
        <v xml:space="preserve">2170560528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4.42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1</v>
      </c>
      <c r="BJ174" s="2">
        <v>0.2</v>
      </c>
      <c r="BK174" s="2">
        <v>1</v>
      </c>
      <c r="BL174" s="2">
        <v>41.86</v>
      </c>
      <c r="BM174" s="2">
        <v>5.86</v>
      </c>
      <c r="BN174" s="2">
        <v>47.72</v>
      </c>
      <c r="BO174" s="2">
        <v>47.72</v>
      </c>
      <c r="BP174" s="2"/>
      <c r="BQ174" s="2" t="s">
        <v>565</v>
      </c>
      <c r="BR174" s="2" t="s">
        <v>123</v>
      </c>
      <c r="BS174" s="3">
        <v>42830</v>
      </c>
      <c r="BT174" s="4">
        <v>0.34375</v>
      </c>
      <c r="BU174" s="2" t="s">
        <v>566</v>
      </c>
      <c r="BV174" s="2" t="s">
        <v>111</v>
      </c>
      <c r="BW174" s="2"/>
      <c r="BX174" s="2"/>
      <c r="BY174" s="2">
        <v>1200</v>
      </c>
      <c r="BZ174" s="2" t="s">
        <v>27</v>
      </c>
      <c r="CA174" s="2"/>
      <c r="CB174" s="2"/>
      <c r="CC174" s="2" t="s">
        <v>132</v>
      </c>
      <c r="CD174" s="2">
        <v>7500</v>
      </c>
      <c r="CE174" s="2" t="s">
        <v>118</v>
      </c>
      <c r="CF174" s="5">
        <v>42831</v>
      </c>
      <c r="CG174" s="2"/>
      <c r="CH174" s="2"/>
      <c r="CI174" s="2">
        <v>1</v>
      </c>
      <c r="CJ174" s="2">
        <v>1</v>
      </c>
      <c r="CK174" s="2">
        <v>21</v>
      </c>
      <c r="CL174" s="2" t="s">
        <v>86</v>
      </c>
      <c r="CM174" s="2"/>
    </row>
    <row r="175" spans="1:91">
      <c r="A175" s="2" t="s">
        <v>71</v>
      </c>
      <c r="B175" s="2" t="s">
        <v>72</v>
      </c>
      <c r="C175" s="2" t="s">
        <v>73</v>
      </c>
      <c r="D175" s="2"/>
      <c r="E175" s="2" t="str">
        <f>"FES1162542859"</f>
        <v>FES1162542859</v>
      </c>
      <c r="F175" s="3">
        <v>42836</v>
      </c>
      <c r="G175" s="2">
        <v>201710</v>
      </c>
      <c r="H175" s="2" t="s">
        <v>74</v>
      </c>
      <c r="I175" s="2" t="s">
        <v>75</v>
      </c>
      <c r="J175" s="2" t="s">
        <v>76</v>
      </c>
      <c r="K175" s="2" t="s">
        <v>77</v>
      </c>
      <c r="L175" s="2" t="s">
        <v>131</v>
      </c>
      <c r="M175" s="2" t="s">
        <v>132</v>
      </c>
      <c r="N175" s="2" t="s">
        <v>363</v>
      </c>
      <c r="O175" s="2" t="s">
        <v>115</v>
      </c>
      <c r="P175" s="2" t="str">
        <f>"2170559009                    "</f>
        <v xml:space="preserve">2170559009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4.29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1</v>
      </c>
      <c r="BJ175" s="2">
        <v>0.2</v>
      </c>
      <c r="BK175" s="2">
        <v>1</v>
      </c>
      <c r="BL175" s="2">
        <v>41.73</v>
      </c>
      <c r="BM175" s="2">
        <v>5.84</v>
      </c>
      <c r="BN175" s="2">
        <v>47.57</v>
      </c>
      <c r="BO175" s="2">
        <v>47.57</v>
      </c>
      <c r="BP175" s="2"/>
      <c r="BQ175" s="2" t="s">
        <v>170</v>
      </c>
      <c r="BR175" s="2" t="s">
        <v>123</v>
      </c>
      <c r="BS175" s="3">
        <v>42837</v>
      </c>
      <c r="BT175" s="4">
        <v>0.41666666666666669</v>
      </c>
      <c r="BU175" s="2" t="s">
        <v>567</v>
      </c>
      <c r="BV175" s="2" t="s">
        <v>111</v>
      </c>
      <c r="BW175" s="2"/>
      <c r="BX175" s="2"/>
      <c r="BY175" s="2">
        <v>1200</v>
      </c>
      <c r="BZ175" s="2" t="s">
        <v>27</v>
      </c>
      <c r="CA175" s="2" t="s">
        <v>159</v>
      </c>
      <c r="CB175" s="2"/>
      <c r="CC175" s="2" t="s">
        <v>132</v>
      </c>
      <c r="CD175" s="2">
        <v>7441</v>
      </c>
      <c r="CE175" s="2" t="s">
        <v>144</v>
      </c>
      <c r="CF175" s="5">
        <v>42838</v>
      </c>
      <c r="CG175" s="2"/>
      <c r="CH175" s="2"/>
      <c r="CI175" s="2">
        <v>1</v>
      </c>
      <c r="CJ175" s="2">
        <v>1</v>
      </c>
      <c r="CK175" s="2">
        <v>21</v>
      </c>
      <c r="CL175" s="2" t="s">
        <v>86</v>
      </c>
      <c r="CM175" s="2"/>
    </row>
    <row r="176" spans="1:91">
      <c r="A176" s="2" t="s">
        <v>71</v>
      </c>
      <c r="B176" s="2" t="s">
        <v>72</v>
      </c>
      <c r="C176" s="2" t="s">
        <v>73</v>
      </c>
      <c r="D176" s="2"/>
      <c r="E176" s="2" t="str">
        <f>"FES1162541800"</f>
        <v>FES1162541800</v>
      </c>
      <c r="F176" s="3">
        <v>42830</v>
      </c>
      <c r="G176" s="2">
        <v>201710</v>
      </c>
      <c r="H176" s="2" t="s">
        <v>74</v>
      </c>
      <c r="I176" s="2" t="s">
        <v>75</v>
      </c>
      <c r="J176" s="2" t="s">
        <v>76</v>
      </c>
      <c r="K176" s="2" t="s">
        <v>77</v>
      </c>
      <c r="L176" s="2" t="s">
        <v>401</v>
      </c>
      <c r="M176" s="2" t="s">
        <v>402</v>
      </c>
      <c r="N176" s="2" t="s">
        <v>568</v>
      </c>
      <c r="O176" s="2" t="s">
        <v>115</v>
      </c>
      <c r="P176" s="2" t="str">
        <f>"2170560815                    "</f>
        <v xml:space="preserve">2170560815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6.43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3</v>
      </c>
      <c r="BJ176" s="2">
        <v>1</v>
      </c>
      <c r="BK176" s="2">
        <v>3</v>
      </c>
      <c r="BL176" s="2">
        <v>62.59</v>
      </c>
      <c r="BM176" s="2">
        <v>8.76</v>
      </c>
      <c r="BN176" s="2">
        <v>71.349999999999994</v>
      </c>
      <c r="BO176" s="2">
        <v>71.349999999999994</v>
      </c>
      <c r="BP176" s="2"/>
      <c r="BQ176" s="2" t="s">
        <v>569</v>
      </c>
      <c r="BR176" s="2" t="s">
        <v>123</v>
      </c>
      <c r="BS176" s="3">
        <v>42831</v>
      </c>
      <c r="BT176" s="4">
        <v>0.4375</v>
      </c>
      <c r="BU176" s="2" t="s">
        <v>570</v>
      </c>
      <c r="BV176" s="2" t="s">
        <v>111</v>
      </c>
      <c r="BW176" s="2"/>
      <c r="BX176" s="2"/>
      <c r="BY176" s="2">
        <v>5164.24</v>
      </c>
      <c r="BZ176" s="2" t="s">
        <v>27</v>
      </c>
      <c r="CA176" s="2"/>
      <c r="CB176" s="2"/>
      <c r="CC176" s="2" t="s">
        <v>402</v>
      </c>
      <c r="CD176" s="2">
        <v>4133</v>
      </c>
      <c r="CE176" s="2" t="s">
        <v>89</v>
      </c>
      <c r="CF176" s="5">
        <v>42832</v>
      </c>
      <c r="CG176" s="2"/>
      <c r="CH176" s="2"/>
      <c r="CI176" s="2">
        <v>1</v>
      </c>
      <c r="CJ176" s="2">
        <v>1</v>
      </c>
      <c r="CK176" s="2">
        <v>21</v>
      </c>
      <c r="CL176" s="2" t="s">
        <v>86</v>
      </c>
      <c r="CM176" s="2"/>
    </row>
    <row r="177" spans="1:91">
      <c r="A177" s="2" t="s">
        <v>71</v>
      </c>
      <c r="B177" s="2" t="s">
        <v>72</v>
      </c>
      <c r="C177" s="2" t="s">
        <v>73</v>
      </c>
      <c r="D177" s="2"/>
      <c r="E177" s="2" t="str">
        <f>"FES1162541369"</f>
        <v>FES1162541369</v>
      </c>
      <c r="F177" s="3">
        <v>42829</v>
      </c>
      <c r="G177" s="2">
        <v>201710</v>
      </c>
      <c r="H177" s="2" t="s">
        <v>74</v>
      </c>
      <c r="I177" s="2" t="s">
        <v>75</v>
      </c>
      <c r="J177" s="2" t="s">
        <v>76</v>
      </c>
      <c r="K177" s="2" t="s">
        <v>77</v>
      </c>
      <c r="L177" s="2" t="s">
        <v>401</v>
      </c>
      <c r="M177" s="2" t="s">
        <v>402</v>
      </c>
      <c r="N177" s="2" t="s">
        <v>571</v>
      </c>
      <c r="O177" s="2" t="s">
        <v>115</v>
      </c>
      <c r="P177" s="2" t="str">
        <f>"2170560458                    "</f>
        <v xml:space="preserve">2170560458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4.42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1</v>
      </c>
      <c r="BJ177" s="2">
        <v>0.2</v>
      </c>
      <c r="BK177" s="2">
        <v>1</v>
      </c>
      <c r="BL177" s="2">
        <v>41.86</v>
      </c>
      <c r="BM177" s="2">
        <v>5.86</v>
      </c>
      <c r="BN177" s="2">
        <v>47.72</v>
      </c>
      <c r="BO177" s="2">
        <v>47.72</v>
      </c>
      <c r="BP177" s="2"/>
      <c r="BQ177" s="2" t="s">
        <v>83</v>
      </c>
      <c r="BR177" s="2" t="s">
        <v>123</v>
      </c>
      <c r="BS177" s="3">
        <v>42830</v>
      </c>
      <c r="BT177" s="4">
        <v>0.4375</v>
      </c>
      <c r="BU177" s="2" t="s">
        <v>572</v>
      </c>
      <c r="BV177" s="2" t="s">
        <v>111</v>
      </c>
      <c r="BW177" s="2"/>
      <c r="BX177" s="2"/>
      <c r="BY177" s="2">
        <v>1200</v>
      </c>
      <c r="BZ177" s="2" t="s">
        <v>27</v>
      </c>
      <c r="CA177" s="2"/>
      <c r="CB177" s="2"/>
      <c r="CC177" s="2" t="s">
        <v>402</v>
      </c>
      <c r="CD177" s="2">
        <v>4133</v>
      </c>
      <c r="CE177" s="2" t="s">
        <v>144</v>
      </c>
      <c r="CF177" s="5">
        <v>42831</v>
      </c>
      <c r="CG177" s="2"/>
      <c r="CH177" s="2"/>
      <c r="CI177" s="2">
        <v>1</v>
      </c>
      <c r="CJ177" s="2">
        <v>1</v>
      </c>
      <c r="CK177" s="2">
        <v>21</v>
      </c>
      <c r="CL177" s="2" t="s">
        <v>86</v>
      </c>
      <c r="CM177" s="2"/>
    </row>
    <row r="178" spans="1:91">
      <c r="A178" s="2" t="s">
        <v>71</v>
      </c>
      <c r="B178" s="2" t="s">
        <v>72</v>
      </c>
      <c r="C178" s="2" t="s">
        <v>73</v>
      </c>
      <c r="D178" s="2"/>
      <c r="E178" s="2" t="str">
        <f>"FES1162541877"</f>
        <v>FES1162541877</v>
      </c>
      <c r="F178" s="3">
        <v>42831</v>
      </c>
      <c r="G178" s="2">
        <v>201710</v>
      </c>
      <c r="H178" s="2" t="s">
        <v>74</v>
      </c>
      <c r="I178" s="2" t="s">
        <v>75</v>
      </c>
      <c r="J178" s="2" t="s">
        <v>76</v>
      </c>
      <c r="K178" s="2" t="s">
        <v>77</v>
      </c>
      <c r="L178" s="2" t="s">
        <v>74</v>
      </c>
      <c r="M178" s="2" t="s">
        <v>75</v>
      </c>
      <c r="N178" s="2" t="s">
        <v>573</v>
      </c>
      <c r="O178" s="2" t="s">
        <v>115</v>
      </c>
      <c r="P178" s="2" t="str">
        <f>"2170560882                    "</f>
        <v xml:space="preserve">2170560882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3.35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1.8</v>
      </c>
      <c r="BK178" s="2">
        <v>2</v>
      </c>
      <c r="BL178" s="2">
        <v>32.6</v>
      </c>
      <c r="BM178" s="2">
        <v>4.5599999999999996</v>
      </c>
      <c r="BN178" s="2">
        <v>37.159999999999997</v>
      </c>
      <c r="BO178" s="2">
        <v>37.159999999999997</v>
      </c>
      <c r="BP178" s="2"/>
      <c r="BQ178" s="2" t="s">
        <v>574</v>
      </c>
      <c r="BR178" s="2" t="s">
        <v>123</v>
      </c>
      <c r="BS178" s="3">
        <v>42832</v>
      </c>
      <c r="BT178" s="4">
        <v>0.4375</v>
      </c>
      <c r="BU178" s="2" t="s">
        <v>575</v>
      </c>
      <c r="BV178" s="2" t="s">
        <v>111</v>
      </c>
      <c r="BW178" s="2"/>
      <c r="BX178" s="2"/>
      <c r="BY178" s="2">
        <v>8895.74</v>
      </c>
      <c r="BZ178" s="2" t="s">
        <v>27</v>
      </c>
      <c r="CA178" s="2"/>
      <c r="CB178" s="2"/>
      <c r="CC178" s="2" t="s">
        <v>75</v>
      </c>
      <c r="CD178" s="2">
        <v>1665</v>
      </c>
      <c r="CE178" s="2" t="s">
        <v>118</v>
      </c>
      <c r="CF178" s="5">
        <v>42835</v>
      </c>
      <c r="CG178" s="2"/>
      <c r="CH178" s="2"/>
      <c r="CI178" s="2">
        <v>1</v>
      </c>
      <c r="CJ178" s="2">
        <v>1</v>
      </c>
      <c r="CK178" s="2">
        <v>22</v>
      </c>
      <c r="CL178" s="2" t="s">
        <v>86</v>
      </c>
      <c r="CM178" s="2"/>
    </row>
    <row r="179" spans="1:91">
      <c r="A179" s="2" t="s">
        <v>71</v>
      </c>
      <c r="B179" s="2" t="s">
        <v>72</v>
      </c>
      <c r="C179" s="2" t="s">
        <v>73</v>
      </c>
      <c r="D179" s="2"/>
      <c r="E179" s="2" t="str">
        <f>"FES1162541233"</f>
        <v>FES1162541233</v>
      </c>
      <c r="F179" s="3">
        <v>42829</v>
      </c>
      <c r="G179" s="2">
        <v>201710</v>
      </c>
      <c r="H179" s="2" t="s">
        <v>74</v>
      </c>
      <c r="I179" s="2" t="s">
        <v>75</v>
      </c>
      <c r="J179" s="2" t="s">
        <v>76</v>
      </c>
      <c r="K179" s="2" t="s">
        <v>77</v>
      </c>
      <c r="L179" s="2" t="s">
        <v>99</v>
      </c>
      <c r="M179" s="2" t="s">
        <v>100</v>
      </c>
      <c r="N179" s="2" t="s">
        <v>384</v>
      </c>
      <c r="O179" s="2" t="s">
        <v>115</v>
      </c>
      <c r="P179" s="2" t="str">
        <f>"2170559395                    "</f>
        <v xml:space="preserve">2170559395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4.42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1</v>
      </c>
      <c r="BJ179" s="2">
        <v>0.2</v>
      </c>
      <c r="BK179" s="2">
        <v>1</v>
      </c>
      <c r="BL179" s="2">
        <v>41.86</v>
      </c>
      <c r="BM179" s="2">
        <v>5.86</v>
      </c>
      <c r="BN179" s="2">
        <v>47.72</v>
      </c>
      <c r="BO179" s="2">
        <v>47.72</v>
      </c>
      <c r="BP179" s="2"/>
      <c r="BQ179" s="2" t="s">
        <v>129</v>
      </c>
      <c r="BR179" s="2" t="s">
        <v>123</v>
      </c>
      <c r="BS179" s="3">
        <v>42830</v>
      </c>
      <c r="BT179" s="4">
        <v>0.32083333333333336</v>
      </c>
      <c r="BU179" s="2" t="s">
        <v>576</v>
      </c>
      <c r="BV179" s="2" t="s">
        <v>111</v>
      </c>
      <c r="BW179" s="2"/>
      <c r="BX179" s="2"/>
      <c r="BY179" s="2">
        <v>1200</v>
      </c>
      <c r="BZ179" s="2" t="s">
        <v>27</v>
      </c>
      <c r="CA179" s="2" t="s">
        <v>154</v>
      </c>
      <c r="CB179" s="2"/>
      <c r="CC179" s="2" t="s">
        <v>100</v>
      </c>
      <c r="CD179" s="2">
        <v>6020</v>
      </c>
      <c r="CE179" s="2" t="s">
        <v>144</v>
      </c>
      <c r="CF179" s="5">
        <v>42830</v>
      </c>
      <c r="CG179" s="2"/>
      <c r="CH179" s="2"/>
      <c r="CI179" s="2">
        <v>1</v>
      </c>
      <c r="CJ179" s="2">
        <v>1</v>
      </c>
      <c r="CK179" s="2">
        <v>21</v>
      </c>
      <c r="CL179" s="2" t="s">
        <v>86</v>
      </c>
      <c r="CM179" s="2"/>
    </row>
    <row r="180" spans="1:91">
      <c r="A180" s="2" t="s">
        <v>71</v>
      </c>
      <c r="B180" s="2" t="s">
        <v>72</v>
      </c>
      <c r="C180" s="2" t="s">
        <v>73</v>
      </c>
      <c r="D180" s="2"/>
      <c r="E180" s="2" t="str">
        <f>"FES1162542861"</f>
        <v>FES1162542861</v>
      </c>
      <c r="F180" s="3">
        <v>42836</v>
      </c>
      <c r="G180" s="2">
        <v>201710</v>
      </c>
      <c r="H180" s="2" t="s">
        <v>74</v>
      </c>
      <c r="I180" s="2" t="s">
        <v>75</v>
      </c>
      <c r="J180" s="2" t="s">
        <v>76</v>
      </c>
      <c r="K180" s="2" t="s">
        <v>77</v>
      </c>
      <c r="L180" s="2" t="s">
        <v>91</v>
      </c>
      <c r="M180" s="2" t="s">
        <v>92</v>
      </c>
      <c r="N180" s="2" t="s">
        <v>577</v>
      </c>
      <c r="O180" s="2" t="s">
        <v>115</v>
      </c>
      <c r="P180" s="2" t="str">
        <f>"2170559112                    "</f>
        <v xml:space="preserve">2170559112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3.35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</v>
      </c>
      <c r="BJ180" s="2">
        <v>0.2</v>
      </c>
      <c r="BK180" s="2">
        <v>1</v>
      </c>
      <c r="BL180" s="2">
        <v>32.6</v>
      </c>
      <c r="BM180" s="2">
        <v>4.5599999999999996</v>
      </c>
      <c r="BN180" s="2">
        <v>37.159999999999997</v>
      </c>
      <c r="BO180" s="2">
        <v>37.159999999999997</v>
      </c>
      <c r="BP180" s="2"/>
      <c r="BQ180" s="2" t="s">
        <v>578</v>
      </c>
      <c r="BR180" s="2" t="s">
        <v>123</v>
      </c>
      <c r="BS180" s="3">
        <v>42837</v>
      </c>
      <c r="BT180" s="4">
        <v>0.41666666666666669</v>
      </c>
      <c r="BU180" s="2" t="s">
        <v>293</v>
      </c>
      <c r="BV180" s="2" t="s">
        <v>111</v>
      </c>
      <c r="BW180" s="2"/>
      <c r="BX180" s="2"/>
      <c r="BY180" s="2">
        <v>1200</v>
      </c>
      <c r="BZ180" s="2" t="s">
        <v>27</v>
      </c>
      <c r="CA180" s="2"/>
      <c r="CB180" s="2"/>
      <c r="CC180" s="2" t="s">
        <v>92</v>
      </c>
      <c r="CD180" s="2">
        <v>1428</v>
      </c>
      <c r="CE180" s="2" t="s">
        <v>118</v>
      </c>
      <c r="CF180" s="5">
        <v>42838</v>
      </c>
      <c r="CG180" s="2"/>
      <c r="CH180" s="2"/>
      <c r="CI180" s="2">
        <v>1</v>
      </c>
      <c r="CJ180" s="2">
        <v>1</v>
      </c>
      <c r="CK180" s="2">
        <v>22</v>
      </c>
      <c r="CL180" s="2" t="s">
        <v>86</v>
      </c>
      <c r="CM180" s="2"/>
    </row>
    <row r="181" spans="1:91">
      <c r="A181" s="2" t="s">
        <v>71</v>
      </c>
      <c r="B181" s="2" t="s">
        <v>72</v>
      </c>
      <c r="C181" s="2" t="s">
        <v>73</v>
      </c>
      <c r="D181" s="2"/>
      <c r="E181" s="2" t="str">
        <f>"FES1162541778"</f>
        <v>FES1162541778</v>
      </c>
      <c r="F181" s="3">
        <v>42830</v>
      </c>
      <c r="G181" s="2">
        <v>201710</v>
      </c>
      <c r="H181" s="2" t="s">
        <v>74</v>
      </c>
      <c r="I181" s="2" t="s">
        <v>75</v>
      </c>
      <c r="J181" s="2" t="s">
        <v>76</v>
      </c>
      <c r="K181" s="2" t="s">
        <v>77</v>
      </c>
      <c r="L181" s="2" t="s">
        <v>166</v>
      </c>
      <c r="M181" s="2" t="s">
        <v>167</v>
      </c>
      <c r="N181" s="2" t="s">
        <v>579</v>
      </c>
      <c r="O181" s="2" t="s">
        <v>115</v>
      </c>
      <c r="P181" s="2" t="str">
        <f>"2170560782                    "</f>
        <v xml:space="preserve">2170560782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3.35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1</v>
      </c>
      <c r="BJ181" s="2">
        <v>0.2</v>
      </c>
      <c r="BK181" s="2">
        <v>1</v>
      </c>
      <c r="BL181" s="2">
        <v>32.6</v>
      </c>
      <c r="BM181" s="2">
        <v>4.5599999999999996</v>
      </c>
      <c r="BN181" s="2">
        <v>37.159999999999997</v>
      </c>
      <c r="BO181" s="2">
        <v>37.159999999999997</v>
      </c>
      <c r="BP181" s="2"/>
      <c r="BQ181" s="2" t="s">
        <v>122</v>
      </c>
      <c r="BR181" s="2" t="s">
        <v>123</v>
      </c>
      <c r="BS181" s="3">
        <v>42831</v>
      </c>
      <c r="BT181" s="4">
        <v>0.30208333333333331</v>
      </c>
      <c r="BU181" s="2" t="s">
        <v>580</v>
      </c>
      <c r="BV181" s="2" t="s">
        <v>111</v>
      </c>
      <c r="BW181" s="2"/>
      <c r="BX181" s="2"/>
      <c r="BY181" s="2">
        <v>1200</v>
      </c>
      <c r="BZ181" s="2" t="s">
        <v>27</v>
      </c>
      <c r="CA181" s="2" t="s">
        <v>171</v>
      </c>
      <c r="CB181" s="2"/>
      <c r="CC181" s="2" t="s">
        <v>167</v>
      </c>
      <c r="CD181" s="2">
        <v>2022</v>
      </c>
      <c r="CE181" s="2" t="s">
        <v>118</v>
      </c>
      <c r="CF181" s="5">
        <v>42832</v>
      </c>
      <c r="CG181" s="2"/>
      <c r="CH181" s="2"/>
      <c r="CI181" s="2">
        <v>1</v>
      </c>
      <c r="CJ181" s="2">
        <v>1</v>
      </c>
      <c r="CK181" s="2">
        <v>22</v>
      </c>
      <c r="CL181" s="2" t="s">
        <v>86</v>
      </c>
      <c r="CM181" s="2"/>
    </row>
    <row r="182" spans="1:91">
      <c r="A182" s="2" t="s">
        <v>71</v>
      </c>
      <c r="B182" s="2" t="s">
        <v>72</v>
      </c>
      <c r="C182" s="2" t="s">
        <v>73</v>
      </c>
      <c r="D182" s="2"/>
      <c r="E182" s="2" t="str">
        <f>"FES1162541519"</f>
        <v>FES1162541519</v>
      </c>
      <c r="F182" s="3">
        <v>42830</v>
      </c>
      <c r="G182" s="2">
        <v>201710</v>
      </c>
      <c r="H182" s="2" t="s">
        <v>74</v>
      </c>
      <c r="I182" s="2" t="s">
        <v>75</v>
      </c>
      <c r="J182" s="2" t="s">
        <v>76</v>
      </c>
      <c r="K182" s="2" t="s">
        <v>77</v>
      </c>
      <c r="L182" s="2" t="s">
        <v>99</v>
      </c>
      <c r="M182" s="2" t="s">
        <v>100</v>
      </c>
      <c r="N182" s="2" t="s">
        <v>581</v>
      </c>
      <c r="O182" s="2" t="s">
        <v>115</v>
      </c>
      <c r="P182" s="2" t="str">
        <f>"2170558513                    "</f>
        <v xml:space="preserve">2170558513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4.29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1</v>
      </c>
      <c r="BJ182" s="2">
        <v>0.2</v>
      </c>
      <c r="BK182" s="2">
        <v>1</v>
      </c>
      <c r="BL182" s="2">
        <v>41.73</v>
      </c>
      <c r="BM182" s="2">
        <v>5.84</v>
      </c>
      <c r="BN182" s="2">
        <v>47.57</v>
      </c>
      <c r="BO182" s="2">
        <v>47.57</v>
      </c>
      <c r="BP182" s="2"/>
      <c r="BQ182" s="2" t="s">
        <v>129</v>
      </c>
      <c r="BR182" s="2" t="s">
        <v>123</v>
      </c>
      <c r="BS182" s="3">
        <v>42831</v>
      </c>
      <c r="BT182" s="4">
        <v>0.41666666666666669</v>
      </c>
      <c r="BU182" s="2" t="s">
        <v>582</v>
      </c>
      <c r="BV182" s="2" t="s">
        <v>111</v>
      </c>
      <c r="BW182" s="2"/>
      <c r="BX182" s="2"/>
      <c r="BY182" s="2">
        <v>1200</v>
      </c>
      <c r="BZ182" s="2" t="s">
        <v>27</v>
      </c>
      <c r="CA182" s="2" t="s">
        <v>378</v>
      </c>
      <c r="CB182" s="2"/>
      <c r="CC182" s="2" t="s">
        <v>100</v>
      </c>
      <c r="CD182" s="2">
        <v>6045</v>
      </c>
      <c r="CE182" s="2" t="s">
        <v>144</v>
      </c>
      <c r="CF182" s="5">
        <v>42832</v>
      </c>
      <c r="CG182" s="2"/>
      <c r="CH182" s="2"/>
      <c r="CI182" s="2">
        <v>1</v>
      </c>
      <c r="CJ182" s="2">
        <v>1</v>
      </c>
      <c r="CK182" s="2">
        <v>21</v>
      </c>
      <c r="CL182" s="2" t="s">
        <v>86</v>
      </c>
      <c r="CM182" s="2"/>
    </row>
    <row r="183" spans="1:91">
      <c r="A183" s="2" t="s">
        <v>71</v>
      </c>
      <c r="B183" s="2" t="s">
        <v>72</v>
      </c>
      <c r="C183" s="2" t="s">
        <v>73</v>
      </c>
      <c r="D183" s="2"/>
      <c r="E183" s="2" t="str">
        <f>"FES1162543213"</f>
        <v>FES1162543213</v>
      </c>
      <c r="F183" s="3">
        <v>42837</v>
      </c>
      <c r="G183" s="2">
        <v>201710</v>
      </c>
      <c r="H183" s="2" t="s">
        <v>74</v>
      </c>
      <c r="I183" s="2" t="s">
        <v>75</v>
      </c>
      <c r="J183" s="2" t="s">
        <v>76</v>
      </c>
      <c r="K183" s="2" t="s">
        <v>77</v>
      </c>
      <c r="L183" s="2" t="s">
        <v>99</v>
      </c>
      <c r="M183" s="2" t="s">
        <v>100</v>
      </c>
      <c r="N183" s="2" t="s">
        <v>583</v>
      </c>
      <c r="O183" s="2" t="s">
        <v>115</v>
      </c>
      <c r="P183" s="2" t="str">
        <f>"2170561974                    "</f>
        <v xml:space="preserve">2170561974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5.36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2.2999999999999998</v>
      </c>
      <c r="BJ183" s="2">
        <v>1.8</v>
      </c>
      <c r="BK183" s="2">
        <v>2.5</v>
      </c>
      <c r="BL183" s="2">
        <v>52.16</v>
      </c>
      <c r="BM183" s="2">
        <v>7.3</v>
      </c>
      <c r="BN183" s="2">
        <v>59.46</v>
      </c>
      <c r="BO183" s="2">
        <v>59.46</v>
      </c>
      <c r="BP183" s="2"/>
      <c r="BQ183" s="2" t="s">
        <v>584</v>
      </c>
      <c r="BR183" s="2" t="s">
        <v>84</v>
      </c>
      <c r="BS183" s="3">
        <v>42838</v>
      </c>
      <c r="BT183" s="4">
        <v>0.34166666666666662</v>
      </c>
      <c r="BU183" s="2" t="s">
        <v>585</v>
      </c>
      <c r="BV183" s="2" t="s">
        <v>111</v>
      </c>
      <c r="BW183" s="2"/>
      <c r="BX183" s="2"/>
      <c r="BY183" s="2">
        <v>9022.8700000000008</v>
      </c>
      <c r="BZ183" s="2" t="s">
        <v>27</v>
      </c>
      <c r="CA183" s="2" t="s">
        <v>154</v>
      </c>
      <c r="CB183" s="2"/>
      <c r="CC183" s="2" t="s">
        <v>100</v>
      </c>
      <c r="CD183" s="2">
        <v>6001</v>
      </c>
      <c r="CE183" s="2" t="s">
        <v>118</v>
      </c>
      <c r="CF183" s="5">
        <v>42838</v>
      </c>
      <c r="CG183" s="2"/>
      <c r="CH183" s="2"/>
      <c r="CI183" s="2">
        <v>1</v>
      </c>
      <c r="CJ183" s="2">
        <v>1</v>
      </c>
      <c r="CK183" s="2">
        <v>21</v>
      </c>
      <c r="CL183" s="2" t="s">
        <v>86</v>
      </c>
      <c r="CM183" s="2"/>
    </row>
    <row r="184" spans="1:91">
      <c r="A184" s="2" t="s">
        <v>71</v>
      </c>
      <c r="B184" s="2" t="s">
        <v>72</v>
      </c>
      <c r="C184" s="2" t="s">
        <v>73</v>
      </c>
      <c r="D184" s="2"/>
      <c r="E184" s="2" t="str">
        <f>"FES1162542106"</f>
        <v>FES1162542106</v>
      </c>
      <c r="F184" s="3">
        <v>42831</v>
      </c>
      <c r="G184" s="2">
        <v>201710</v>
      </c>
      <c r="H184" s="2" t="s">
        <v>74</v>
      </c>
      <c r="I184" s="2" t="s">
        <v>75</v>
      </c>
      <c r="J184" s="2" t="s">
        <v>76</v>
      </c>
      <c r="K184" s="2" t="s">
        <v>77</v>
      </c>
      <c r="L184" s="2" t="s">
        <v>131</v>
      </c>
      <c r="M184" s="2" t="s">
        <v>132</v>
      </c>
      <c r="N184" s="2" t="s">
        <v>586</v>
      </c>
      <c r="O184" s="2" t="s">
        <v>115</v>
      </c>
      <c r="P184" s="2" t="str">
        <f>"2170560989                    "</f>
        <v xml:space="preserve">2170560989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5.36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2.2999999999999998</v>
      </c>
      <c r="BJ184" s="2">
        <v>1.7</v>
      </c>
      <c r="BK184" s="2">
        <v>2.5</v>
      </c>
      <c r="BL184" s="2">
        <v>52.16</v>
      </c>
      <c r="BM184" s="2">
        <v>7.3</v>
      </c>
      <c r="BN184" s="2">
        <v>59.46</v>
      </c>
      <c r="BO184" s="2">
        <v>59.46</v>
      </c>
      <c r="BP184" s="2"/>
      <c r="BQ184" s="2" t="s">
        <v>129</v>
      </c>
      <c r="BR184" s="2" t="s">
        <v>123</v>
      </c>
      <c r="BS184" s="3">
        <v>42832</v>
      </c>
      <c r="BT184" s="4">
        <v>0.40277777777777773</v>
      </c>
      <c r="BU184" s="2" t="s">
        <v>587</v>
      </c>
      <c r="BV184" s="2" t="s">
        <v>111</v>
      </c>
      <c r="BW184" s="2"/>
      <c r="BX184" s="2"/>
      <c r="BY184" s="2">
        <v>8467.36</v>
      </c>
      <c r="BZ184" s="2" t="s">
        <v>27</v>
      </c>
      <c r="CA184" s="2"/>
      <c r="CB184" s="2"/>
      <c r="CC184" s="2" t="s">
        <v>132</v>
      </c>
      <c r="CD184" s="2">
        <v>7490</v>
      </c>
      <c r="CE184" s="2" t="s">
        <v>135</v>
      </c>
      <c r="CF184" s="5">
        <v>42835</v>
      </c>
      <c r="CG184" s="2"/>
      <c r="CH184" s="2"/>
      <c r="CI184" s="2">
        <v>1</v>
      </c>
      <c r="CJ184" s="2">
        <v>1</v>
      </c>
      <c r="CK184" s="2">
        <v>21</v>
      </c>
      <c r="CL184" s="2" t="s">
        <v>86</v>
      </c>
      <c r="CM184" s="2"/>
    </row>
    <row r="185" spans="1:91">
      <c r="A185" s="2" t="s">
        <v>71</v>
      </c>
      <c r="B185" s="2" t="s">
        <v>72</v>
      </c>
      <c r="C185" s="2" t="s">
        <v>73</v>
      </c>
      <c r="D185" s="2"/>
      <c r="E185" s="2" t="str">
        <f>"FES1162541412"</f>
        <v>FES1162541412</v>
      </c>
      <c r="F185" s="3">
        <v>42829</v>
      </c>
      <c r="G185" s="2">
        <v>201710</v>
      </c>
      <c r="H185" s="2" t="s">
        <v>74</v>
      </c>
      <c r="I185" s="2" t="s">
        <v>75</v>
      </c>
      <c r="J185" s="2" t="s">
        <v>76</v>
      </c>
      <c r="K185" s="2" t="s">
        <v>77</v>
      </c>
      <c r="L185" s="2" t="s">
        <v>131</v>
      </c>
      <c r="M185" s="2" t="s">
        <v>132</v>
      </c>
      <c r="N185" s="2" t="s">
        <v>588</v>
      </c>
      <c r="O185" s="2" t="s">
        <v>115</v>
      </c>
      <c r="P185" s="2" t="str">
        <f>"2170560499                    "</f>
        <v xml:space="preserve">2170560499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4.42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1</v>
      </c>
      <c r="BJ185" s="2">
        <v>0.2</v>
      </c>
      <c r="BK185" s="2">
        <v>1</v>
      </c>
      <c r="BL185" s="2">
        <v>41.86</v>
      </c>
      <c r="BM185" s="2">
        <v>5.86</v>
      </c>
      <c r="BN185" s="2">
        <v>47.72</v>
      </c>
      <c r="BO185" s="2">
        <v>47.72</v>
      </c>
      <c r="BP185" s="2"/>
      <c r="BQ185" s="2" t="s">
        <v>129</v>
      </c>
      <c r="BR185" s="2" t="s">
        <v>123</v>
      </c>
      <c r="BS185" s="3">
        <v>42830</v>
      </c>
      <c r="BT185" s="4">
        <v>0.65694444444444444</v>
      </c>
      <c r="BU185" s="2" t="s">
        <v>589</v>
      </c>
      <c r="BV185" s="2" t="s">
        <v>86</v>
      </c>
      <c r="BW185" s="2"/>
      <c r="BX185" s="2"/>
      <c r="BY185" s="2">
        <v>1200</v>
      </c>
      <c r="BZ185" s="2" t="s">
        <v>27</v>
      </c>
      <c r="CA185" s="2" t="s">
        <v>590</v>
      </c>
      <c r="CB185" s="2"/>
      <c r="CC185" s="2" t="s">
        <v>132</v>
      </c>
      <c r="CD185" s="2">
        <v>7460</v>
      </c>
      <c r="CE185" s="2" t="s">
        <v>118</v>
      </c>
      <c r="CF185" s="2"/>
      <c r="CG185" s="2"/>
      <c r="CH185" s="2"/>
      <c r="CI185" s="2">
        <v>1</v>
      </c>
      <c r="CJ185" s="2">
        <v>1</v>
      </c>
      <c r="CK185" s="2">
        <v>21</v>
      </c>
      <c r="CL185" s="2" t="s">
        <v>86</v>
      </c>
      <c r="CM185" s="2"/>
    </row>
    <row r="186" spans="1:91">
      <c r="A186" s="2" t="s">
        <v>71</v>
      </c>
      <c r="B186" s="2" t="s">
        <v>72</v>
      </c>
      <c r="C186" s="2" t="s">
        <v>73</v>
      </c>
      <c r="D186" s="2"/>
      <c r="E186" s="2" t="str">
        <f>"FES1162542987"</f>
        <v>FES1162542987</v>
      </c>
      <c r="F186" s="3">
        <v>42836</v>
      </c>
      <c r="G186" s="2">
        <v>201710</v>
      </c>
      <c r="H186" s="2" t="s">
        <v>74</v>
      </c>
      <c r="I186" s="2" t="s">
        <v>75</v>
      </c>
      <c r="J186" s="2" t="s">
        <v>76</v>
      </c>
      <c r="K186" s="2" t="s">
        <v>77</v>
      </c>
      <c r="L186" s="2" t="s">
        <v>591</v>
      </c>
      <c r="M186" s="2" t="s">
        <v>592</v>
      </c>
      <c r="N186" s="2" t="s">
        <v>593</v>
      </c>
      <c r="O186" s="2" t="s">
        <v>115</v>
      </c>
      <c r="P186" s="2" t="str">
        <f>"2170561775                    "</f>
        <v xml:space="preserve">2170561775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4.29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1</v>
      </c>
      <c r="BJ186" s="2">
        <v>0.2</v>
      </c>
      <c r="BK186" s="2">
        <v>1</v>
      </c>
      <c r="BL186" s="2">
        <v>41.73</v>
      </c>
      <c r="BM186" s="2">
        <v>5.84</v>
      </c>
      <c r="BN186" s="2">
        <v>47.57</v>
      </c>
      <c r="BO186" s="2">
        <v>47.57</v>
      </c>
      <c r="BP186" s="2"/>
      <c r="BQ186" s="2" t="s">
        <v>594</v>
      </c>
      <c r="BR186" s="2" t="s">
        <v>123</v>
      </c>
      <c r="BS186" s="3">
        <v>42837</v>
      </c>
      <c r="BT186" s="4">
        <v>0.41666666666666669</v>
      </c>
      <c r="BU186" s="2" t="s">
        <v>595</v>
      </c>
      <c r="BV186" s="2" t="s">
        <v>111</v>
      </c>
      <c r="BW186" s="2"/>
      <c r="BX186" s="2"/>
      <c r="BY186" s="2">
        <v>1200</v>
      </c>
      <c r="BZ186" s="2" t="s">
        <v>27</v>
      </c>
      <c r="CA186" s="2"/>
      <c r="CB186" s="2"/>
      <c r="CC186" s="2" t="s">
        <v>592</v>
      </c>
      <c r="CD186" s="2">
        <v>7599</v>
      </c>
      <c r="CE186" s="2" t="s">
        <v>144</v>
      </c>
      <c r="CF186" s="5">
        <v>42838</v>
      </c>
      <c r="CG186" s="2"/>
      <c r="CH186" s="2"/>
      <c r="CI186" s="2">
        <v>1</v>
      </c>
      <c r="CJ186" s="2">
        <v>1</v>
      </c>
      <c r="CK186" s="2">
        <v>21</v>
      </c>
      <c r="CL186" s="2" t="s">
        <v>86</v>
      </c>
      <c r="CM186" s="2"/>
    </row>
    <row r="187" spans="1:91">
      <c r="A187" s="2" t="s">
        <v>71</v>
      </c>
      <c r="B187" s="2" t="s">
        <v>72</v>
      </c>
      <c r="C187" s="2" t="s">
        <v>73</v>
      </c>
      <c r="D187" s="2"/>
      <c r="E187" s="2" t="str">
        <f>"FES1162541789"</f>
        <v>FES1162541789</v>
      </c>
      <c r="F187" s="3">
        <v>42830</v>
      </c>
      <c r="G187" s="2">
        <v>201710</v>
      </c>
      <c r="H187" s="2" t="s">
        <v>74</v>
      </c>
      <c r="I187" s="2" t="s">
        <v>75</v>
      </c>
      <c r="J187" s="2" t="s">
        <v>76</v>
      </c>
      <c r="K187" s="2" t="s">
        <v>77</v>
      </c>
      <c r="L187" s="2" t="s">
        <v>180</v>
      </c>
      <c r="M187" s="2" t="s">
        <v>181</v>
      </c>
      <c r="N187" s="2" t="s">
        <v>596</v>
      </c>
      <c r="O187" s="2" t="s">
        <v>115</v>
      </c>
      <c r="P187" s="2" t="str">
        <f>"2170560777                    "</f>
        <v xml:space="preserve">2170560777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6.43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3</v>
      </c>
      <c r="BJ187" s="2">
        <v>1.4</v>
      </c>
      <c r="BK187" s="2">
        <v>3</v>
      </c>
      <c r="BL187" s="2">
        <v>62.59</v>
      </c>
      <c r="BM187" s="2">
        <v>8.76</v>
      </c>
      <c r="BN187" s="2">
        <v>71.349999999999994</v>
      </c>
      <c r="BO187" s="2">
        <v>71.349999999999994</v>
      </c>
      <c r="BP187" s="2"/>
      <c r="BQ187" s="2" t="s">
        <v>129</v>
      </c>
      <c r="BR187" s="2" t="s">
        <v>123</v>
      </c>
      <c r="BS187" s="3">
        <v>42831</v>
      </c>
      <c r="BT187" s="4">
        <v>0.36319444444444443</v>
      </c>
      <c r="BU187" s="2" t="s">
        <v>597</v>
      </c>
      <c r="BV187" s="2" t="s">
        <v>111</v>
      </c>
      <c r="BW187" s="2"/>
      <c r="BX187" s="2"/>
      <c r="BY187" s="2">
        <v>6779.03</v>
      </c>
      <c r="BZ187" s="2" t="s">
        <v>27</v>
      </c>
      <c r="CA187" s="2"/>
      <c r="CB187" s="2"/>
      <c r="CC187" s="2" t="s">
        <v>181</v>
      </c>
      <c r="CD187" s="2">
        <v>4094</v>
      </c>
      <c r="CE187" s="2" t="s">
        <v>89</v>
      </c>
      <c r="CF187" s="5">
        <v>42832</v>
      </c>
      <c r="CG187" s="2"/>
      <c r="CH187" s="2"/>
      <c r="CI187" s="2">
        <v>1</v>
      </c>
      <c r="CJ187" s="2">
        <v>1</v>
      </c>
      <c r="CK187" s="2">
        <v>21</v>
      </c>
      <c r="CL187" s="2" t="s">
        <v>86</v>
      </c>
      <c r="CM187" s="2"/>
    </row>
    <row r="188" spans="1:91">
      <c r="A188" s="2" t="s">
        <v>71</v>
      </c>
      <c r="B188" s="2" t="s">
        <v>72</v>
      </c>
      <c r="C188" s="2" t="s">
        <v>73</v>
      </c>
      <c r="D188" s="2"/>
      <c r="E188" s="2" t="str">
        <f>"FES1162541408"</f>
        <v>FES1162541408</v>
      </c>
      <c r="F188" s="3">
        <v>42829</v>
      </c>
      <c r="G188" s="2">
        <v>201710</v>
      </c>
      <c r="H188" s="2" t="s">
        <v>74</v>
      </c>
      <c r="I188" s="2" t="s">
        <v>75</v>
      </c>
      <c r="J188" s="2" t="s">
        <v>76</v>
      </c>
      <c r="K188" s="2" t="s">
        <v>77</v>
      </c>
      <c r="L188" s="2" t="s">
        <v>598</v>
      </c>
      <c r="M188" s="2" t="s">
        <v>599</v>
      </c>
      <c r="N188" s="2" t="s">
        <v>600</v>
      </c>
      <c r="O188" s="2" t="s">
        <v>115</v>
      </c>
      <c r="P188" s="2" t="str">
        <f>"2170560492                    "</f>
        <v xml:space="preserve">2170560492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8.57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1</v>
      </c>
      <c r="BJ188" s="2">
        <v>0.2</v>
      </c>
      <c r="BK188" s="2">
        <v>1</v>
      </c>
      <c r="BL188" s="2">
        <v>81.11</v>
      </c>
      <c r="BM188" s="2">
        <v>11.36</v>
      </c>
      <c r="BN188" s="2">
        <v>92.47</v>
      </c>
      <c r="BO188" s="2">
        <v>92.47</v>
      </c>
      <c r="BP188" s="2"/>
      <c r="BQ188" s="2" t="s">
        <v>601</v>
      </c>
      <c r="BR188" s="2" t="s">
        <v>123</v>
      </c>
      <c r="BS188" s="3">
        <v>42830</v>
      </c>
      <c r="BT188" s="4">
        <v>0.48958333333333331</v>
      </c>
      <c r="BU188" s="2" t="s">
        <v>602</v>
      </c>
      <c r="BV188" s="2" t="s">
        <v>111</v>
      </c>
      <c r="BW188" s="2"/>
      <c r="BX188" s="2"/>
      <c r="BY188" s="2">
        <v>1200</v>
      </c>
      <c r="BZ188" s="2" t="s">
        <v>27</v>
      </c>
      <c r="CA188" s="2"/>
      <c r="CB188" s="2"/>
      <c r="CC188" s="2" t="s">
        <v>599</v>
      </c>
      <c r="CD188" s="2">
        <v>3370</v>
      </c>
      <c r="CE188" s="2" t="s">
        <v>144</v>
      </c>
      <c r="CF188" s="5">
        <v>42832</v>
      </c>
      <c r="CG188" s="2"/>
      <c r="CH188" s="2"/>
      <c r="CI188" s="2">
        <v>3</v>
      </c>
      <c r="CJ188" s="2">
        <v>1</v>
      </c>
      <c r="CK188" s="2">
        <v>23</v>
      </c>
      <c r="CL188" s="2" t="s">
        <v>86</v>
      </c>
      <c r="CM188" s="2"/>
    </row>
    <row r="189" spans="1:91">
      <c r="A189" s="2" t="s">
        <v>71</v>
      </c>
      <c r="B189" s="2" t="s">
        <v>72</v>
      </c>
      <c r="C189" s="2" t="s">
        <v>73</v>
      </c>
      <c r="D189" s="2"/>
      <c r="E189" s="2" t="str">
        <f>"FES1162543246"</f>
        <v>FES1162543246</v>
      </c>
      <c r="F189" s="3">
        <v>42837</v>
      </c>
      <c r="G189" s="2">
        <v>201710</v>
      </c>
      <c r="H189" s="2" t="s">
        <v>74</v>
      </c>
      <c r="I189" s="2" t="s">
        <v>75</v>
      </c>
      <c r="J189" s="2" t="s">
        <v>76</v>
      </c>
      <c r="K189" s="2" t="s">
        <v>77</v>
      </c>
      <c r="L189" s="2" t="s">
        <v>496</v>
      </c>
      <c r="M189" s="2" t="s">
        <v>497</v>
      </c>
      <c r="N189" s="2" t="s">
        <v>577</v>
      </c>
      <c r="O189" s="2" t="s">
        <v>115</v>
      </c>
      <c r="P189" s="2" t="str">
        <f>"2170559265                    "</f>
        <v xml:space="preserve">2170559265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3.35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1</v>
      </c>
      <c r="BJ189" s="2">
        <v>0.2</v>
      </c>
      <c r="BK189" s="2">
        <v>1</v>
      </c>
      <c r="BL189" s="2">
        <v>32.6</v>
      </c>
      <c r="BM189" s="2">
        <v>4.5599999999999996</v>
      </c>
      <c r="BN189" s="2">
        <v>37.159999999999997</v>
      </c>
      <c r="BO189" s="2">
        <v>37.159999999999997</v>
      </c>
      <c r="BP189" s="2"/>
      <c r="BQ189" s="2" t="s">
        <v>603</v>
      </c>
      <c r="BR189" s="2" t="s">
        <v>84</v>
      </c>
      <c r="BS189" s="3">
        <v>42838</v>
      </c>
      <c r="BT189" s="4">
        <v>0.41666666666666669</v>
      </c>
      <c r="BU189" s="2" t="s">
        <v>604</v>
      </c>
      <c r="BV189" s="2" t="s">
        <v>111</v>
      </c>
      <c r="BW189" s="2"/>
      <c r="BX189" s="2"/>
      <c r="BY189" s="2">
        <v>1200</v>
      </c>
      <c r="BZ189" s="2" t="s">
        <v>27</v>
      </c>
      <c r="CA189" s="2"/>
      <c r="CB189" s="2"/>
      <c r="CC189" s="2" t="s">
        <v>497</v>
      </c>
      <c r="CD189" s="2">
        <v>1559</v>
      </c>
      <c r="CE189" s="2" t="s">
        <v>118</v>
      </c>
      <c r="CF189" s="5">
        <v>42843</v>
      </c>
      <c r="CG189" s="2"/>
      <c r="CH189" s="2"/>
      <c r="CI189" s="2">
        <v>1</v>
      </c>
      <c r="CJ189" s="2">
        <v>1</v>
      </c>
      <c r="CK189" s="2">
        <v>22</v>
      </c>
      <c r="CL189" s="2" t="s">
        <v>86</v>
      </c>
      <c r="CM189" s="2"/>
    </row>
    <row r="190" spans="1:91">
      <c r="A190" s="2" t="s">
        <v>71</v>
      </c>
      <c r="B190" s="2" t="s">
        <v>72</v>
      </c>
      <c r="C190" s="2" t="s">
        <v>73</v>
      </c>
      <c r="D190" s="2"/>
      <c r="E190" s="2" t="str">
        <f>"FES1162542016"</f>
        <v>FES1162542016</v>
      </c>
      <c r="F190" s="3">
        <v>42831</v>
      </c>
      <c r="G190" s="2">
        <v>201710</v>
      </c>
      <c r="H190" s="2" t="s">
        <v>74</v>
      </c>
      <c r="I190" s="2" t="s">
        <v>75</v>
      </c>
      <c r="J190" s="2" t="s">
        <v>76</v>
      </c>
      <c r="K190" s="2" t="s">
        <v>77</v>
      </c>
      <c r="L190" s="2" t="s">
        <v>180</v>
      </c>
      <c r="M190" s="2" t="s">
        <v>181</v>
      </c>
      <c r="N190" s="2" t="s">
        <v>605</v>
      </c>
      <c r="O190" s="2" t="s">
        <v>115</v>
      </c>
      <c r="P190" s="2" t="str">
        <f>"2170558868                    "</f>
        <v xml:space="preserve">2170558868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4.29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1</v>
      </c>
      <c r="BJ190" s="2">
        <v>0.2</v>
      </c>
      <c r="BK190" s="2">
        <v>1</v>
      </c>
      <c r="BL190" s="2">
        <v>41.73</v>
      </c>
      <c r="BM190" s="2">
        <v>5.84</v>
      </c>
      <c r="BN190" s="2">
        <v>47.57</v>
      </c>
      <c r="BO190" s="2">
        <v>47.57</v>
      </c>
      <c r="BP190" s="2"/>
      <c r="BQ190" s="2" t="s">
        <v>606</v>
      </c>
      <c r="BR190" s="2" t="s">
        <v>123</v>
      </c>
      <c r="BS190" s="3">
        <v>42835</v>
      </c>
      <c r="BT190" s="4">
        <v>0.4375</v>
      </c>
      <c r="BU190" s="2" t="s">
        <v>607</v>
      </c>
      <c r="BV190" s="2" t="s">
        <v>86</v>
      </c>
      <c r="BW190" s="2" t="s">
        <v>164</v>
      </c>
      <c r="BX190" s="2" t="s">
        <v>88</v>
      </c>
      <c r="BY190" s="2">
        <v>1200</v>
      </c>
      <c r="BZ190" s="2" t="s">
        <v>27</v>
      </c>
      <c r="CA190" s="2"/>
      <c r="CB190" s="2"/>
      <c r="CC190" s="2" t="s">
        <v>181</v>
      </c>
      <c r="CD190" s="2">
        <v>4001</v>
      </c>
      <c r="CE190" s="2" t="s">
        <v>144</v>
      </c>
      <c r="CF190" s="5">
        <v>42836</v>
      </c>
      <c r="CG190" s="2"/>
      <c r="CH190" s="2"/>
      <c r="CI190" s="2">
        <v>1</v>
      </c>
      <c r="CJ190" s="2">
        <v>2</v>
      </c>
      <c r="CK190" s="2">
        <v>21</v>
      </c>
      <c r="CL190" s="2" t="s">
        <v>86</v>
      </c>
      <c r="CM190" s="2"/>
    </row>
    <row r="191" spans="1:91">
      <c r="A191" s="2" t="s">
        <v>71</v>
      </c>
      <c r="B191" s="2" t="s">
        <v>72</v>
      </c>
      <c r="C191" s="2" t="s">
        <v>73</v>
      </c>
      <c r="D191" s="2"/>
      <c r="E191" s="2" t="str">
        <f>"FES1162541254"</f>
        <v>FES1162541254</v>
      </c>
      <c r="F191" s="3">
        <v>42829</v>
      </c>
      <c r="G191" s="2">
        <v>201710</v>
      </c>
      <c r="H191" s="2" t="s">
        <v>74</v>
      </c>
      <c r="I191" s="2" t="s">
        <v>75</v>
      </c>
      <c r="J191" s="2" t="s">
        <v>76</v>
      </c>
      <c r="K191" s="2" t="s">
        <v>77</v>
      </c>
      <c r="L191" s="2" t="s">
        <v>99</v>
      </c>
      <c r="M191" s="2" t="s">
        <v>100</v>
      </c>
      <c r="N191" s="2" t="s">
        <v>108</v>
      </c>
      <c r="O191" s="2" t="s">
        <v>115</v>
      </c>
      <c r="P191" s="2" t="str">
        <f>"2170560296                    "</f>
        <v xml:space="preserve">2170560296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4.42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1</v>
      </c>
      <c r="BJ191" s="2">
        <v>0.2</v>
      </c>
      <c r="BK191" s="2">
        <v>1</v>
      </c>
      <c r="BL191" s="2">
        <v>41.86</v>
      </c>
      <c r="BM191" s="2">
        <v>5.86</v>
      </c>
      <c r="BN191" s="2">
        <v>47.72</v>
      </c>
      <c r="BO191" s="2">
        <v>47.72</v>
      </c>
      <c r="BP191" s="2"/>
      <c r="BQ191" s="2" t="s">
        <v>109</v>
      </c>
      <c r="BR191" s="2" t="s">
        <v>123</v>
      </c>
      <c r="BS191" s="3">
        <v>42830</v>
      </c>
      <c r="BT191" s="4">
        <v>0.39583333333333331</v>
      </c>
      <c r="BU191" s="2" t="s">
        <v>110</v>
      </c>
      <c r="BV191" s="2" t="s">
        <v>111</v>
      </c>
      <c r="BW191" s="2"/>
      <c r="BX191" s="2"/>
      <c r="BY191" s="2">
        <v>1200</v>
      </c>
      <c r="BZ191" s="2" t="s">
        <v>27</v>
      </c>
      <c r="CA191" s="2" t="s">
        <v>106</v>
      </c>
      <c r="CB191" s="2"/>
      <c r="CC191" s="2" t="s">
        <v>100</v>
      </c>
      <c r="CD191" s="2">
        <v>6001</v>
      </c>
      <c r="CE191" s="2" t="s">
        <v>144</v>
      </c>
      <c r="CF191" s="5">
        <v>42830</v>
      </c>
      <c r="CG191" s="2"/>
      <c r="CH191" s="2"/>
      <c r="CI191" s="2">
        <v>1</v>
      </c>
      <c r="CJ191" s="2">
        <v>1</v>
      </c>
      <c r="CK191" s="2">
        <v>21</v>
      </c>
      <c r="CL191" s="2" t="s">
        <v>86</v>
      </c>
      <c r="CM191" s="2"/>
    </row>
    <row r="192" spans="1:91">
      <c r="A192" s="2" t="s">
        <v>71</v>
      </c>
      <c r="B192" s="2" t="s">
        <v>72</v>
      </c>
      <c r="C192" s="2" t="s">
        <v>73</v>
      </c>
      <c r="D192" s="2"/>
      <c r="E192" s="2" t="str">
        <f>"FES1162542823"</f>
        <v>FES1162542823</v>
      </c>
      <c r="F192" s="3">
        <v>42836</v>
      </c>
      <c r="G192" s="2">
        <v>201710</v>
      </c>
      <c r="H192" s="2" t="s">
        <v>74</v>
      </c>
      <c r="I192" s="2" t="s">
        <v>75</v>
      </c>
      <c r="J192" s="2" t="s">
        <v>76</v>
      </c>
      <c r="K192" s="2" t="s">
        <v>77</v>
      </c>
      <c r="L192" s="2" t="s">
        <v>176</v>
      </c>
      <c r="M192" s="2" t="s">
        <v>176</v>
      </c>
      <c r="N192" s="2" t="s">
        <v>339</v>
      </c>
      <c r="O192" s="2" t="s">
        <v>115</v>
      </c>
      <c r="P192" s="2" t="str">
        <f>"2170559775                    "</f>
        <v xml:space="preserve">2170559775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5.36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1.4</v>
      </c>
      <c r="BJ192" s="2">
        <v>2.1</v>
      </c>
      <c r="BK192" s="2">
        <v>2.5</v>
      </c>
      <c r="BL192" s="2">
        <v>52.16</v>
      </c>
      <c r="BM192" s="2">
        <v>7.3</v>
      </c>
      <c r="BN192" s="2">
        <v>59.46</v>
      </c>
      <c r="BO192" s="2">
        <v>59.46</v>
      </c>
      <c r="BP192" s="2"/>
      <c r="BQ192" s="2" t="s">
        <v>340</v>
      </c>
      <c r="BR192" s="2" t="s">
        <v>123</v>
      </c>
      <c r="BS192" s="3">
        <v>42837</v>
      </c>
      <c r="BT192" s="4">
        <v>0.55555555555555558</v>
      </c>
      <c r="BU192" s="2" t="s">
        <v>341</v>
      </c>
      <c r="BV192" s="2" t="s">
        <v>111</v>
      </c>
      <c r="BW192" s="2"/>
      <c r="BX192" s="2"/>
      <c r="BY192" s="2">
        <v>10737.54</v>
      </c>
      <c r="BZ192" s="2" t="s">
        <v>27</v>
      </c>
      <c r="CA192" s="2"/>
      <c r="CB192" s="2"/>
      <c r="CC192" s="2" t="s">
        <v>176</v>
      </c>
      <c r="CD192" s="2">
        <v>7646</v>
      </c>
      <c r="CE192" s="2" t="s">
        <v>144</v>
      </c>
      <c r="CF192" s="5">
        <v>42838</v>
      </c>
      <c r="CG192" s="2"/>
      <c r="CH192" s="2"/>
      <c r="CI192" s="2">
        <v>1</v>
      </c>
      <c r="CJ192" s="2">
        <v>1</v>
      </c>
      <c r="CK192" s="2">
        <v>21</v>
      </c>
      <c r="CL192" s="2" t="s">
        <v>86</v>
      </c>
      <c r="CM192" s="2"/>
    </row>
    <row r="193" spans="1:91">
      <c r="A193" s="2" t="s">
        <v>71</v>
      </c>
      <c r="B193" s="2" t="s">
        <v>72</v>
      </c>
      <c r="C193" s="2" t="s">
        <v>73</v>
      </c>
      <c r="D193" s="2"/>
      <c r="E193" s="2" t="str">
        <f>"FES1162541729"</f>
        <v>FES1162541729</v>
      </c>
      <c r="F193" s="3">
        <v>42830</v>
      </c>
      <c r="G193" s="2">
        <v>201710</v>
      </c>
      <c r="H193" s="2" t="s">
        <v>74</v>
      </c>
      <c r="I193" s="2" t="s">
        <v>75</v>
      </c>
      <c r="J193" s="2" t="s">
        <v>76</v>
      </c>
      <c r="K193" s="2" t="s">
        <v>77</v>
      </c>
      <c r="L193" s="2" t="s">
        <v>294</v>
      </c>
      <c r="M193" s="2" t="s">
        <v>295</v>
      </c>
      <c r="N193" s="2" t="s">
        <v>416</v>
      </c>
      <c r="O193" s="2" t="s">
        <v>115</v>
      </c>
      <c r="P193" s="2" t="str">
        <f>"2170560731                    "</f>
        <v xml:space="preserve">2170560731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6.43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3</v>
      </c>
      <c r="BJ193" s="2">
        <v>1.4</v>
      </c>
      <c r="BK193" s="2">
        <v>3</v>
      </c>
      <c r="BL193" s="2">
        <v>62.59</v>
      </c>
      <c r="BM193" s="2">
        <v>8.76</v>
      </c>
      <c r="BN193" s="2">
        <v>71.349999999999994</v>
      </c>
      <c r="BO193" s="2">
        <v>71.349999999999994</v>
      </c>
      <c r="BP193" s="2"/>
      <c r="BQ193" s="2" t="s">
        <v>417</v>
      </c>
      <c r="BR193" s="2" t="s">
        <v>123</v>
      </c>
      <c r="BS193" s="3">
        <v>42831</v>
      </c>
      <c r="BT193" s="4">
        <v>0.4375</v>
      </c>
      <c r="BU193" s="2" t="s">
        <v>608</v>
      </c>
      <c r="BV193" s="2" t="s">
        <v>111</v>
      </c>
      <c r="BW193" s="2"/>
      <c r="BX193" s="2"/>
      <c r="BY193" s="2">
        <v>6814.2</v>
      </c>
      <c r="BZ193" s="2" t="s">
        <v>27</v>
      </c>
      <c r="CA193" s="2">
        <v>80001601909</v>
      </c>
      <c r="CB193" s="2"/>
      <c r="CC193" s="2" t="s">
        <v>295</v>
      </c>
      <c r="CD193" s="2">
        <v>3610</v>
      </c>
      <c r="CE193" s="2" t="s">
        <v>89</v>
      </c>
      <c r="CF193" s="5">
        <v>42832</v>
      </c>
      <c r="CG193" s="2"/>
      <c r="CH193" s="2"/>
      <c r="CI193" s="2">
        <v>1</v>
      </c>
      <c r="CJ193" s="2">
        <v>1</v>
      </c>
      <c r="CK193" s="2">
        <v>21</v>
      </c>
      <c r="CL193" s="2" t="s">
        <v>86</v>
      </c>
      <c r="CM193" s="2"/>
    </row>
    <row r="194" spans="1:91">
      <c r="A194" s="2" t="s">
        <v>71</v>
      </c>
      <c r="B194" s="2" t="s">
        <v>72</v>
      </c>
      <c r="C194" s="2" t="s">
        <v>73</v>
      </c>
      <c r="D194" s="2"/>
      <c r="E194" s="2" t="str">
        <f>"FES1162541523"</f>
        <v>FES1162541523</v>
      </c>
      <c r="F194" s="3">
        <v>42830</v>
      </c>
      <c r="G194" s="2">
        <v>201710</v>
      </c>
      <c r="H194" s="2" t="s">
        <v>74</v>
      </c>
      <c r="I194" s="2" t="s">
        <v>75</v>
      </c>
      <c r="J194" s="2" t="s">
        <v>76</v>
      </c>
      <c r="K194" s="2" t="s">
        <v>77</v>
      </c>
      <c r="L194" s="2" t="s">
        <v>99</v>
      </c>
      <c r="M194" s="2" t="s">
        <v>100</v>
      </c>
      <c r="N194" s="2" t="s">
        <v>108</v>
      </c>
      <c r="O194" s="2" t="s">
        <v>115</v>
      </c>
      <c r="P194" s="2" t="str">
        <f>"2170559173                    "</f>
        <v xml:space="preserve">2170559173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4.29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1</v>
      </c>
      <c r="BJ194" s="2">
        <v>0.2</v>
      </c>
      <c r="BK194" s="2">
        <v>1</v>
      </c>
      <c r="BL194" s="2">
        <v>41.73</v>
      </c>
      <c r="BM194" s="2">
        <v>5.84</v>
      </c>
      <c r="BN194" s="2">
        <v>47.57</v>
      </c>
      <c r="BO194" s="2">
        <v>47.57</v>
      </c>
      <c r="BP194" s="2"/>
      <c r="BQ194" s="2" t="s">
        <v>109</v>
      </c>
      <c r="BR194" s="2" t="s">
        <v>123</v>
      </c>
      <c r="BS194" s="3">
        <v>42831</v>
      </c>
      <c r="BT194" s="4">
        <v>0.41666666666666669</v>
      </c>
      <c r="BU194" s="2" t="s">
        <v>110</v>
      </c>
      <c r="BV194" s="2" t="s">
        <v>111</v>
      </c>
      <c r="BW194" s="2"/>
      <c r="BX194" s="2"/>
      <c r="BY194" s="2">
        <v>1200</v>
      </c>
      <c r="BZ194" s="2" t="s">
        <v>27</v>
      </c>
      <c r="CA194" s="2" t="s">
        <v>106</v>
      </c>
      <c r="CB194" s="2"/>
      <c r="CC194" s="2" t="s">
        <v>100</v>
      </c>
      <c r="CD194" s="2">
        <v>6001</v>
      </c>
      <c r="CE194" s="2" t="s">
        <v>144</v>
      </c>
      <c r="CF194" s="5">
        <v>42831</v>
      </c>
      <c r="CG194" s="2"/>
      <c r="CH194" s="2"/>
      <c r="CI194" s="2">
        <v>1</v>
      </c>
      <c r="CJ194" s="2">
        <v>1</v>
      </c>
      <c r="CK194" s="2">
        <v>21</v>
      </c>
      <c r="CL194" s="2" t="s">
        <v>86</v>
      </c>
      <c r="CM194" s="2"/>
    </row>
    <row r="195" spans="1:91">
      <c r="A195" s="2" t="s">
        <v>71</v>
      </c>
      <c r="B195" s="2" t="s">
        <v>72</v>
      </c>
      <c r="C195" s="2" t="s">
        <v>73</v>
      </c>
      <c r="D195" s="2"/>
      <c r="E195" s="2" t="str">
        <f>"FES1162543313"</f>
        <v>FES1162543313</v>
      </c>
      <c r="F195" s="3">
        <v>42837</v>
      </c>
      <c r="G195" s="2">
        <v>201710</v>
      </c>
      <c r="H195" s="2" t="s">
        <v>74</v>
      </c>
      <c r="I195" s="2" t="s">
        <v>75</v>
      </c>
      <c r="J195" s="2" t="s">
        <v>76</v>
      </c>
      <c r="K195" s="2" t="s">
        <v>77</v>
      </c>
      <c r="L195" s="2" t="s">
        <v>190</v>
      </c>
      <c r="M195" s="2" t="s">
        <v>191</v>
      </c>
      <c r="N195" s="2" t="s">
        <v>192</v>
      </c>
      <c r="O195" s="2" t="s">
        <v>115</v>
      </c>
      <c r="P195" s="2" t="str">
        <f>"2170561557                    "</f>
        <v xml:space="preserve">2170561557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6.03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1</v>
      </c>
      <c r="BJ195" s="2">
        <v>0.2</v>
      </c>
      <c r="BK195" s="2">
        <v>1</v>
      </c>
      <c r="BL195" s="2">
        <v>58.68</v>
      </c>
      <c r="BM195" s="2">
        <v>8.2200000000000006</v>
      </c>
      <c r="BN195" s="2">
        <v>66.900000000000006</v>
      </c>
      <c r="BO195" s="2">
        <v>66.900000000000006</v>
      </c>
      <c r="BP195" s="2"/>
      <c r="BQ195" s="2" t="s">
        <v>193</v>
      </c>
      <c r="BR195" s="2" t="s">
        <v>84</v>
      </c>
      <c r="BS195" s="3">
        <v>42838</v>
      </c>
      <c r="BT195" s="4">
        <v>0.4909722222222222</v>
      </c>
      <c r="BU195" s="2" t="s">
        <v>194</v>
      </c>
      <c r="BV195" s="2" t="s">
        <v>111</v>
      </c>
      <c r="BW195" s="2"/>
      <c r="BX195" s="2"/>
      <c r="BY195" s="2">
        <v>1200</v>
      </c>
      <c r="BZ195" s="2" t="s">
        <v>27</v>
      </c>
      <c r="CA195" s="2"/>
      <c r="CB195" s="2"/>
      <c r="CC195" s="2" t="s">
        <v>191</v>
      </c>
      <c r="CD195" s="2">
        <v>1739</v>
      </c>
      <c r="CE195" s="2" t="s">
        <v>118</v>
      </c>
      <c r="CF195" s="5">
        <v>42843</v>
      </c>
      <c r="CG195" s="2"/>
      <c r="CH195" s="2"/>
      <c r="CI195" s="2">
        <v>1</v>
      </c>
      <c r="CJ195" s="2">
        <v>1</v>
      </c>
      <c r="CK195" s="2">
        <v>24</v>
      </c>
      <c r="CL195" s="2" t="s">
        <v>86</v>
      </c>
      <c r="CM195" s="2"/>
    </row>
    <row r="196" spans="1:91">
      <c r="A196" s="2" t="s">
        <v>71</v>
      </c>
      <c r="B196" s="2" t="s">
        <v>72</v>
      </c>
      <c r="C196" s="2" t="s">
        <v>73</v>
      </c>
      <c r="D196" s="2"/>
      <c r="E196" s="2" t="str">
        <f>"FES1162542054"</f>
        <v>FES1162542054</v>
      </c>
      <c r="F196" s="3">
        <v>42831</v>
      </c>
      <c r="G196" s="2">
        <v>201710</v>
      </c>
      <c r="H196" s="2" t="s">
        <v>74</v>
      </c>
      <c r="I196" s="2" t="s">
        <v>75</v>
      </c>
      <c r="J196" s="2" t="s">
        <v>76</v>
      </c>
      <c r="K196" s="2" t="s">
        <v>77</v>
      </c>
      <c r="L196" s="2" t="s">
        <v>609</v>
      </c>
      <c r="M196" s="2" t="s">
        <v>610</v>
      </c>
      <c r="N196" s="2" t="s">
        <v>611</v>
      </c>
      <c r="O196" s="2" t="s">
        <v>115</v>
      </c>
      <c r="P196" s="2" t="str">
        <f>"2170553426                    "</f>
        <v xml:space="preserve">2170553426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4.29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1</v>
      </c>
      <c r="BJ196" s="2">
        <v>0.2</v>
      </c>
      <c r="BK196" s="2">
        <v>1</v>
      </c>
      <c r="BL196" s="2">
        <v>41.73</v>
      </c>
      <c r="BM196" s="2">
        <v>5.84</v>
      </c>
      <c r="BN196" s="2">
        <v>47.57</v>
      </c>
      <c r="BO196" s="2">
        <v>47.57</v>
      </c>
      <c r="BP196" s="2"/>
      <c r="BQ196" s="2" t="s">
        <v>116</v>
      </c>
      <c r="BR196" s="2" t="s">
        <v>123</v>
      </c>
      <c r="BS196" s="3">
        <v>42832</v>
      </c>
      <c r="BT196" s="4">
        <v>0.58194444444444449</v>
      </c>
      <c r="BU196" s="2" t="s">
        <v>612</v>
      </c>
      <c r="BV196" s="2" t="s">
        <v>86</v>
      </c>
      <c r="BW196" s="2"/>
      <c r="BX196" s="2"/>
      <c r="BY196" s="2">
        <v>1200</v>
      </c>
      <c r="BZ196" s="2" t="s">
        <v>27</v>
      </c>
      <c r="CA196" s="2"/>
      <c r="CB196" s="2"/>
      <c r="CC196" s="2" t="s">
        <v>610</v>
      </c>
      <c r="CD196" s="2">
        <v>1911</v>
      </c>
      <c r="CE196" s="2" t="s">
        <v>144</v>
      </c>
      <c r="CF196" s="5">
        <v>42835</v>
      </c>
      <c r="CG196" s="2"/>
      <c r="CH196" s="2"/>
      <c r="CI196" s="2">
        <v>1</v>
      </c>
      <c r="CJ196" s="2">
        <v>1</v>
      </c>
      <c r="CK196" s="2">
        <v>21</v>
      </c>
      <c r="CL196" s="2" t="s">
        <v>86</v>
      </c>
      <c r="CM196" s="2"/>
    </row>
    <row r="197" spans="1:91">
      <c r="A197" s="2" t="s">
        <v>71</v>
      </c>
      <c r="B197" s="2" t="s">
        <v>72</v>
      </c>
      <c r="C197" s="2" t="s">
        <v>73</v>
      </c>
      <c r="D197" s="2"/>
      <c r="E197" s="2" t="str">
        <f>"FES1162541422"</f>
        <v>FES1162541422</v>
      </c>
      <c r="F197" s="3">
        <v>42829</v>
      </c>
      <c r="G197" s="2">
        <v>201710</v>
      </c>
      <c r="H197" s="2" t="s">
        <v>74</v>
      </c>
      <c r="I197" s="2" t="s">
        <v>75</v>
      </c>
      <c r="J197" s="2" t="s">
        <v>76</v>
      </c>
      <c r="K197" s="2" t="s">
        <v>77</v>
      </c>
      <c r="L197" s="2" t="s">
        <v>516</v>
      </c>
      <c r="M197" s="2" t="s">
        <v>517</v>
      </c>
      <c r="N197" s="2" t="s">
        <v>613</v>
      </c>
      <c r="O197" s="2" t="s">
        <v>115</v>
      </c>
      <c r="P197" s="2" t="str">
        <f>"2170560509                    "</f>
        <v xml:space="preserve">2170560509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3.45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32.700000000000003</v>
      </c>
      <c r="BM197" s="2">
        <v>4.58</v>
      </c>
      <c r="BN197" s="2">
        <v>37.28</v>
      </c>
      <c r="BO197" s="2">
        <v>37.28</v>
      </c>
      <c r="BP197" s="2"/>
      <c r="BQ197" s="2" t="s">
        <v>614</v>
      </c>
      <c r="BR197" s="2" t="s">
        <v>123</v>
      </c>
      <c r="BS197" s="3">
        <v>42830</v>
      </c>
      <c r="BT197" s="4">
        <v>0.41319444444444442</v>
      </c>
      <c r="BU197" s="2" t="s">
        <v>615</v>
      </c>
      <c r="BV197" s="2" t="s">
        <v>111</v>
      </c>
      <c r="BW197" s="2"/>
      <c r="BX197" s="2"/>
      <c r="BY197" s="2">
        <v>1200</v>
      </c>
      <c r="BZ197" s="2" t="s">
        <v>27</v>
      </c>
      <c r="CA197" s="2"/>
      <c r="CB197" s="2"/>
      <c r="CC197" s="2" t="s">
        <v>517</v>
      </c>
      <c r="CD197" s="2">
        <v>1459</v>
      </c>
      <c r="CE197" s="2" t="s">
        <v>118</v>
      </c>
      <c r="CF197" s="5">
        <v>42832</v>
      </c>
      <c r="CG197" s="2"/>
      <c r="CH197" s="2"/>
      <c r="CI197" s="2">
        <v>1</v>
      </c>
      <c r="CJ197" s="2">
        <v>1</v>
      </c>
      <c r="CK197" s="2">
        <v>22</v>
      </c>
      <c r="CL197" s="2" t="s">
        <v>86</v>
      </c>
      <c r="CM197" s="2"/>
    </row>
    <row r="198" spans="1:91">
      <c r="A198" s="2" t="s">
        <v>71</v>
      </c>
      <c r="B198" s="2" t="s">
        <v>72</v>
      </c>
      <c r="C198" s="2" t="s">
        <v>73</v>
      </c>
      <c r="D198" s="2"/>
      <c r="E198" s="2" t="str">
        <f>"FES1162541859"</f>
        <v>FES1162541859</v>
      </c>
      <c r="F198" s="3">
        <v>42830</v>
      </c>
      <c r="G198" s="2">
        <v>201710</v>
      </c>
      <c r="H198" s="2" t="s">
        <v>74</v>
      </c>
      <c r="I198" s="2" t="s">
        <v>75</v>
      </c>
      <c r="J198" s="2" t="s">
        <v>76</v>
      </c>
      <c r="K198" s="2" t="s">
        <v>77</v>
      </c>
      <c r="L198" s="2" t="s">
        <v>91</v>
      </c>
      <c r="M198" s="2" t="s">
        <v>92</v>
      </c>
      <c r="N198" s="2" t="s">
        <v>616</v>
      </c>
      <c r="O198" s="2" t="s">
        <v>115</v>
      </c>
      <c r="P198" s="2" t="str">
        <f>"2170560867                    "</f>
        <v xml:space="preserve">2170560867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3.35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1</v>
      </c>
      <c r="BJ198" s="2">
        <v>0.2</v>
      </c>
      <c r="BK198" s="2">
        <v>1</v>
      </c>
      <c r="BL198" s="2">
        <v>32.6</v>
      </c>
      <c r="BM198" s="2">
        <v>4.5599999999999996</v>
      </c>
      <c r="BN198" s="2">
        <v>37.159999999999997</v>
      </c>
      <c r="BO198" s="2">
        <v>37.159999999999997</v>
      </c>
      <c r="BP198" s="2"/>
      <c r="BQ198" s="2" t="s">
        <v>617</v>
      </c>
      <c r="BR198" s="2" t="s">
        <v>123</v>
      </c>
      <c r="BS198" s="3">
        <v>42831</v>
      </c>
      <c r="BT198" s="4">
        <v>0.49791666666666662</v>
      </c>
      <c r="BU198" s="2" t="s">
        <v>198</v>
      </c>
      <c r="BV198" s="2" t="s">
        <v>86</v>
      </c>
      <c r="BW198" s="2" t="s">
        <v>157</v>
      </c>
      <c r="BX198" s="2" t="s">
        <v>618</v>
      </c>
      <c r="BY198" s="2">
        <v>1200</v>
      </c>
      <c r="BZ198" s="2" t="s">
        <v>27</v>
      </c>
      <c r="CA198" s="2"/>
      <c r="CB198" s="2"/>
      <c r="CC198" s="2" t="s">
        <v>92</v>
      </c>
      <c r="CD198" s="2">
        <v>1401</v>
      </c>
      <c r="CE198" s="2" t="s">
        <v>118</v>
      </c>
      <c r="CF198" s="5">
        <v>42832</v>
      </c>
      <c r="CG198" s="2"/>
      <c r="CH198" s="2"/>
      <c r="CI198" s="2">
        <v>1</v>
      </c>
      <c r="CJ198" s="2">
        <v>1</v>
      </c>
      <c r="CK198" s="2">
        <v>22</v>
      </c>
      <c r="CL198" s="2" t="s">
        <v>86</v>
      </c>
      <c r="CM198" s="2"/>
    </row>
    <row r="199" spans="1:91">
      <c r="A199" s="2" t="s">
        <v>71</v>
      </c>
      <c r="B199" s="2" t="s">
        <v>72</v>
      </c>
      <c r="C199" s="2" t="s">
        <v>73</v>
      </c>
      <c r="D199" s="2"/>
      <c r="E199" s="2" t="str">
        <f>"FES1162541392"</f>
        <v>FES1162541392</v>
      </c>
      <c r="F199" s="3">
        <v>42829</v>
      </c>
      <c r="G199" s="2">
        <v>201710</v>
      </c>
      <c r="H199" s="2" t="s">
        <v>74</v>
      </c>
      <c r="I199" s="2" t="s">
        <v>75</v>
      </c>
      <c r="J199" s="2" t="s">
        <v>76</v>
      </c>
      <c r="K199" s="2" t="s">
        <v>77</v>
      </c>
      <c r="L199" s="2" t="s">
        <v>234</v>
      </c>
      <c r="M199" s="2" t="s">
        <v>235</v>
      </c>
      <c r="N199" s="2" t="s">
        <v>326</v>
      </c>
      <c r="O199" s="2" t="s">
        <v>115</v>
      </c>
      <c r="P199" s="2" t="str">
        <f>"2170560481                    "</f>
        <v xml:space="preserve">2170560481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4.42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1</v>
      </c>
      <c r="BJ199" s="2">
        <v>0.2</v>
      </c>
      <c r="BK199" s="2">
        <v>1</v>
      </c>
      <c r="BL199" s="2">
        <v>41.86</v>
      </c>
      <c r="BM199" s="2">
        <v>5.86</v>
      </c>
      <c r="BN199" s="2">
        <v>47.72</v>
      </c>
      <c r="BO199" s="2">
        <v>47.72</v>
      </c>
      <c r="BP199" s="2"/>
      <c r="BQ199" s="2" t="s">
        <v>442</v>
      </c>
      <c r="BR199" s="2" t="s">
        <v>123</v>
      </c>
      <c r="BS199" s="3">
        <v>42830</v>
      </c>
      <c r="BT199" s="4">
        <v>0.36805555555555558</v>
      </c>
      <c r="BU199" s="2" t="s">
        <v>245</v>
      </c>
      <c r="BV199" s="2" t="s">
        <v>111</v>
      </c>
      <c r="BW199" s="2"/>
      <c r="BX199" s="2"/>
      <c r="BY199" s="2">
        <v>1200</v>
      </c>
      <c r="BZ199" s="2" t="s">
        <v>27</v>
      </c>
      <c r="CA199" s="2"/>
      <c r="CB199" s="2"/>
      <c r="CC199" s="2" t="s">
        <v>235</v>
      </c>
      <c r="CD199" s="2">
        <v>6220</v>
      </c>
      <c r="CE199" s="2" t="s">
        <v>144</v>
      </c>
      <c r="CF199" s="5">
        <v>42832</v>
      </c>
      <c r="CG199" s="2"/>
      <c r="CH199" s="2"/>
      <c r="CI199" s="2">
        <v>1</v>
      </c>
      <c r="CJ199" s="2">
        <v>1</v>
      </c>
      <c r="CK199" s="2">
        <v>21</v>
      </c>
      <c r="CL199" s="2" t="s">
        <v>86</v>
      </c>
      <c r="CM199" s="2"/>
    </row>
    <row r="200" spans="1:91">
      <c r="A200" s="2" t="s">
        <v>71</v>
      </c>
      <c r="B200" s="2" t="s">
        <v>72</v>
      </c>
      <c r="C200" s="2" t="s">
        <v>73</v>
      </c>
      <c r="D200" s="2"/>
      <c r="E200" s="2" t="str">
        <f>"FES1162543316"</f>
        <v>FES1162543316</v>
      </c>
      <c r="F200" s="3">
        <v>42837</v>
      </c>
      <c r="G200" s="2">
        <v>201710</v>
      </c>
      <c r="H200" s="2" t="s">
        <v>74</v>
      </c>
      <c r="I200" s="2" t="s">
        <v>75</v>
      </c>
      <c r="J200" s="2" t="s">
        <v>76</v>
      </c>
      <c r="K200" s="2" t="s">
        <v>77</v>
      </c>
      <c r="L200" s="2" t="s">
        <v>99</v>
      </c>
      <c r="M200" s="2" t="s">
        <v>100</v>
      </c>
      <c r="N200" s="2" t="s">
        <v>451</v>
      </c>
      <c r="O200" s="2" t="s">
        <v>115</v>
      </c>
      <c r="P200" s="2" t="str">
        <f>"2170561874                    "</f>
        <v xml:space="preserve">2170561874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4.29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</v>
      </c>
      <c r="BJ200" s="2">
        <v>0.2</v>
      </c>
      <c r="BK200" s="2">
        <v>1</v>
      </c>
      <c r="BL200" s="2">
        <v>41.73</v>
      </c>
      <c r="BM200" s="2">
        <v>5.84</v>
      </c>
      <c r="BN200" s="2">
        <v>47.57</v>
      </c>
      <c r="BO200" s="2">
        <v>47.57</v>
      </c>
      <c r="BP200" s="2"/>
      <c r="BQ200" s="2" t="s">
        <v>452</v>
      </c>
      <c r="BR200" s="2" t="s">
        <v>84</v>
      </c>
      <c r="BS200" s="3">
        <v>42838</v>
      </c>
      <c r="BT200" s="4">
        <v>0.34722222222222227</v>
      </c>
      <c r="BU200" s="2" t="s">
        <v>453</v>
      </c>
      <c r="BV200" s="2" t="s">
        <v>111</v>
      </c>
      <c r="BW200" s="2"/>
      <c r="BX200" s="2"/>
      <c r="BY200" s="2">
        <v>1200</v>
      </c>
      <c r="BZ200" s="2" t="s">
        <v>27</v>
      </c>
      <c r="CA200" s="2" t="s">
        <v>154</v>
      </c>
      <c r="CB200" s="2"/>
      <c r="CC200" s="2" t="s">
        <v>100</v>
      </c>
      <c r="CD200" s="2">
        <v>6001</v>
      </c>
      <c r="CE200" s="2" t="s">
        <v>118</v>
      </c>
      <c r="CF200" s="5">
        <v>42838</v>
      </c>
      <c r="CG200" s="2"/>
      <c r="CH200" s="2"/>
      <c r="CI200" s="2">
        <v>1</v>
      </c>
      <c r="CJ200" s="2">
        <v>1</v>
      </c>
      <c r="CK200" s="2">
        <v>21</v>
      </c>
      <c r="CL200" s="2" t="s">
        <v>86</v>
      </c>
      <c r="CM200" s="2"/>
    </row>
    <row r="201" spans="1:91">
      <c r="A201" s="2" t="s">
        <v>71</v>
      </c>
      <c r="B201" s="2" t="s">
        <v>72</v>
      </c>
      <c r="C201" s="2" t="s">
        <v>73</v>
      </c>
      <c r="D201" s="2"/>
      <c r="E201" s="2" t="str">
        <f>"FES1162542114"</f>
        <v>FES1162542114</v>
      </c>
      <c r="F201" s="3">
        <v>42831</v>
      </c>
      <c r="G201" s="2">
        <v>201710</v>
      </c>
      <c r="H201" s="2" t="s">
        <v>74</v>
      </c>
      <c r="I201" s="2" t="s">
        <v>75</v>
      </c>
      <c r="J201" s="2" t="s">
        <v>76</v>
      </c>
      <c r="K201" s="2" t="s">
        <v>77</v>
      </c>
      <c r="L201" s="2" t="s">
        <v>396</v>
      </c>
      <c r="M201" s="2" t="s">
        <v>397</v>
      </c>
      <c r="N201" s="2" t="s">
        <v>398</v>
      </c>
      <c r="O201" s="2" t="s">
        <v>115</v>
      </c>
      <c r="P201" s="2" t="str">
        <f>"2170559976                    "</f>
        <v xml:space="preserve">2170559976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4.29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</v>
      </c>
      <c r="BJ201" s="2">
        <v>0.2</v>
      </c>
      <c r="BK201" s="2">
        <v>1</v>
      </c>
      <c r="BL201" s="2">
        <v>41.73</v>
      </c>
      <c r="BM201" s="2">
        <v>5.84</v>
      </c>
      <c r="BN201" s="2">
        <v>47.57</v>
      </c>
      <c r="BO201" s="2">
        <v>47.57</v>
      </c>
      <c r="BP201" s="2"/>
      <c r="BQ201" s="2" t="s">
        <v>399</v>
      </c>
      <c r="BR201" s="2" t="s">
        <v>123</v>
      </c>
      <c r="BS201" s="3">
        <v>42832</v>
      </c>
      <c r="BT201" s="4">
        <v>0.4375</v>
      </c>
      <c r="BU201" s="2" t="s">
        <v>469</v>
      </c>
      <c r="BV201" s="2" t="s">
        <v>111</v>
      </c>
      <c r="BW201" s="2"/>
      <c r="BX201" s="2"/>
      <c r="BY201" s="2">
        <v>1200</v>
      </c>
      <c r="BZ201" s="2" t="s">
        <v>27</v>
      </c>
      <c r="CA201" s="2"/>
      <c r="CB201" s="2"/>
      <c r="CC201" s="2" t="s">
        <v>397</v>
      </c>
      <c r="CD201" s="2">
        <v>4300</v>
      </c>
      <c r="CE201" s="2" t="s">
        <v>144</v>
      </c>
      <c r="CF201" s="5">
        <v>42835</v>
      </c>
      <c r="CG201" s="2"/>
      <c r="CH201" s="2"/>
      <c r="CI201" s="2">
        <v>1</v>
      </c>
      <c r="CJ201" s="2">
        <v>1</v>
      </c>
      <c r="CK201" s="2">
        <v>21</v>
      </c>
      <c r="CL201" s="2" t="s">
        <v>86</v>
      </c>
      <c r="CM201" s="2"/>
    </row>
    <row r="202" spans="1:91">
      <c r="A202" s="2" t="s">
        <v>71</v>
      </c>
      <c r="B202" s="2" t="s">
        <v>72</v>
      </c>
      <c r="C202" s="2" t="s">
        <v>73</v>
      </c>
      <c r="D202" s="2"/>
      <c r="E202" s="2" t="str">
        <f>"FES1162541248"</f>
        <v>FES1162541248</v>
      </c>
      <c r="F202" s="3">
        <v>42829</v>
      </c>
      <c r="G202" s="2">
        <v>201710</v>
      </c>
      <c r="H202" s="2" t="s">
        <v>74</v>
      </c>
      <c r="I202" s="2" t="s">
        <v>75</v>
      </c>
      <c r="J202" s="2" t="s">
        <v>76</v>
      </c>
      <c r="K202" s="2" t="s">
        <v>77</v>
      </c>
      <c r="L202" s="2" t="s">
        <v>160</v>
      </c>
      <c r="M202" s="2" t="s">
        <v>161</v>
      </c>
      <c r="N202" s="2" t="s">
        <v>463</v>
      </c>
      <c r="O202" s="2" t="s">
        <v>115</v>
      </c>
      <c r="P202" s="2" t="str">
        <f>"2170560109                    "</f>
        <v xml:space="preserve">2170560109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4.42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41.86</v>
      </c>
      <c r="BM202" s="2">
        <v>5.86</v>
      </c>
      <c r="BN202" s="2">
        <v>47.72</v>
      </c>
      <c r="BO202" s="2">
        <v>47.72</v>
      </c>
      <c r="BP202" s="2"/>
      <c r="BQ202" s="2" t="s">
        <v>129</v>
      </c>
      <c r="BR202" s="2" t="s">
        <v>123</v>
      </c>
      <c r="BS202" s="3">
        <v>42830</v>
      </c>
      <c r="BT202" s="4">
        <v>0.45833333333333331</v>
      </c>
      <c r="BU202" s="2" t="s">
        <v>464</v>
      </c>
      <c r="BV202" s="2" t="s">
        <v>86</v>
      </c>
      <c r="BW202" s="2" t="s">
        <v>157</v>
      </c>
      <c r="BX202" s="2" t="s">
        <v>251</v>
      </c>
      <c r="BY202" s="2">
        <v>1200</v>
      </c>
      <c r="BZ202" s="2" t="s">
        <v>27</v>
      </c>
      <c r="CA202" s="2"/>
      <c r="CB202" s="2"/>
      <c r="CC202" s="2" t="s">
        <v>161</v>
      </c>
      <c r="CD202" s="2">
        <v>5201</v>
      </c>
      <c r="CE202" s="2" t="s">
        <v>144</v>
      </c>
      <c r="CF202" s="5">
        <v>42832</v>
      </c>
      <c r="CG202" s="2"/>
      <c r="CH202" s="2"/>
      <c r="CI202" s="2">
        <v>1</v>
      </c>
      <c r="CJ202" s="2">
        <v>1</v>
      </c>
      <c r="CK202" s="2">
        <v>21</v>
      </c>
      <c r="CL202" s="2" t="s">
        <v>86</v>
      </c>
      <c r="CM202" s="2"/>
    </row>
    <row r="203" spans="1:91">
      <c r="A203" s="2" t="s">
        <v>71</v>
      </c>
      <c r="B203" s="2" t="s">
        <v>72</v>
      </c>
      <c r="C203" s="2" t="s">
        <v>73</v>
      </c>
      <c r="D203" s="2"/>
      <c r="E203" s="2" t="str">
        <f>"FES1162542830"</f>
        <v>FES1162542830</v>
      </c>
      <c r="F203" s="3">
        <v>42836</v>
      </c>
      <c r="G203" s="2">
        <v>201710</v>
      </c>
      <c r="H203" s="2" t="s">
        <v>74</v>
      </c>
      <c r="I203" s="2" t="s">
        <v>75</v>
      </c>
      <c r="J203" s="2" t="s">
        <v>76</v>
      </c>
      <c r="K203" s="2" t="s">
        <v>77</v>
      </c>
      <c r="L203" s="2" t="s">
        <v>131</v>
      </c>
      <c r="M203" s="2" t="s">
        <v>132</v>
      </c>
      <c r="N203" s="2" t="s">
        <v>619</v>
      </c>
      <c r="O203" s="2" t="s">
        <v>115</v>
      </c>
      <c r="P203" s="2" t="str">
        <f>"2170561691                    "</f>
        <v xml:space="preserve">2170561691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4.29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1</v>
      </c>
      <c r="BJ203" s="2">
        <v>0.2</v>
      </c>
      <c r="BK203" s="2">
        <v>1</v>
      </c>
      <c r="BL203" s="2">
        <v>41.73</v>
      </c>
      <c r="BM203" s="2">
        <v>5.84</v>
      </c>
      <c r="BN203" s="2">
        <v>47.57</v>
      </c>
      <c r="BO203" s="2">
        <v>47.57</v>
      </c>
      <c r="BP203" s="2"/>
      <c r="BQ203" s="2" t="s">
        <v>129</v>
      </c>
      <c r="BR203" s="2" t="s">
        <v>123</v>
      </c>
      <c r="BS203" s="3">
        <v>42837</v>
      </c>
      <c r="BT203" s="4">
        <v>0.37708333333333338</v>
      </c>
      <c r="BU203" s="2" t="s">
        <v>620</v>
      </c>
      <c r="BV203" s="2" t="s">
        <v>111</v>
      </c>
      <c r="BW203" s="2"/>
      <c r="BX203" s="2"/>
      <c r="BY203" s="2">
        <v>1200</v>
      </c>
      <c r="BZ203" s="2" t="s">
        <v>27</v>
      </c>
      <c r="CA203" s="2"/>
      <c r="CB203" s="2"/>
      <c r="CC203" s="2" t="s">
        <v>132</v>
      </c>
      <c r="CD203" s="2">
        <v>7500</v>
      </c>
      <c r="CE203" s="2" t="s">
        <v>144</v>
      </c>
      <c r="CF203" s="5">
        <v>42838</v>
      </c>
      <c r="CG203" s="2"/>
      <c r="CH203" s="2"/>
      <c r="CI203" s="2">
        <v>1</v>
      </c>
      <c r="CJ203" s="2">
        <v>1</v>
      </c>
      <c r="CK203" s="2">
        <v>21</v>
      </c>
      <c r="CL203" s="2" t="s">
        <v>86</v>
      </c>
      <c r="CM203" s="2"/>
    </row>
    <row r="204" spans="1:91">
      <c r="A204" s="2" t="s">
        <v>71</v>
      </c>
      <c r="B204" s="2" t="s">
        <v>72</v>
      </c>
      <c r="C204" s="2" t="s">
        <v>73</v>
      </c>
      <c r="D204" s="2"/>
      <c r="E204" s="2" t="str">
        <f>"FES1162541589"</f>
        <v>FES1162541589</v>
      </c>
      <c r="F204" s="3">
        <v>42830</v>
      </c>
      <c r="G204" s="2">
        <v>201710</v>
      </c>
      <c r="H204" s="2" t="s">
        <v>74</v>
      </c>
      <c r="I204" s="2" t="s">
        <v>75</v>
      </c>
      <c r="J204" s="2" t="s">
        <v>76</v>
      </c>
      <c r="K204" s="2" t="s">
        <v>77</v>
      </c>
      <c r="L204" s="2" t="s">
        <v>160</v>
      </c>
      <c r="M204" s="2" t="s">
        <v>161</v>
      </c>
      <c r="N204" s="2" t="s">
        <v>621</v>
      </c>
      <c r="O204" s="2" t="s">
        <v>115</v>
      </c>
      <c r="P204" s="2" t="str">
        <f>"2170560687                    "</f>
        <v xml:space="preserve">2170560687 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4.29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</v>
      </c>
      <c r="BJ204" s="2">
        <v>0.2</v>
      </c>
      <c r="BK204" s="2">
        <v>1</v>
      </c>
      <c r="BL204" s="2">
        <v>41.73</v>
      </c>
      <c r="BM204" s="2">
        <v>5.84</v>
      </c>
      <c r="BN204" s="2">
        <v>47.57</v>
      </c>
      <c r="BO204" s="2">
        <v>47.57</v>
      </c>
      <c r="BP204" s="2"/>
      <c r="BQ204" s="2" t="s">
        <v>129</v>
      </c>
      <c r="BR204" s="2" t="s">
        <v>123</v>
      </c>
      <c r="BS204" s="3">
        <v>42831</v>
      </c>
      <c r="BT204" s="4">
        <v>0.41666666666666669</v>
      </c>
      <c r="BU204" s="2" t="s">
        <v>622</v>
      </c>
      <c r="BV204" s="2" t="s">
        <v>111</v>
      </c>
      <c r="BW204" s="2"/>
      <c r="BX204" s="2"/>
      <c r="BY204" s="2">
        <v>1200</v>
      </c>
      <c r="BZ204" s="2" t="s">
        <v>27</v>
      </c>
      <c r="CA204" s="2" t="s">
        <v>159</v>
      </c>
      <c r="CB204" s="2"/>
      <c r="CC204" s="2" t="s">
        <v>161</v>
      </c>
      <c r="CD204" s="2">
        <v>5201</v>
      </c>
      <c r="CE204" s="2" t="s">
        <v>144</v>
      </c>
      <c r="CF204" s="5">
        <v>42832</v>
      </c>
      <c r="CG204" s="2"/>
      <c r="CH204" s="2"/>
      <c r="CI204" s="2">
        <v>1</v>
      </c>
      <c r="CJ204" s="2">
        <v>1</v>
      </c>
      <c r="CK204" s="2">
        <v>21</v>
      </c>
      <c r="CL204" s="2" t="s">
        <v>86</v>
      </c>
      <c r="CM204" s="2"/>
    </row>
    <row r="205" spans="1:91">
      <c r="A205" s="2" t="s">
        <v>71</v>
      </c>
      <c r="B205" s="2" t="s">
        <v>72</v>
      </c>
      <c r="C205" s="2" t="s">
        <v>73</v>
      </c>
      <c r="D205" s="2"/>
      <c r="E205" s="2" t="str">
        <f>"FES1162543296"</f>
        <v>FES1162543296</v>
      </c>
      <c r="F205" s="3">
        <v>42837</v>
      </c>
      <c r="G205" s="2">
        <v>201710</v>
      </c>
      <c r="H205" s="2" t="s">
        <v>74</v>
      </c>
      <c r="I205" s="2" t="s">
        <v>75</v>
      </c>
      <c r="J205" s="2" t="s">
        <v>76</v>
      </c>
      <c r="K205" s="2" t="s">
        <v>77</v>
      </c>
      <c r="L205" s="2" t="s">
        <v>160</v>
      </c>
      <c r="M205" s="2" t="s">
        <v>161</v>
      </c>
      <c r="N205" s="2" t="s">
        <v>623</v>
      </c>
      <c r="O205" s="2" t="s">
        <v>115</v>
      </c>
      <c r="P205" s="2" t="str">
        <f>"2170560005                    "</f>
        <v xml:space="preserve">2170560005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4.29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1</v>
      </c>
      <c r="BJ205" s="2">
        <v>0.2</v>
      </c>
      <c r="BK205" s="2">
        <v>1</v>
      </c>
      <c r="BL205" s="2">
        <v>41.73</v>
      </c>
      <c r="BM205" s="2">
        <v>5.84</v>
      </c>
      <c r="BN205" s="2">
        <v>47.57</v>
      </c>
      <c r="BO205" s="2">
        <v>47.57</v>
      </c>
      <c r="BP205" s="2"/>
      <c r="BQ205" s="2" t="s">
        <v>116</v>
      </c>
      <c r="BR205" s="2" t="s">
        <v>84</v>
      </c>
      <c r="BS205" s="3">
        <v>42838</v>
      </c>
      <c r="BT205" s="4">
        <v>0.41666666666666669</v>
      </c>
      <c r="BU205" s="2" t="s">
        <v>624</v>
      </c>
      <c r="BV205" s="2" t="s">
        <v>111</v>
      </c>
      <c r="BW205" s="2"/>
      <c r="BX205" s="2"/>
      <c r="BY205" s="2">
        <v>1200</v>
      </c>
      <c r="BZ205" s="2" t="s">
        <v>27</v>
      </c>
      <c r="CA205" s="2"/>
      <c r="CB205" s="2"/>
      <c r="CC205" s="2" t="s">
        <v>161</v>
      </c>
      <c r="CD205" s="2">
        <v>5201</v>
      </c>
      <c r="CE205" s="2" t="s">
        <v>118</v>
      </c>
      <c r="CF205" s="5">
        <v>42843</v>
      </c>
      <c r="CG205" s="2"/>
      <c r="CH205" s="2"/>
      <c r="CI205" s="2">
        <v>1</v>
      </c>
      <c r="CJ205" s="2">
        <v>1</v>
      </c>
      <c r="CK205" s="2">
        <v>21</v>
      </c>
      <c r="CL205" s="2" t="s">
        <v>86</v>
      </c>
      <c r="CM205" s="2"/>
    </row>
    <row r="206" spans="1:91">
      <c r="A206" s="2" t="s">
        <v>71</v>
      </c>
      <c r="B206" s="2" t="s">
        <v>72</v>
      </c>
      <c r="C206" s="2" t="s">
        <v>73</v>
      </c>
      <c r="D206" s="2"/>
      <c r="E206" s="2" t="str">
        <f>"FES1162541925"</f>
        <v>FES1162541925</v>
      </c>
      <c r="F206" s="3">
        <v>42831</v>
      </c>
      <c r="G206" s="2">
        <v>201710</v>
      </c>
      <c r="H206" s="2" t="s">
        <v>74</v>
      </c>
      <c r="I206" s="2" t="s">
        <v>75</v>
      </c>
      <c r="J206" s="2" t="s">
        <v>76</v>
      </c>
      <c r="K206" s="2" t="s">
        <v>77</v>
      </c>
      <c r="L206" s="2" t="s">
        <v>187</v>
      </c>
      <c r="M206" s="2" t="s">
        <v>146</v>
      </c>
      <c r="N206" s="2" t="s">
        <v>625</v>
      </c>
      <c r="O206" s="2" t="s">
        <v>115</v>
      </c>
      <c r="P206" s="2" t="str">
        <f>"2170560913                    "</f>
        <v xml:space="preserve">2170560913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4.29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0.2</v>
      </c>
      <c r="BK206" s="2">
        <v>1</v>
      </c>
      <c r="BL206" s="2">
        <v>41.73</v>
      </c>
      <c r="BM206" s="2">
        <v>5.84</v>
      </c>
      <c r="BN206" s="2">
        <v>47.57</v>
      </c>
      <c r="BO206" s="2">
        <v>47.57</v>
      </c>
      <c r="BP206" s="2"/>
      <c r="BQ206" s="2" t="s">
        <v>626</v>
      </c>
      <c r="BR206" s="2" t="s">
        <v>123</v>
      </c>
      <c r="BS206" s="3">
        <v>42832</v>
      </c>
      <c r="BT206" s="4">
        <v>0.33333333333333331</v>
      </c>
      <c r="BU206" s="2" t="s">
        <v>245</v>
      </c>
      <c r="BV206" s="2" t="s">
        <v>111</v>
      </c>
      <c r="BW206" s="2"/>
      <c r="BX206" s="2"/>
      <c r="BY206" s="2">
        <v>1200</v>
      </c>
      <c r="BZ206" s="2" t="s">
        <v>27</v>
      </c>
      <c r="CA206" s="2"/>
      <c r="CB206" s="2"/>
      <c r="CC206" s="2" t="s">
        <v>146</v>
      </c>
      <c r="CD206" s="2">
        <v>184</v>
      </c>
      <c r="CE206" s="2" t="s">
        <v>144</v>
      </c>
      <c r="CF206" s="5">
        <v>42836</v>
      </c>
      <c r="CG206" s="2"/>
      <c r="CH206" s="2"/>
      <c r="CI206" s="2">
        <v>0</v>
      </c>
      <c r="CJ206" s="2">
        <v>0</v>
      </c>
      <c r="CK206" s="2">
        <v>21</v>
      </c>
      <c r="CL206" s="2" t="s">
        <v>86</v>
      </c>
      <c r="CM206" s="2"/>
    </row>
    <row r="207" spans="1:91">
      <c r="A207" s="2" t="s">
        <v>71</v>
      </c>
      <c r="B207" s="2" t="s">
        <v>72</v>
      </c>
      <c r="C207" s="2" t="s">
        <v>73</v>
      </c>
      <c r="D207" s="2"/>
      <c r="E207" s="2" t="str">
        <f>"FES1162541415"</f>
        <v>FES1162541415</v>
      </c>
      <c r="F207" s="3">
        <v>42829</v>
      </c>
      <c r="G207" s="2">
        <v>201710</v>
      </c>
      <c r="H207" s="2" t="s">
        <v>74</v>
      </c>
      <c r="I207" s="2" t="s">
        <v>75</v>
      </c>
      <c r="J207" s="2" t="s">
        <v>76</v>
      </c>
      <c r="K207" s="2" t="s">
        <v>77</v>
      </c>
      <c r="L207" s="2" t="s">
        <v>443</v>
      </c>
      <c r="M207" s="2" t="s">
        <v>444</v>
      </c>
      <c r="N207" s="2" t="s">
        <v>627</v>
      </c>
      <c r="O207" s="2" t="s">
        <v>115</v>
      </c>
      <c r="P207" s="2" t="str">
        <f>"2170560502                    "</f>
        <v xml:space="preserve">2170560502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4.42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0.2</v>
      </c>
      <c r="BK207" s="2">
        <v>1</v>
      </c>
      <c r="BL207" s="2">
        <v>41.86</v>
      </c>
      <c r="BM207" s="2">
        <v>5.86</v>
      </c>
      <c r="BN207" s="2">
        <v>47.72</v>
      </c>
      <c r="BO207" s="2">
        <v>47.72</v>
      </c>
      <c r="BP207" s="2"/>
      <c r="BQ207" s="2" t="s">
        <v>628</v>
      </c>
      <c r="BR207" s="2" t="s">
        <v>123</v>
      </c>
      <c r="BS207" s="3">
        <v>42830</v>
      </c>
      <c r="BT207" s="4">
        <v>0.41666666666666669</v>
      </c>
      <c r="BU207" s="2" t="s">
        <v>629</v>
      </c>
      <c r="BV207" s="2" t="s">
        <v>111</v>
      </c>
      <c r="BW207" s="2"/>
      <c r="BX207" s="2"/>
      <c r="BY207" s="2">
        <v>1200</v>
      </c>
      <c r="BZ207" s="2" t="s">
        <v>27</v>
      </c>
      <c r="CA207" s="2" t="s">
        <v>159</v>
      </c>
      <c r="CB207" s="2"/>
      <c r="CC207" s="2" t="s">
        <v>444</v>
      </c>
      <c r="CD207" s="2">
        <v>7130</v>
      </c>
      <c r="CE207" s="2" t="s">
        <v>118</v>
      </c>
      <c r="CF207" s="5">
        <v>42831</v>
      </c>
      <c r="CG207" s="2"/>
      <c r="CH207" s="2"/>
      <c r="CI207" s="2">
        <v>1</v>
      </c>
      <c r="CJ207" s="2">
        <v>1</v>
      </c>
      <c r="CK207" s="2">
        <v>21</v>
      </c>
      <c r="CL207" s="2" t="s">
        <v>86</v>
      </c>
      <c r="CM207" s="2"/>
    </row>
    <row r="208" spans="1:91">
      <c r="A208" s="2" t="s">
        <v>71</v>
      </c>
      <c r="B208" s="2" t="s">
        <v>72</v>
      </c>
      <c r="C208" s="2" t="s">
        <v>73</v>
      </c>
      <c r="D208" s="2"/>
      <c r="E208" s="2" t="str">
        <f>"FES1162542814"</f>
        <v>FES1162542814</v>
      </c>
      <c r="F208" s="3">
        <v>42836</v>
      </c>
      <c r="G208" s="2">
        <v>201710</v>
      </c>
      <c r="H208" s="2" t="s">
        <v>74</v>
      </c>
      <c r="I208" s="2" t="s">
        <v>75</v>
      </c>
      <c r="J208" s="2" t="s">
        <v>76</v>
      </c>
      <c r="K208" s="2" t="s">
        <v>77</v>
      </c>
      <c r="L208" s="2" t="s">
        <v>176</v>
      </c>
      <c r="M208" s="2" t="s">
        <v>176</v>
      </c>
      <c r="N208" s="2" t="s">
        <v>177</v>
      </c>
      <c r="O208" s="2" t="s">
        <v>115</v>
      </c>
      <c r="P208" s="2" t="str">
        <f>"2170559391                    "</f>
        <v xml:space="preserve">2170559391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70.73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3</v>
      </c>
      <c r="BI208" s="2">
        <v>33</v>
      </c>
      <c r="BJ208" s="2">
        <v>30.2</v>
      </c>
      <c r="BK208" s="2">
        <v>33</v>
      </c>
      <c r="BL208" s="2">
        <v>688.49</v>
      </c>
      <c r="BM208" s="2">
        <v>96.39</v>
      </c>
      <c r="BN208" s="2">
        <v>784.88</v>
      </c>
      <c r="BO208" s="2">
        <v>784.88</v>
      </c>
      <c r="BP208" s="2"/>
      <c r="BQ208" s="2" t="s">
        <v>178</v>
      </c>
      <c r="BR208" s="2" t="s">
        <v>123</v>
      </c>
      <c r="BS208" s="3">
        <v>42837</v>
      </c>
      <c r="BT208" s="4">
        <v>0.54513888888888895</v>
      </c>
      <c r="BU208" s="2" t="s">
        <v>630</v>
      </c>
      <c r="BV208" s="2" t="s">
        <v>111</v>
      </c>
      <c r="BW208" s="2"/>
      <c r="BX208" s="2"/>
      <c r="BY208" s="2">
        <v>151200</v>
      </c>
      <c r="BZ208" s="2" t="s">
        <v>27</v>
      </c>
      <c r="CA208" s="2"/>
      <c r="CB208" s="2"/>
      <c r="CC208" s="2" t="s">
        <v>176</v>
      </c>
      <c r="CD208" s="2">
        <v>7646</v>
      </c>
      <c r="CE208" s="2" t="s">
        <v>631</v>
      </c>
      <c r="CF208" s="5">
        <v>42838</v>
      </c>
      <c r="CG208" s="2"/>
      <c r="CH208" s="2"/>
      <c r="CI208" s="2">
        <v>1</v>
      </c>
      <c r="CJ208" s="2">
        <v>1</v>
      </c>
      <c r="CK208" s="2">
        <v>21</v>
      </c>
      <c r="CL208" s="2" t="s">
        <v>86</v>
      </c>
      <c r="CM208" s="2"/>
    </row>
    <row r="209" spans="1:91">
      <c r="A209" s="2" t="s">
        <v>71</v>
      </c>
      <c r="B209" s="2" t="s">
        <v>72</v>
      </c>
      <c r="C209" s="2" t="s">
        <v>73</v>
      </c>
      <c r="D209" s="2"/>
      <c r="E209" s="2" t="str">
        <f>"FES1162541844"</f>
        <v>FES1162541844</v>
      </c>
      <c r="F209" s="3">
        <v>42830</v>
      </c>
      <c r="G209" s="2">
        <v>201710</v>
      </c>
      <c r="H209" s="2" t="s">
        <v>74</v>
      </c>
      <c r="I209" s="2" t="s">
        <v>75</v>
      </c>
      <c r="J209" s="2" t="s">
        <v>76</v>
      </c>
      <c r="K209" s="2" t="s">
        <v>77</v>
      </c>
      <c r="L209" s="2" t="s">
        <v>396</v>
      </c>
      <c r="M209" s="2" t="s">
        <v>397</v>
      </c>
      <c r="N209" s="2" t="s">
        <v>398</v>
      </c>
      <c r="O209" s="2" t="s">
        <v>115</v>
      </c>
      <c r="P209" s="2" t="str">
        <f>"2170560852                    "</f>
        <v xml:space="preserve">2170560852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4.29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1</v>
      </c>
      <c r="BJ209" s="2">
        <v>0.2</v>
      </c>
      <c r="BK209" s="2">
        <v>1</v>
      </c>
      <c r="BL209" s="2">
        <v>41.73</v>
      </c>
      <c r="BM209" s="2">
        <v>5.84</v>
      </c>
      <c r="BN209" s="2">
        <v>47.57</v>
      </c>
      <c r="BO209" s="2">
        <v>47.57</v>
      </c>
      <c r="BP209" s="2"/>
      <c r="BQ209" s="2" t="s">
        <v>399</v>
      </c>
      <c r="BR209" s="2" t="s">
        <v>123</v>
      </c>
      <c r="BS209" s="3">
        <v>42831</v>
      </c>
      <c r="BT209" s="4">
        <v>0.4375</v>
      </c>
      <c r="BU209" s="2" t="s">
        <v>632</v>
      </c>
      <c r="BV209" s="2" t="s">
        <v>111</v>
      </c>
      <c r="BW209" s="2"/>
      <c r="BX209" s="2"/>
      <c r="BY209" s="2">
        <v>1200</v>
      </c>
      <c r="BZ209" s="2" t="s">
        <v>27</v>
      </c>
      <c r="CA209" s="2" t="s">
        <v>159</v>
      </c>
      <c r="CB209" s="2"/>
      <c r="CC209" s="2" t="s">
        <v>397</v>
      </c>
      <c r="CD209" s="2">
        <v>4300</v>
      </c>
      <c r="CE209" s="2" t="s">
        <v>118</v>
      </c>
      <c r="CF209" s="5">
        <v>42832</v>
      </c>
      <c r="CG209" s="2"/>
      <c r="CH209" s="2"/>
      <c r="CI209" s="2">
        <v>1</v>
      </c>
      <c r="CJ209" s="2">
        <v>1</v>
      </c>
      <c r="CK209" s="2">
        <v>21</v>
      </c>
      <c r="CL209" s="2" t="s">
        <v>86</v>
      </c>
      <c r="CM209" s="2"/>
    </row>
    <row r="210" spans="1:91">
      <c r="A210" s="2" t="s">
        <v>71</v>
      </c>
      <c r="B210" s="2" t="s">
        <v>72</v>
      </c>
      <c r="C210" s="2" t="s">
        <v>73</v>
      </c>
      <c r="D210" s="2"/>
      <c r="E210" s="2" t="str">
        <f>"FES1162541407"</f>
        <v>FES1162541407</v>
      </c>
      <c r="F210" s="3">
        <v>42829</v>
      </c>
      <c r="G210" s="2">
        <v>201710</v>
      </c>
      <c r="H210" s="2" t="s">
        <v>74</v>
      </c>
      <c r="I210" s="2" t="s">
        <v>75</v>
      </c>
      <c r="J210" s="2" t="s">
        <v>76</v>
      </c>
      <c r="K210" s="2" t="s">
        <v>77</v>
      </c>
      <c r="L210" s="2" t="s">
        <v>160</v>
      </c>
      <c r="M210" s="2" t="s">
        <v>161</v>
      </c>
      <c r="N210" s="2" t="s">
        <v>463</v>
      </c>
      <c r="O210" s="2" t="s">
        <v>115</v>
      </c>
      <c r="P210" s="2" t="str">
        <f>"2170560474                    "</f>
        <v xml:space="preserve">2170560474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4.42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1</v>
      </c>
      <c r="BJ210" s="2">
        <v>0.2</v>
      </c>
      <c r="BK210" s="2">
        <v>1</v>
      </c>
      <c r="BL210" s="2">
        <v>41.86</v>
      </c>
      <c r="BM210" s="2">
        <v>5.86</v>
      </c>
      <c r="BN210" s="2">
        <v>47.72</v>
      </c>
      <c r="BO210" s="2">
        <v>47.72</v>
      </c>
      <c r="BP210" s="2"/>
      <c r="BQ210" s="2" t="s">
        <v>129</v>
      </c>
      <c r="BR210" s="2" t="s">
        <v>123</v>
      </c>
      <c r="BS210" s="3">
        <v>42830</v>
      </c>
      <c r="BT210" s="4">
        <v>0.41666666666666669</v>
      </c>
      <c r="BU210" s="2" t="s">
        <v>464</v>
      </c>
      <c r="BV210" s="2" t="s">
        <v>111</v>
      </c>
      <c r="BW210" s="2"/>
      <c r="BX210" s="2"/>
      <c r="BY210" s="2">
        <v>1200</v>
      </c>
      <c r="BZ210" s="2" t="s">
        <v>27</v>
      </c>
      <c r="CA210" s="2"/>
      <c r="CB210" s="2"/>
      <c r="CC210" s="2" t="s">
        <v>161</v>
      </c>
      <c r="CD210" s="2">
        <v>5201</v>
      </c>
      <c r="CE210" s="2" t="s">
        <v>144</v>
      </c>
      <c r="CF210" s="5">
        <v>42832</v>
      </c>
      <c r="CG210" s="2"/>
      <c r="CH210" s="2"/>
      <c r="CI210" s="2">
        <v>1</v>
      </c>
      <c r="CJ210" s="2">
        <v>1</v>
      </c>
      <c r="CK210" s="2">
        <v>21</v>
      </c>
      <c r="CL210" s="2" t="s">
        <v>86</v>
      </c>
      <c r="CM210" s="2"/>
    </row>
    <row r="211" spans="1:91">
      <c r="A211" s="2" t="s">
        <v>71</v>
      </c>
      <c r="B211" s="2" t="s">
        <v>72</v>
      </c>
      <c r="C211" s="2" t="s">
        <v>73</v>
      </c>
      <c r="D211" s="2"/>
      <c r="E211" s="2" t="str">
        <f>"FES1162543344"</f>
        <v>FES1162543344</v>
      </c>
      <c r="F211" s="3">
        <v>42837</v>
      </c>
      <c r="G211" s="2">
        <v>201710</v>
      </c>
      <c r="H211" s="2" t="s">
        <v>74</v>
      </c>
      <c r="I211" s="2" t="s">
        <v>75</v>
      </c>
      <c r="J211" s="2" t="s">
        <v>76</v>
      </c>
      <c r="K211" s="2" t="s">
        <v>77</v>
      </c>
      <c r="L211" s="2" t="s">
        <v>166</v>
      </c>
      <c r="M211" s="2" t="s">
        <v>167</v>
      </c>
      <c r="N211" s="2" t="s">
        <v>486</v>
      </c>
      <c r="O211" s="2" t="s">
        <v>115</v>
      </c>
      <c r="P211" s="2" t="str">
        <f>"2170562021                    "</f>
        <v xml:space="preserve">2170562021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3.35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1.6</v>
      </c>
      <c r="BJ211" s="2">
        <v>1.8</v>
      </c>
      <c r="BK211" s="2">
        <v>2</v>
      </c>
      <c r="BL211" s="2">
        <v>32.6</v>
      </c>
      <c r="BM211" s="2">
        <v>4.5599999999999996</v>
      </c>
      <c r="BN211" s="2">
        <v>37.159999999999997</v>
      </c>
      <c r="BO211" s="2">
        <v>37.159999999999997</v>
      </c>
      <c r="BP211" s="2"/>
      <c r="BQ211" s="2" t="s">
        <v>487</v>
      </c>
      <c r="BR211" s="2" t="s">
        <v>84</v>
      </c>
      <c r="BS211" s="3">
        <v>42838</v>
      </c>
      <c r="BT211" s="4">
        <v>0.41666666666666669</v>
      </c>
      <c r="BU211" s="2" t="s">
        <v>290</v>
      </c>
      <c r="BV211" s="2" t="s">
        <v>111</v>
      </c>
      <c r="BW211" s="2"/>
      <c r="BX211" s="2"/>
      <c r="BY211" s="2">
        <v>8767.9699999999993</v>
      </c>
      <c r="BZ211" s="2" t="s">
        <v>27</v>
      </c>
      <c r="CA211" s="2"/>
      <c r="CB211" s="2"/>
      <c r="CC211" s="2" t="s">
        <v>167</v>
      </c>
      <c r="CD211" s="2">
        <v>2013</v>
      </c>
      <c r="CE211" s="2" t="s">
        <v>118</v>
      </c>
      <c r="CF211" s="5">
        <v>42843</v>
      </c>
      <c r="CG211" s="2"/>
      <c r="CH211" s="2"/>
      <c r="CI211" s="2">
        <v>1</v>
      </c>
      <c r="CJ211" s="2">
        <v>1</v>
      </c>
      <c r="CK211" s="2">
        <v>22</v>
      </c>
      <c r="CL211" s="2" t="s">
        <v>86</v>
      </c>
      <c r="CM211" s="2"/>
    </row>
    <row r="212" spans="1:91">
      <c r="A212" s="2" t="s">
        <v>71</v>
      </c>
      <c r="B212" s="2" t="s">
        <v>72</v>
      </c>
      <c r="C212" s="2" t="s">
        <v>73</v>
      </c>
      <c r="D212" s="2"/>
      <c r="E212" s="2" t="str">
        <f>"FES1162542004"</f>
        <v>FES1162542004</v>
      </c>
      <c r="F212" s="3">
        <v>42831</v>
      </c>
      <c r="G212" s="2">
        <v>201710</v>
      </c>
      <c r="H212" s="2" t="s">
        <v>74</v>
      </c>
      <c r="I212" s="2" t="s">
        <v>75</v>
      </c>
      <c r="J212" s="2" t="s">
        <v>76</v>
      </c>
      <c r="K212" s="2" t="s">
        <v>77</v>
      </c>
      <c r="L212" s="2" t="s">
        <v>180</v>
      </c>
      <c r="M212" s="2" t="s">
        <v>181</v>
      </c>
      <c r="N212" s="2" t="s">
        <v>320</v>
      </c>
      <c r="O212" s="2" t="s">
        <v>115</v>
      </c>
      <c r="P212" s="2" t="str">
        <f>"2170558409                    "</f>
        <v xml:space="preserve">2170558409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4.29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</v>
      </c>
      <c r="BJ212" s="2">
        <v>0.2</v>
      </c>
      <c r="BK212" s="2">
        <v>1</v>
      </c>
      <c r="BL212" s="2">
        <v>41.73</v>
      </c>
      <c r="BM212" s="2">
        <v>5.84</v>
      </c>
      <c r="BN212" s="2">
        <v>47.57</v>
      </c>
      <c r="BO212" s="2">
        <v>47.57</v>
      </c>
      <c r="BP212" s="2"/>
      <c r="BQ212" s="2" t="s">
        <v>129</v>
      </c>
      <c r="BR212" s="2" t="s">
        <v>123</v>
      </c>
      <c r="BS212" s="3">
        <v>42832</v>
      </c>
      <c r="BT212" s="4">
        <v>0.43611111111111112</v>
      </c>
      <c r="BU212" s="2" t="s">
        <v>266</v>
      </c>
      <c r="BV212" s="2" t="s">
        <v>111</v>
      </c>
      <c r="BW212" s="2"/>
      <c r="BX212" s="2"/>
      <c r="BY212" s="2">
        <v>1200</v>
      </c>
      <c r="BZ212" s="2" t="s">
        <v>27</v>
      </c>
      <c r="CA212" s="2"/>
      <c r="CB212" s="2"/>
      <c r="CC212" s="2" t="s">
        <v>181</v>
      </c>
      <c r="CD212" s="2">
        <v>4051</v>
      </c>
      <c r="CE212" s="2" t="s">
        <v>144</v>
      </c>
      <c r="CF212" s="5">
        <v>42835</v>
      </c>
      <c r="CG212" s="2"/>
      <c r="CH212" s="2"/>
      <c r="CI212" s="2">
        <v>1</v>
      </c>
      <c r="CJ212" s="2">
        <v>1</v>
      </c>
      <c r="CK212" s="2">
        <v>21</v>
      </c>
      <c r="CL212" s="2" t="s">
        <v>86</v>
      </c>
      <c r="CM212" s="2"/>
    </row>
    <row r="213" spans="1:91">
      <c r="A213" s="2" t="s">
        <v>71</v>
      </c>
      <c r="B213" s="2" t="s">
        <v>72</v>
      </c>
      <c r="C213" s="2" t="s">
        <v>73</v>
      </c>
      <c r="D213" s="2"/>
      <c r="E213" s="2" t="str">
        <f>"FES1162541260"</f>
        <v>FES1162541260</v>
      </c>
      <c r="F213" s="3">
        <v>42829</v>
      </c>
      <c r="G213" s="2">
        <v>201710</v>
      </c>
      <c r="H213" s="2" t="s">
        <v>74</v>
      </c>
      <c r="I213" s="2" t="s">
        <v>75</v>
      </c>
      <c r="J213" s="2" t="s">
        <v>76</v>
      </c>
      <c r="K213" s="2" t="s">
        <v>77</v>
      </c>
      <c r="L213" s="2" t="s">
        <v>166</v>
      </c>
      <c r="M213" s="2" t="s">
        <v>167</v>
      </c>
      <c r="N213" s="2" t="s">
        <v>168</v>
      </c>
      <c r="O213" s="2" t="s">
        <v>115</v>
      </c>
      <c r="P213" s="2" t="str">
        <f>"2170560320                    "</f>
        <v xml:space="preserve">2170560320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3.45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1</v>
      </c>
      <c r="BJ213" s="2">
        <v>0.2</v>
      </c>
      <c r="BK213" s="2">
        <v>1</v>
      </c>
      <c r="BL213" s="2">
        <v>32.700000000000003</v>
      </c>
      <c r="BM213" s="2">
        <v>4.58</v>
      </c>
      <c r="BN213" s="2">
        <v>37.28</v>
      </c>
      <c r="BO213" s="2">
        <v>37.28</v>
      </c>
      <c r="BP213" s="2"/>
      <c r="BQ213" s="2" t="s">
        <v>169</v>
      </c>
      <c r="BR213" s="2" t="s">
        <v>123</v>
      </c>
      <c r="BS213" s="3">
        <v>42830</v>
      </c>
      <c r="BT213" s="4">
        <v>0.42777777777777781</v>
      </c>
      <c r="BU213" s="2" t="s">
        <v>198</v>
      </c>
      <c r="BV213" s="2" t="s">
        <v>111</v>
      </c>
      <c r="BW213" s="2"/>
      <c r="BX213" s="2"/>
      <c r="BY213" s="2">
        <v>1200</v>
      </c>
      <c r="BZ213" s="2" t="s">
        <v>27</v>
      </c>
      <c r="CA213" s="2" t="s">
        <v>171</v>
      </c>
      <c r="CB213" s="2"/>
      <c r="CC213" s="2" t="s">
        <v>167</v>
      </c>
      <c r="CD213" s="2">
        <v>2094</v>
      </c>
      <c r="CE213" s="2" t="s">
        <v>118</v>
      </c>
      <c r="CF213" s="5">
        <v>42830</v>
      </c>
      <c r="CG213" s="2"/>
      <c r="CH213" s="2"/>
      <c r="CI213" s="2">
        <v>1</v>
      </c>
      <c r="CJ213" s="2">
        <v>1</v>
      </c>
      <c r="CK213" s="2">
        <v>22</v>
      </c>
      <c r="CL213" s="2" t="s">
        <v>86</v>
      </c>
      <c r="CM213" s="2"/>
    </row>
    <row r="214" spans="1:91">
      <c r="A214" s="2" t="s">
        <v>71</v>
      </c>
      <c r="B214" s="2" t="s">
        <v>72</v>
      </c>
      <c r="C214" s="2" t="s">
        <v>73</v>
      </c>
      <c r="D214" s="2"/>
      <c r="E214" s="2" t="str">
        <f>"FES1162542906"</f>
        <v>FES1162542906</v>
      </c>
      <c r="F214" s="3">
        <v>42836</v>
      </c>
      <c r="G214" s="2">
        <v>201710</v>
      </c>
      <c r="H214" s="2" t="s">
        <v>74</v>
      </c>
      <c r="I214" s="2" t="s">
        <v>75</v>
      </c>
      <c r="J214" s="2" t="s">
        <v>76</v>
      </c>
      <c r="K214" s="2" t="s">
        <v>77</v>
      </c>
      <c r="L214" s="2" t="s">
        <v>131</v>
      </c>
      <c r="M214" s="2" t="s">
        <v>132</v>
      </c>
      <c r="N214" s="2" t="s">
        <v>384</v>
      </c>
      <c r="O214" s="2" t="s">
        <v>115</v>
      </c>
      <c r="P214" s="2" t="str">
        <f>"2170559045                    "</f>
        <v xml:space="preserve">2170559045 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4.29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2</v>
      </c>
      <c r="BJ214" s="2">
        <v>1.1000000000000001</v>
      </c>
      <c r="BK214" s="2">
        <v>2</v>
      </c>
      <c r="BL214" s="2">
        <v>41.73</v>
      </c>
      <c r="BM214" s="2">
        <v>5.84</v>
      </c>
      <c r="BN214" s="2">
        <v>47.57</v>
      </c>
      <c r="BO214" s="2">
        <v>47.57</v>
      </c>
      <c r="BP214" s="2"/>
      <c r="BQ214" s="2" t="s">
        <v>468</v>
      </c>
      <c r="BR214" s="2" t="s">
        <v>123</v>
      </c>
      <c r="BS214" s="3">
        <v>42837</v>
      </c>
      <c r="BT214" s="4">
        <v>0.41666666666666669</v>
      </c>
      <c r="BU214" s="2" t="s">
        <v>130</v>
      </c>
      <c r="BV214" s="2" t="s">
        <v>111</v>
      </c>
      <c r="BW214" s="2"/>
      <c r="BX214" s="2"/>
      <c r="BY214" s="2">
        <v>5320</v>
      </c>
      <c r="BZ214" s="2" t="s">
        <v>27</v>
      </c>
      <c r="CA214" s="2"/>
      <c r="CB214" s="2"/>
      <c r="CC214" s="2" t="s">
        <v>132</v>
      </c>
      <c r="CD214" s="2">
        <v>7405</v>
      </c>
      <c r="CE214" s="2" t="s">
        <v>135</v>
      </c>
      <c r="CF214" s="5">
        <v>42838</v>
      </c>
      <c r="CG214" s="2"/>
      <c r="CH214" s="2"/>
      <c r="CI214" s="2">
        <v>1</v>
      </c>
      <c r="CJ214" s="2">
        <v>1</v>
      </c>
      <c r="CK214" s="2">
        <v>21</v>
      </c>
      <c r="CL214" s="2" t="s">
        <v>86</v>
      </c>
      <c r="CM214" s="2"/>
    </row>
    <row r="215" spans="1:91">
      <c r="A215" s="2" t="s">
        <v>71</v>
      </c>
      <c r="B215" s="2" t="s">
        <v>72</v>
      </c>
      <c r="C215" s="2" t="s">
        <v>73</v>
      </c>
      <c r="D215" s="2"/>
      <c r="E215" s="2" t="str">
        <f>"FES1162541679"</f>
        <v>FES1162541679</v>
      </c>
      <c r="F215" s="3">
        <v>42830</v>
      </c>
      <c r="G215" s="2">
        <v>201710</v>
      </c>
      <c r="H215" s="2" t="s">
        <v>74</v>
      </c>
      <c r="I215" s="2" t="s">
        <v>75</v>
      </c>
      <c r="J215" s="2" t="s">
        <v>76</v>
      </c>
      <c r="K215" s="2" t="s">
        <v>77</v>
      </c>
      <c r="L215" s="2" t="s">
        <v>190</v>
      </c>
      <c r="M215" s="2" t="s">
        <v>191</v>
      </c>
      <c r="N215" s="2" t="s">
        <v>192</v>
      </c>
      <c r="O215" s="2" t="s">
        <v>115</v>
      </c>
      <c r="P215" s="2" t="str">
        <f>"2170560071                    "</f>
        <v xml:space="preserve">2170560071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6.03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</v>
      </c>
      <c r="BJ215" s="2">
        <v>0.2</v>
      </c>
      <c r="BK215" s="2">
        <v>1</v>
      </c>
      <c r="BL215" s="2">
        <v>58.68</v>
      </c>
      <c r="BM215" s="2">
        <v>8.2200000000000006</v>
      </c>
      <c r="BN215" s="2">
        <v>66.900000000000006</v>
      </c>
      <c r="BO215" s="2">
        <v>66.900000000000006</v>
      </c>
      <c r="BP215" s="2"/>
      <c r="BQ215" s="2" t="s">
        <v>193</v>
      </c>
      <c r="BR215" s="2" t="s">
        <v>123</v>
      </c>
      <c r="BS215" s="3">
        <v>42831</v>
      </c>
      <c r="BT215" s="4">
        <v>0.52083333333333337</v>
      </c>
      <c r="BU215" s="2" t="s">
        <v>483</v>
      </c>
      <c r="BV215" s="2" t="s">
        <v>111</v>
      </c>
      <c r="BW215" s="2"/>
      <c r="BX215" s="2"/>
      <c r="BY215" s="2">
        <v>1200</v>
      </c>
      <c r="BZ215" s="2" t="s">
        <v>27</v>
      </c>
      <c r="CA215" s="2" t="s">
        <v>159</v>
      </c>
      <c r="CB215" s="2"/>
      <c r="CC215" s="2" t="s">
        <v>191</v>
      </c>
      <c r="CD215" s="2">
        <v>1739</v>
      </c>
      <c r="CE215" s="2" t="s">
        <v>118</v>
      </c>
      <c r="CF215" s="5">
        <v>42832</v>
      </c>
      <c r="CG215" s="2"/>
      <c r="CH215" s="2"/>
      <c r="CI215" s="2">
        <v>1</v>
      </c>
      <c r="CJ215" s="2">
        <v>1</v>
      </c>
      <c r="CK215" s="2">
        <v>24</v>
      </c>
      <c r="CL215" s="2" t="s">
        <v>86</v>
      </c>
      <c r="CM215" s="2"/>
    </row>
    <row r="216" spans="1:91">
      <c r="A216" s="2" t="s">
        <v>71</v>
      </c>
      <c r="B216" s="2" t="s">
        <v>72</v>
      </c>
      <c r="C216" s="2" t="s">
        <v>73</v>
      </c>
      <c r="D216" s="2"/>
      <c r="E216" s="2" t="str">
        <f>"FES1162541505"</f>
        <v>FES1162541505</v>
      </c>
      <c r="F216" s="3">
        <v>42830</v>
      </c>
      <c r="G216" s="2">
        <v>201710</v>
      </c>
      <c r="H216" s="2" t="s">
        <v>74</v>
      </c>
      <c r="I216" s="2" t="s">
        <v>75</v>
      </c>
      <c r="J216" s="2" t="s">
        <v>76</v>
      </c>
      <c r="K216" s="2" t="s">
        <v>77</v>
      </c>
      <c r="L216" s="2" t="s">
        <v>633</v>
      </c>
      <c r="M216" s="2" t="s">
        <v>634</v>
      </c>
      <c r="N216" s="2" t="s">
        <v>635</v>
      </c>
      <c r="O216" s="2" t="s">
        <v>115</v>
      </c>
      <c r="P216" s="2" t="str">
        <f>"2170560603                    "</f>
        <v xml:space="preserve">2170560603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6.03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1</v>
      </c>
      <c r="BJ216" s="2">
        <v>0.2</v>
      </c>
      <c r="BK216" s="2">
        <v>1</v>
      </c>
      <c r="BL216" s="2">
        <v>58.68</v>
      </c>
      <c r="BM216" s="2">
        <v>8.2200000000000006</v>
      </c>
      <c r="BN216" s="2">
        <v>66.900000000000006</v>
      </c>
      <c r="BO216" s="2">
        <v>66.900000000000006</v>
      </c>
      <c r="BP216" s="2"/>
      <c r="BQ216" s="2" t="s">
        <v>636</v>
      </c>
      <c r="BR216" s="2" t="s">
        <v>123</v>
      </c>
      <c r="BS216" s="3">
        <v>42831</v>
      </c>
      <c r="BT216" s="4">
        <v>0.45763888888888887</v>
      </c>
      <c r="BU216" s="2" t="s">
        <v>637</v>
      </c>
      <c r="BV216" s="2" t="s">
        <v>111</v>
      </c>
      <c r="BW216" s="2"/>
      <c r="BX216" s="2"/>
      <c r="BY216" s="2">
        <v>1200</v>
      </c>
      <c r="BZ216" s="2" t="s">
        <v>27</v>
      </c>
      <c r="CA216" s="2"/>
      <c r="CB216" s="2"/>
      <c r="CC216" s="2" t="s">
        <v>634</v>
      </c>
      <c r="CD216" s="2">
        <v>1759</v>
      </c>
      <c r="CE216" s="2" t="s">
        <v>118</v>
      </c>
      <c r="CF216" s="5">
        <v>42833</v>
      </c>
      <c r="CG216" s="2"/>
      <c r="CH216" s="2"/>
      <c r="CI216" s="2">
        <v>1</v>
      </c>
      <c r="CJ216" s="2">
        <v>1</v>
      </c>
      <c r="CK216" s="2">
        <v>24</v>
      </c>
      <c r="CL216" s="2" t="s">
        <v>86</v>
      </c>
      <c r="CM216" s="2"/>
    </row>
    <row r="217" spans="1:91">
      <c r="A217" s="2" t="s">
        <v>71</v>
      </c>
      <c r="B217" s="2" t="s">
        <v>72</v>
      </c>
      <c r="C217" s="2" t="s">
        <v>73</v>
      </c>
      <c r="D217" s="2"/>
      <c r="E217" s="2" t="str">
        <f>"FES1162543300"</f>
        <v>FES1162543300</v>
      </c>
      <c r="F217" s="3">
        <v>42837</v>
      </c>
      <c r="G217" s="2">
        <v>201710</v>
      </c>
      <c r="H217" s="2" t="s">
        <v>74</v>
      </c>
      <c r="I217" s="2" t="s">
        <v>75</v>
      </c>
      <c r="J217" s="2" t="s">
        <v>76</v>
      </c>
      <c r="K217" s="2" t="s">
        <v>77</v>
      </c>
      <c r="L217" s="2" t="s">
        <v>260</v>
      </c>
      <c r="M217" s="2" t="s">
        <v>261</v>
      </c>
      <c r="N217" s="2" t="s">
        <v>262</v>
      </c>
      <c r="O217" s="2" t="s">
        <v>115</v>
      </c>
      <c r="P217" s="2" t="str">
        <f>"2170560040                    "</f>
        <v xml:space="preserve">2170560040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3.35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1</v>
      </c>
      <c r="BJ217" s="2">
        <v>0.2</v>
      </c>
      <c r="BK217" s="2">
        <v>1</v>
      </c>
      <c r="BL217" s="2">
        <v>32.6</v>
      </c>
      <c r="BM217" s="2">
        <v>4.5599999999999996</v>
      </c>
      <c r="BN217" s="2">
        <v>37.159999999999997</v>
      </c>
      <c r="BO217" s="2">
        <v>37.159999999999997</v>
      </c>
      <c r="BP217" s="2"/>
      <c r="BQ217" s="2" t="s">
        <v>638</v>
      </c>
      <c r="BR217" s="2" t="s">
        <v>84</v>
      </c>
      <c r="BS217" s="3">
        <v>42838</v>
      </c>
      <c r="BT217" s="4">
        <v>0.4375</v>
      </c>
      <c r="BU217" s="2" t="s">
        <v>639</v>
      </c>
      <c r="BV217" s="2" t="s">
        <v>111</v>
      </c>
      <c r="BW217" s="2"/>
      <c r="BX217" s="2"/>
      <c r="BY217" s="2">
        <v>1200</v>
      </c>
      <c r="BZ217" s="2" t="s">
        <v>27</v>
      </c>
      <c r="CA217" s="2"/>
      <c r="CB217" s="2"/>
      <c r="CC217" s="2" t="s">
        <v>261</v>
      </c>
      <c r="CD217" s="2">
        <v>1451</v>
      </c>
      <c r="CE217" s="2" t="s">
        <v>118</v>
      </c>
      <c r="CF217" s="5">
        <v>42843</v>
      </c>
      <c r="CG217" s="2"/>
      <c r="CH217" s="2"/>
      <c r="CI217" s="2">
        <v>1</v>
      </c>
      <c r="CJ217" s="2">
        <v>1</v>
      </c>
      <c r="CK217" s="2">
        <v>22</v>
      </c>
      <c r="CL217" s="2" t="s">
        <v>86</v>
      </c>
      <c r="CM217" s="2"/>
    </row>
    <row r="218" spans="1:91">
      <c r="A218" s="2" t="s">
        <v>71</v>
      </c>
      <c r="B218" s="2" t="s">
        <v>72</v>
      </c>
      <c r="C218" s="2" t="s">
        <v>73</v>
      </c>
      <c r="D218" s="2"/>
      <c r="E218" s="2" t="str">
        <f>"FES1162542136"</f>
        <v>FES1162542136</v>
      </c>
      <c r="F218" s="3">
        <v>42831</v>
      </c>
      <c r="G218" s="2">
        <v>201710</v>
      </c>
      <c r="H218" s="2" t="s">
        <v>74</v>
      </c>
      <c r="I218" s="2" t="s">
        <v>75</v>
      </c>
      <c r="J218" s="2" t="s">
        <v>76</v>
      </c>
      <c r="K218" s="2" t="s">
        <v>77</v>
      </c>
      <c r="L218" s="2" t="s">
        <v>112</v>
      </c>
      <c r="M218" s="2" t="s">
        <v>113</v>
      </c>
      <c r="N218" s="2" t="s">
        <v>114</v>
      </c>
      <c r="O218" s="2" t="s">
        <v>115</v>
      </c>
      <c r="P218" s="2" t="str">
        <f>"2170561034                    "</f>
        <v xml:space="preserve">2170561034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4.29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</v>
      </c>
      <c r="BJ218" s="2">
        <v>0.2</v>
      </c>
      <c r="BK218" s="2">
        <v>1</v>
      </c>
      <c r="BL218" s="2">
        <v>41.73</v>
      </c>
      <c r="BM218" s="2">
        <v>5.84</v>
      </c>
      <c r="BN218" s="2">
        <v>47.57</v>
      </c>
      <c r="BO218" s="2">
        <v>47.57</v>
      </c>
      <c r="BP218" s="2"/>
      <c r="BQ218" s="2" t="s">
        <v>116</v>
      </c>
      <c r="BR218" s="2" t="s">
        <v>123</v>
      </c>
      <c r="BS218" s="3">
        <v>42832</v>
      </c>
      <c r="BT218" s="4">
        <v>0.41666666666666669</v>
      </c>
      <c r="BU218" s="2" t="s">
        <v>640</v>
      </c>
      <c r="BV218" s="2" t="s">
        <v>111</v>
      </c>
      <c r="BW218" s="2"/>
      <c r="BX218" s="2"/>
      <c r="BY218" s="2">
        <v>1200</v>
      </c>
      <c r="BZ218" s="2" t="s">
        <v>27</v>
      </c>
      <c r="CA218" s="2" t="s">
        <v>159</v>
      </c>
      <c r="CB218" s="2"/>
      <c r="CC218" s="2" t="s">
        <v>113</v>
      </c>
      <c r="CD218" s="2">
        <v>3201</v>
      </c>
      <c r="CE218" s="2" t="s">
        <v>144</v>
      </c>
      <c r="CF218" s="5">
        <v>42835</v>
      </c>
      <c r="CG218" s="2"/>
      <c r="CH218" s="2"/>
      <c r="CI218" s="2">
        <v>1</v>
      </c>
      <c r="CJ218" s="2">
        <v>1</v>
      </c>
      <c r="CK218" s="2">
        <v>21</v>
      </c>
      <c r="CL218" s="2" t="s">
        <v>86</v>
      </c>
      <c r="CM218" s="2"/>
    </row>
    <row r="219" spans="1:91">
      <c r="A219" s="2" t="s">
        <v>71</v>
      </c>
      <c r="B219" s="2" t="s">
        <v>72</v>
      </c>
      <c r="C219" s="2" t="s">
        <v>73</v>
      </c>
      <c r="D219" s="2"/>
      <c r="E219" s="2" t="str">
        <f>"FES1162541427"</f>
        <v>FES1162541427</v>
      </c>
      <c r="F219" s="3">
        <v>42829</v>
      </c>
      <c r="G219" s="2">
        <v>201710</v>
      </c>
      <c r="H219" s="2" t="s">
        <v>74</v>
      </c>
      <c r="I219" s="2" t="s">
        <v>75</v>
      </c>
      <c r="J219" s="2" t="s">
        <v>76</v>
      </c>
      <c r="K219" s="2" t="s">
        <v>77</v>
      </c>
      <c r="L219" s="2" t="s">
        <v>99</v>
      </c>
      <c r="M219" s="2" t="s">
        <v>100</v>
      </c>
      <c r="N219" s="2" t="s">
        <v>384</v>
      </c>
      <c r="O219" s="2" t="s">
        <v>115</v>
      </c>
      <c r="P219" s="2" t="str">
        <f>"2170560516                    "</f>
        <v xml:space="preserve">2170560516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4.42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1</v>
      </c>
      <c r="BJ219" s="2">
        <v>0.2</v>
      </c>
      <c r="BK219" s="2">
        <v>1</v>
      </c>
      <c r="BL219" s="2">
        <v>41.86</v>
      </c>
      <c r="BM219" s="2">
        <v>5.86</v>
      </c>
      <c r="BN219" s="2">
        <v>47.72</v>
      </c>
      <c r="BO219" s="2">
        <v>47.72</v>
      </c>
      <c r="BP219" s="2"/>
      <c r="BQ219" s="2" t="s">
        <v>129</v>
      </c>
      <c r="BR219" s="2" t="s">
        <v>123</v>
      </c>
      <c r="BS219" s="3">
        <v>42830</v>
      </c>
      <c r="BT219" s="4">
        <v>0.32083333333333336</v>
      </c>
      <c r="BU219" s="2" t="s">
        <v>576</v>
      </c>
      <c r="BV219" s="2" t="s">
        <v>111</v>
      </c>
      <c r="BW219" s="2"/>
      <c r="BX219" s="2"/>
      <c r="BY219" s="2">
        <v>1200</v>
      </c>
      <c r="BZ219" s="2" t="s">
        <v>27</v>
      </c>
      <c r="CA219" s="2" t="s">
        <v>154</v>
      </c>
      <c r="CB219" s="2"/>
      <c r="CC219" s="2" t="s">
        <v>100</v>
      </c>
      <c r="CD219" s="2">
        <v>6020</v>
      </c>
      <c r="CE219" s="2" t="s">
        <v>118</v>
      </c>
      <c r="CF219" s="5">
        <v>42830</v>
      </c>
      <c r="CG219" s="2"/>
      <c r="CH219" s="2"/>
      <c r="CI219" s="2">
        <v>1</v>
      </c>
      <c r="CJ219" s="2">
        <v>1</v>
      </c>
      <c r="CK219" s="2">
        <v>21</v>
      </c>
      <c r="CL219" s="2" t="s">
        <v>86</v>
      </c>
      <c r="CM219" s="2"/>
    </row>
    <row r="220" spans="1:91">
      <c r="A220" s="2" t="s">
        <v>71</v>
      </c>
      <c r="B220" s="2" t="s">
        <v>72</v>
      </c>
      <c r="C220" s="2" t="s">
        <v>73</v>
      </c>
      <c r="D220" s="2"/>
      <c r="E220" s="2" t="str">
        <f>"FES1162542805"</f>
        <v>FES1162542805</v>
      </c>
      <c r="F220" s="3">
        <v>42836</v>
      </c>
      <c r="G220" s="2">
        <v>201710</v>
      </c>
      <c r="H220" s="2" t="s">
        <v>74</v>
      </c>
      <c r="I220" s="2" t="s">
        <v>75</v>
      </c>
      <c r="J220" s="2" t="s">
        <v>76</v>
      </c>
      <c r="K220" s="2" t="s">
        <v>77</v>
      </c>
      <c r="L220" s="2" t="s">
        <v>641</v>
      </c>
      <c r="M220" s="2" t="s">
        <v>642</v>
      </c>
      <c r="N220" s="2" t="s">
        <v>643</v>
      </c>
      <c r="O220" s="2" t="s">
        <v>115</v>
      </c>
      <c r="P220" s="2" t="str">
        <f>"2170561678                    "</f>
        <v xml:space="preserve">2170561678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28.94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3.7</v>
      </c>
      <c r="BJ220" s="2">
        <v>7.1</v>
      </c>
      <c r="BK220" s="2">
        <v>7.5</v>
      </c>
      <c r="BL220" s="2">
        <v>281.66000000000003</v>
      </c>
      <c r="BM220" s="2">
        <v>39.43</v>
      </c>
      <c r="BN220" s="2">
        <v>321.08999999999997</v>
      </c>
      <c r="BO220" s="2">
        <v>321.08999999999997</v>
      </c>
      <c r="BP220" s="2"/>
      <c r="BQ220" s="2" t="s">
        <v>83</v>
      </c>
      <c r="BR220" s="2" t="s">
        <v>123</v>
      </c>
      <c r="BS220" s="3">
        <v>42838</v>
      </c>
      <c r="BT220" s="4">
        <v>0.57916666666666672</v>
      </c>
      <c r="BU220" s="2" t="s">
        <v>644</v>
      </c>
      <c r="BV220" s="2" t="s">
        <v>111</v>
      </c>
      <c r="BW220" s="2"/>
      <c r="BX220" s="2"/>
      <c r="BY220" s="2">
        <v>35670</v>
      </c>
      <c r="BZ220" s="2" t="s">
        <v>27</v>
      </c>
      <c r="CA220" s="2"/>
      <c r="CB220" s="2"/>
      <c r="CC220" s="2" t="s">
        <v>642</v>
      </c>
      <c r="CD220" s="2">
        <v>6300</v>
      </c>
      <c r="CE220" s="2" t="s">
        <v>172</v>
      </c>
      <c r="CF220" s="5">
        <v>42843</v>
      </c>
      <c r="CG220" s="2"/>
      <c r="CH220" s="2"/>
      <c r="CI220" s="2">
        <v>3</v>
      </c>
      <c r="CJ220" s="2">
        <v>2</v>
      </c>
      <c r="CK220" s="2">
        <v>23</v>
      </c>
      <c r="CL220" s="2" t="s">
        <v>86</v>
      </c>
      <c r="CM220" s="2"/>
    </row>
    <row r="221" spans="1:91">
      <c r="A221" s="2" t="s">
        <v>71</v>
      </c>
      <c r="B221" s="2" t="s">
        <v>72</v>
      </c>
      <c r="C221" s="2" t="s">
        <v>73</v>
      </c>
      <c r="D221" s="2"/>
      <c r="E221" s="2" t="str">
        <f>"FES1162541857"</f>
        <v>FES1162541857</v>
      </c>
      <c r="F221" s="3">
        <v>42830</v>
      </c>
      <c r="G221" s="2">
        <v>201710</v>
      </c>
      <c r="H221" s="2" t="s">
        <v>74</v>
      </c>
      <c r="I221" s="2" t="s">
        <v>75</v>
      </c>
      <c r="J221" s="2" t="s">
        <v>76</v>
      </c>
      <c r="K221" s="2" t="s">
        <v>77</v>
      </c>
      <c r="L221" s="2" t="s">
        <v>139</v>
      </c>
      <c r="M221" s="2" t="s">
        <v>140</v>
      </c>
      <c r="N221" s="2" t="s">
        <v>645</v>
      </c>
      <c r="O221" s="2" t="s">
        <v>115</v>
      </c>
      <c r="P221" s="2" t="str">
        <f>"2170560864                    "</f>
        <v xml:space="preserve">2170560864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4.29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41.73</v>
      </c>
      <c r="BM221" s="2">
        <v>5.84</v>
      </c>
      <c r="BN221" s="2">
        <v>47.57</v>
      </c>
      <c r="BO221" s="2">
        <v>47.57</v>
      </c>
      <c r="BP221" s="2"/>
      <c r="BQ221" s="2" t="s">
        <v>646</v>
      </c>
      <c r="BR221" s="2" t="s">
        <v>123</v>
      </c>
      <c r="BS221" s="3">
        <v>42831</v>
      </c>
      <c r="BT221" s="4">
        <v>0.39583333333333331</v>
      </c>
      <c r="BU221" s="2" t="s">
        <v>647</v>
      </c>
      <c r="BV221" s="2" t="s">
        <v>111</v>
      </c>
      <c r="BW221" s="2"/>
      <c r="BX221" s="2"/>
      <c r="BY221" s="2">
        <v>1200</v>
      </c>
      <c r="BZ221" s="2" t="s">
        <v>27</v>
      </c>
      <c r="CA221" s="2"/>
      <c r="CB221" s="2"/>
      <c r="CC221" s="2" t="s">
        <v>140</v>
      </c>
      <c r="CD221" s="2">
        <v>157</v>
      </c>
      <c r="CE221" s="2" t="s">
        <v>118</v>
      </c>
      <c r="CF221" s="5">
        <v>42835</v>
      </c>
      <c r="CG221" s="2"/>
      <c r="CH221" s="2"/>
      <c r="CI221" s="2">
        <v>0</v>
      </c>
      <c r="CJ221" s="2">
        <v>0</v>
      </c>
      <c r="CK221" s="2">
        <v>21</v>
      </c>
      <c r="CL221" s="2" t="s">
        <v>86</v>
      </c>
      <c r="CM221" s="2"/>
    </row>
    <row r="222" spans="1:91">
      <c r="A222" s="2" t="s">
        <v>71</v>
      </c>
      <c r="B222" s="2" t="s">
        <v>72</v>
      </c>
      <c r="C222" s="2" t="s">
        <v>73</v>
      </c>
      <c r="D222" s="2"/>
      <c r="E222" s="2" t="str">
        <f>"FES1162541410"</f>
        <v>FES1162541410</v>
      </c>
      <c r="F222" s="3">
        <v>42829</v>
      </c>
      <c r="G222" s="2">
        <v>201710</v>
      </c>
      <c r="H222" s="2" t="s">
        <v>74</v>
      </c>
      <c r="I222" s="2" t="s">
        <v>75</v>
      </c>
      <c r="J222" s="2" t="s">
        <v>76</v>
      </c>
      <c r="K222" s="2" t="s">
        <v>77</v>
      </c>
      <c r="L222" s="2" t="s">
        <v>99</v>
      </c>
      <c r="M222" s="2" t="s">
        <v>100</v>
      </c>
      <c r="N222" s="2" t="s">
        <v>151</v>
      </c>
      <c r="O222" s="2" t="s">
        <v>115</v>
      </c>
      <c r="P222" s="2" t="str">
        <f>"2170560496                    "</f>
        <v xml:space="preserve">2170560496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4.42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1</v>
      </c>
      <c r="BJ222" s="2">
        <v>0.2</v>
      </c>
      <c r="BK222" s="2">
        <v>1</v>
      </c>
      <c r="BL222" s="2">
        <v>41.86</v>
      </c>
      <c r="BM222" s="2">
        <v>5.86</v>
      </c>
      <c r="BN222" s="2">
        <v>47.72</v>
      </c>
      <c r="BO222" s="2">
        <v>47.72</v>
      </c>
      <c r="BP222" s="2"/>
      <c r="BQ222" s="2" t="s">
        <v>152</v>
      </c>
      <c r="BR222" s="2" t="s">
        <v>123</v>
      </c>
      <c r="BS222" s="3">
        <v>42830</v>
      </c>
      <c r="BT222" s="4">
        <v>0.34791666666666665</v>
      </c>
      <c r="BU222" s="2" t="s">
        <v>648</v>
      </c>
      <c r="BV222" s="2" t="s">
        <v>111</v>
      </c>
      <c r="BW222" s="2"/>
      <c r="BX222" s="2"/>
      <c r="BY222" s="2">
        <v>1200</v>
      </c>
      <c r="BZ222" s="2" t="s">
        <v>27</v>
      </c>
      <c r="CA222" s="2" t="s">
        <v>154</v>
      </c>
      <c r="CB222" s="2"/>
      <c r="CC222" s="2" t="s">
        <v>100</v>
      </c>
      <c r="CD222" s="2">
        <v>6001</v>
      </c>
      <c r="CE222" s="2" t="s">
        <v>144</v>
      </c>
      <c r="CF222" s="5">
        <v>42830</v>
      </c>
      <c r="CG222" s="2"/>
      <c r="CH222" s="2"/>
      <c r="CI222" s="2">
        <v>1</v>
      </c>
      <c r="CJ222" s="2">
        <v>1</v>
      </c>
      <c r="CK222" s="2">
        <v>21</v>
      </c>
      <c r="CL222" s="2" t="s">
        <v>86</v>
      </c>
      <c r="CM222" s="2"/>
    </row>
    <row r="223" spans="1:91">
      <c r="A223" s="2" t="s">
        <v>71</v>
      </c>
      <c r="B223" s="2" t="s">
        <v>72</v>
      </c>
      <c r="C223" s="2" t="s">
        <v>73</v>
      </c>
      <c r="D223" s="2"/>
      <c r="E223" s="2" t="str">
        <f>"FES1162542005"</f>
        <v>FES1162542005</v>
      </c>
      <c r="F223" s="3">
        <v>42831</v>
      </c>
      <c r="G223" s="2">
        <v>201710</v>
      </c>
      <c r="H223" s="2" t="s">
        <v>74</v>
      </c>
      <c r="I223" s="2" t="s">
        <v>75</v>
      </c>
      <c r="J223" s="2" t="s">
        <v>76</v>
      </c>
      <c r="K223" s="2" t="s">
        <v>77</v>
      </c>
      <c r="L223" s="2" t="s">
        <v>180</v>
      </c>
      <c r="M223" s="2" t="s">
        <v>181</v>
      </c>
      <c r="N223" s="2" t="s">
        <v>320</v>
      </c>
      <c r="O223" s="2" t="s">
        <v>115</v>
      </c>
      <c r="P223" s="2" t="str">
        <f>"2170558411                    "</f>
        <v xml:space="preserve">2170558411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4.29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</v>
      </c>
      <c r="BJ223" s="2">
        <v>0.2</v>
      </c>
      <c r="BK223" s="2">
        <v>1</v>
      </c>
      <c r="BL223" s="2">
        <v>41.73</v>
      </c>
      <c r="BM223" s="2">
        <v>5.84</v>
      </c>
      <c r="BN223" s="2">
        <v>47.57</v>
      </c>
      <c r="BO223" s="2">
        <v>47.57</v>
      </c>
      <c r="BP223" s="2"/>
      <c r="BQ223" s="2" t="s">
        <v>129</v>
      </c>
      <c r="BR223" s="2" t="s">
        <v>123</v>
      </c>
      <c r="BS223" s="3">
        <v>42832</v>
      </c>
      <c r="BT223" s="4">
        <v>0.43611111111111112</v>
      </c>
      <c r="BU223" s="2" t="s">
        <v>266</v>
      </c>
      <c r="BV223" s="2" t="s">
        <v>111</v>
      </c>
      <c r="BW223" s="2"/>
      <c r="BX223" s="2"/>
      <c r="BY223" s="2">
        <v>1200</v>
      </c>
      <c r="BZ223" s="2" t="s">
        <v>27</v>
      </c>
      <c r="CA223" s="2"/>
      <c r="CB223" s="2"/>
      <c r="CC223" s="2" t="s">
        <v>181</v>
      </c>
      <c r="CD223" s="2">
        <v>4051</v>
      </c>
      <c r="CE223" s="2" t="s">
        <v>144</v>
      </c>
      <c r="CF223" s="5">
        <v>42835</v>
      </c>
      <c r="CG223" s="2"/>
      <c r="CH223" s="2"/>
      <c r="CI223" s="2">
        <v>1</v>
      </c>
      <c r="CJ223" s="2">
        <v>1</v>
      </c>
      <c r="CK223" s="2">
        <v>21</v>
      </c>
      <c r="CL223" s="2" t="s">
        <v>86</v>
      </c>
      <c r="CM223" s="2"/>
    </row>
    <row r="224" spans="1:91">
      <c r="A224" s="2" t="s">
        <v>71</v>
      </c>
      <c r="B224" s="2" t="s">
        <v>72</v>
      </c>
      <c r="C224" s="2" t="s">
        <v>73</v>
      </c>
      <c r="D224" s="2"/>
      <c r="E224" s="2" t="str">
        <f>"FES1162541279"</f>
        <v>FES1162541279</v>
      </c>
      <c r="F224" s="3">
        <v>42829</v>
      </c>
      <c r="G224" s="2">
        <v>201710</v>
      </c>
      <c r="H224" s="2" t="s">
        <v>74</v>
      </c>
      <c r="I224" s="2" t="s">
        <v>75</v>
      </c>
      <c r="J224" s="2" t="s">
        <v>76</v>
      </c>
      <c r="K224" s="2" t="s">
        <v>77</v>
      </c>
      <c r="L224" s="2" t="s">
        <v>99</v>
      </c>
      <c r="M224" s="2" t="s">
        <v>100</v>
      </c>
      <c r="N224" s="2" t="s">
        <v>583</v>
      </c>
      <c r="O224" s="2" t="s">
        <v>115</v>
      </c>
      <c r="P224" s="2" t="str">
        <f>"2170560340                    "</f>
        <v xml:space="preserve">2170560340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13.26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6</v>
      </c>
      <c r="BJ224" s="2">
        <v>3.3</v>
      </c>
      <c r="BK224" s="2">
        <v>6</v>
      </c>
      <c r="BL224" s="2">
        <v>125.58</v>
      </c>
      <c r="BM224" s="2">
        <v>17.579999999999998</v>
      </c>
      <c r="BN224" s="2">
        <v>143.16</v>
      </c>
      <c r="BO224" s="2">
        <v>143.16</v>
      </c>
      <c r="BP224" s="2"/>
      <c r="BQ224" s="2" t="s">
        <v>584</v>
      </c>
      <c r="BR224" s="2" t="s">
        <v>123</v>
      </c>
      <c r="BS224" s="3">
        <v>42830</v>
      </c>
      <c r="BT224" s="4">
        <v>0.30902777777777779</v>
      </c>
      <c r="BU224" s="2" t="s">
        <v>585</v>
      </c>
      <c r="BV224" s="2" t="s">
        <v>111</v>
      </c>
      <c r="BW224" s="2"/>
      <c r="BX224" s="2"/>
      <c r="BY224" s="2">
        <v>16693.22</v>
      </c>
      <c r="BZ224" s="2" t="s">
        <v>27</v>
      </c>
      <c r="CA224" s="2" t="s">
        <v>154</v>
      </c>
      <c r="CB224" s="2"/>
      <c r="CC224" s="2" t="s">
        <v>100</v>
      </c>
      <c r="CD224" s="2">
        <v>6001</v>
      </c>
      <c r="CE224" s="2" t="s">
        <v>135</v>
      </c>
      <c r="CF224" s="5">
        <v>42830</v>
      </c>
      <c r="CG224" s="2"/>
      <c r="CH224" s="2"/>
      <c r="CI224" s="2">
        <v>1</v>
      </c>
      <c r="CJ224" s="2">
        <v>1</v>
      </c>
      <c r="CK224" s="2">
        <v>21</v>
      </c>
      <c r="CL224" s="2" t="s">
        <v>86</v>
      </c>
      <c r="CM224" s="2"/>
    </row>
    <row r="225" spans="1:91">
      <c r="A225" s="2" t="s">
        <v>71</v>
      </c>
      <c r="B225" s="2" t="s">
        <v>72</v>
      </c>
      <c r="C225" s="2" t="s">
        <v>73</v>
      </c>
      <c r="D225" s="2"/>
      <c r="E225" s="2" t="str">
        <f>"FES1162542908"</f>
        <v>FES1162542908</v>
      </c>
      <c r="F225" s="3">
        <v>42836</v>
      </c>
      <c r="G225" s="2">
        <v>201710</v>
      </c>
      <c r="H225" s="2" t="s">
        <v>74</v>
      </c>
      <c r="I225" s="2" t="s">
        <v>75</v>
      </c>
      <c r="J225" s="2" t="s">
        <v>76</v>
      </c>
      <c r="K225" s="2" t="s">
        <v>77</v>
      </c>
      <c r="L225" s="2" t="s">
        <v>131</v>
      </c>
      <c r="M225" s="2" t="s">
        <v>132</v>
      </c>
      <c r="N225" s="2" t="s">
        <v>649</v>
      </c>
      <c r="O225" s="2" t="s">
        <v>115</v>
      </c>
      <c r="P225" s="2" t="str">
        <f>"2170559093                    "</f>
        <v xml:space="preserve">2170559093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4.29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1.5</v>
      </c>
      <c r="BJ225" s="2">
        <v>1.8</v>
      </c>
      <c r="BK225" s="2">
        <v>2</v>
      </c>
      <c r="BL225" s="2">
        <v>41.73</v>
      </c>
      <c r="BM225" s="2">
        <v>5.84</v>
      </c>
      <c r="BN225" s="2">
        <v>47.57</v>
      </c>
      <c r="BO225" s="2">
        <v>47.57</v>
      </c>
      <c r="BP225" s="2"/>
      <c r="BQ225" s="2" t="s">
        <v>650</v>
      </c>
      <c r="BR225" s="2" t="s">
        <v>123</v>
      </c>
      <c r="BS225" s="3">
        <v>42837</v>
      </c>
      <c r="BT225" s="4">
        <v>0.41666666666666669</v>
      </c>
      <c r="BU225" s="2" t="s">
        <v>130</v>
      </c>
      <c r="BV225" s="2" t="s">
        <v>111</v>
      </c>
      <c r="BW225" s="2"/>
      <c r="BX225" s="2"/>
      <c r="BY225" s="2">
        <v>8775</v>
      </c>
      <c r="BZ225" s="2" t="s">
        <v>27</v>
      </c>
      <c r="CA225" s="2"/>
      <c r="CB225" s="2"/>
      <c r="CC225" s="2" t="s">
        <v>132</v>
      </c>
      <c r="CD225" s="2">
        <v>7405</v>
      </c>
      <c r="CE225" s="2" t="s">
        <v>287</v>
      </c>
      <c r="CF225" s="5">
        <v>42838</v>
      </c>
      <c r="CG225" s="2"/>
      <c r="CH225" s="2"/>
      <c r="CI225" s="2">
        <v>1</v>
      </c>
      <c r="CJ225" s="2">
        <v>1</v>
      </c>
      <c r="CK225" s="2">
        <v>21</v>
      </c>
      <c r="CL225" s="2" t="s">
        <v>86</v>
      </c>
      <c r="CM225" s="2"/>
    </row>
    <row r="226" spans="1:91">
      <c r="A226" s="2" t="s">
        <v>71</v>
      </c>
      <c r="B226" s="2" t="s">
        <v>72</v>
      </c>
      <c r="C226" s="2" t="s">
        <v>73</v>
      </c>
      <c r="D226" s="2"/>
      <c r="E226" s="2" t="str">
        <f>"FES1162541787"</f>
        <v>FES1162541787</v>
      </c>
      <c r="F226" s="3">
        <v>42830</v>
      </c>
      <c r="G226" s="2">
        <v>201710</v>
      </c>
      <c r="H226" s="2" t="s">
        <v>74</v>
      </c>
      <c r="I226" s="2" t="s">
        <v>75</v>
      </c>
      <c r="J226" s="2" t="s">
        <v>76</v>
      </c>
      <c r="K226" s="2" t="s">
        <v>77</v>
      </c>
      <c r="L226" s="2" t="s">
        <v>112</v>
      </c>
      <c r="M226" s="2" t="s">
        <v>113</v>
      </c>
      <c r="N226" s="2" t="s">
        <v>114</v>
      </c>
      <c r="O226" s="2" t="s">
        <v>115</v>
      </c>
      <c r="P226" s="2" t="str">
        <f>"2170560765                    "</f>
        <v xml:space="preserve">2170560765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4.29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1</v>
      </c>
      <c r="BJ226" s="2">
        <v>0.2</v>
      </c>
      <c r="BK226" s="2">
        <v>1</v>
      </c>
      <c r="BL226" s="2">
        <v>41.73</v>
      </c>
      <c r="BM226" s="2">
        <v>5.84</v>
      </c>
      <c r="BN226" s="2">
        <v>47.57</v>
      </c>
      <c r="BO226" s="2">
        <v>47.57</v>
      </c>
      <c r="BP226" s="2"/>
      <c r="BQ226" s="2" t="s">
        <v>116</v>
      </c>
      <c r="BR226" s="2" t="s">
        <v>123</v>
      </c>
      <c r="BS226" s="3">
        <v>42831</v>
      </c>
      <c r="BT226" s="4">
        <v>0.39583333333333331</v>
      </c>
      <c r="BU226" s="2" t="s">
        <v>533</v>
      </c>
      <c r="BV226" s="2" t="s">
        <v>111</v>
      </c>
      <c r="BW226" s="2"/>
      <c r="BX226" s="2"/>
      <c r="BY226" s="2">
        <v>1200</v>
      </c>
      <c r="BZ226" s="2" t="s">
        <v>27</v>
      </c>
      <c r="CA226" s="2"/>
      <c r="CB226" s="2"/>
      <c r="CC226" s="2" t="s">
        <v>113</v>
      </c>
      <c r="CD226" s="2">
        <v>3201</v>
      </c>
      <c r="CE226" s="2" t="s">
        <v>118</v>
      </c>
      <c r="CF226" s="5">
        <v>42833</v>
      </c>
      <c r="CG226" s="2"/>
      <c r="CH226" s="2"/>
      <c r="CI226" s="2">
        <v>1</v>
      </c>
      <c r="CJ226" s="2">
        <v>1</v>
      </c>
      <c r="CK226" s="2">
        <v>21</v>
      </c>
      <c r="CL226" s="2" t="s">
        <v>86</v>
      </c>
      <c r="CM226" s="2"/>
    </row>
    <row r="227" spans="1:91">
      <c r="A227" s="2" t="s">
        <v>71</v>
      </c>
      <c r="B227" s="2" t="s">
        <v>72</v>
      </c>
      <c r="C227" s="2" t="s">
        <v>73</v>
      </c>
      <c r="D227" s="2"/>
      <c r="E227" s="2" t="str">
        <f>"FES1162541522"</f>
        <v>FES1162541522</v>
      </c>
      <c r="F227" s="3">
        <v>42830</v>
      </c>
      <c r="G227" s="2">
        <v>201710</v>
      </c>
      <c r="H227" s="2" t="s">
        <v>74</v>
      </c>
      <c r="I227" s="2" t="s">
        <v>75</v>
      </c>
      <c r="J227" s="2" t="s">
        <v>76</v>
      </c>
      <c r="K227" s="2" t="s">
        <v>77</v>
      </c>
      <c r="L227" s="2" t="s">
        <v>99</v>
      </c>
      <c r="M227" s="2" t="s">
        <v>100</v>
      </c>
      <c r="N227" s="2" t="s">
        <v>108</v>
      </c>
      <c r="O227" s="2" t="s">
        <v>115</v>
      </c>
      <c r="P227" s="2" t="str">
        <f>"2170559171                    "</f>
        <v xml:space="preserve">2170559171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4.29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1</v>
      </c>
      <c r="BJ227" s="2">
        <v>0.2</v>
      </c>
      <c r="BK227" s="2">
        <v>1</v>
      </c>
      <c r="BL227" s="2">
        <v>41.73</v>
      </c>
      <c r="BM227" s="2">
        <v>5.84</v>
      </c>
      <c r="BN227" s="2">
        <v>47.57</v>
      </c>
      <c r="BO227" s="2">
        <v>47.57</v>
      </c>
      <c r="BP227" s="2"/>
      <c r="BQ227" s="2" t="s">
        <v>109</v>
      </c>
      <c r="BR227" s="2" t="s">
        <v>123</v>
      </c>
      <c r="BS227" s="3">
        <v>42831</v>
      </c>
      <c r="BT227" s="4">
        <v>0.41666666666666669</v>
      </c>
      <c r="BU227" s="2" t="s">
        <v>110</v>
      </c>
      <c r="BV227" s="2" t="s">
        <v>111</v>
      </c>
      <c r="BW227" s="2"/>
      <c r="BX227" s="2"/>
      <c r="BY227" s="2">
        <v>1200</v>
      </c>
      <c r="BZ227" s="2" t="s">
        <v>27</v>
      </c>
      <c r="CA227" s="2" t="s">
        <v>106</v>
      </c>
      <c r="CB227" s="2"/>
      <c r="CC227" s="2" t="s">
        <v>100</v>
      </c>
      <c r="CD227" s="2">
        <v>6001</v>
      </c>
      <c r="CE227" s="2" t="s">
        <v>144</v>
      </c>
      <c r="CF227" s="5">
        <v>42831</v>
      </c>
      <c r="CG227" s="2"/>
      <c r="CH227" s="2"/>
      <c r="CI227" s="2">
        <v>1</v>
      </c>
      <c r="CJ227" s="2">
        <v>1</v>
      </c>
      <c r="CK227" s="2">
        <v>21</v>
      </c>
      <c r="CL227" s="2" t="s">
        <v>86</v>
      </c>
      <c r="CM227" s="2"/>
    </row>
    <row r="228" spans="1:91">
      <c r="A228" s="2" t="s">
        <v>71</v>
      </c>
      <c r="B228" s="2" t="s">
        <v>72</v>
      </c>
      <c r="C228" s="2" t="s">
        <v>73</v>
      </c>
      <c r="D228" s="2"/>
      <c r="E228" s="2" t="str">
        <f>"FES1162543235"</f>
        <v>FES1162543235</v>
      </c>
      <c r="F228" s="3">
        <v>42837</v>
      </c>
      <c r="G228" s="2">
        <v>201710</v>
      </c>
      <c r="H228" s="2" t="s">
        <v>74</v>
      </c>
      <c r="I228" s="2" t="s">
        <v>75</v>
      </c>
      <c r="J228" s="2" t="s">
        <v>76</v>
      </c>
      <c r="K228" s="2" t="s">
        <v>77</v>
      </c>
      <c r="L228" s="2" t="s">
        <v>234</v>
      </c>
      <c r="M228" s="2" t="s">
        <v>235</v>
      </c>
      <c r="N228" s="2" t="s">
        <v>236</v>
      </c>
      <c r="O228" s="2" t="s">
        <v>115</v>
      </c>
      <c r="P228" s="2" t="str">
        <f>"2170558641                    "</f>
        <v xml:space="preserve">2170558641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4.29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1</v>
      </c>
      <c r="BJ228" s="2">
        <v>0.2</v>
      </c>
      <c r="BK228" s="2">
        <v>1</v>
      </c>
      <c r="BL228" s="2">
        <v>41.73</v>
      </c>
      <c r="BM228" s="2">
        <v>5.84</v>
      </c>
      <c r="BN228" s="2">
        <v>47.57</v>
      </c>
      <c r="BO228" s="2">
        <v>47.57</v>
      </c>
      <c r="BP228" s="2"/>
      <c r="BQ228" s="2" t="s">
        <v>285</v>
      </c>
      <c r="BR228" s="2" t="s">
        <v>84</v>
      </c>
      <c r="BS228" s="3">
        <v>42838</v>
      </c>
      <c r="BT228" s="4">
        <v>0.3527777777777778</v>
      </c>
      <c r="BU228" s="2" t="s">
        <v>245</v>
      </c>
      <c r="BV228" s="2" t="s">
        <v>111</v>
      </c>
      <c r="BW228" s="2"/>
      <c r="BX228" s="2"/>
      <c r="BY228" s="2">
        <v>1200</v>
      </c>
      <c r="BZ228" s="2" t="s">
        <v>27</v>
      </c>
      <c r="CA228" s="2"/>
      <c r="CB228" s="2"/>
      <c r="CC228" s="2" t="s">
        <v>235</v>
      </c>
      <c r="CD228" s="2">
        <v>6220</v>
      </c>
      <c r="CE228" s="2" t="s">
        <v>118</v>
      </c>
      <c r="CF228" s="5">
        <v>42843</v>
      </c>
      <c r="CG228" s="2"/>
      <c r="CH228" s="2"/>
      <c r="CI228" s="2">
        <v>1</v>
      </c>
      <c r="CJ228" s="2">
        <v>1</v>
      </c>
      <c r="CK228" s="2">
        <v>21</v>
      </c>
      <c r="CL228" s="2" t="s">
        <v>86</v>
      </c>
      <c r="CM228" s="2"/>
    </row>
    <row r="229" spans="1:91">
      <c r="A229" s="2" t="s">
        <v>71</v>
      </c>
      <c r="B229" s="2" t="s">
        <v>72</v>
      </c>
      <c r="C229" s="2" t="s">
        <v>73</v>
      </c>
      <c r="D229" s="2"/>
      <c r="E229" s="2" t="str">
        <f>"FES1162542030"</f>
        <v>FES1162542030</v>
      </c>
      <c r="F229" s="3">
        <v>42831</v>
      </c>
      <c r="G229" s="2">
        <v>201710</v>
      </c>
      <c r="H229" s="2" t="s">
        <v>74</v>
      </c>
      <c r="I229" s="2" t="s">
        <v>75</v>
      </c>
      <c r="J229" s="2" t="s">
        <v>76</v>
      </c>
      <c r="K229" s="2" t="s">
        <v>77</v>
      </c>
      <c r="L229" s="2" t="s">
        <v>651</v>
      </c>
      <c r="M229" s="2" t="s">
        <v>652</v>
      </c>
      <c r="N229" s="2" t="s">
        <v>283</v>
      </c>
      <c r="O229" s="2" t="s">
        <v>115</v>
      </c>
      <c r="P229" s="2" t="str">
        <f>"2170560964                    "</f>
        <v xml:space="preserve">2170560964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4.29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1</v>
      </c>
      <c r="BJ229" s="2">
        <v>0.2</v>
      </c>
      <c r="BK229" s="2">
        <v>1</v>
      </c>
      <c r="BL229" s="2">
        <v>41.73</v>
      </c>
      <c r="BM229" s="2">
        <v>5.84</v>
      </c>
      <c r="BN229" s="2">
        <v>47.57</v>
      </c>
      <c r="BO229" s="2">
        <v>47.57</v>
      </c>
      <c r="BP229" s="2"/>
      <c r="BQ229" s="2" t="s">
        <v>653</v>
      </c>
      <c r="BR229" s="2" t="s">
        <v>123</v>
      </c>
      <c r="BS229" s="3">
        <v>42832</v>
      </c>
      <c r="BT229" s="4">
        <v>0.3666666666666667</v>
      </c>
      <c r="BU229" s="2" t="s">
        <v>654</v>
      </c>
      <c r="BV229" s="2" t="s">
        <v>111</v>
      </c>
      <c r="BW229" s="2"/>
      <c r="BX229" s="2"/>
      <c r="BY229" s="2">
        <v>1200</v>
      </c>
      <c r="BZ229" s="2" t="s">
        <v>27</v>
      </c>
      <c r="CA229" s="2"/>
      <c r="CB229" s="2"/>
      <c r="CC229" s="2" t="s">
        <v>652</v>
      </c>
      <c r="CD229" s="2">
        <v>9300</v>
      </c>
      <c r="CE229" s="2" t="s">
        <v>144</v>
      </c>
      <c r="CF229" s="5">
        <v>42835</v>
      </c>
      <c r="CG229" s="2"/>
      <c r="CH229" s="2"/>
      <c r="CI229" s="2">
        <v>1</v>
      </c>
      <c r="CJ229" s="2">
        <v>1</v>
      </c>
      <c r="CK229" s="2">
        <v>21</v>
      </c>
      <c r="CL229" s="2" t="s">
        <v>86</v>
      </c>
      <c r="CM229" s="2"/>
    </row>
    <row r="230" spans="1:91">
      <c r="A230" s="2" t="s">
        <v>71</v>
      </c>
      <c r="B230" s="2" t="s">
        <v>72</v>
      </c>
      <c r="C230" s="2" t="s">
        <v>73</v>
      </c>
      <c r="D230" s="2"/>
      <c r="E230" s="2" t="str">
        <f>"FES1162541429"</f>
        <v>FES1162541429</v>
      </c>
      <c r="F230" s="3">
        <v>42829</v>
      </c>
      <c r="G230" s="2">
        <v>201710</v>
      </c>
      <c r="H230" s="2" t="s">
        <v>74</v>
      </c>
      <c r="I230" s="2" t="s">
        <v>75</v>
      </c>
      <c r="J230" s="2" t="s">
        <v>76</v>
      </c>
      <c r="K230" s="2" t="s">
        <v>77</v>
      </c>
      <c r="L230" s="2" t="s">
        <v>180</v>
      </c>
      <c r="M230" s="2" t="s">
        <v>181</v>
      </c>
      <c r="N230" s="2" t="s">
        <v>424</v>
      </c>
      <c r="O230" s="2" t="s">
        <v>115</v>
      </c>
      <c r="P230" s="2" t="str">
        <f>"2170560518                    "</f>
        <v xml:space="preserve">2170560518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4.42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1</v>
      </c>
      <c r="BJ230" s="2">
        <v>0.2</v>
      </c>
      <c r="BK230" s="2">
        <v>1</v>
      </c>
      <c r="BL230" s="2">
        <v>41.86</v>
      </c>
      <c r="BM230" s="2">
        <v>5.86</v>
      </c>
      <c r="BN230" s="2">
        <v>47.72</v>
      </c>
      <c r="BO230" s="2">
        <v>47.72</v>
      </c>
      <c r="BP230" s="2"/>
      <c r="BQ230" s="2" t="s">
        <v>425</v>
      </c>
      <c r="BR230" s="2" t="s">
        <v>123</v>
      </c>
      <c r="BS230" s="3">
        <v>42830</v>
      </c>
      <c r="BT230" s="4">
        <v>0.4375</v>
      </c>
      <c r="BU230" s="2" t="s">
        <v>372</v>
      </c>
      <c r="BV230" s="2" t="s">
        <v>111</v>
      </c>
      <c r="BW230" s="2"/>
      <c r="BX230" s="2"/>
      <c r="BY230" s="2">
        <v>1200</v>
      </c>
      <c r="BZ230" s="2" t="s">
        <v>27</v>
      </c>
      <c r="CA230" s="2"/>
      <c r="CB230" s="2"/>
      <c r="CC230" s="2" t="s">
        <v>181</v>
      </c>
      <c r="CD230" s="2">
        <v>4001</v>
      </c>
      <c r="CE230" s="2" t="s">
        <v>118</v>
      </c>
      <c r="CF230" s="5">
        <v>42831</v>
      </c>
      <c r="CG230" s="2"/>
      <c r="CH230" s="2"/>
      <c r="CI230" s="2">
        <v>1</v>
      </c>
      <c r="CJ230" s="2">
        <v>1</v>
      </c>
      <c r="CK230" s="2">
        <v>21</v>
      </c>
      <c r="CL230" s="2" t="s">
        <v>86</v>
      </c>
      <c r="CM230" s="2"/>
    </row>
    <row r="231" spans="1:91">
      <c r="A231" s="2" t="s">
        <v>71</v>
      </c>
      <c r="B231" s="2" t="s">
        <v>72</v>
      </c>
      <c r="C231" s="2" t="s">
        <v>73</v>
      </c>
      <c r="D231" s="2"/>
      <c r="E231" s="2" t="str">
        <f>"FES1162542815"</f>
        <v>FES1162542815</v>
      </c>
      <c r="F231" s="3">
        <v>42836</v>
      </c>
      <c r="G231" s="2">
        <v>201710</v>
      </c>
      <c r="H231" s="2" t="s">
        <v>74</v>
      </c>
      <c r="I231" s="2" t="s">
        <v>75</v>
      </c>
      <c r="J231" s="2" t="s">
        <v>76</v>
      </c>
      <c r="K231" s="2" t="s">
        <v>77</v>
      </c>
      <c r="L231" s="2" t="s">
        <v>176</v>
      </c>
      <c r="M231" s="2" t="s">
        <v>176</v>
      </c>
      <c r="N231" s="2" t="s">
        <v>339</v>
      </c>
      <c r="O231" s="2" t="s">
        <v>115</v>
      </c>
      <c r="P231" s="2" t="str">
        <f>"2170559453                    "</f>
        <v xml:space="preserve">2170559453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12.86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5.8</v>
      </c>
      <c r="BJ231" s="2">
        <v>1.7</v>
      </c>
      <c r="BK231" s="2">
        <v>6</v>
      </c>
      <c r="BL231" s="2">
        <v>125.18</v>
      </c>
      <c r="BM231" s="2">
        <v>17.53</v>
      </c>
      <c r="BN231" s="2">
        <v>142.71</v>
      </c>
      <c r="BO231" s="2">
        <v>142.71</v>
      </c>
      <c r="BP231" s="2"/>
      <c r="BQ231" s="2" t="s">
        <v>340</v>
      </c>
      <c r="BR231" s="2" t="s">
        <v>123</v>
      </c>
      <c r="BS231" s="3">
        <v>42837</v>
      </c>
      <c r="BT231" s="4">
        <v>0.55555555555555558</v>
      </c>
      <c r="BU231" s="2" t="s">
        <v>655</v>
      </c>
      <c r="BV231" s="2" t="s">
        <v>111</v>
      </c>
      <c r="BW231" s="2"/>
      <c r="BX231" s="2"/>
      <c r="BY231" s="2">
        <v>8400</v>
      </c>
      <c r="BZ231" s="2" t="s">
        <v>27</v>
      </c>
      <c r="CA231" s="2"/>
      <c r="CB231" s="2"/>
      <c r="CC231" s="2" t="s">
        <v>176</v>
      </c>
      <c r="CD231" s="2">
        <v>7646</v>
      </c>
      <c r="CE231" s="2" t="s">
        <v>287</v>
      </c>
      <c r="CF231" s="5">
        <v>42838</v>
      </c>
      <c r="CG231" s="2"/>
      <c r="CH231" s="2"/>
      <c r="CI231" s="2">
        <v>1</v>
      </c>
      <c r="CJ231" s="2">
        <v>1</v>
      </c>
      <c r="CK231" s="2">
        <v>21</v>
      </c>
      <c r="CL231" s="2" t="s">
        <v>86</v>
      </c>
      <c r="CM231" s="2"/>
    </row>
    <row r="232" spans="1:91">
      <c r="A232" s="2" t="s">
        <v>71</v>
      </c>
      <c r="B232" s="2" t="s">
        <v>72</v>
      </c>
      <c r="C232" s="2" t="s">
        <v>73</v>
      </c>
      <c r="D232" s="2"/>
      <c r="E232" s="2" t="str">
        <f>"FES1162541758"</f>
        <v>FES1162541758</v>
      </c>
      <c r="F232" s="3">
        <v>42830</v>
      </c>
      <c r="G232" s="2">
        <v>201710</v>
      </c>
      <c r="H232" s="2" t="s">
        <v>74</v>
      </c>
      <c r="I232" s="2" t="s">
        <v>75</v>
      </c>
      <c r="J232" s="2" t="s">
        <v>76</v>
      </c>
      <c r="K232" s="2" t="s">
        <v>77</v>
      </c>
      <c r="L232" s="2" t="s">
        <v>166</v>
      </c>
      <c r="M232" s="2" t="s">
        <v>167</v>
      </c>
      <c r="N232" s="2" t="s">
        <v>656</v>
      </c>
      <c r="O232" s="2" t="s">
        <v>115</v>
      </c>
      <c r="P232" s="2" t="str">
        <f>"2170560759                    "</f>
        <v xml:space="preserve">2170560759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3.35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1</v>
      </c>
      <c r="BJ232" s="2">
        <v>0.2</v>
      </c>
      <c r="BK232" s="2">
        <v>1</v>
      </c>
      <c r="BL232" s="2">
        <v>32.6</v>
      </c>
      <c r="BM232" s="2">
        <v>4.5599999999999996</v>
      </c>
      <c r="BN232" s="2">
        <v>37.159999999999997</v>
      </c>
      <c r="BO232" s="2">
        <v>37.159999999999997</v>
      </c>
      <c r="BP232" s="2"/>
      <c r="BQ232" s="2" t="s">
        <v>657</v>
      </c>
      <c r="BR232" s="2" t="s">
        <v>123</v>
      </c>
      <c r="BS232" s="3">
        <v>42831</v>
      </c>
      <c r="BT232" s="4">
        <v>0.42708333333333331</v>
      </c>
      <c r="BU232" s="2" t="s">
        <v>658</v>
      </c>
      <c r="BV232" s="2" t="s">
        <v>111</v>
      </c>
      <c r="BW232" s="2"/>
      <c r="BX232" s="2"/>
      <c r="BY232" s="2">
        <v>1200</v>
      </c>
      <c r="BZ232" s="2" t="s">
        <v>27</v>
      </c>
      <c r="CA232" s="2"/>
      <c r="CB232" s="2"/>
      <c r="CC232" s="2" t="s">
        <v>167</v>
      </c>
      <c r="CD232" s="2">
        <v>2090</v>
      </c>
      <c r="CE232" s="2" t="s">
        <v>118</v>
      </c>
      <c r="CF232" s="5">
        <v>42832</v>
      </c>
      <c r="CG232" s="2"/>
      <c r="CH232" s="2"/>
      <c r="CI232" s="2">
        <v>1</v>
      </c>
      <c r="CJ232" s="2">
        <v>1</v>
      </c>
      <c r="CK232" s="2">
        <v>22</v>
      </c>
      <c r="CL232" s="2" t="s">
        <v>86</v>
      </c>
      <c r="CM232" s="2"/>
    </row>
    <row r="233" spans="1:91">
      <c r="A233" s="2" t="s">
        <v>71</v>
      </c>
      <c r="B233" s="2" t="s">
        <v>72</v>
      </c>
      <c r="C233" s="2" t="s">
        <v>73</v>
      </c>
      <c r="D233" s="2"/>
      <c r="E233" s="2" t="str">
        <f>"FES1162541403"</f>
        <v>FES1162541403</v>
      </c>
      <c r="F233" s="3">
        <v>42829</v>
      </c>
      <c r="G233" s="2">
        <v>201710</v>
      </c>
      <c r="H233" s="2" t="s">
        <v>74</v>
      </c>
      <c r="I233" s="2" t="s">
        <v>75</v>
      </c>
      <c r="J233" s="2" t="s">
        <v>76</v>
      </c>
      <c r="K233" s="2" t="s">
        <v>77</v>
      </c>
      <c r="L233" s="2" t="s">
        <v>598</v>
      </c>
      <c r="M233" s="2" t="s">
        <v>599</v>
      </c>
      <c r="N233" s="2" t="s">
        <v>600</v>
      </c>
      <c r="O233" s="2" t="s">
        <v>115</v>
      </c>
      <c r="P233" s="2" t="str">
        <f>"2170560421                    "</f>
        <v xml:space="preserve">2170560421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8.57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1</v>
      </c>
      <c r="BJ233" s="2">
        <v>0.2</v>
      </c>
      <c r="BK233" s="2">
        <v>1</v>
      </c>
      <c r="BL233" s="2">
        <v>81.11</v>
      </c>
      <c r="BM233" s="2">
        <v>11.36</v>
      </c>
      <c r="BN233" s="2">
        <v>92.47</v>
      </c>
      <c r="BO233" s="2">
        <v>92.47</v>
      </c>
      <c r="BP233" s="2"/>
      <c r="BQ233" s="2" t="s">
        <v>601</v>
      </c>
      <c r="BR233" s="2" t="s">
        <v>123</v>
      </c>
      <c r="BS233" s="3">
        <v>42830</v>
      </c>
      <c r="BT233" s="4">
        <v>0.48958333333333331</v>
      </c>
      <c r="BU233" s="2" t="s">
        <v>602</v>
      </c>
      <c r="BV233" s="2" t="s">
        <v>111</v>
      </c>
      <c r="BW233" s="2"/>
      <c r="BX233" s="2"/>
      <c r="BY233" s="2">
        <v>1200</v>
      </c>
      <c r="BZ233" s="2" t="s">
        <v>27</v>
      </c>
      <c r="CA233" s="2"/>
      <c r="CB233" s="2"/>
      <c r="CC233" s="2" t="s">
        <v>599</v>
      </c>
      <c r="CD233" s="2">
        <v>3370</v>
      </c>
      <c r="CE233" s="2" t="s">
        <v>144</v>
      </c>
      <c r="CF233" s="5">
        <v>42832</v>
      </c>
      <c r="CG233" s="2"/>
      <c r="CH233" s="2"/>
      <c r="CI233" s="2">
        <v>3</v>
      </c>
      <c r="CJ233" s="2">
        <v>1</v>
      </c>
      <c r="CK233" s="2">
        <v>23</v>
      </c>
      <c r="CL233" s="2" t="s">
        <v>86</v>
      </c>
      <c r="CM233" s="2"/>
    </row>
    <row r="234" spans="1:91">
      <c r="A234" s="2" t="s">
        <v>71</v>
      </c>
      <c r="B234" s="2" t="s">
        <v>72</v>
      </c>
      <c r="C234" s="2" t="s">
        <v>73</v>
      </c>
      <c r="D234" s="2"/>
      <c r="E234" s="2" t="str">
        <f>"FES1162543276"</f>
        <v>FES1162543276</v>
      </c>
      <c r="F234" s="3">
        <v>42837</v>
      </c>
      <c r="G234" s="2">
        <v>201710</v>
      </c>
      <c r="H234" s="2" t="s">
        <v>74</v>
      </c>
      <c r="I234" s="2" t="s">
        <v>75</v>
      </c>
      <c r="J234" s="2" t="s">
        <v>76</v>
      </c>
      <c r="K234" s="2" t="s">
        <v>77</v>
      </c>
      <c r="L234" s="2" t="s">
        <v>99</v>
      </c>
      <c r="M234" s="2" t="s">
        <v>100</v>
      </c>
      <c r="N234" s="2" t="s">
        <v>433</v>
      </c>
      <c r="O234" s="2" t="s">
        <v>115</v>
      </c>
      <c r="P234" s="2" t="str">
        <f>"2170559676                    "</f>
        <v xml:space="preserve">2170559676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4.29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1.2</v>
      </c>
      <c r="BJ234" s="2">
        <v>0.9</v>
      </c>
      <c r="BK234" s="2">
        <v>1.5</v>
      </c>
      <c r="BL234" s="2">
        <v>41.73</v>
      </c>
      <c r="BM234" s="2">
        <v>5.84</v>
      </c>
      <c r="BN234" s="2">
        <v>47.57</v>
      </c>
      <c r="BO234" s="2">
        <v>47.57</v>
      </c>
      <c r="BP234" s="2"/>
      <c r="BQ234" s="2" t="s">
        <v>434</v>
      </c>
      <c r="BR234" s="2" t="s">
        <v>84</v>
      </c>
      <c r="BS234" s="3">
        <v>42838</v>
      </c>
      <c r="BT234" s="4">
        <v>0.35416666666666669</v>
      </c>
      <c r="BU234" s="2" t="s">
        <v>245</v>
      </c>
      <c r="BV234" s="2" t="s">
        <v>111</v>
      </c>
      <c r="BW234" s="2"/>
      <c r="BX234" s="2"/>
      <c r="BY234" s="2">
        <v>4524.9799999999996</v>
      </c>
      <c r="BZ234" s="2" t="s">
        <v>27</v>
      </c>
      <c r="CA234" s="2"/>
      <c r="CB234" s="2"/>
      <c r="CC234" s="2" t="s">
        <v>100</v>
      </c>
      <c r="CD234" s="2">
        <v>6001</v>
      </c>
      <c r="CE234" s="2" t="s">
        <v>89</v>
      </c>
      <c r="CF234" s="5">
        <v>42843</v>
      </c>
      <c r="CG234" s="2"/>
      <c r="CH234" s="2"/>
      <c r="CI234" s="2">
        <v>1</v>
      </c>
      <c r="CJ234" s="2">
        <v>1</v>
      </c>
      <c r="CK234" s="2">
        <v>21</v>
      </c>
      <c r="CL234" s="2" t="s">
        <v>86</v>
      </c>
      <c r="CM234" s="2"/>
    </row>
    <row r="235" spans="1:91">
      <c r="A235" s="2" t="s">
        <v>71</v>
      </c>
      <c r="B235" s="2" t="s">
        <v>72</v>
      </c>
      <c r="C235" s="2" t="s">
        <v>73</v>
      </c>
      <c r="D235" s="2"/>
      <c r="E235" s="2" t="str">
        <f>"FES1162542027"</f>
        <v>FES1162542027</v>
      </c>
      <c r="F235" s="3">
        <v>42831</v>
      </c>
      <c r="G235" s="2">
        <v>201710</v>
      </c>
      <c r="H235" s="2" t="s">
        <v>74</v>
      </c>
      <c r="I235" s="2" t="s">
        <v>75</v>
      </c>
      <c r="J235" s="2" t="s">
        <v>76</v>
      </c>
      <c r="K235" s="2" t="s">
        <v>77</v>
      </c>
      <c r="L235" s="2" t="s">
        <v>659</v>
      </c>
      <c r="M235" s="2" t="s">
        <v>660</v>
      </c>
      <c r="N235" s="2" t="s">
        <v>661</v>
      </c>
      <c r="O235" s="2" t="s">
        <v>115</v>
      </c>
      <c r="P235" s="2" t="str">
        <f>"2170560501                    "</f>
        <v xml:space="preserve">2170560501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4.29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1</v>
      </c>
      <c r="BJ235" s="2">
        <v>0.2</v>
      </c>
      <c r="BK235" s="2">
        <v>1</v>
      </c>
      <c r="BL235" s="2">
        <v>41.73</v>
      </c>
      <c r="BM235" s="2">
        <v>5.84</v>
      </c>
      <c r="BN235" s="2">
        <v>47.57</v>
      </c>
      <c r="BO235" s="2">
        <v>47.57</v>
      </c>
      <c r="BP235" s="2"/>
      <c r="BQ235" s="2" t="s">
        <v>83</v>
      </c>
      <c r="BR235" s="2" t="s">
        <v>123</v>
      </c>
      <c r="BS235" s="3">
        <v>42832</v>
      </c>
      <c r="BT235" s="4">
        <v>0.43402777777777773</v>
      </c>
      <c r="BU235" s="2" t="s">
        <v>662</v>
      </c>
      <c r="BV235" s="2" t="s">
        <v>111</v>
      </c>
      <c r="BW235" s="2"/>
      <c r="BX235" s="2"/>
      <c r="BY235" s="2">
        <v>1200</v>
      </c>
      <c r="BZ235" s="2" t="s">
        <v>27</v>
      </c>
      <c r="CA235" s="2"/>
      <c r="CB235" s="2"/>
      <c r="CC235" s="2" t="s">
        <v>660</v>
      </c>
      <c r="CD235" s="2">
        <v>3310</v>
      </c>
      <c r="CE235" s="2" t="s">
        <v>144</v>
      </c>
      <c r="CF235" s="5">
        <v>42836</v>
      </c>
      <c r="CG235" s="2"/>
      <c r="CH235" s="2"/>
      <c r="CI235" s="2">
        <v>1</v>
      </c>
      <c r="CJ235" s="2">
        <v>1</v>
      </c>
      <c r="CK235" s="2">
        <v>21</v>
      </c>
      <c r="CL235" s="2" t="s">
        <v>86</v>
      </c>
      <c r="CM235" s="2"/>
    </row>
    <row r="236" spans="1:91">
      <c r="A236" s="2" t="s">
        <v>71</v>
      </c>
      <c r="B236" s="2" t="s">
        <v>72</v>
      </c>
      <c r="C236" s="2" t="s">
        <v>73</v>
      </c>
      <c r="D236" s="2"/>
      <c r="E236" s="2" t="str">
        <f>"FES1162542795"</f>
        <v>FES1162542795</v>
      </c>
      <c r="F236" s="3">
        <v>42836</v>
      </c>
      <c r="G236" s="2">
        <v>201710</v>
      </c>
      <c r="H236" s="2" t="s">
        <v>74</v>
      </c>
      <c r="I236" s="2" t="s">
        <v>75</v>
      </c>
      <c r="J236" s="2" t="s">
        <v>76</v>
      </c>
      <c r="K236" s="2" t="s">
        <v>77</v>
      </c>
      <c r="L236" s="2" t="s">
        <v>663</v>
      </c>
      <c r="M236" s="2" t="s">
        <v>664</v>
      </c>
      <c r="N236" s="2" t="s">
        <v>665</v>
      </c>
      <c r="O236" s="2" t="s">
        <v>115</v>
      </c>
      <c r="P236" s="2" t="str">
        <f>"2170561675                    "</f>
        <v xml:space="preserve">2170561675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8.31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1</v>
      </c>
      <c r="BI236" s="2">
        <v>1.8</v>
      </c>
      <c r="BJ236" s="2">
        <v>1.1000000000000001</v>
      </c>
      <c r="BK236" s="2">
        <v>2</v>
      </c>
      <c r="BL236" s="2">
        <v>80.849999999999994</v>
      </c>
      <c r="BM236" s="2">
        <v>11.32</v>
      </c>
      <c r="BN236" s="2">
        <v>92.17</v>
      </c>
      <c r="BO236" s="2">
        <v>92.17</v>
      </c>
      <c r="BP236" s="2"/>
      <c r="BQ236" s="2" t="s">
        <v>666</v>
      </c>
      <c r="BR236" s="2" t="s">
        <v>123</v>
      </c>
      <c r="BS236" s="3">
        <v>42837</v>
      </c>
      <c r="BT236" s="4">
        <v>0.54166666666666663</v>
      </c>
      <c r="BU236" s="2" t="s">
        <v>667</v>
      </c>
      <c r="BV236" s="2" t="s">
        <v>111</v>
      </c>
      <c r="BW236" s="2"/>
      <c r="BX236" s="2"/>
      <c r="BY236" s="2">
        <v>5552.02</v>
      </c>
      <c r="BZ236" s="2" t="s">
        <v>27</v>
      </c>
      <c r="CA236" s="2"/>
      <c r="CB236" s="2"/>
      <c r="CC236" s="2" t="s">
        <v>664</v>
      </c>
      <c r="CD236" s="2">
        <v>4399</v>
      </c>
      <c r="CE236" s="2" t="s">
        <v>135</v>
      </c>
      <c r="CF236" s="5">
        <v>42838</v>
      </c>
      <c r="CG236" s="2"/>
      <c r="CH236" s="2"/>
      <c r="CI236" s="2">
        <v>1</v>
      </c>
      <c r="CJ236" s="2">
        <v>1</v>
      </c>
      <c r="CK236" s="2">
        <v>23</v>
      </c>
      <c r="CL236" s="2" t="s">
        <v>86</v>
      </c>
      <c r="CM236" s="2"/>
    </row>
    <row r="237" spans="1:91">
      <c r="A237" s="2" t="s">
        <v>71</v>
      </c>
      <c r="B237" s="2" t="s">
        <v>72</v>
      </c>
      <c r="C237" s="2" t="s">
        <v>73</v>
      </c>
      <c r="D237" s="2"/>
      <c r="E237" s="2" t="str">
        <f>"FES1162541861"</f>
        <v>FES1162541861</v>
      </c>
      <c r="F237" s="3">
        <v>42830</v>
      </c>
      <c r="G237" s="2">
        <v>201710</v>
      </c>
      <c r="H237" s="2" t="s">
        <v>74</v>
      </c>
      <c r="I237" s="2" t="s">
        <v>75</v>
      </c>
      <c r="J237" s="2" t="s">
        <v>76</v>
      </c>
      <c r="K237" s="2" t="s">
        <v>77</v>
      </c>
      <c r="L237" s="2" t="s">
        <v>668</v>
      </c>
      <c r="M237" s="2" t="s">
        <v>669</v>
      </c>
      <c r="N237" s="2" t="s">
        <v>670</v>
      </c>
      <c r="O237" s="2" t="s">
        <v>115</v>
      </c>
      <c r="P237" s="2" t="str">
        <f>"2170560589                    "</f>
        <v xml:space="preserve">2170560589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8.31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1</v>
      </c>
      <c r="BJ237" s="2">
        <v>0.2</v>
      </c>
      <c r="BK237" s="2">
        <v>1</v>
      </c>
      <c r="BL237" s="2">
        <v>80.849999999999994</v>
      </c>
      <c r="BM237" s="2">
        <v>11.32</v>
      </c>
      <c r="BN237" s="2">
        <v>92.17</v>
      </c>
      <c r="BO237" s="2">
        <v>92.17</v>
      </c>
      <c r="BP237" s="2"/>
      <c r="BQ237" s="2" t="s">
        <v>83</v>
      </c>
      <c r="BR237" s="2" t="s">
        <v>123</v>
      </c>
      <c r="BS237" s="3">
        <v>42832</v>
      </c>
      <c r="BT237" s="4">
        <v>0.41666666666666669</v>
      </c>
      <c r="BU237" s="2" t="s">
        <v>245</v>
      </c>
      <c r="BV237" s="2" t="s">
        <v>111</v>
      </c>
      <c r="BW237" s="2"/>
      <c r="BX237" s="2"/>
      <c r="BY237" s="2">
        <v>1200</v>
      </c>
      <c r="BZ237" s="2" t="s">
        <v>27</v>
      </c>
      <c r="CA237" s="2"/>
      <c r="CB237" s="2"/>
      <c r="CC237" s="2" t="s">
        <v>669</v>
      </c>
      <c r="CD237" s="2">
        <v>7390</v>
      </c>
      <c r="CE237" s="2" t="s">
        <v>118</v>
      </c>
      <c r="CF237" s="5">
        <v>42836</v>
      </c>
      <c r="CG237" s="2"/>
      <c r="CH237" s="2"/>
      <c r="CI237" s="2">
        <v>3</v>
      </c>
      <c r="CJ237" s="2">
        <v>2</v>
      </c>
      <c r="CK237" s="2">
        <v>23</v>
      </c>
      <c r="CL237" s="2" t="s">
        <v>86</v>
      </c>
      <c r="CM237" s="2"/>
    </row>
    <row r="238" spans="1:91">
      <c r="A238" s="2" t="s">
        <v>71</v>
      </c>
      <c r="B238" s="2" t="s">
        <v>72</v>
      </c>
      <c r="C238" s="2" t="s">
        <v>73</v>
      </c>
      <c r="D238" s="2"/>
      <c r="E238" s="2" t="str">
        <f>"FES1162541618"</f>
        <v>FES1162541618</v>
      </c>
      <c r="F238" s="3">
        <v>42830</v>
      </c>
      <c r="G238" s="2">
        <v>201710</v>
      </c>
      <c r="H238" s="2" t="s">
        <v>74</v>
      </c>
      <c r="I238" s="2" t="s">
        <v>75</v>
      </c>
      <c r="J238" s="2" t="s">
        <v>76</v>
      </c>
      <c r="K238" s="2" t="s">
        <v>77</v>
      </c>
      <c r="L238" s="2" t="s">
        <v>99</v>
      </c>
      <c r="M238" s="2" t="s">
        <v>100</v>
      </c>
      <c r="N238" s="2" t="s">
        <v>671</v>
      </c>
      <c r="O238" s="2" t="s">
        <v>115</v>
      </c>
      <c r="P238" s="2" t="str">
        <f>"2170557943                    "</f>
        <v xml:space="preserve">2170557943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8.57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2.2999999999999998</v>
      </c>
      <c r="BJ238" s="2">
        <v>3.8</v>
      </c>
      <c r="BK238" s="2">
        <v>4</v>
      </c>
      <c r="BL238" s="2">
        <v>83.45</v>
      </c>
      <c r="BM238" s="2">
        <v>11.68</v>
      </c>
      <c r="BN238" s="2">
        <v>95.13</v>
      </c>
      <c r="BO238" s="2">
        <v>95.13</v>
      </c>
      <c r="BP238" s="2"/>
      <c r="BQ238" s="2" t="s">
        <v>672</v>
      </c>
      <c r="BR238" s="2" t="s">
        <v>123</v>
      </c>
      <c r="BS238" s="3">
        <v>42831</v>
      </c>
      <c r="BT238" s="4">
        <v>0.35416666666666669</v>
      </c>
      <c r="BU238" s="2" t="s">
        <v>672</v>
      </c>
      <c r="BV238" s="2" t="s">
        <v>111</v>
      </c>
      <c r="BW238" s="2"/>
      <c r="BX238" s="2"/>
      <c r="BY238" s="2">
        <v>19044.95</v>
      </c>
      <c r="BZ238" s="2" t="s">
        <v>27</v>
      </c>
      <c r="CA238" s="2" t="s">
        <v>106</v>
      </c>
      <c r="CB238" s="2"/>
      <c r="CC238" s="2" t="s">
        <v>100</v>
      </c>
      <c r="CD238" s="2">
        <v>6001</v>
      </c>
      <c r="CE238" s="2" t="s">
        <v>144</v>
      </c>
      <c r="CF238" s="5">
        <v>42831</v>
      </c>
      <c r="CG238" s="2"/>
      <c r="CH238" s="2"/>
      <c r="CI238" s="2">
        <v>1</v>
      </c>
      <c r="CJ238" s="2">
        <v>1</v>
      </c>
      <c r="CK238" s="2">
        <v>21</v>
      </c>
      <c r="CL238" s="2" t="s">
        <v>86</v>
      </c>
      <c r="CM238" s="2"/>
    </row>
    <row r="239" spans="1:91">
      <c r="A239" s="2" t="s">
        <v>71</v>
      </c>
      <c r="B239" s="2" t="s">
        <v>72</v>
      </c>
      <c r="C239" s="2" t="s">
        <v>73</v>
      </c>
      <c r="D239" s="2"/>
      <c r="E239" s="2" t="str">
        <f>"FES1162543291"</f>
        <v>FES1162543291</v>
      </c>
      <c r="F239" s="3">
        <v>42837</v>
      </c>
      <c r="G239" s="2">
        <v>201710</v>
      </c>
      <c r="H239" s="2" t="s">
        <v>74</v>
      </c>
      <c r="I239" s="2" t="s">
        <v>75</v>
      </c>
      <c r="J239" s="2" t="s">
        <v>76</v>
      </c>
      <c r="K239" s="2" t="s">
        <v>77</v>
      </c>
      <c r="L239" s="2" t="s">
        <v>187</v>
      </c>
      <c r="M239" s="2" t="s">
        <v>146</v>
      </c>
      <c r="N239" s="2" t="s">
        <v>673</v>
      </c>
      <c r="O239" s="2" t="s">
        <v>115</v>
      </c>
      <c r="P239" s="2" t="str">
        <f>"2170559899                    "</f>
        <v xml:space="preserve">2170559899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6.43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3</v>
      </c>
      <c r="BJ239" s="2">
        <v>0.9</v>
      </c>
      <c r="BK239" s="2">
        <v>3</v>
      </c>
      <c r="BL239" s="2">
        <v>62.59</v>
      </c>
      <c r="BM239" s="2">
        <v>8.76</v>
      </c>
      <c r="BN239" s="2">
        <v>71.349999999999994</v>
      </c>
      <c r="BO239" s="2">
        <v>71.349999999999994</v>
      </c>
      <c r="BP239" s="2"/>
      <c r="BQ239" s="2" t="s">
        <v>674</v>
      </c>
      <c r="BR239" s="2" t="s">
        <v>84</v>
      </c>
      <c r="BS239" s="3">
        <v>42838</v>
      </c>
      <c r="BT239" s="4">
        <v>0.43055555555555558</v>
      </c>
      <c r="BU239" s="2" t="s">
        <v>130</v>
      </c>
      <c r="BV239" s="2" t="s">
        <v>111</v>
      </c>
      <c r="BW239" s="2"/>
      <c r="BX239" s="2"/>
      <c r="BY239" s="2">
        <v>4400.1400000000003</v>
      </c>
      <c r="BZ239" s="2" t="s">
        <v>27</v>
      </c>
      <c r="CA239" s="2"/>
      <c r="CB239" s="2"/>
      <c r="CC239" s="2" t="s">
        <v>146</v>
      </c>
      <c r="CD239" s="2">
        <v>184</v>
      </c>
      <c r="CE239" s="2" t="s">
        <v>89</v>
      </c>
      <c r="CF239" s="5">
        <v>42844</v>
      </c>
      <c r="CG239" s="2"/>
      <c r="CH239" s="2"/>
      <c r="CI239" s="2">
        <v>0</v>
      </c>
      <c r="CJ239" s="2">
        <v>0</v>
      </c>
      <c r="CK239" s="2">
        <v>21</v>
      </c>
      <c r="CL239" s="2" t="s">
        <v>86</v>
      </c>
      <c r="CM239" s="2"/>
    </row>
    <row r="240" spans="1:91">
      <c r="A240" s="2" t="s">
        <v>71</v>
      </c>
      <c r="B240" s="2" t="s">
        <v>72</v>
      </c>
      <c r="C240" s="2" t="s">
        <v>73</v>
      </c>
      <c r="D240" s="2"/>
      <c r="E240" s="2" t="str">
        <f>"FES1162542020"</f>
        <v>FES1162542020</v>
      </c>
      <c r="F240" s="3">
        <v>42831</v>
      </c>
      <c r="G240" s="2">
        <v>201710</v>
      </c>
      <c r="H240" s="2" t="s">
        <v>74</v>
      </c>
      <c r="I240" s="2" t="s">
        <v>75</v>
      </c>
      <c r="J240" s="2" t="s">
        <v>76</v>
      </c>
      <c r="K240" s="2" t="s">
        <v>77</v>
      </c>
      <c r="L240" s="2" t="s">
        <v>131</v>
      </c>
      <c r="M240" s="2" t="s">
        <v>132</v>
      </c>
      <c r="N240" s="2" t="s">
        <v>384</v>
      </c>
      <c r="O240" s="2" t="s">
        <v>115</v>
      </c>
      <c r="P240" s="2" t="str">
        <f>"2170559328                    "</f>
        <v xml:space="preserve">2170559328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4.29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1</v>
      </c>
      <c r="BJ240" s="2">
        <v>0.2</v>
      </c>
      <c r="BK240" s="2">
        <v>1</v>
      </c>
      <c r="BL240" s="2">
        <v>41.73</v>
      </c>
      <c r="BM240" s="2">
        <v>5.84</v>
      </c>
      <c r="BN240" s="2">
        <v>47.57</v>
      </c>
      <c r="BO240" s="2">
        <v>47.57</v>
      </c>
      <c r="BP240" s="2"/>
      <c r="BQ240" s="2" t="s">
        <v>468</v>
      </c>
      <c r="BR240" s="2" t="s">
        <v>123</v>
      </c>
      <c r="BS240" s="3">
        <v>42832</v>
      </c>
      <c r="BT240" s="4">
        <v>0.41666666666666669</v>
      </c>
      <c r="BU240" s="2" t="s">
        <v>469</v>
      </c>
      <c r="BV240" s="2" t="s">
        <v>111</v>
      </c>
      <c r="BW240" s="2"/>
      <c r="BX240" s="2"/>
      <c r="BY240" s="2">
        <v>1200</v>
      </c>
      <c r="BZ240" s="2" t="s">
        <v>27</v>
      </c>
      <c r="CA240" s="2"/>
      <c r="CB240" s="2"/>
      <c r="CC240" s="2" t="s">
        <v>132</v>
      </c>
      <c r="CD240" s="2">
        <v>7405</v>
      </c>
      <c r="CE240" s="2" t="s">
        <v>144</v>
      </c>
      <c r="CF240" s="5">
        <v>42835</v>
      </c>
      <c r="CG240" s="2"/>
      <c r="CH240" s="2"/>
      <c r="CI240" s="2">
        <v>1</v>
      </c>
      <c r="CJ240" s="2">
        <v>1</v>
      </c>
      <c r="CK240" s="2">
        <v>21</v>
      </c>
      <c r="CL240" s="2" t="s">
        <v>86</v>
      </c>
      <c r="CM240" s="2"/>
    </row>
    <row r="241" spans="1:91">
      <c r="A241" s="2" t="s">
        <v>71</v>
      </c>
      <c r="B241" s="2" t="s">
        <v>72</v>
      </c>
      <c r="C241" s="2" t="s">
        <v>73</v>
      </c>
      <c r="D241" s="2"/>
      <c r="E241" s="2" t="str">
        <f>"FES1162541398"</f>
        <v>FES1162541398</v>
      </c>
      <c r="F241" s="3">
        <v>42829</v>
      </c>
      <c r="G241" s="2">
        <v>201710</v>
      </c>
      <c r="H241" s="2" t="s">
        <v>74</v>
      </c>
      <c r="I241" s="2" t="s">
        <v>75</v>
      </c>
      <c r="J241" s="2" t="s">
        <v>76</v>
      </c>
      <c r="K241" s="2" t="s">
        <v>77</v>
      </c>
      <c r="L241" s="2" t="s">
        <v>591</v>
      </c>
      <c r="M241" s="2" t="s">
        <v>592</v>
      </c>
      <c r="N241" s="2" t="s">
        <v>675</v>
      </c>
      <c r="O241" s="2" t="s">
        <v>115</v>
      </c>
      <c r="P241" s="2" t="str">
        <f>"2170560487                    "</f>
        <v xml:space="preserve">2170560487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4.42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1</v>
      </c>
      <c r="BJ241" s="2">
        <v>0.2</v>
      </c>
      <c r="BK241" s="2">
        <v>1</v>
      </c>
      <c r="BL241" s="2">
        <v>41.86</v>
      </c>
      <c r="BM241" s="2">
        <v>5.86</v>
      </c>
      <c r="BN241" s="2">
        <v>47.72</v>
      </c>
      <c r="BO241" s="2">
        <v>47.72</v>
      </c>
      <c r="BP241" s="2"/>
      <c r="BQ241" s="2" t="s">
        <v>129</v>
      </c>
      <c r="BR241" s="2" t="s">
        <v>123</v>
      </c>
      <c r="BS241" s="3">
        <v>42830</v>
      </c>
      <c r="BT241" s="4">
        <v>0.43055555555555558</v>
      </c>
      <c r="BU241" s="2" t="s">
        <v>676</v>
      </c>
      <c r="BV241" s="2" t="s">
        <v>111</v>
      </c>
      <c r="BW241" s="2"/>
      <c r="BX241" s="2"/>
      <c r="BY241" s="2">
        <v>1200</v>
      </c>
      <c r="BZ241" s="2" t="s">
        <v>27</v>
      </c>
      <c r="CA241" s="2"/>
      <c r="CB241" s="2"/>
      <c r="CC241" s="2" t="s">
        <v>592</v>
      </c>
      <c r="CD241" s="2">
        <v>7600</v>
      </c>
      <c r="CE241" s="2" t="s">
        <v>118</v>
      </c>
      <c r="CF241" s="5">
        <v>42831</v>
      </c>
      <c r="CG241" s="2"/>
      <c r="CH241" s="2"/>
      <c r="CI241" s="2">
        <v>1</v>
      </c>
      <c r="CJ241" s="2">
        <v>1</v>
      </c>
      <c r="CK241" s="2">
        <v>21</v>
      </c>
      <c r="CL241" s="2" t="s">
        <v>86</v>
      </c>
      <c r="CM241" s="2"/>
    </row>
    <row r="242" spans="1:91">
      <c r="A242" s="2" t="s">
        <v>71</v>
      </c>
      <c r="B242" s="2" t="s">
        <v>72</v>
      </c>
      <c r="C242" s="2" t="s">
        <v>73</v>
      </c>
      <c r="D242" s="2"/>
      <c r="E242" s="2" t="str">
        <f>"FES1162542927"</f>
        <v>FES1162542927</v>
      </c>
      <c r="F242" s="3">
        <v>42836</v>
      </c>
      <c r="G242" s="2">
        <v>201710</v>
      </c>
      <c r="H242" s="2" t="s">
        <v>74</v>
      </c>
      <c r="I242" s="2" t="s">
        <v>75</v>
      </c>
      <c r="J242" s="2" t="s">
        <v>76</v>
      </c>
      <c r="K242" s="2" t="s">
        <v>77</v>
      </c>
      <c r="L242" s="2" t="s">
        <v>131</v>
      </c>
      <c r="M242" s="2" t="s">
        <v>132</v>
      </c>
      <c r="N242" s="2" t="s">
        <v>677</v>
      </c>
      <c r="O242" s="2" t="s">
        <v>115</v>
      </c>
      <c r="P242" s="2" t="str">
        <f>"217055940                     "</f>
        <v xml:space="preserve">217055940 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9.65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3</v>
      </c>
      <c r="BJ242" s="2">
        <v>4.0999999999999996</v>
      </c>
      <c r="BK242" s="2">
        <v>4.5</v>
      </c>
      <c r="BL242" s="2">
        <v>93.89</v>
      </c>
      <c r="BM242" s="2">
        <v>13.14</v>
      </c>
      <c r="BN242" s="2">
        <v>107.03</v>
      </c>
      <c r="BO242" s="2">
        <v>107.03</v>
      </c>
      <c r="BP242" s="2"/>
      <c r="BQ242" s="2" t="s">
        <v>678</v>
      </c>
      <c r="BR242" s="2" t="s">
        <v>123</v>
      </c>
      <c r="BS242" s="3">
        <v>42837</v>
      </c>
      <c r="BT242" s="4">
        <v>0.44791666666666669</v>
      </c>
      <c r="BU242" s="2" t="s">
        <v>679</v>
      </c>
      <c r="BV242" s="2" t="s">
        <v>111</v>
      </c>
      <c r="BW242" s="2"/>
      <c r="BX242" s="2"/>
      <c r="BY242" s="2">
        <v>20358</v>
      </c>
      <c r="BZ242" s="2" t="s">
        <v>27</v>
      </c>
      <c r="CA242" s="2"/>
      <c r="CB242" s="2"/>
      <c r="CC242" s="2" t="s">
        <v>132</v>
      </c>
      <c r="CD242" s="2">
        <v>7800</v>
      </c>
      <c r="CE242" s="2" t="s">
        <v>135</v>
      </c>
      <c r="CF242" s="5">
        <v>42838</v>
      </c>
      <c r="CG242" s="2"/>
      <c r="CH242" s="2"/>
      <c r="CI242" s="2">
        <v>1</v>
      </c>
      <c r="CJ242" s="2">
        <v>1</v>
      </c>
      <c r="CK242" s="2">
        <v>21</v>
      </c>
      <c r="CL242" s="2" t="s">
        <v>86</v>
      </c>
      <c r="CM242" s="2"/>
    </row>
    <row r="243" spans="1:91">
      <c r="A243" s="2" t="s">
        <v>71</v>
      </c>
      <c r="B243" s="2" t="s">
        <v>72</v>
      </c>
      <c r="C243" s="2" t="s">
        <v>73</v>
      </c>
      <c r="D243" s="2"/>
      <c r="E243" s="2" t="str">
        <f>"FES1162541865"</f>
        <v>FES1162541865</v>
      </c>
      <c r="F243" s="3">
        <v>42830</v>
      </c>
      <c r="G243" s="2">
        <v>201710</v>
      </c>
      <c r="H243" s="2" t="s">
        <v>74</v>
      </c>
      <c r="I243" s="2" t="s">
        <v>75</v>
      </c>
      <c r="J243" s="2" t="s">
        <v>76</v>
      </c>
      <c r="K243" s="2" t="s">
        <v>77</v>
      </c>
      <c r="L243" s="2" t="s">
        <v>680</v>
      </c>
      <c r="M243" s="2" t="s">
        <v>681</v>
      </c>
      <c r="N243" s="2" t="s">
        <v>682</v>
      </c>
      <c r="O243" s="2" t="s">
        <v>115</v>
      </c>
      <c r="P243" s="2" t="str">
        <f>"2170560874                    "</f>
        <v xml:space="preserve">2170560874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4.29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41.73</v>
      </c>
      <c r="BM243" s="2">
        <v>5.84</v>
      </c>
      <c r="BN243" s="2">
        <v>47.57</v>
      </c>
      <c r="BO243" s="2">
        <v>47.57</v>
      </c>
      <c r="BP243" s="2"/>
      <c r="BQ243" s="2" t="s">
        <v>683</v>
      </c>
      <c r="BR243" s="2" t="s">
        <v>123</v>
      </c>
      <c r="BS243" s="3">
        <v>42832</v>
      </c>
      <c r="BT243" s="4">
        <v>0.31944444444444448</v>
      </c>
      <c r="BU243" s="2" t="s">
        <v>684</v>
      </c>
      <c r="BV243" s="2" t="s">
        <v>111</v>
      </c>
      <c r="BW243" s="2"/>
      <c r="BX243" s="2"/>
      <c r="BY243" s="2">
        <v>1200</v>
      </c>
      <c r="BZ243" s="2" t="s">
        <v>27</v>
      </c>
      <c r="CA243" s="2"/>
      <c r="CB243" s="2"/>
      <c r="CC243" s="2" t="s">
        <v>681</v>
      </c>
      <c r="CD243" s="2">
        <v>6740</v>
      </c>
      <c r="CE243" s="2" t="s">
        <v>118</v>
      </c>
      <c r="CF243" s="5">
        <v>42835</v>
      </c>
      <c r="CG243" s="2"/>
      <c r="CH243" s="2"/>
      <c r="CI243" s="2">
        <v>3</v>
      </c>
      <c r="CJ243" s="2">
        <v>2</v>
      </c>
      <c r="CK243" s="2">
        <v>21</v>
      </c>
      <c r="CL243" s="2" t="s">
        <v>86</v>
      </c>
      <c r="CM243" s="2"/>
    </row>
    <row r="244" spans="1:91">
      <c r="A244" s="2" t="s">
        <v>71</v>
      </c>
      <c r="B244" s="2" t="s">
        <v>72</v>
      </c>
      <c r="C244" s="2" t="s">
        <v>73</v>
      </c>
      <c r="D244" s="2"/>
      <c r="E244" s="2" t="str">
        <f>"FES1162541216"</f>
        <v>FES1162541216</v>
      </c>
      <c r="F244" s="3">
        <v>42829</v>
      </c>
      <c r="G244" s="2">
        <v>201710</v>
      </c>
      <c r="H244" s="2" t="s">
        <v>74</v>
      </c>
      <c r="I244" s="2" t="s">
        <v>75</v>
      </c>
      <c r="J244" s="2" t="s">
        <v>76</v>
      </c>
      <c r="K244" s="2" t="s">
        <v>77</v>
      </c>
      <c r="L244" s="2" t="s">
        <v>591</v>
      </c>
      <c r="M244" s="2" t="s">
        <v>592</v>
      </c>
      <c r="N244" s="2" t="s">
        <v>593</v>
      </c>
      <c r="O244" s="2" t="s">
        <v>115</v>
      </c>
      <c r="P244" s="2" t="str">
        <f>"2170557068                    "</f>
        <v xml:space="preserve">2170557068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4.42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41.86</v>
      </c>
      <c r="BM244" s="2">
        <v>5.86</v>
      </c>
      <c r="BN244" s="2">
        <v>47.72</v>
      </c>
      <c r="BO244" s="2">
        <v>47.72</v>
      </c>
      <c r="BP244" s="2"/>
      <c r="BQ244" s="2" t="s">
        <v>594</v>
      </c>
      <c r="BR244" s="2" t="s">
        <v>123</v>
      </c>
      <c r="BS244" s="3">
        <v>42830</v>
      </c>
      <c r="BT244" s="4">
        <v>0.41180555555555554</v>
      </c>
      <c r="BU244" s="2" t="s">
        <v>685</v>
      </c>
      <c r="BV244" s="2" t="s">
        <v>111</v>
      </c>
      <c r="BW244" s="2"/>
      <c r="BX244" s="2"/>
      <c r="BY244" s="2">
        <v>1200</v>
      </c>
      <c r="BZ244" s="2" t="s">
        <v>27</v>
      </c>
      <c r="CA244" s="2"/>
      <c r="CB244" s="2"/>
      <c r="CC244" s="2" t="s">
        <v>592</v>
      </c>
      <c r="CD244" s="2">
        <v>7599</v>
      </c>
      <c r="CE244" s="2" t="s">
        <v>144</v>
      </c>
      <c r="CF244" s="5">
        <v>42831</v>
      </c>
      <c r="CG244" s="2"/>
      <c r="CH244" s="2"/>
      <c r="CI244" s="2">
        <v>1</v>
      </c>
      <c r="CJ244" s="2">
        <v>1</v>
      </c>
      <c r="CK244" s="2">
        <v>21</v>
      </c>
      <c r="CL244" s="2" t="s">
        <v>86</v>
      </c>
      <c r="CM244" s="2"/>
    </row>
    <row r="245" spans="1:91">
      <c r="A245" s="2" t="s">
        <v>71</v>
      </c>
      <c r="B245" s="2" t="s">
        <v>72</v>
      </c>
      <c r="C245" s="2" t="s">
        <v>73</v>
      </c>
      <c r="D245" s="2"/>
      <c r="E245" s="2" t="str">
        <f>"FES1162543274"</f>
        <v>FES1162543274</v>
      </c>
      <c r="F245" s="3">
        <v>42837</v>
      </c>
      <c r="G245" s="2">
        <v>201710</v>
      </c>
      <c r="H245" s="2" t="s">
        <v>74</v>
      </c>
      <c r="I245" s="2" t="s">
        <v>75</v>
      </c>
      <c r="J245" s="2" t="s">
        <v>76</v>
      </c>
      <c r="K245" s="2" t="s">
        <v>77</v>
      </c>
      <c r="L245" s="2" t="s">
        <v>358</v>
      </c>
      <c r="M245" s="2" t="s">
        <v>359</v>
      </c>
      <c r="N245" s="2" t="s">
        <v>686</v>
      </c>
      <c r="O245" s="2" t="s">
        <v>115</v>
      </c>
      <c r="P245" s="2" t="str">
        <f>"2170559647                    "</f>
        <v xml:space="preserve">2170559647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22.51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10.199999999999999</v>
      </c>
      <c r="BJ245" s="2">
        <v>3.7</v>
      </c>
      <c r="BK245" s="2">
        <v>10.5</v>
      </c>
      <c r="BL245" s="2">
        <v>219.07</v>
      </c>
      <c r="BM245" s="2">
        <v>30.67</v>
      </c>
      <c r="BN245" s="2">
        <v>249.74</v>
      </c>
      <c r="BO245" s="2">
        <v>249.74</v>
      </c>
      <c r="BP245" s="2"/>
      <c r="BQ245" s="2" t="s">
        <v>687</v>
      </c>
      <c r="BR245" s="2" t="s">
        <v>84</v>
      </c>
      <c r="BS245" s="3">
        <v>42838</v>
      </c>
      <c r="BT245" s="4">
        <v>0.3125</v>
      </c>
      <c r="BU245" s="2" t="s">
        <v>688</v>
      </c>
      <c r="BV245" s="2" t="s">
        <v>111</v>
      </c>
      <c r="BW245" s="2"/>
      <c r="BX245" s="2"/>
      <c r="BY245" s="2">
        <v>18705.72</v>
      </c>
      <c r="BZ245" s="2"/>
      <c r="CA245" s="2" t="s">
        <v>159</v>
      </c>
      <c r="CB245" s="2"/>
      <c r="CC245" s="2" t="s">
        <v>359</v>
      </c>
      <c r="CD245" s="2">
        <v>6229</v>
      </c>
      <c r="CE245" s="2" t="s">
        <v>89</v>
      </c>
      <c r="CF245" s="5">
        <v>42843</v>
      </c>
      <c r="CG245" s="2"/>
      <c r="CH245" s="2"/>
      <c r="CI245" s="2">
        <v>1</v>
      </c>
      <c r="CJ245" s="2">
        <v>1</v>
      </c>
      <c r="CK245" s="2">
        <v>21</v>
      </c>
      <c r="CL245" s="2" t="s">
        <v>86</v>
      </c>
      <c r="CM245" s="2"/>
    </row>
    <row r="246" spans="1:91">
      <c r="A246" s="2" t="s">
        <v>71</v>
      </c>
      <c r="B246" s="2" t="s">
        <v>72</v>
      </c>
      <c r="C246" s="2" t="s">
        <v>73</v>
      </c>
      <c r="D246" s="2"/>
      <c r="E246" s="2" t="str">
        <f>"FES1162541914"</f>
        <v>FES1162541914</v>
      </c>
      <c r="F246" s="3">
        <v>42831</v>
      </c>
      <c r="G246" s="2">
        <v>201710</v>
      </c>
      <c r="H246" s="2" t="s">
        <v>74</v>
      </c>
      <c r="I246" s="2" t="s">
        <v>75</v>
      </c>
      <c r="J246" s="2" t="s">
        <v>76</v>
      </c>
      <c r="K246" s="2" t="s">
        <v>77</v>
      </c>
      <c r="L246" s="2" t="s">
        <v>549</v>
      </c>
      <c r="M246" s="2" t="s">
        <v>550</v>
      </c>
      <c r="N246" s="2" t="s">
        <v>689</v>
      </c>
      <c r="O246" s="2" t="s">
        <v>115</v>
      </c>
      <c r="P246" s="2" t="str">
        <f>"217060136                     "</f>
        <v xml:space="preserve">217060136 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4.29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1</v>
      </c>
      <c r="BJ246" s="2">
        <v>0.2</v>
      </c>
      <c r="BK246" s="2">
        <v>1</v>
      </c>
      <c r="BL246" s="2">
        <v>41.73</v>
      </c>
      <c r="BM246" s="2">
        <v>5.84</v>
      </c>
      <c r="BN246" s="2">
        <v>47.57</v>
      </c>
      <c r="BO246" s="2">
        <v>47.57</v>
      </c>
      <c r="BP246" s="2"/>
      <c r="BQ246" s="2" t="s">
        <v>690</v>
      </c>
      <c r="BR246" s="2" t="s">
        <v>123</v>
      </c>
      <c r="BS246" s="3">
        <v>42832</v>
      </c>
      <c r="BT246" s="4">
        <v>0.42708333333333331</v>
      </c>
      <c r="BU246" s="2" t="s">
        <v>691</v>
      </c>
      <c r="BV246" s="2" t="s">
        <v>111</v>
      </c>
      <c r="BW246" s="2"/>
      <c r="BX246" s="2"/>
      <c r="BY246" s="2">
        <v>1200</v>
      </c>
      <c r="BZ246" s="2" t="s">
        <v>27</v>
      </c>
      <c r="CA246" s="2"/>
      <c r="CB246" s="2"/>
      <c r="CC246" s="2" t="s">
        <v>550</v>
      </c>
      <c r="CD246" s="2">
        <v>3699</v>
      </c>
      <c r="CE246" s="2" t="s">
        <v>144</v>
      </c>
      <c r="CF246" s="5">
        <v>42835</v>
      </c>
      <c r="CG246" s="2"/>
      <c r="CH246" s="2"/>
      <c r="CI246" s="2">
        <v>1</v>
      </c>
      <c r="CJ246" s="2">
        <v>1</v>
      </c>
      <c r="CK246" s="2">
        <v>21</v>
      </c>
      <c r="CL246" s="2" t="s">
        <v>86</v>
      </c>
      <c r="CM246" s="2"/>
    </row>
    <row r="247" spans="1:91">
      <c r="A247" s="2" t="s">
        <v>71</v>
      </c>
      <c r="B247" s="2" t="s">
        <v>72</v>
      </c>
      <c r="C247" s="2" t="s">
        <v>73</v>
      </c>
      <c r="D247" s="2"/>
      <c r="E247" s="2" t="str">
        <f>"FES1162541207"</f>
        <v>FES1162541207</v>
      </c>
      <c r="F247" s="3">
        <v>42829</v>
      </c>
      <c r="G247" s="2">
        <v>201710</v>
      </c>
      <c r="H247" s="2" t="s">
        <v>74</v>
      </c>
      <c r="I247" s="2" t="s">
        <v>75</v>
      </c>
      <c r="J247" s="2" t="s">
        <v>76</v>
      </c>
      <c r="K247" s="2" t="s">
        <v>77</v>
      </c>
      <c r="L247" s="2" t="s">
        <v>99</v>
      </c>
      <c r="M247" s="2" t="s">
        <v>100</v>
      </c>
      <c r="N247" s="2" t="s">
        <v>583</v>
      </c>
      <c r="O247" s="2" t="s">
        <v>115</v>
      </c>
      <c r="P247" s="2" t="str">
        <f>"2170560307                    "</f>
        <v xml:space="preserve">2170560307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7.74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3.2</v>
      </c>
      <c r="BJ247" s="2">
        <v>3.3</v>
      </c>
      <c r="BK247" s="2">
        <v>3.5</v>
      </c>
      <c r="BL247" s="2">
        <v>73.260000000000005</v>
      </c>
      <c r="BM247" s="2">
        <v>10.26</v>
      </c>
      <c r="BN247" s="2">
        <v>83.52</v>
      </c>
      <c r="BO247" s="2">
        <v>83.52</v>
      </c>
      <c r="BP247" s="2"/>
      <c r="BQ247" s="2" t="s">
        <v>584</v>
      </c>
      <c r="BR247" s="2" t="s">
        <v>123</v>
      </c>
      <c r="BS247" s="3">
        <v>42830</v>
      </c>
      <c r="BT247" s="4">
        <v>0.30902777777777779</v>
      </c>
      <c r="BU247" s="2" t="s">
        <v>585</v>
      </c>
      <c r="BV247" s="2" t="s">
        <v>111</v>
      </c>
      <c r="BW247" s="2"/>
      <c r="BX247" s="2"/>
      <c r="BY247" s="2">
        <v>16413.32</v>
      </c>
      <c r="BZ247" s="2" t="s">
        <v>27</v>
      </c>
      <c r="CA247" s="2" t="s">
        <v>154</v>
      </c>
      <c r="CB247" s="2"/>
      <c r="CC247" s="2" t="s">
        <v>100</v>
      </c>
      <c r="CD247" s="2">
        <v>6001</v>
      </c>
      <c r="CE247" s="2" t="s">
        <v>135</v>
      </c>
      <c r="CF247" s="5">
        <v>42830</v>
      </c>
      <c r="CG247" s="2"/>
      <c r="CH247" s="2"/>
      <c r="CI247" s="2">
        <v>1</v>
      </c>
      <c r="CJ247" s="2">
        <v>1</v>
      </c>
      <c r="CK247" s="2">
        <v>21</v>
      </c>
      <c r="CL247" s="2" t="s">
        <v>86</v>
      </c>
      <c r="CM247" s="2"/>
    </row>
    <row r="248" spans="1:91">
      <c r="A248" s="2" t="s">
        <v>71</v>
      </c>
      <c r="B248" s="2" t="s">
        <v>72</v>
      </c>
      <c r="C248" s="2" t="s">
        <v>73</v>
      </c>
      <c r="D248" s="2"/>
      <c r="E248" s="2" t="str">
        <f>"FES1162542909"</f>
        <v>FES1162542909</v>
      </c>
      <c r="F248" s="3">
        <v>42836</v>
      </c>
      <c r="G248" s="2">
        <v>201710</v>
      </c>
      <c r="H248" s="2" t="s">
        <v>74</v>
      </c>
      <c r="I248" s="2" t="s">
        <v>75</v>
      </c>
      <c r="J248" s="2" t="s">
        <v>76</v>
      </c>
      <c r="K248" s="2" t="s">
        <v>77</v>
      </c>
      <c r="L248" s="2" t="s">
        <v>187</v>
      </c>
      <c r="M248" s="2" t="s">
        <v>146</v>
      </c>
      <c r="N248" s="2" t="s">
        <v>692</v>
      </c>
      <c r="O248" s="2" t="s">
        <v>115</v>
      </c>
      <c r="P248" s="2" t="str">
        <f>"2170559111                    "</f>
        <v xml:space="preserve">2170559111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6.43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1.9</v>
      </c>
      <c r="BJ248" s="2">
        <v>2.8</v>
      </c>
      <c r="BK248" s="2">
        <v>3</v>
      </c>
      <c r="BL248" s="2">
        <v>62.59</v>
      </c>
      <c r="BM248" s="2">
        <v>8.76</v>
      </c>
      <c r="BN248" s="2">
        <v>71.349999999999994</v>
      </c>
      <c r="BO248" s="2">
        <v>71.349999999999994</v>
      </c>
      <c r="BP248" s="2"/>
      <c r="BQ248" s="2" t="s">
        <v>693</v>
      </c>
      <c r="BR248" s="2" t="s">
        <v>123</v>
      </c>
      <c r="BS248" s="3">
        <v>42837</v>
      </c>
      <c r="BT248" s="4">
        <v>0.4201388888888889</v>
      </c>
      <c r="BU248" s="2" t="s">
        <v>694</v>
      </c>
      <c r="BV248" s="2" t="s">
        <v>111</v>
      </c>
      <c r="BW248" s="2"/>
      <c r="BX248" s="2"/>
      <c r="BY248" s="2">
        <v>13988.05</v>
      </c>
      <c r="BZ248" s="2" t="s">
        <v>27</v>
      </c>
      <c r="CA248" s="2"/>
      <c r="CB248" s="2"/>
      <c r="CC248" s="2" t="s">
        <v>146</v>
      </c>
      <c r="CD248" s="2">
        <v>200</v>
      </c>
      <c r="CE248" s="2" t="s">
        <v>287</v>
      </c>
      <c r="CF248" s="5">
        <v>42843</v>
      </c>
      <c r="CG248" s="2"/>
      <c r="CH248" s="2"/>
      <c r="CI248" s="2">
        <v>0</v>
      </c>
      <c r="CJ248" s="2">
        <v>0</v>
      </c>
      <c r="CK248" s="2">
        <v>21</v>
      </c>
      <c r="CL248" s="2" t="s">
        <v>86</v>
      </c>
      <c r="CM248" s="2"/>
    </row>
    <row r="249" spans="1:91">
      <c r="A249" s="2" t="s">
        <v>71</v>
      </c>
      <c r="B249" s="2" t="s">
        <v>72</v>
      </c>
      <c r="C249" s="2" t="s">
        <v>73</v>
      </c>
      <c r="D249" s="2"/>
      <c r="E249" s="2" t="str">
        <f>"FES1162541821"</f>
        <v>FES1162541821</v>
      </c>
      <c r="F249" s="3">
        <v>42830</v>
      </c>
      <c r="G249" s="2">
        <v>201710</v>
      </c>
      <c r="H249" s="2" t="s">
        <v>74</v>
      </c>
      <c r="I249" s="2" t="s">
        <v>75</v>
      </c>
      <c r="J249" s="2" t="s">
        <v>76</v>
      </c>
      <c r="K249" s="2" t="s">
        <v>77</v>
      </c>
      <c r="L249" s="2" t="s">
        <v>537</v>
      </c>
      <c r="M249" s="2" t="s">
        <v>538</v>
      </c>
      <c r="N249" s="2" t="s">
        <v>695</v>
      </c>
      <c r="O249" s="2" t="s">
        <v>115</v>
      </c>
      <c r="P249" s="2" t="str">
        <f>"2170558599                    "</f>
        <v xml:space="preserve">2170558599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8.31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</v>
      </c>
      <c r="BJ249" s="2">
        <v>0.2</v>
      </c>
      <c r="BK249" s="2">
        <v>1</v>
      </c>
      <c r="BL249" s="2">
        <v>80.849999999999994</v>
      </c>
      <c r="BM249" s="2">
        <v>11.32</v>
      </c>
      <c r="BN249" s="2">
        <v>92.17</v>
      </c>
      <c r="BO249" s="2">
        <v>92.17</v>
      </c>
      <c r="BP249" s="2"/>
      <c r="BQ249" s="2" t="s">
        <v>129</v>
      </c>
      <c r="BR249" s="2" t="s">
        <v>123</v>
      </c>
      <c r="BS249" s="3">
        <v>42831</v>
      </c>
      <c r="BT249" s="4">
        <v>0.4375</v>
      </c>
      <c r="BU249" s="2" t="s">
        <v>696</v>
      </c>
      <c r="BV249" s="2" t="s">
        <v>111</v>
      </c>
      <c r="BW249" s="2"/>
      <c r="BX249" s="2"/>
      <c r="BY249" s="2">
        <v>1200</v>
      </c>
      <c r="BZ249" s="2" t="s">
        <v>27</v>
      </c>
      <c r="CA249" s="2"/>
      <c r="CB249" s="2"/>
      <c r="CC249" s="2" t="s">
        <v>538</v>
      </c>
      <c r="CD249" s="2">
        <v>4339</v>
      </c>
      <c r="CE249" s="2" t="s">
        <v>118</v>
      </c>
      <c r="CF249" s="5">
        <v>42833</v>
      </c>
      <c r="CG249" s="2"/>
      <c r="CH249" s="2"/>
      <c r="CI249" s="2">
        <v>1</v>
      </c>
      <c r="CJ249" s="2">
        <v>1</v>
      </c>
      <c r="CK249" s="2">
        <v>23</v>
      </c>
      <c r="CL249" s="2" t="s">
        <v>86</v>
      </c>
      <c r="CM249" s="2"/>
    </row>
    <row r="250" spans="1:91">
      <c r="A250" s="2" t="s">
        <v>71</v>
      </c>
      <c r="B250" s="2" t="s">
        <v>72</v>
      </c>
      <c r="C250" s="2" t="s">
        <v>73</v>
      </c>
      <c r="D250" s="2"/>
      <c r="E250" s="2" t="str">
        <f>"FES1162541499"</f>
        <v>FES1162541499</v>
      </c>
      <c r="F250" s="3">
        <v>42830</v>
      </c>
      <c r="G250" s="2">
        <v>201710</v>
      </c>
      <c r="H250" s="2" t="s">
        <v>74</v>
      </c>
      <c r="I250" s="2" t="s">
        <v>75</v>
      </c>
      <c r="J250" s="2" t="s">
        <v>76</v>
      </c>
      <c r="K250" s="2" t="s">
        <v>77</v>
      </c>
      <c r="L250" s="2" t="s">
        <v>633</v>
      </c>
      <c r="M250" s="2" t="s">
        <v>634</v>
      </c>
      <c r="N250" s="2" t="s">
        <v>635</v>
      </c>
      <c r="O250" s="2" t="s">
        <v>115</v>
      </c>
      <c r="P250" s="2" t="str">
        <f>"2170560592                    "</f>
        <v xml:space="preserve">2170560592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6.03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1</v>
      </c>
      <c r="BJ250" s="2">
        <v>1.1000000000000001</v>
      </c>
      <c r="BK250" s="2">
        <v>1.5</v>
      </c>
      <c r="BL250" s="2">
        <v>58.68</v>
      </c>
      <c r="BM250" s="2">
        <v>8.2200000000000006</v>
      </c>
      <c r="BN250" s="2">
        <v>66.900000000000006</v>
      </c>
      <c r="BO250" s="2">
        <v>66.900000000000006</v>
      </c>
      <c r="BP250" s="2"/>
      <c r="BQ250" s="2" t="s">
        <v>636</v>
      </c>
      <c r="BR250" s="2" t="s">
        <v>123</v>
      </c>
      <c r="BS250" s="3">
        <v>42831</v>
      </c>
      <c r="BT250" s="4">
        <v>0.4916666666666667</v>
      </c>
      <c r="BU250" s="2" t="s">
        <v>637</v>
      </c>
      <c r="BV250" s="2" t="s">
        <v>111</v>
      </c>
      <c r="BW250" s="2"/>
      <c r="BX250" s="2"/>
      <c r="BY250" s="2">
        <v>5718.72</v>
      </c>
      <c r="BZ250" s="2" t="s">
        <v>27</v>
      </c>
      <c r="CA250" s="2"/>
      <c r="CB250" s="2"/>
      <c r="CC250" s="2" t="s">
        <v>634</v>
      </c>
      <c r="CD250" s="2">
        <v>1759</v>
      </c>
      <c r="CE250" s="2" t="s">
        <v>118</v>
      </c>
      <c r="CF250" s="5">
        <v>42833</v>
      </c>
      <c r="CG250" s="2"/>
      <c r="CH250" s="2"/>
      <c r="CI250" s="2">
        <v>1</v>
      </c>
      <c r="CJ250" s="2">
        <v>1</v>
      </c>
      <c r="CK250" s="2">
        <v>24</v>
      </c>
      <c r="CL250" s="2" t="s">
        <v>86</v>
      </c>
      <c r="CM250" s="2"/>
    </row>
    <row r="251" spans="1:91">
      <c r="A251" s="2" t="s">
        <v>71</v>
      </c>
      <c r="B251" s="2" t="s">
        <v>72</v>
      </c>
      <c r="C251" s="2" t="s">
        <v>73</v>
      </c>
      <c r="D251" s="2"/>
      <c r="E251" s="2" t="str">
        <f>"FES1162543290"</f>
        <v>FES1162543290</v>
      </c>
      <c r="F251" s="3">
        <v>42837</v>
      </c>
      <c r="G251" s="2">
        <v>201710</v>
      </c>
      <c r="H251" s="2" t="s">
        <v>74</v>
      </c>
      <c r="I251" s="2" t="s">
        <v>75</v>
      </c>
      <c r="J251" s="2" t="s">
        <v>76</v>
      </c>
      <c r="K251" s="2" t="s">
        <v>77</v>
      </c>
      <c r="L251" s="2" t="s">
        <v>119</v>
      </c>
      <c r="M251" s="2" t="s">
        <v>120</v>
      </c>
      <c r="N251" s="2" t="s">
        <v>697</v>
      </c>
      <c r="O251" s="2" t="s">
        <v>115</v>
      </c>
      <c r="P251" s="2" t="str">
        <f>"2170559896                    "</f>
        <v xml:space="preserve">2170559896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3.35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1</v>
      </c>
      <c r="BJ251" s="2">
        <v>0.2</v>
      </c>
      <c r="BK251" s="2">
        <v>1</v>
      </c>
      <c r="BL251" s="2">
        <v>32.6</v>
      </c>
      <c r="BM251" s="2">
        <v>4.5599999999999996</v>
      </c>
      <c r="BN251" s="2">
        <v>37.159999999999997</v>
      </c>
      <c r="BO251" s="2">
        <v>37.159999999999997</v>
      </c>
      <c r="BP251" s="2"/>
      <c r="BQ251" s="2" t="s">
        <v>698</v>
      </c>
      <c r="BR251" s="2" t="s">
        <v>84</v>
      </c>
      <c r="BS251" s="3">
        <v>42838</v>
      </c>
      <c r="BT251" s="4">
        <v>0.40277777777777773</v>
      </c>
      <c r="BU251" s="2" t="s">
        <v>699</v>
      </c>
      <c r="BV251" s="2" t="s">
        <v>111</v>
      </c>
      <c r="BW251" s="2"/>
      <c r="BX251" s="2"/>
      <c r="BY251" s="2">
        <v>1200</v>
      </c>
      <c r="BZ251" s="2" t="s">
        <v>27</v>
      </c>
      <c r="CA251" s="2" t="s">
        <v>125</v>
      </c>
      <c r="CB251" s="2"/>
      <c r="CC251" s="2" t="s">
        <v>120</v>
      </c>
      <c r="CD251" s="2">
        <v>2163</v>
      </c>
      <c r="CE251" s="2" t="s">
        <v>118</v>
      </c>
      <c r="CF251" s="5">
        <v>42843</v>
      </c>
      <c r="CG251" s="2"/>
      <c r="CH251" s="2"/>
      <c r="CI251" s="2">
        <v>1</v>
      </c>
      <c r="CJ251" s="2">
        <v>1</v>
      </c>
      <c r="CK251" s="2">
        <v>22</v>
      </c>
      <c r="CL251" s="2" t="s">
        <v>86</v>
      </c>
      <c r="CM251" s="2"/>
    </row>
    <row r="252" spans="1:91">
      <c r="A252" s="2" t="s">
        <v>71</v>
      </c>
      <c r="B252" s="2" t="s">
        <v>72</v>
      </c>
      <c r="C252" s="2" t="s">
        <v>73</v>
      </c>
      <c r="D252" s="2"/>
      <c r="E252" s="2" t="str">
        <f>"FES1162541964"</f>
        <v>FES1162541964</v>
      </c>
      <c r="F252" s="3">
        <v>42831</v>
      </c>
      <c r="G252" s="2">
        <v>201710</v>
      </c>
      <c r="H252" s="2" t="s">
        <v>74</v>
      </c>
      <c r="I252" s="2" t="s">
        <v>75</v>
      </c>
      <c r="J252" s="2" t="s">
        <v>76</v>
      </c>
      <c r="K252" s="2" t="s">
        <v>77</v>
      </c>
      <c r="L252" s="2" t="s">
        <v>131</v>
      </c>
      <c r="M252" s="2" t="s">
        <v>132</v>
      </c>
      <c r="N252" s="2" t="s">
        <v>411</v>
      </c>
      <c r="O252" s="2" t="s">
        <v>115</v>
      </c>
      <c r="P252" s="2" t="str">
        <f>"2170560957                    "</f>
        <v xml:space="preserve">2170560957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4.29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1</v>
      </c>
      <c r="BJ252" s="2">
        <v>0.2</v>
      </c>
      <c r="BK252" s="2">
        <v>1</v>
      </c>
      <c r="BL252" s="2">
        <v>41.73</v>
      </c>
      <c r="BM252" s="2">
        <v>5.84</v>
      </c>
      <c r="BN252" s="2">
        <v>47.57</v>
      </c>
      <c r="BO252" s="2">
        <v>47.57</v>
      </c>
      <c r="BP252" s="2"/>
      <c r="BQ252" s="2" t="s">
        <v>129</v>
      </c>
      <c r="BR252" s="2" t="s">
        <v>123</v>
      </c>
      <c r="BS252" s="3">
        <v>42832</v>
      </c>
      <c r="BT252" s="4">
        <v>0.41666666666666669</v>
      </c>
      <c r="BU252" s="2" t="s">
        <v>367</v>
      </c>
      <c r="BV252" s="2" t="s">
        <v>111</v>
      </c>
      <c r="BW252" s="2"/>
      <c r="BX252" s="2"/>
      <c r="BY252" s="2">
        <v>1200</v>
      </c>
      <c r="BZ252" s="2" t="s">
        <v>27</v>
      </c>
      <c r="CA252" s="2"/>
      <c r="CB252" s="2"/>
      <c r="CC252" s="2" t="s">
        <v>132</v>
      </c>
      <c r="CD252" s="2">
        <v>7460</v>
      </c>
      <c r="CE252" s="2" t="s">
        <v>144</v>
      </c>
      <c r="CF252" s="5">
        <v>42836</v>
      </c>
      <c r="CG252" s="2"/>
      <c r="CH252" s="2"/>
      <c r="CI252" s="2">
        <v>1</v>
      </c>
      <c r="CJ252" s="2">
        <v>1</v>
      </c>
      <c r="CK252" s="2">
        <v>21</v>
      </c>
      <c r="CL252" s="2" t="s">
        <v>86</v>
      </c>
      <c r="CM252" s="2"/>
    </row>
    <row r="253" spans="1:91">
      <c r="A253" s="2" t="s">
        <v>71</v>
      </c>
      <c r="B253" s="2" t="s">
        <v>72</v>
      </c>
      <c r="C253" s="2" t="s">
        <v>73</v>
      </c>
      <c r="D253" s="2"/>
      <c r="E253" s="2" t="str">
        <f>"FES1162541425"</f>
        <v>FES1162541425</v>
      </c>
      <c r="F253" s="3">
        <v>42829</v>
      </c>
      <c r="G253" s="2">
        <v>201710</v>
      </c>
      <c r="H253" s="2" t="s">
        <v>74</v>
      </c>
      <c r="I253" s="2" t="s">
        <v>75</v>
      </c>
      <c r="J253" s="2" t="s">
        <v>76</v>
      </c>
      <c r="K253" s="2" t="s">
        <v>77</v>
      </c>
      <c r="L253" s="2" t="s">
        <v>99</v>
      </c>
      <c r="M253" s="2" t="s">
        <v>100</v>
      </c>
      <c r="N253" s="2" t="s">
        <v>700</v>
      </c>
      <c r="O253" s="2" t="s">
        <v>115</v>
      </c>
      <c r="P253" s="2" t="str">
        <f>"2170560513                    "</f>
        <v xml:space="preserve">2170560513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4.42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</v>
      </c>
      <c r="BJ253" s="2">
        <v>0.2</v>
      </c>
      <c r="BK253" s="2">
        <v>1</v>
      </c>
      <c r="BL253" s="2">
        <v>41.86</v>
      </c>
      <c r="BM253" s="2">
        <v>5.86</v>
      </c>
      <c r="BN253" s="2">
        <v>47.72</v>
      </c>
      <c r="BO253" s="2">
        <v>47.72</v>
      </c>
      <c r="BP253" s="2"/>
      <c r="BQ253" s="2" t="s">
        <v>701</v>
      </c>
      <c r="BR253" s="2" t="s">
        <v>123</v>
      </c>
      <c r="BS253" s="3">
        <v>42830</v>
      </c>
      <c r="BT253" s="4">
        <v>0.4201388888888889</v>
      </c>
      <c r="BU253" s="2" t="s">
        <v>702</v>
      </c>
      <c r="BV253" s="2" t="s">
        <v>111</v>
      </c>
      <c r="BW253" s="2"/>
      <c r="BX253" s="2"/>
      <c r="BY253" s="2">
        <v>1200</v>
      </c>
      <c r="BZ253" s="2" t="s">
        <v>27</v>
      </c>
      <c r="CA253" s="2" t="s">
        <v>106</v>
      </c>
      <c r="CB253" s="2"/>
      <c r="CC253" s="2" t="s">
        <v>100</v>
      </c>
      <c r="CD253" s="2">
        <v>6001</v>
      </c>
      <c r="CE253" s="2" t="s">
        <v>118</v>
      </c>
      <c r="CF253" s="5">
        <v>42830</v>
      </c>
      <c r="CG253" s="2"/>
      <c r="CH253" s="2"/>
      <c r="CI253" s="2">
        <v>1</v>
      </c>
      <c r="CJ253" s="2">
        <v>1</v>
      </c>
      <c r="CK253" s="2">
        <v>21</v>
      </c>
      <c r="CL253" s="2" t="s">
        <v>86</v>
      </c>
      <c r="CM253" s="2"/>
    </row>
    <row r="254" spans="1:91">
      <c r="A254" s="2" t="s">
        <v>71</v>
      </c>
      <c r="B254" s="2" t="s">
        <v>72</v>
      </c>
      <c r="C254" s="2" t="s">
        <v>73</v>
      </c>
      <c r="D254" s="2"/>
      <c r="E254" s="2" t="str">
        <f>"FES1162542992"</f>
        <v>FES1162542992</v>
      </c>
      <c r="F254" s="3">
        <v>42836</v>
      </c>
      <c r="G254" s="2">
        <v>201710</v>
      </c>
      <c r="H254" s="2" t="s">
        <v>74</v>
      </c>
      <c r="I254" s="2" t="s">
        <v>75</v>
      </c>
      <c r="J254" s="2" t="s">
        <v>76</v>
      </c>
      <c r="K254" s="2" t="s">
        <v>77</v>
      </c>
      <c r="L254" s="2" t="s">
        <v>166</v>
      </c>
      <c r="M254" s="2" t="s">
        <v>167</v>
      </c>
      <c r="N254" s="2" t="s">
        <v>703</v>
      </c>
      <c r="O254" s="2" t="s">
        <v>115</v>
      </c>
      <c r="P254" s="2" t="str">
        <f>"2170561127                    "</f>
        <v xml:space="preserve">2170561127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3.35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1</v>
      </c>
      <c r="BJ254" s="2">
        <v>0.2</v>
      </c>
      <c r="BK254" s="2">
        <v>1</v>
      </c>
      <c r="BL254" s="2">
        <v>32.6</v>
      </c>
      <c r="BM254" s="2">
        <v>4.5599999999999996</v>
      </c>
      <c r="BN254" s="2">
        <v>37.159999999999997</v>
      </c>
      <c r="BO254" s="2">
        <v>37.159999999999997</v>
      </c>
      <c r="BP254" s="2"/>
      <c r="BQ254" s="2" t="s">
        <v>704</v>
      </c>
      <c r="BR254" s="2" t="s">
        <v>123</v>
      </c>
      <c r="BS254" s="3">
        <v>42837</v>
      </c>
      <c r="BT254" s="4">
        <v>0.36458333333333331</v>
      </c>
      <c r="BU254" s="2" t="s">
        <v>705</v>
      </c>
      <c r="BV254" s="2" t="s">
        <v>111</v>
      </c>
      <c r="BW254" s="2"/>
      <c r="BX254" s="2"/>
      <c r="BY254" s="2">
        <v>1200</v>
      </c>
      <c r="BZ254" s="2" t="s">
        <v>27</v>
      </c>
      <c r="CA254" s="2"/>
      <c r="CB254" s="2"/>
      <c r="CC254" s="2" t="s">
        <v>167</v>
      </c>
      <c r="CD254" s="2">
        <v>2091</v>
      </c>
      <c r="CE254" s="2" t="s">
        <v>118</v>
      </c>
      <c r="CF254" s="5">
        <v>42838</v>
      </c>
      <c r="CG254" s="2"/>
      <c r="CH254" s="2"/>
      <c r="CI254" s="2">
        <v>1</v>
      </c>
      <c r="CJ254" s="2">
        <v>1</v>
      </c>
      <c r="CK254" s="2">
        <v>22</v>
      </c>
      <c r="CL254" s="2" t="s">
        <v>86</v>
      </c>
      <c r="CM254" s="2"/>
    </row>
    <row r="255" spans="1:91">
      <c r="A255" s="2" t="s">
        <v>71</v>
      </c>
      <c r="B255" s="2" t="s">
        <v>72</v>
      </c>
      <c r="C255" s="2" t="s">
        <v>73</v>
      </c>
      <c r="D255" s="2"/>
      <c r="E255" s="2" t="str">
        <f>"FES1162541815"</f>
        <v>FES1162541815</v>
      </c>
      <c r="F255" s="3">
        <v>42830</v>
      </c>
      <c r="G255" s="2">
        <v>201710</v>
      </c>
      <c r="H255" s="2" t="s">
        <v>74</v>
      </c>
      <c r="I255" s="2" t="s">
        <v>75</v>
      </c>
      <c r="J255" s="2" t="s">
        <v>76</v>
      </c>
      <c r="K255" s="2" t="s">
        <v>77</v>
      </c>
      <c r="L255" s="2" t="s">
        <v>180</v>
      </c>
      <c r="M255" s="2" t="s">
        <v>181</v>
      </c>
      <c r="N255" s="2" t="s">
        <v>706</v>
      </c>
      <c r="O255" s="2" t="s">
        <v>115</v>
      </c>
      <c r="P255" s="2" t="str">
        <f>"2170560830                    "</f>
        <v xml:space="preserve">2170560830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4.29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1</v>
      </c>
      <c r="BJ255" s="2">
        <v>0.2</v>
      </c>
      <c r="BK255" s="2">
        <v>1</v>
      </c>
      <c r="BL255" s="2">
        <v>41.73</v>
      </c>
      <c r="BM255" s="2">
        <v>5.84</v>
      </c>
      <c r="BN255" s="2">
        <v>47.57</v>
      </c>
      <c r="BO255" s="2">
        <v>47.57</v>
      </c>
      <c r="BP255" s="2"/>
      <c r="BQ255" s="2" t="s">
        <v>707</v>
      </c>
      <c r="BR255" s="2" t="s">
        <v>123</v>
      </c>
      <c r="BS255" s="3">
        <v>42835</v>
      </c>
      <c r="BT255" s="4">
        <v>0.4375</v>
      </c>
      <c r="BU255" s="2" t="s">
        <v>708</v>
      </c>
      <c r="BV255" s="2" t="s">
        <v>86</v>
      </c>
      <c r="BW255" s="2" t="s">
        <v>164</v>
      </c>
      <c r="BX255" s="2" t="s">
        <v>88</v>
      </c>
      <c r="BY255" s="2">
        <v>1200</v>
      </c>
      <c r="BZ255" s="2" t="s">
        <v>27</v>
      </c>
      <c r="CA255" s="2"/>
      <c r="CB255" s="2"/>
      <c r="CC255" s="2" t="s">
        <v>181</v>
      </c>
      <c r="CD255" s="2">
        <v>4052</v>
      </c>
      <c r="CE255" s="2" t="s">
        <v>118</v>
      </c>
      <c r="CF255" s="5">
        <v>42836</v>
      </c>
      <c r="CG255" s="2"/>
      <c r="CH255" s="2"/>
      <c r="CI255" s="2">
        <v>1</v>
      </c>
      <c r="CJ255" s="2">
        <v>3</v>
      </c>
      <c r="CK255" s="2">
        <v>21</v>
      </c>
      <c r="CL255" s="2" t="s">
        <v>86</v>
      </c>
      <c r="CM255" s="2"/>
    </row>
    <row r="256" spans="1:91">
      <c r="A256" s="2" t="s">
        <v>71</v>
      </c>
      <c r="B256" s="2" t="s">
        <v>72</v>
      </c>
      <c r="C256" s="2" t="s">
        <v>73</v>
      </c>
      <c r="D256" s="2"/>
      <c r="E256" s="2" t="str">
        <f>"FES1162541376"</f>
        <v>FES1162541376</v>
      </c>
      <c r="F256" s="3">
        <v>42829</v>
      </c>
      <c r="G256" s="2">
        <v>201710</v>
      </c>
      <c r="H256" s="2" t="s">
        <v>74</v>
      </c>
      <c r="I256" s="2" t="s">
        <v>75</v>
      </c>
      <c r="J256" s="2" t="s">
        <v>76</v>
      </c>
      <c r="K256" s="2" t="s">
        <v>77</v>
      </c>
      <c r="L256" s="2" t="s">
        <v>180</v>
      </c>
      <c r="M256" s="2" t="s">
        <v>181</v>
      </c>
      <c r="N256" s="2" t="s">
        <v>709</v>
      </c>
      <c r="O256" s="2" t="s">
        <v>115</v>
      </c>
      <c r="P256" s="2" t="str">
        <f>"2170555651                    "</f>
        <v xml:space="preserve">2170555651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4.42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1</v>
      </c>
      <c r="BJ256" s="2">
        <v>0.2</v>
      </c>
      <c r="BK256" s="2">
        <v>1</v>
      </c>
      <c r="BL256" s="2">
        <v>41.86</v>
      </c>
      <c r="BM256" s="2">
        <v>5.86</v>
      </c>
      <c r="BN256" s="2">
        <v>47.72</v>
      </c>
      <c r="BO256" s="2">
        <v>47.72</v>
      </c>
      <c r="BP256" s="2"/>
      <c r="BQ256" s="2" t="s">
        <v>116</v>
      </c>
      <c r="BR256" s="2" t="s">
        <v>123</v>
      </c>
      <c r="BS256" s="3">
        <v>42830</v>
      </c>
      <c r="BT256" s="4">
        <v>0.4375</v>
      </c>
      <c r="BU256" s="2" t="s">
        <v>710</v>
      </c>
      <c r="BV256" s="2" t="s">
        <v>111</v>
      </c>
      <c r="BW256" s="2"/>
      <c r="BX256" s="2"/>
      <c r="BY256" s="2">
        <v>1200</v>
      </c>
      <c r="BZ256" s="2" t="s">
        <v>27</v>
      </c>
      <c r="CA256" s="2"/>
      <c r="CB256" s="2"/>
      <c r="CC256" s="2" t="s">
        <v>181</v>
      </c>
      <c r="CD256" s="2">
        <v>4052</v>
      </c>
      <c r="CE256" s="2" t="s">
        <v>144</v>
      </c>
      <c r="CF256" s="5">
        <v>42831</v>
      </c>
      <c r="CG256" s="2"/>
      <c r="CH256" s="2"/>
      <c r="CI256" s="2">
        <v>1</v>
      </c>
      <c r="CJ256" s="2">
        <v>1</v>
      </c>
      <c r="CK256" s="2">
        <v>21</v>
      </c>
      <c r="CL256" s="2" t="s">
        <v>86</v>
      </c>
      <c r="CM256" s="2"/>
    </row>
    <row r="257" spans="1:91">
      <c r="A257" s="2" t="s">
        <v>71</v>
      </c>
      <c r="B257" s="2" t="s">
        <v>72</v>
      </c>
      <c r="C257" s="2" t="s">
        <v>73</v>
      </c>
      <c r="D257" s="2"/>
      <c r="E257" s="2" t="str">
        <f>"FES1162543295"</f>
        <v>FES1162543295</v>
      </c>
      <c r="F257" s="3">
        <v>42837</v>
      </c>
      <c r="G257" s="2">
        <v>201710</v>
      </c>
      <c r="H257" s="2" t="s">
        <v>74</v>
      </c>
      <c r="I257" s="2" t="s">
        <v>75</v>
      </c>
      <c r="J257" s="2" t="s">
        <v>76</v>
      </c>
      <c r="K257" s="2" t="s">
        <v>77</v>
      </c>
      <c r="L257" s="2" t="s">
        <v>74</v>
      </c>
      <c r="M257" s="2" t="s">
        <v>75</v>
      </c>
      <c r="N257" s="2" t="s">
        <v>711</v>
      </c>
      <c r="O257" s="2" t="s">
        <v>115</v>
      </c>
      <c r="P257" s="2" t="str">
        <f>"2170559975                    "</f>
        <v xml:space="preserve">2170559975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3.35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0.7</v>
      </c>
      <c r="BJ257" s="2">
        <v>1.5</v>
      </c>
      <c r="BK257" s="2">
        <v>2</v>
      </c>
      <c r="BL257" s="2">
        <v>32.6</v>
      </c>
      <c r="BM257" s="2">
        <v>4.5599999999999996</v>
      </c>
      <c r="BN257" s="2">
        <v>37.159999999999997</v>
      </c>
      <c r="BO257" s="2">
        <v>37.159999999999997</v>
      </c>
      <c r="BP257" s="2"/>
      <c r="BQ257" s="2" t="s">
        <v>712</v>
      </c>
      <c r="BR257" s="2" t="s">
        <v>84</v>
      </c>
      <c r="BS257" s="3">
        <v>42838</v>
      </c>
      <c r="BT257" s="4">
        <v>0.30416666666666664</v>
      </c>
      <c r="BU257" s="2" t="s">
        <v>713</v>
      </c>
      <c r="BV257" s="2" t="s">
        <v>111</v>
      </c>
      <c r="BW257" s="2"/>
      <c r="BX257" s="2"/>
      <c r="BY257" s="2">
        <v>7746.4</v>
      </c>
      <c r="BZ257" s="2" t="s">
        <v>27</v>
      </c>
      <c r="CA257" s="2" t="s">
        <v>383</v>
      </c>
      <c r="CB257" s="2"/>
      <c r="CC257" s="2" t="s">
        <v>75</v>
      </c>
      <c r="CD257" s="2">
        <v>1600</v>
      </c>
      <c r="CE257" s="2" t="s">
        <v>118</v>
      </c>
      <c r="CF257" s="5">
        <v>42838</v>
      </c>
      <c r="CG257" s="2"/>
      <c r="CH257" s="2"/>
      <c r="CI257" s="2">
        <v>1</v>
      </c>
      <c r="CJ257" s="2">
        <v>1</v>
      </c>
      <c r="CK257" s="2">
        <v>22</v>
      </c>
      <c r="CL257" s="2" t="s">
        <v>86</v>
      </c>
      <c r="CM257" s="2"/>
    </row>
    <row r="258" spans="1:91">
      <c r="A258" s="2" t="s">
        <v>71</v>
      </c>
      <c r="B258" s="2" t="s">
        <v>72</v>
      </c>
      <c r="C258" s="2" t="s">
        <v>73</v>
      </c>
      <c r="D258" s="2"/>
      <c r="E258" s="2" t="str">
        <f>"FES1162541915"</f>
        <v>FES1162541915</v>
      </c>
      <c r="F258" s="3">
        <v>42831</v>
      </c>
      <c r="G258" s="2">
        <v>201710</v>
      </c>
      <c r="H258" s="2" t="s">
        <v>74</v>
      </c>
      <c r="I258" s="2" t="s">
        <v>75</v>
      </c>
      <c r="J258" s="2" t="s">
        <v>76</v>
      </c>
      <c r="K258" s="2" t="s">
        <v>77</v>
      </c>
      <c r="L258" s="2" t="s">
        <v>714</v>
      </c>
      <c r="M258" s="2" t="s">
        <v>715</v>
      </c>
      <c r="N258" s="2" t="s">
        <v>716</v>
      </c>
      <c r="O258" s="2" t="s">
        <v>115</v>
      </c>
      <c r="P258" s="2" t="str">
        <f>"2170560422                    "</f>
        <v xml:space="preserve">2170560422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3.35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1</v>
      </c>
      <c r="BJ258" s="2">
        <v>0.2</v>
      </c>
      <c r="BK258" s="2">
        <v>1</v>
      </c>
      <c r="BL258" s="2">
        <v>32.6</v>
      </c>
      <c r="BM258" s="2">
        <v>4.5599999999999996</v>
      </c>
      <c r="BN258" s="2">
        <v>37.159999999999997</v>
      </c>
      <c r="BO258" s="2">
        <v>37.159999999999997</v>
      </c>
      <c r="BP258" s="2"/>
      <c r="BQ258" s="2" t="s">
        <v>717</v>
      </c>
      <c r="BR258" s="2" t="s">
        <v>123</v>
      </c>
      <c r="BS258" s="3">
        <v>42832</v>
      </c>
      <c r="BT258" s="4">
        <v>0.41666666666666669</v>
      </c>
      <c r="BU258" s="2" t="s">
        <v>271</v>
      </c>
      <c r="BV258" s="2" t="s">
        <v>111</v>
      </c>
      <c r="BW258" s="2"/>
      <c r="BX258" s="2"/>
      <c r="BY258" s="2">
        <v>1200</v>
      </c>
      <c r="BZ258" s="2" t="s">
        <v>27</v>
      </c>
      <c r="CA258" s="2"/>
      <c r="CB258" s="2"/>
      <c r="CC258" s="2" t="s">
        <v>715</v>
      </c>
      <c r="CD258" s="2">
        <v>1554</v>
      </c>
      <c r="CE258" s="2" t="s">
        <v>144</v>
      </c>
      <c r="CF258" s="5">
        <v>42835</v>
      </c>
      <c r="CG258" s="2"/>
      <c r="CH258" s="2"/>
      <c r="CI258" s="2">
        <v>1</v>
      </c>
      <c r="CJ258" s="2">
        <v>1</v>
      </c>
      <c r="CK258" s="2">
        <v>22</v>
      </c>
      <c r="CL258" s="2" t="s">
        <v>86</v>
      </c>
      <c r="CM258" s="2"/>
    </row>
    <row r="259" spans="1:91">
      <c r="A259" s="2" t="s">
        <v>71</v>
      </c>
      <c r="B259" s="2" t="s">
        <v>72</v>
      </c>
      <c r="C259" s="2" t="s">
        <v>73</v>
      </c>
      <c r="D259" s="2"/>
      <c r="E259" s="2" t="str">
        <f>"FES1162541177"</f>
        <v>FES1162541177</v>
      </c>
      <c r="F259" s="3">
        <v>42829</v>
      </c>
      <c r="G259" s="2">
        <v>201710</v>
      </c>
      <c r="H259" s="2" t="s">
        <v>74</v>
      </c>
      <c r="I259" s="2" t="s">
        <v>75</v>
      </c>
      <c r="J259" s="2" t="s">
        <v>76</v>
      </c>
      <c r="K259" s="2" t="s">
        <v>77</v>
      </c>
      <c r="L259" s="2" t="s">
        <v>166</v>
      </c>
      <c r="M259" s="2" t="s">
        <v>167</v>
      </c>
      <c r="N259" s="2" t="s">
        <v>168</v>
      </c>
      <c r="O259" s="2" t="s">
        <v>115</v>
      </c>
      <c r="P259" s="2" t="str">
        <f>"2170560277                    "</f>
        <v xml:space="preserve">2170560277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3.45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5</v>
      </c>
      <c r="BJ259" s="2">
        <v>1.8</v>
      </c>
      <c r="BK259" s="2">
        <v>5</v>
      </c>
      <c r="BL259" s="2">
        <v>32.700000000000003</v>
      </c>
      <c r="BM259" s="2">
        <v>4.58</v>
      </c>
      <c r="BN259" s="2">
        <v>37.28</v>
      </c>
      <c r="BO259" s="2">
        <v>37.28</v>
      </c>
      <c r="BP259" s="2"/>
      <c r="BQ259" s="2" t="s">
        <v>169</v>
      </c>
      <c r="BR259" s="2" t="s">
        <v>123</v>
      </c>
      <c r="BS259" s="3">
        <v>42830</v>
      </c>
      <c r="BT259" s="4">
        <v>0.42777777777777781</v>
      </c>
      <c r="BU259" s="2" t="s">
        <v>198</v>
      </c>
      <c r="BV259" s="2" t="s">
        <v>111</v>
      </c>
      <c r="BW259" s="2"/>
      <c r="BX259" s="2"/>
      <c r="BY259" s="2">
        <v>8907.76</v>
      </c>
      <c r="BZ259" s="2" t="s">
        <v>27</v>
      </c>
      <c r="CA259" s="2" t="s">
        <v>171</v>
      </c>
      <c r="CB259" s="2"/>
      <c r="CC259" s="2" t="s">
        <v>167</v>
      </c>
      <c r="CD259" s="2">
        <v>2094</v>
      </c>
      <c r="CE259" s="2" t="s">
        <v>89</v>
      </c>
      <c r="CF259" s="5">
        <v>42830</v>
      </c>
      <c r="CG259" s="2"/>
      <c r="CH259" s="2"/>
      <c r="CI259" s="2">
        <v>1</v>
      </c>
      <c r="CJ259" s="2">
        <v>1</v>
      </c>
      <c r="CK259" s="2">
        <v>22</v>
      </c>
      <c r="CL259" s="2" t="s">
        <v>86</v>
      </c>
      <c r="CM259" s="2"/>
    </row>
    <row r="260" spans="1:91">
      <c r="A260" s="2" t="s">
        <v>71</v>
      </c>
      <c r="B260" s="2" t="s">
        <v>72</v>
      </c>
      <c r="C260" s="2" t="s">
        <v>73</v>
      </c>
      <c r="D260" s="2"/>
      <c r="E260" s="2" t="str">
        <f>"FES1162542892"</f>
        <v>FES1162542892</v>
      </c>
      <c r="F260" s="3">
        <v>42836</v>
      </c>
      <c r="G260" s="2">
        <v>201710</v>
      </c>
      <c r="H260" s="2" t="s">
        <v>74</v>
      </c>
      <c r="I260" s="2" t="s">
        <v>75</v>
      </c>
      <c r="J260" s="2" t="s">
        <v>76</v>
      </c>
      <c r="K260" s="2" t="s">
        <v>77</v>
      </c>
      <c r="L260" s="2" t="s">
        <v>126</v>
      </c>
      <c r="M260" s="2" t="s">
        <v>127</v>
      </c>
      <c r="N260" s="2" t="s">
        <v>718</v>
      </c>
      <c r="O260" s="2" t="s">
        <v>115</v>
      </c>
      <c r="P260" s="2" t="str">
        <f>"2170558562                    "</f>
        <v xml:space="preserve">2170558562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5.36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2.5</v>
      </c>
      <c r="BJ260" s="2">
        <v>2</v>
      </c>
      <c r="BK260" s="2">
        <v>2.5</v>
      </c>
      <c r="BL260" s="2">
        <v>52.16</v>
      </c>
      <c r="BM260" s="2">
        <v>7.3</v>
      </c>
      <c r="BN260" s="2">
        <v>59.46</v>
      </c>
      <c r="BO260" s="2">
        <v>59.46</v>
      </c>
      <c r="BP260" s="2"/>
      <c r="BQ260" s="2" t="s">
        <v>719</v>
      </c>
      <c r="BR260" s="2" t="s">
        <v>123</v>
      </c>
      <c r="BS260" s="3">
        <v>42837</v>
      </c>
      <c r="BT260" s="4">
        <v>0.41666666666666669</v>
      </c>
      <c r="BU260" s="2" t="s">
        <v>720</v>
      </c>
      <c r="BV260" s="2" t="s">
        <v>111</v>
      </c>
      <c r="BW260" s="2"/>
      <c r="BX260" s="2"/>
      <c r="BY260" s="2">
        <v>9918</v>
      </c>
      <c r="BZ260" s="2" t="s">
        <v>27</v>
      </c>
      <c r="CA260" s="2"/>
      <c r="CB260" s="2"/>
      <c r="CC260" s="2" t="s">
        <v>127</v>
      </c>
      <c r="CD260" s="2">
        <v>6850</v>
      </c>
      <c r="CE260" s="2" t="s">
        <v>135</v>
      </c>
      <c r="CF260" s="5">
        <v>42838</v>
      </c>
      <c r="CG260" s="2"/>
      <c r="CH260" s="2"/>
      <c r="CI260" s="2">
        <v>3</v>
      </c>
      <c r="CJ260" s="2">
        <v>1</v>
      </c>
      <c r="CK260" s="2">
        <v>21</v>
      </c>
      <c r="CL260" s="2" t="s">
        <v>86</v>
      </c>
      <c r="CM260" s="2"/>
    </row>
    <row r="261" spans="1:91">
      <c r="A261" s="2" t="s">
        <v>71</v>
      </c>
      <c r="B261" s="2" t="s">
        <v>72</v>
      </c>
      <c r="C261" s="2" t="s">
        <v>73</v>
      </c>
      <c r="D261" s="2"/>
      <c r="E261" s="2" t="str">
        <f>"FES1162541830"</f>
        <v>FES1162541830</v>
      </c>
      <c r="F261" s="3">
        <v>42830</v>
      </c>
      <c r="G261" s="2">
        <v>201710</v>
      </c>
      <c r="H261" s="2" t="s">
        <v>74</v>
      </c>
      <c r="I261" s="2" t="s">
        <v>75</v>
      </c>
      <c r="J261" s="2" t="s">
        <v>76</v>
      </c>
      <c r="K261" s="2" t="s">
        <v>77</v>
      </c>
      <c r="L261" s="2" t="s">
        <v>180</v>
      </c>
      <c r="M261" s="2" t="s">
        <v>181</v>
      </c>
      <c r="N261" s="2" t="s">
        <v>320</v>
      </c>
      <c r="O261" s="2" t="s">
        <v>115</v>
      </c>
      <c r="P261" s="2" t="str">
        <f>"2170560834                    "</f>
        <v xml:space="preserve">2170560834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17.149999999999999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8</v>
      </c>
      <c r="BJ261" s="2">
        <v>5</v>
      </c>
      <c r="BK261" s="2">
        <v>8</v>
      </c>
      <c r="BL261" s="2">
        <v>166.91</v>
      </c>
      <c r="BM261" s="2">
        <v>23.37</v>
      </c>
      <c r="BN261" s="2">
        <v>190.28</v>
      </c>
      <c r="BO261" s="2">
        <v>190.28</v>
      </c>
      <c r="BP261" s="2"/>
      <c r="BQ261" s="2" t="s">
        <v>129</v>
      </c>
      <c r="BR261" s="2" t="s">
        <v>123</v>
      </c>
      <c r="BS261" s="3">
        <v>42831</v>
      </c>
      <c r="BT261" s="4">
        <v>0.43402777777777773</v>
      </c>
      <c r="BU261" s="2" t="s">
        <v>721</v>
      </c>
      <c r="BV261" s="2" t="s">
        <v>111</v>
      </c>
      <c r="BW261" s="2"/>
      <c r="BX261" s="2"/>
      <c r="BY261" s="2">
        <v>25092</v>
      </c>
      <c r="BZ261" s="2" t="s">
        <v>27</v>
      </c>
      <c r="CA261" s="2"/>
      <c r="CB261" s="2"/>
      <c r="CC261" s="2" t="s">
        <v>181</v>
      </c>
      <c r="CD261" s="2">
        <v>4051</v>
      </c>
      <c r="CE261" s="2" t="s">
        <v>89</v>
      </c>
      <c r="CF261" s="5">
        <v>42832</v>
      </c>
      <c r="CG261" s="2"/>
      <c r="CH261" s="2"/>
      <c r="CI261" s="2">
        <v>1</v>
      </c>
      <c r="CJ261" s="2">
        <v>1</v>
      </c>
      <c r="CK261" s="2">
        <v>21</v>
      </c>
      <c r="CL261" s="2" t="s">
        <v>86</v>
      </c>
      <c r="CM261" s="2"/>
    </row>
    <row r="262" spans="1:91">
      <c r="A262" s="2" t="s">
        <v>71</v>
      </c>
      <c r="B262" s="2" t="s">
        <v>72</v>
      </c>
      <c r="C262" s="2" t="s">
        <v>73</v>
      </c>
      <c r="D262" s="2"/>
      <c r="E262" s="2" t="str">
        <f>"FES1162541538"</f>
        <v>FES1162541538</v>
      </c>
      <c r="F262" s="3">
        <v>42830</v>
      </c>
      <c r="G262" s="2">
        <v>201710</v>
      </c>
      <c r="H262" s="2" t="s">
        <v>74</v>
      </c>
      <c r="I262" s="2" t="s">
        <v>75</v>
      </c>
      <c r="J262" s="2" t="s">
        <v>76</v>
      </c>
      <c r="K262" s="2" t="s">
        <v>77</v>
      </c>
      <c r="L262" s="2" t="s">
        <v>187</v>
      </c>
      <c r="M262" s="2" t="s">
        <v>146</v>
      </c>
      <c r="N262" s="2" t="s">
        <v>722</v>
      </c>
      <c r="O262" s="2" t="s">
        <v>115</v>
      </c>
      <c r="P262" s="2" t="str">
        <f>"2170560619                    "</f>
        <v xml:space="preserve">2170560619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4.29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1</v>
      </c>
      <c r="BJ262" s="2">
        <v>0.2</v>
      </c>
      <c r="BK262" s="2">
        <v>1</v>
      </c>
      <c r="BL262" s="2">
        <v>41.73</v>
      </c>
      <c r="BM262" s="2">
        <v>5.84</v>
      </c>
      <c r="BN262" s="2">
        <v>47.57</v>
      </c>
      <c r="BO262" s="2">
        <v>47.57</v>
      </c>
      <c r="BP262" s="2"/>
      <c r="BQ262" s="2" t="s">
        <v>723</v>
      </c>
      <c r="BR262" s="2" t="s">
        <v>123</v>
      </c>
      <c r="BS262" s="3">
        <v>42831</v>
      </c>
      <c r="BT262" s="4">
        <v>0.40625</v>
      </c>
      <c r="BU262" s="2" t="s">
        <v>724</v>
      </c>
      <c r="BV262" s="2" t="s">
        <v>111</v>
      </c>
      <c r="BW262" s="2"/>
      <c r="BX262" s="2"/>
      <c r="BY262" s="2">
        <v>1200</v>
      </c>
      <c r="BZ262" s="2" t="s">
        <v>27</v>
      </c>
      <c r="CA262" s="2"/>
      <c r="CB262" s="2"/>
      <c r="CC262" s="2" t="s">
        <v>146</v>
      </c>
      <c r="CD262" s="2">
        <v>200</v>
      </c>
      <c r="CE262" s="2" t="s">
        <v>144</v>
      </c>
      <c r="CF262" s="5">
        <v>42835</v>
      </c>
      <c r="CG262" s="2"/>
      <c r="CH262" s="2"/>
      <c r="CI262" s="2">
        <v>0</v>
      </c>
      <c r="CJ262" s="2">
        <v>0</v>
      </c>
      <c r="CK262" s="2">
        <v>21</v>
      </c>
      <c r="CL262" s="2" t="s">
        <v>86</v>
      </c>
      <c r="CM262" s="2"/>
    </row>
    <row r="263" spans="1:91">
      <c r="A263" s="2" t="s">
        <v>71</v>
      </c>
      <c r="B263" s="2" t="s">
        <v>72</v>
      </c>
      <c r="C263" s="2" t="s">
        <v>73</v>
      </c>
      <c r="D263" s="2"/>
      <c r="E263" s="2" t="str">
        <f>"FES1162543305"</f>
        <v>FES1162543305</v>
      </c>
      <c r="F263" s="3">
        <v>42837</v>
      </c>
      <c r="G263" s="2">
        <v>201710</v>
      </c>
      <c r="H263" s="2" t="s">
        <v>74</v>
      </c>
      <c r="I263" s="2" t="s">
        <v>75</v>
      </c>
      <c r="J263" s="2" t="s">
        <v>76</v>
      </c>
      <c r="K263" s="2" t="s">
        <v>77</v>
      </c>
      <c r="L263" s="2" t="s">
        <v>119</v>
      </c>
      <c r="M263" s="2" t="s">
        <v>120</v>
      </c>
      <c r="N263" s="2" t="s">
        <v>725</v>
      </c>
      <c r="O263" s="2" t="s">
        <v>115</v>
      </c>
      <c r="P263" s="2" t="str">
        <f>"2170561006                    "</f>
        <v xml:space="preserve">2170561006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3.35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1.1000000000000001</v>
      </c>
      <c r="BJ263" s="2">
        <v>0.2</v>
      </c>
      <c r="BK263" s="2">
        <v>2</v>
      </c>
      <c r="BL263" s="2">
        <v>32.6</v>
      </c>
      <c r="BM263" s="2">
        <v>4.5599999999999996</v>
      </c>
      <c r="BN263" s="2">
        <v>37.159999999999997</v>
      </c>
      <c r="BO263" s="2">
        <v>37.159999999999997</v>
      </c>
      <c r="BP263" s="2"/>
      <c r="BQ263" s="2" t="s">
        <v>726</v>
      </c>
      <c r="BR263" s="2" t="s">
        <v>84</v>
      </c>
      <c r="BS263" s="3">
        <v>42838</v>
      </c>
      <c r="BT263" s="4">
        <v>0.38194444444444442</v>
      </c>
      <c r="BU263" s="2" t="s">
        <v>198</v>
      </c>
      <c r="BV263" s="2" t="s">
        <v>111</v>
      </c>
      <c r="BW263" s="2"/>
      <c r="BX263" s="2"/>
      <c r="BY263" s="2">
        <v>1200</v>
      </c>
      <c r="BZ263" s="2" t="s">
        <v>27</v>
      </c>
      <c r="CA263" s="2" t="s">
        <v>125</v>
      </c>
      <c r="CB263" s="2"/>
      <c r="CC263" s="2" t="s">
        <v>120</v>
      </c>
      <c r="CD263" s="2">
        <v>2162</v>
      </c>
      <c r="CE263" s="2" t="s">
        <v>118</v>
      </c>
      <c r="CF263" s="5">
        <v>42843</v>
      </c>
      <c r="CG263" s="2"/>
      <c r="CH263" s="2"/>
      <c r="CI263" s="2">
        <v>1</v>
      </c>
      <c r="CJ263" s="2">
        <v>1</v>
      </c>
      <c r="CK263" s="2">
        <v>22</v>
      </c>
      <c r="CL263" s="2" t="s">
        <v>86</v>
      </c>
      <c r="CM263" s="2"/>
    </row>
    <row r="264" spans="1:91">
      <c r="A264" s="2" t="s">
        <v>71</v>
      </c>
      <c r="B264" s="2" t="s">
        <v>72</v>
      </c>
      <c r="C264" s="2" t="s">
        <v>73</v>
      </c>
      <c r="D264" s="2"/>
      <c r="E264" s="2" t="str">
        <f>"FES1162541954"</f>
        <v>FES1162541954</v>
      </c>
      <c r="F264" s="3">
        <v>42831</v>
      </c>
      <c r="G264" s="2">
        <v>201710</v>
      </c>
      <c r="H264" s="2" t="s">
        <v>74</v>
      </c>
      <c r="I264" s="2" t="s">
        <v>75</v>
      </c>
      <c r="J264" s="2" t="s">
        <v>76</v>
      </c>
      <c r="K264" s="2" t="s">
        <v>77</v>
      </c>
      <c r="L264" s="2" t="s">
        <v>176</v>
      </c>
      <c r="M264" s="2" t="s">
        <v>176</v>
      </c>
      <c r="N264" s="2" t="s">
        <v>460</v>
      </c>
      <c r="O264" s="2" t="s">
        <v>115</v>
      </c>
      <c r="P264" s="2" t="str">
        <f>"2170560948                    "</f>
        <v xml:space="preserve">2170560948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4.29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1</v>
      </c>
      <c r="BJ264" s="2">
        <v>0.2</v>
      </c>
      <c r="BK264" s="2">
        <v>1</v>
      </c>
      <c r="BL264" s="2">
        <v>41.73</v>
      </c>
      <c r="BM264" s="2">
        <v>5.84</v>
      </c>
      <c r="BN264" s="2">
        <v>47.57</v>
      </c>
      <c r="BO264" s="2">
        <v>47.57</v>
      </c>
      <c r="BP264" s="2"/>
      <c r="BQ264" s="2" t="s">
        <v>461</v>
      </c>
      <c r="BR264" s="2" t="s">
        <v>123</v>
      </c>
      <c r="BS264" s="3">
        <v>42832</v>
      </c>
      <c r="BT264" s="4">
        <v>0.49305555555555558</v>
      </c>
      <c r="BU264" s="2" t="s">
        <v>727</v>
      </c>
      <c r="BV264" s="2" t="s">
        <v>111</v>
      </c>
      <c r="BW264" s="2"/>
      <c r="BX264" s="2"/>
      <c r="BY264" s="2">
        <v>1200</v>
      </c>
      <c r="BZ264" s="2" t="s">
        <v>27</v>
      </c>
      <c r="CA264" s="2"/>
      <c r="CB264" s="2"/>
      <c r="CC264" s="2" t="s">
        <v>176</v>
      </c>
      <c r="CD264" s="2">
        <v>7646</v>
      </c>
      <c r="CE264" s="2" t="s">
        <v>144</v>
      </c>
      <c r="CF264" s="5">
        <v>42835</v>
      </c>
      <c r="CG264" s="2"/>
      <c r="CH264" s="2"/>
      <c r="CI264" s="2">
        <v>1</v>
      </c>
      <c r="CJ264" s="2">
        <v>1</v>
      </c>
      <c r="CK264" s="2">
        <v>21</v>
      </c>
      <c r="CL264" s="2" t="s">
        <v>86</v>
      </c>
      <c r="CM264" s="2"/>
    </row>
    <row r="265" spans="1:91">
      <c r="A265" s="2" t="s">
        <v>71</v>
      </c>
      <c r="B265" s="2" t="s">
        <v>72</v>
      </c>
      <c r="C265" s="2" t="s">
        <v>73</v>
      </c>
      <c r="D265" s="2"/>
      <c r="E265" s="2" t="str">
        <f>"FES1162541380"</f>
        <v>FES1162541380</v>
      </c>
      <c r="F265" s="3">
        <v>42829</v>
      </c>
      <c r="G265" s="2">
        <v>201710</v>
      </c>
      <c r="H265" s="2" t="s">
        <v>74</v>
      </c>
      <c r="I265" s="2" t="s">
        <v>75</v>
      </c>
      <c r="J265" s="2" t="s">
        <v>76</v>
      </c>
      <c r="K265" s="2" t="s">
        <v>77</v>
      </c>
      <c r="L265" s="2" t="s">
        <v>294</v>
      </c>
      <c r="M265" s="2" t="s">
        <v>295</v>
      </c>
      <c r="N265" s="2" t="s">
        <v>728</v>
      </c>
      <c r="O265" s="2" t="s">
        <v>115</v>
      </c>
      <c r="P265" s="2" t="str">
        <f>"2170560012                    "</f>
        <v xml:space="preserve">2170560012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4.42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1</v>
      </c>
      <c r="BJ265" s="2">
        <v>0.2</v>
      </c>
      <c r="BK265" s="2">
        <v>1</v>
      </c>
      <c r="BL265" s="2">
        <v>41.86</v>
      </c>
      <c r="BM265" s="2">
        <v>5.86</v>
      </c>
      <c r="BN265" s="2">
        <v>47.72</v>
      </c>
      <c r="BO265" s="2">
        <v>47.72</v>
      </c>
      <c r="BP265" s="2"/>
      <c r="BQ265" s="2" t="s">
        <v>729</v>
      </c>
      <c r="BR265" s="2" t="s">
        <v>123</v>
      </c>
      <c r="BS265" s="3">
        <v>42830</v>
      </c>
      <c r="BT265" s="4">
        <v>0.4375</v>
      </c>
      <c r="BU265" s="2" t="s">
        <v>730</v>
      </c>
      <c r="BV265" s="2" t="s">
        <v>111</v>
      </c>
      <c r="BW265" s="2"/>
      <c r="BX265" s="2"/>
      <c r="BY265" s="2">
        <v>1200</v>
      </c>
      <c r="BZ265" s="2" t="s">
        <v>27</v>
      </c>
      <c r="CA265" s="2"/>
      <c r="CB265" s="2"/>
      <c r="CC265" s="2" t="s">
        <v>295</v>
      </c>
      <c r="CD265" s="2">
        <v>3610</v>
      </c>
      <c r="CE265" s="2" t="s">
        <v>118</v>
      </c>
      <c r="CF265" s="5">
        <v>42831</v>
      </c>
      <c r="CG265" s="2"/>
      <c r="CH265" s="2"/>
      <c r="CI265" s="2">
        <v>1</v>
      </c>
      <c r="CJ265" s="2">
        <v>1</v>
      </c>
      <c r="CK265" s="2">
        <v>21</v>
      </c>
      <c r="CL265" s="2" t="s">
        <v>86</v>
      </c>
      <c r="CM265" s="2"/>
    </row>
    <row r="266" spans="1:91">
      <c r="A266" s="2" t="s">
        <v>71</v>
      </c>
      <c r="B266" s="2" t="s">
        <v>72</v>
      </c>
      <c r="C266" s="2" t="s">
        <v>73</v>
      </c>
      <c r="D266" s="2"/>
      <c r="E266" s="2" t="str">
        <f>"FES1162542948"</f>
        <v>FES1162542948</v>
      </c>
      <c r="F266" s="3">
        <v>42836</v>
      </c>
      <c r="G266" s="2">
        <v>201710</v>
      </c>
      <c r="H266" s="2" t="s">
        <v>74</v>
      </c>
      <c r="I266" s="2" t="s">
        <v>75</v>
      </c>
      <c r="J266" s="2" t="s">
        <v>76</v>
      </c>
      <c r="K266" s="2" t="s">
        <v>77</v>
      </c>
      <c r="L266" s="2" t="s">
        <v>131</v>
      </c>
      <c r="M266" s="2" t="s">
        <v>132</v>
      </c>
      <c r="N266" s="2" t="s">
        <v>731</v>
      </c>
      <c r="O266" s="2" t="s">
        <v>115</v>
      </c>
      <c r="P266" s="2" t="str">
        <f>"2170561734                    "</f>
        <v xml:space="preserve">2170561734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6.43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1</v>
      </c>
      <c r="BJ266" s="2">
        <v>3</v>
      </c>
      <c r="BK266" s="2">
        <v>3</v>
      </c>
      <c r="BL266" s="2">
        <v>62.59</v>
      </c>
      <c r="BM266" s="2">
        <v>8.76</v>
      </c>
      <c r="BN266" s="2">
        <v>71.349999999999994</v>
      </c>
      <c r="BO266" s="2">
        <v>71.349999999999994</v>
      </c>
      <c r="BP266" s="2"/>
      <c r="BQ266" s="2" t="s">
        <v>732</v>
      </c>
      <c r="BR266" s="2" t="s">
        <v>123</v>
      </c>
      <c r="BS266" s="3">
        <v>42837</v>
      </c>
      <c r="BT266" s="4">
        <v>0.46527777777777773</v>
      </c>
      <c r="BU266" s="2" t="s">
        <v>733</v>
      </c>
      <c r="BV266" s="2" t="s">
        <v>111</v>
      </c>
      <c r="BW266" s="2"/>
      <c r="BX266" s="2"/>
      <c r="BY266" s="2">
        <v>14991.24</v>
      </c>
      <c r="BZ266" s="2" t="s">
        <v>27</v>
      </c>
      <c r="CA266" s="2"/>
      <c r="CB266" s="2"/>
      <c r="CC266" s="2" t="s">
        <v>132</v>
      </c>
      <c r="CD266" s="2">
        <v>7945</v>
      </c>
      <c r="CE266" s="2" t="s">
        <v>144</v>
      </c>
      <c r="CF266" s="5">
        <v>42838</v>
      </c>
      <c r="CG266" s="2"/>
      <c r="CH266" s="2"/>
      <c r="CI266" s="2">
        <v>1</v>
      </c>
      <c r="CJ266" s="2">
        <v>1</v>
      </c>
      <c r="CK266" s="2">
        <v>21</v>
      </c>
      <c r="CL266" s="2" t="s">
        <v>86</v>
      </c>
      <c r="CM266" s="2"/>
    </row>
    <row r="267" spans="1:91">
      <c r="A267" s="2" t="s">
        <v>71</v>
      </c>
      <c r="B267" s="2" t="s">
        <v>72</v>
      </c>
      <c r="C267" s="2" t="s">
        <v>73</v>
      </c>
      <c r="D267" s="2"/>
      <c r="E267" s="2" t="str">
        <f>"FES1162541845"</f>
        <v>FES1162541845</v>
      </c>
      <c r="F267" s="3">
        <v>42830</v>
      </c>
      <c r="G267" s="2">
        <v>201710</v>
      </c>
      <c r="H267" s="2" t="s">
        <v>74</v>
      </c>
      <c r="I267" s="2" t="s">
        <v>75</v>
      </c>
      <c r="J267" s="2" t="s">
        <v>76</v>
      </c>
      <c r="K267" s="2" t="s">
        <v>77</v>
      </c>
      <c r="L267" s="2" t="s">
        <v>180</v>
      </c>
      <c r="M267" s="2" t="s">
        <v>181</v>
      </c>
      <c r="N267" s="2" t="s">
        <v>734</v>
      </c>
      <c r="O267" s="2" t="s">
        <v>115</v>
      </c>
      <c r="P267" s="2" t="str">
        <f>"2170560853                    "</f>
        <v xml:space="preserve">2170560853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4.29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</v>
      </c>
      <c r="BJ267" s="2">
        <v>0.2</v>
      </c>
      <c r="BK267" s="2">
        <v>1</v>
      </c>
      <c r="BL267" s="2">
        <v>41.73</v>
      </c>
      <c r="BM267" s="2">
        <v>5.84</v>
      </c>
      <c r="BN267" s="2">
        <v>47.57</v>
      </c>
      <c r="BO267" s="2">
        <v>47.57</v>
      </c>
      <c r="BP267" s="2"/>
      <c r="BQ267" s="2" t="s">
        <v>735</v>
      </c>
      <c r="BR267" s="2" t="s">
        <v>123</v>
      </c>
      <c r="BS267" s="3">
        <v>42831</v>
      </c>
      <c r="BT267" s="4">
        <v>0.4375</v>
      </c>
      <c r="BU267" s="2" t="s">
        <v>736</v>
      </c>
      <c r="BV267" s="2" t="s">
        <v>111</v>
      </c>
      <c r="BW267" s="2"/>
      <c r="BX267" s="2"/>
      <c r="BY267" s="2">
        <v>1200</v>
      </c>
      <c r="BZ267" s="2" t="s">
        <v>27</v>
      </c>
      <c r="CA267" s="2"/>
      <c r="CB267" s="2"/>
      <c r="CC267" s="2" t="s">
        <v>181</v>
      </c>
      <c r="CD267" s="2">
        <v>4001</v>
      </c>
      <c r="CE267" s="2" t="s">
        <v>118</v>
      </c>
      <c r="CF267" s="5">
        <v>42832</v>
      </c>
      <c r="CG267" s="2"/>
      <c r="CH267" s="2"/>
      <c r="CI267" s="2">
        <v>1</v>
      </c>
      <c r="CJ267" s="2">
        <v>1</v>
      </c>
      <c r="CK267" s="2">
        <v>21</v>
      </c>
      <c r="CL267" s="2" t="s">
        <v>86</v>
      </c>
      <c r="CM267" s="2"/>
    </row>
    <row r="268" spans="1:91">
      <c r="A268" s="2" t="s">
        <v>71</v>
      </c>
      <c r="B268" s="2" t="s">
        <v>72</v>
      </c>
      <c r="C268" s="2" t="s">
        <v>73</v>
      </c>
      <c r="D268" s="2"/>
      <c r="E268" s="2" t="str">
        <f>"FES1162541426"</f>
        <v>FES1162541426</v>
      </c>
      <c r="F268" s="3">
        <v>42829</v>
      </c>
      <c r="G268" s="2">
        <v>201710</v>
      </c>
      <c r="H268" s="2" t="s">
        <v>74</v>
      </c>
      <c r="I268" s="2" t="s">
        <v>75</v>
      </c>
      <c r="J268" s="2" t="s">
        <v>76</v>
      </c>
      <c r="K268" s="2" t="s">
        <v>77</v>
      </c>
      <c r="L268" s="2" t="s">
        <v>187</v>
      </c>
      <c r="M268" s="2" t="s">
        <v>146</v>
      </c>
      <c r="N268" s="2" t="s">
        <v>147</v>
      </c>
      <c r="O268" s="2" t="s">
        <v>115</v>
      </c>
      <c r="P268" s="2" t="str">
        <f>"2170560514                    "</f>
        <v xml:space="preserve">2170560514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4.42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1</v>
      </c>
      <c r="BJ268" s="2">
        <v>0.2</v>
      </c>
      <c r="BK268" s="2">
        <v>1</v>
      </c>
      <c r="BL268" s="2">
        <v>41.86</v>
      </c>
      <c r="BM268" s="2">
        <v>5.86</v>
      </c>
      <c r="BN268" s="2">
        <v>47.72</v>
      </c>
      <c r="BO268" s="2">
        <v>47.72</v>
      </c>
      <c r="BP268" s="2"/>
      <c r="BQ268" s="2" t="s">
        <v>148</v>
      </c>
      <c r="BR268" s="2" t="s">
        <v>123</v>
      </c>
      <c r="BS268" s="3">
        <v>42830</v>
      </c>
      <c r="BT268" s="4">
        <v>0.34583333333333338</v>
      </c>
      <c r="BU268" s="2" t="s">
        <v>737</v>
      </c>
      <c r="BV268" s="2" t="s">
        <v>111</v>
      </c>
      <c r="BW268" s="2"/>
      <c r="BX268" s="2"/>
      <c r="BY268" s="2">
        <v>1200</v>
      </c>
      <c r="BZ268" s="2" t="s">
        <v>27</v>
      </c>
      <c r="CA268" s="2" t="s">
        <v>159</v>
      </c>
      <c r="CB268" s="2"/>
      <c r="CC268" s="2" t="s">
        <v>146</v>
      </c>
      <c r="CD268" s="2">
        <v>1</v>
      </c>
      <c r="CE268" s="2" t="s">
        <v>144</v>
      </c>
      <c r="CF268" s="5">
        <v>42832</v>
      </c>
      <c r="CG268" s="2"/>
      <c r="CH268" s="2"/>
      <c r="CI268" s="2">
        <v>0</v>
      </c>
      <c r="CJ268" s="2">
        <v>0</v>
      </c>
      <c r="CK268" s="2">
        <v>21</v>
      </c>
      <c r="CL268" s="2" t="s">
        <v>86</v>
      </c>
      <c r="CM268" s="2"/>
    </row>
    <row r="269" spans="1:91">
      <c r="A269" s="2" t="s">
        <v>71</v>
      </c>
      <c r="B269" s="2" t="s">
        <v>72</v>
      </c>
      <c r="C269" s="2" t="s">
        <v>73</v>
      </c>
      <c r="D269" s="2"/>
      <c r="E269" s="2" t="str">
        <f>"FES1162543188"</f>
        <v>FES1162543188</v>
      </c>
      <c r="F269" s="3">
        <v>42837</v>
      </c>
      <c r="G269" s="2">
        <v>201710</v>
      </c>
      <c r="H269" s="2" t="s">
        <v>74</v>
      </c>
      <c r="I269" s="2" t="s">
        <v>75</v>
      </c>
      <c r="J269" s="2" t="s">
        <v>76</v>
      </c>
      <c r="K269" s="2" t="s">
        <v>77</v>
      </c>
      <c r="L269" s="2" t="s">
        <v>659</v>
      </c>
      <c r="M269" s="2" t="s">
        <v>660</v>
      </c>
      <c r="N269" s="2" t="s">
        <v>738</v>
      </c>
      <c r="O269" s="2" t="s">
        <v>115</v>
      </c>
      <c r="P269" s="2" t="str">
        <f>"2170560578                    "</f>
        <v xml:space="preserve">2170560578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4.29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0.3</v>
      </c>
      <c r="BJ269" s="2">
        <v>0.8</v>
      </c>
      <c r="BK269" s="2">
        <v>1</v>
      </c>
      <c r="BL269" s="2">
        <v>41.73</v>
      </c>
      <c r="BM269" s="2">
        <v>5.84</v>
      </c>
      <c r="BN269" s="2">
        <v>47.57</v>
      </c>
      <c r="BO269" s="2">
        <v>47.57</v>
      </c>
      <c r="BP269" s="2"/>
      <c r="BQ269" s="2" t="s">
        <v>739</v>
      </c>
      <c r="BR269" s="2" t="s">
        <v>84</v>
      </c>
      <c r="BS269" s="3">
        <v>42838</v>
      </c>
      <c r="BT269" s="4">
        <v>0.44444444444444442</v>
      </c>
      <c r="BU269" s="2" t="s">
        <v>740</v>
      </c>
      <c r="BV269" s="2" t="s">
        <v>111</v>
      </c>
      <c r="BW269" s="2"/>
      <c r="BX269" s="2"/>
      <c r="BY269" s="2">
        <v>4127.99</v>
      </c>
      <c r="BZ269" s="2" t="s">
        <v>27</v>
      </c>
      <c r="CA269" s="2" t="s">
        <v>159</v>
      </c>
      <c r="CB269" s="2"/>
      <c r="CC269" s="2" t="s">
        <v>660</v>
      </c>
      <c r="CD269" s="2">
        <v>3310</v>
      </c>
      <c r="CE269" s="2" t="s">
        <v>118</v>
      </c>
      <c r="CF269" s="5">
        <v>42843</v>
      </c>
      <c r="CG269" s="2"/>
      <c r="CH269" s="2"/>
      <c r="CI269" s="2">
        <v>1</v>
      </c>
      <c r="CJ269" s="2">
        <v>1</v>
      </c>
      <c r="CK269" s="2">
        <v>21</v>
      </c>
      <c r="CL269" s="2" t="s">
        <v>86</v>
      </c>
      <c r="CM269" s="2"/>
    </row>
    <row r="270" spans="1:91">
      <c r="A270" s="2" t="s">
        <v>71</v>
      </c>
      <c r="B270" s="2" t="s">
        <v>72</v>
      </c>
      <c r="C270" s="2" t="s">
        <v>73</v>
      </c>
      <c r="D270" s="2"/>
      <c r="E270" s="2" t="str">
        <f>"FES1162541879"</f>
        <v>FES1162541879</v>
      </c>
      <c r="F270" s="3">
        <v>42831</v>
      </c>
      <c r="G270" s="2">
        <v>201710</v>
      </c>
      <c r="H270" s="2" t="s">
        <v>74</v>
      </c>
      <c r="I270" s="2" t="s">
        <v>75</v>
      </c>
      <c r="J270" s="2" t="s">
        <v>76</v>
      </c>
      <c r="K270" s="2" t="s">
        <v>77</v>
      </c>
      <c r="L270" s="2" t="s">
        <v>74</v>
      </c>
      <c r="M270" s="2" t="s">
        <v>75</v>
      </c>
      <c r="N270" s="2" t="s">
        <v>573</v>
      </c>
      <c r="O270" s="2" t="s">
        <v>115</v>
      </c>
      <c r="P270" s="2" t="str">
        <f>"2170560885                    "</f>
        <v xml:space="preserve">2170560885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3.35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</v>
      </c>
      <c r="BJ270" s="2">
        <v>0.2</v>
      </c>
      <c r="BK270" s="2">
        <v>1</v>
      </c>
      <c r="BL270" s="2">
        <v>32.6</v>
      </c>
      <c r="BM270" s="2">
        <v>4.5599999999999996</v>
      </c>
      <c r="BN270" s="2">
        <v>37.159999999999997</v>
      </c>
      <c r="BO270" s="2">
        <v>37.159999999999997</v>
      </c>
      <c r="BP270" s="2"/>
      <c r="BQ270" s="2" t="s">
        <v>574</v>
      </c>
      <c r="BR270" s="2" t="s">
        <v>123</v>
      </c>
      <c r="BS270" s="3">
        <v>42832</v>
      </c>
      <c r="BT270" s="4">
        <v>0.4375</v>
      </c>
      <c r="BU270" s="2" t="s">
        <v>575</v>
      </c>
      <c r="BV270" s="2" t="s">
        <v>111</v>
      </c>
      <c r="BW270" s="2"/>
      <c r="BX270" s="2"/>
      <c r="BY270" s="2">
        <v>1200</v>
      </c>
      <c r="BZ270" s="2" t="s">
        <v>27</v>
      </c>
      <c r="CA270" s="2"/>
      <c r="CB270" s="2"/>
      <c r="CC270" s="2" t="s">
        <v>75</v>
      </c>
      <c r="CD270" s="2">
        <v>1665</v>
      </c>
      <c r="CE270" s="2" t="s">
        <v>118</v>
      </c>
      <c r="CF270" s="5">
        <v>42835</v>
      </c>
      <c r="CG270" s="2"/>
      <c r="CH270" s="2"/>
      <c r="CI270" s="2">
        <v>1</v>
      </c>
      <c r="CJ270" s="2">
        <v>1</v>
      </c>
      <c r="CK270" s="2">
        <v>22</v>
      </c>
      <c r="CL270" s="2" t="s">
        <v>86</v>
      </c>
      <c r="CM270" s="2"/>
    </row>
    <row r="271" spans="1:91">
      <c r="A271" s="2" t="s">
        <v>71</v>
      </c>
      <c r="B271" s="2" t="s">
        <v>72</v>
      </c>
      <c r="C271" s="2" t="s">
        <v>73</v>
      </c>
      <c r="D271" s="2"/>
      <c r="E271" s="2" t="str">
        <f>"FES1162541236"</f>
        <v>FES1162541236</v>
      </c>
      <c r="F271" s="3">
        <v>42829</v>
      </c>
      <c r="G271" s="2">
        <v>201710</v>
      </c>
      <c r="H271" s="2" t="s">
        <v>74</v>
      </c>
      <c r="I271" s="2" t="s">
        <v>75</v>
      </c>
      <c r="J271" s="2" t="s">
        <v>76</v>
      </c>
      <c r="K271" s="2" t="s">
        <v>77</v>
      </c>
      <c r="L271" s="2" t="s">
        <v>160</v>
      </c>
      <c r="M271" s="2" t="s">
        <v>161</v>
      </c>
      <c r="N271" s="2" t="s">
        <v>741</v>
      </c>
      <c r="O271" s="2" t="s">
        <v>115</v>
      </c>
      <c r="P271" s="2" t="str">
        <f>"2170559585                    "</f>
        <v xml:space="preserve">2170559585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18.79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8.1</v>
      </c>
      <c r="BJ271" s="2">
        <v>3.6</v>
      </c>
      <c r="BK271" s="2">
        <v>8.5</v>
      </c>
      <c r="BL271" s="2">
        <v>177.91</v>
      </c>
      <c r="BM271" s="2">
        <v>24.91</v>
      </c>
      <c r="BN271" s="2">
        <v>202.82</v>
      </c>
      <c r="BO271" s="2">
        <v>202.82</v>
      </c>
      <c r="BP271" s="2"/>
      <c r="BQ271" s="2" t="s">
        <v>742</v>
      </c>
      <c r="BR271" s="2" t="s">
        <v>123</v>
      </c>
      <c r="BS271" s="3">
        <v>42830</v>
      </c>
      <c r="BT271" s="4">
        <v>0.44791666666666669</v>
      </c>
      <c r="BU271" s="2" t="s">
        <v>743</v>
      </c>
      <c r="BV271" s="2" t="s">
        <v>111</v>
      </c>
      <c r="BW271" s="2"/>
      <c r="BX271" s="2"/>
      <c r="BY271" s="2">
        <v>17910.400000000001</v>
      </c>
      <c r="BZ271" s="2" t="s">
        <v>27</v>
      </c>
      <c r="CA271" s="2"/>
      <c r="CB271" s="2"/>
      <c r="CC271" s="2" t="s">
        <v>161</v>
      </c>
      <c r="CD271" s="2">
        <v>5201</v>
      </c>
      <c r="CE271" s="2" t="s">
        <v>89</v>
      </c>
      <c r="CF271" s="5">
        <v>42833</v>
      </c>
      <c r="CG271" s="2"/>
      <c r="CH271" s="2"/>
      <c r="CI271" s="2">
        <v>1</v>
      </c>
      <c r="CJ271" s="2">
        <v>1</v>
      </c>
      <c r="CK271" s="2">
        <v>21</v>
      </c>
      <c r="CL271" s="2" t="s">
        <v>86</v>
      </c>
      <c r="CM271" s="2"/>
    </row>
    <row r="272" spans="1:91">
      <c r="A272" s="2" t="s">
        <v>71</v>
      </c>
      <c r="B272" s="2" t="s">
        <v>72</v>
      </c>
      <c r="C272" s="2" t="s">
        <v>73</v>
      </c>
      <c r="D272" s="2"/>
      <c r="E272" s="2" t="str">
        <f>"FES1162543013"</f>
        <v>FES1162543013</v>
      </c>
      <c r="F272" s="3">
        <v>42836</v>
      </c>
      <c r="G272" s="2">
        <v>201710</v>
      </c>
      <c r="H272" s="2" t="s">
        <v>74</v>
      </c>
      <c r="I272" s="2" t="s">
        <v>75</v>
      </c>
      <c r="J272" s="2" t="s">
        <v>76</v>
      </c>
      <c r="K272" s="2" t="s">
        <v>77</v>
      </c>
      <c r="L272" s="2" t="s">
        <v>131</v>
      </c>
      <c r="M272" s="2" t="s">
        <v>132</v>
      </c>
      <c r="N272" s="2" t="s">
        <v>744</v>
      </c>
      <c r="O272" s="2" t="s">
        <v>115</v>
      </c>
      <c r="P272" s="2" t="str">
        <f>"2170561799                    "</f>
        <v xml:space="preserve">2170561799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6.43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2</v>
      </c>
      <c r="BJ272" s="2">
        <v>3</v>
      </c>
      <c r="BK272" s="2">
        <v>3</v>
      </c>
      <c r="BL272" s="2">
        <v>62.59</v>
      </c>
      <c r="BM272" s="2">
        <v>8.76</v>
      </c>
      <c r="BN272" s="2">
        <v>71.349999999999994</v>
      </c>
      <c r="BO272" s="2">
        <v>71.349999999999994</v>
      </c>
      <c r="BP272" s="2"/>
      <c r="BQ272" s="2" t="s">
        <v>138</v>
      </c>
      <c r="BR272" s="2" t="s">
        <v>123</v>
      </c>
      <c r="BS272" s="3">
        <v>42837</v>
      </c>
      <c r="BT272" s="4">
        <v>0.41666666666666669</v>
      </c>
      <c r="BU272" s="2" t="s">
        <v>745</v>
      </c>
      <c r="BV272" s="2" t="s">
        <v>111</v>
      </c>
      <c r="BW272" s="2"/>
      <c r="BX272" s="2"/>
      <c r="BY272" s="2">
        <v>15246</v>
      </c>
      <c r="BZ272" s="2" t="s">
        <v>27</v>
      </c>
      <c r="CA272" s="2"/>
      <c r="CB272" s="2"/>
      <c r="CC272" s="2" t="s">
        <v>132</v>
      </c>
      <c r="CD272" s="2">
        <v>7405</v>
      </c>
      <c r="CE272" s="2" t="s">
        <v>287</v>
      </c>
      <c r="CF272" s="5">
        <v>42838</v>
      </c>
      <c r="CG272" s="2"/>
      <c r="CH272" s="2"/>
      <c r="CI272" s="2">
        <v>1</v>
      </c>
      <c r="CJ272" s="2">
        <v>1</v>
      </c>
      <c r="CK272" s="2">
        <v>21</v>
      </c>
      <c r="CL272" s="2" t="s">
        <v>86</v>
      </c>
      <c r="CM272" s="2"/>
    </row>
    <row r="273" spans="1:91">
      <c r="A273" s="2" t="s">
        <v>71</v>
      </c>
      <c r="B273" s="2" t="s">
        <v>72</v>
      </c>
      <c r="C273" s="2" t="s">
        <v>73</v>
      </c>
      <c r="D273" s="2"/>
      <c r="E273" s="2" t="str">
        <f>"FES1162541682"</f>
        <v>FES1162541682</v>
      </c>
      <c r="F273" s="3">
        <v>42830</v>
      </c>
      <c r="G273" s="2">
        <v>201710</v>
      </c>
      <c r="H273" s="2" t="s">
        <v>74</v>
      </c>
      <c r="I273" s="2" t="s">
        <v>75</v>
      </c>
      <c r="J273" s="2" t="s">
        <v>76</v>
      </c>
      <c r="K273" s="2" t="s">
        <v>77</v>
      </c>
      <c r="L273" s="2" t="s">
        <v>166</v>
      </c>
      <c r="M273" s="2" t="s">
        <v>167</v>
      </c>
      <c r="N273" s="2" t="s">
        <v>272</v>
      </c>
      <c r="O273" s="2" t="s">
        <v>115</v>
      </c>
      <c r="P273" s="2" t="str">
        <f>"2170560228                    "</f>
        <v xml:space="preserve">2170560228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3.35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</v>
      </c>
      <c r="BJ273" s="2">
        <v>0.2</v>
      </c>
      <c r="BK273" s="2">
        <v>1</v>
      </c>
      <c r="BL273" s="2">
        <v>32.6</v>
      </c>
      <c r="BM273" s="2">
        <v>4.5599999999999996</v>
      </c>
      <c r="BN273" s="2">
        <v>37.159999999999997</v>
      </c>
      <c r="BO273" s="2">
        <v>37.159999999999997</v>
      </c>
      <c r="BP273" s="2"/>
      <c r="BQ273" s="2" t="s">
        <v>273</v>
      </c>
      <c r="BR273" s="2" t="s">
        <v>123</v>
      </c>
      <c r="BS273" s="3">
        <v>42831</v>
      </c>
      <c r="BT273" s="4">
        <v>0.41666666666666669</v>
      </c>
      <c r="BU273" s="2" t="s">
        <v>746</v>
      </c>
      <c r="BV273" s="2" t="s">
        <v>111</v>
      </c>
      <c r="BW273" s="2"/>
      <c r="BX273" s="2"/>
      <c r="BY273" s="2">
        <v>1200</v>
      </c>
      <c r="BZ273" s="2" t="s">
        <v>27</v>
      </c>
      <c r="CA273" s="2"/>
      <c r="CB273" s="2"/>
      <c r="CC273" s="2" t="s">
        <v>167</v>
      </c>
      <c r="CD273" s="2">
        <v>2042</v>
      </c>
      <c r="CE273" s="2" t="s">
        <v>118</v>
      </c>
      <c r="CF273" s="5">
        <v>42832</v>
      </c>
      <c r="CG273" s="2"/>
      <c r="CH273" s="2"/>
      <c r="CI273" s="2">
        <v>1</v>
      </c>
      <c r="CJ273" s="2">
        <v>1</v>
      </c>
      <c r="CK273" s="2">
        <v>22</v>
      </c>
      <c r="CL273" s="2" t="s">
        <v>86</v>
      </c>
      <c r="CM273" s="2"/>
    </row>
    <row r="274" spans="1:91">
      <c r="A274" s="2" t="s">
        <v>71</v>
      </c>
      <c r="B274" s="2" t="s">
        <v>72</v>
      </c>
      <c r="C274" s="2" t="s">
        <v>73</v>
      </c>
      <c r="D274" s="2"/>
      <c r="E274" s="2" t="str">
        <f>"FES1162541527"</f>
        <v>FES1162541527</v>
      </c>
      <c r="F274" s="3">
        <v>42830</v>
      </c>
      <c r="G274" s="2">
        <v>201710</v>
      </c>
      <c r="H274" s="2" t="s">
        <v>74</v>
      </c>
      <c r="I274" s="2" t="s">
        <v>75</v>
      </c>
      <c r="J274" s="2" t="s">
        <v>76</v>
      </c>
      <c r="K274" s="2" t="s">
        <v>77</v>
      </c>
      <c r="L274" s="2" t="s">
        <v>99</v>
      </c>
      <c r="M274" s="2" t="s">
        <v>100</v>
      </c>
      <c r="N274" s="2" t="s">
        <v>108</v>
      </c>
      <c r="O274" s="2" t="s">
        <v>115</v>
      </c>
      <c r="P274" s="2" t="str">
        <f>"2170559528                    "</f>
        <v xml:space="preserve">2170559528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4.29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1</v>
      </c>
      <c r="BJ274" s="2">
        <v>0.2</v>
      </c>
      <c r="BK274" s="2">
        <v>1</v>
      </c>
      <c r="BL274" s="2">
        <v>41.73</v>
      </c>
      <c r="BM274" s="2">
        <v>5.84</v>
      </c>
      <c r="BN274" s="2">
        <v>47.57</v>
      </c>
      <c r="BO274" s="2">
        <v>47.57</v>
      </c>
      <c r="BP274" s="2"/>
      <c r="BQ274" s="2" t="s">
        <v>109</v>
      </c>
      <c r="BR274" s="2" t="s">
        <v>123</v>
      </c>
      <c r="BS274" s="3">
        <v>42831</v>
      </c>
      <c r="BT274" s="4">
        <v>0.41666666666666669</v>
      </c>
      <c r="BU274" s="2" t="s">
        <v>110</v>
      </c>
      <c r="BV274" s="2" t="s">
        <v>111</v>
      </c>
      <c r="BW274" s="2"/>
      <c r="BX274" s="2"/>
      <c r="BY274" s="2">
        <v>1200</v>
      </c>
      <c r="BZ274" s="2" t="s">
        <v>27</v>
      </c>
      <c r="CA274" s="2" t="s">
        <v>106</v>
      </c>
      <c r="CB274" s="2"/>
      <c r="CC274" s="2" t="s">
        <v>100</v>
      </c>
      <c r="CD274" s="2">
        <v>6001</v>
      </c>
      <c r="CE274" s="2" t="s">
        <v>144</v>
      </c>
      <c r="CF274" s="5">
        <v>42831</v>
      </c>
      <c r="CG274" s="2"/>
      <c r="CH274" s="2"/>
      <c r="CI274" s="2">
        <v>1</v>
      </c>
      <c r="CJ274" s="2">
        <v>1</v>
      </c>
      <c r="CK274" s="2">
        <v>21</v>
      </c>
      <c r="CL274" s="2" t="s">
        <v>86</v>
      </c>
      <c r="CM274" s="2"/>
    </row>
    <row r="275" spans="1:91">
      <c r="A275" s="2" t="s">
        <v>71</v>
      </c>
      <c r="B275" s="2" t="s">
        <v>72</v>
      </c>
      <c r="C275" s="2" t="s">
        <v>73</v>
      </c>
      <c r="D275" s="2"/>
      <c r="E275" s="2" t="str">
        <f>"FES1162543302"</f>
        <v>FES1162543302</v>
      </c>
      <c r="F275" s="3">
        <v>42837</v>
      </c>
      <c r="G275" s="2">
        <v>201710</v>
      </c>
      <c r="H275" s="2" t="s">
        <v>74</v>
      </c>
      <c r="I275" s="2" t="s">
        <v>75</v>
      </c>
      <c r="J275" s="2" t="s">
        <v>76</v>
      </c>
      <c r="K275" s="2" t="s">
        <v>77</v>
      </c>
      <c r="L275" s="2" t="s">
        <v>180</v>
      </c>
      <c r="M275" s="2" t="s">
        <v>181</v>
      </c>
      <c r="N275" s="2" t="s">
        <v>605</v>
      </c>
      <c r="O275" s="2" t="s">
        <v>115</v>
      </c>
      <c r="P275" s="2" t="str">
        <f>"2170560575                    "</f>
        <v xml:space="preserve">2170560575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4.29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0.4</v>
      </c>
      <c r="BJ275" s="2">
        <v>1</v>
      </c>
      <c r="BK275" s="2">
        <v>1</v>
      </c>
      <c r="BL275" s="2">
        <v>41.73</v>
      </c>
      <c r="BM275" s="2">
        <v>5.84</v>
      </c>
      <c r="BN275" s="2">
        <v>47.57</v>
      </c>
      <c r="BO275" s="2">
        <v>47.57</v>
      </c>
      <c r="BP275" s="2"/>
      <c r="BQ275" s="2" t="s">
        <v>606</v>
      </c>
      <c r="BR275" s="2" t="s">
        <v>84</v>
      </c>
      <c r="BS275" s="3">
        <v>42838</v>
      </c>
      <c r="BT275" s="4">
        <v>0.4375</v>
      </c>
      <c r="BU275" s="2" t="s">
        <v>747</v>
      </c>
      <c r="BV275" s="2" t="s">
        <v>111</v>
      </c>
      <c r="BW275" s="2"/>
      <c r="BX275" s="2"/>
      <c r="BY275" s="2">
        <v>5169.12</v>
      </c>
      <c r="BZ275" s="2" t="s">
        <v>27</v>
      </c>
      <c r="CA275" s="2"/>
      <c r="CB275" s="2"/>
      <c r="CC275" s="2" t="s">
        <v>181</v>
      </c>
      <c r="CD275" s="2">
        <v>4001</v>
      </c>
      <c r="CE275" s="2" t="s">
        <v>118</v>
      </c>
      <c r="CF275" s="5">
        <v>42843</v>
      </c>
      <c r="CG275" s="2"/>
      <c r="CH275" s="2"/>
      <c r="CI275" s="2">
        <v>1</v>
      </c>
      <c r="CJ275" s="2">
        <v>1</v>
      </c>
      <c r="CK275" s="2">
        <v>21</v>
      </c>
      <c r="CL275" s="2" t="s">
        <v>86</v>
      </c>
      <c r="CM275" s="2"/>
    </row>
    <row r="276" spans="1:91">
      <c r="A276" s="2" t="s">
        <v>71</v>
      </c>
      <c r="B276" s="2" t="s">
        <v>72</v>
      </c>
      <c r="C276" s="2" t="s">
        <v>73</v>
      </c>
      <c r="D276" s="2"/>
      <c r="E276" s="2" t="str">
        <f>"FES1162541943"</f>
        <v>FES1162541943</v>
      </c>
      <c r="F276" s="3">
        <v>42831</v>
      </c>
      <c r="G276" s="2">
        <v>201710</v>
      </c>
      <c r="H276" s="2" t="s">
        <v>74</v>
      </c>
      <c r="I276" s="2" t="s">
        <v>75</v>
      </c>
      <c r="J276" s="2" t="s">
        <v>76</v>
      </c>
      <c r="K276" s="2" t="s">
        <v>77</v>
      </c>
      <c r="L276" s="2" t="s">
        <v>126</v>
      </c>
      <c r="M276" s="2" t="s">
        <v>127</v>
      </c>
      <c r="N276" s="2" t="s">
        <v>128</v>
      </c>
      <c r="O276" s="2" t="s">
        <v>115</v>
      </c>
      <c r="P276" s="2" t="str">
        <f>"2170560931                    "</f>
        <v xml:space="preserve">2170560931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4.29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1</v>
      </c>
      <c r="BJ276" s="2">
        <v>0.2</v>
      </c>
      <c r="BK276" s="2">
        <v>1</v>
      </c>
      <c r="BL276" s="2">
        <v>41.73</v>
      </c>
      <c r="BM276" s="2">
        <v>5.84</v>
      </c>
      <c r="BN276" s="2">
        <v>47.57</v>
      </c>
      <c r="BO276" s="2">
        <v>47.57</v>
      </c>
      <c r="BP276" s="2"/>
      <c r="BQ276" s="2" t="s">
        <v>129</v>
      </c>
      <c r="BR276" s="2" t="s">
        <v>123</v>
      </c>
      <c r="BS276" s="3">
        <v>42832</v>
      </c>
      <c r="BT276" s="4">
        <v>0.41944444444444445</v>
      </c>
      <c r="BU276" s="2" t="s">
        <v>412</v>
      </c>
      <c r="BV276" s="2" t="s">
        <v>111</v>
      </c>
      <c r="BW276" s="2"/>
      <c r="BX276" s="2"/>
      <c r="BY276" s="2">
        <v>1200</v>
      </c>
      <c r="BZ276" s="2" t="s">
        <v>27</v>
      </c>
      <c r="CA276" s="2"/>
      <c r="CB276" s="2"/>
      <c r="CC276" s="2" t="s">
        <v>127</v>
      </c>
      <c r="CD276" s="2">
        <v>6850</v>
      </c>
      <c r="CE276" s="2" t="s">
        <v>144</v>
      </c>
      <c r="CF276" s="5">
        <v>42835</v>
      </c>
      <c r="CG276" s="2"/>
      <c r="CH276" s="2"/>
      <c r="CI276" s="2">
        <v>3</v>
      </c>
      <c r="CJ276" s="2">
        <v>1</v>
      </c>
      <c r="CK276" s="2">
        <v>21</v>
      </c>
      <c r="CL276" s="2" t="s">
        <v>86</v>
      </c>
      <c r="CM276" s="2"/>
    </row>
    <row r="277" spans="1:91">
      <c r="A277" s="2" t="s">
        <v>71</v>
      </c>
      <c r="B277" s="2" t="s">
        <v>72</v>
      </c>
      <c r="C277" s="2" t="s">
        <v>73</v>
      </c>
      <c r="D277" s="2"/>
      <c r="E277" s="2" t="str">
        <f>"FES1162541428"</f>
        <v>FES1162541428</v>
      </c>
      <c r="F277" s="3">
        <v>42829</v>
      </c>
      <c r="G277" s="2">
        <v>201710</v>
      </c>
      <c r="H277" s="2" t="s">
        <v>74</v>
      </c>
      <c r="I277" s="2" t="s">
        <v>75</v>
      </c>
      <c r="J277" s="2" t="s">
        <v>76</v>
      </c>
      <c r="K277" s="2" t="s">
        <v>77</v>
      </c>
      <c r="L277" s="2" t="s">
        <v>180</v>
      </c>
      <c r="M277" s="2" t="s">
        <v>181</v>
      </c>
      <c r="N277" s="2" t="s">
        <v>734</v>
      </c>
      <c r="O277" s="2" t="s">
        <v>115</v>
      </c>
      <c r="P277" s="2" t="str">
        <f>"2170560517                    "</f>
        <v xml:space="preserve">2170560517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4.42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1</v>
      </c>
      <c r="BJ277" s="2">
        <v>0.2</v>
      </c>
      <c r="BK277" s="2">
        <v>1</v>
      </c>
      <c r="BL277" s="2">
        <v>41.86</v>
      </c>
      <c r="BM277" s="2">
        <v>5.86</v>
      </c>
      <c r="BN277" s="2">
        <v>47.72</v>
      </c>
      <c r="BO277" s="2">
        <v>47.72</v>
      </c>
      <c r="BP277" s="2"/>
      <c r="BQ277" s="2" t="s">
        <v>735</v>
      </c>
      <c r="BR277" s="2" t="s">
        <v>123</v>
      </c>
      <c r="BS277" s="3">
        <v>42830</v>
      </c>
      <c r="BT277" s="4">
        <v>0.40833333333333338</v>
      </c>
      <c r="BU277" s="2" t="s">
        <v>748</v>
      </c>
      <c r="BV277" s="2" t="s">
        <v>111</v>
      </c>
      <c r="BW277" s="2"/>
      <c r="BX277" s="2"/>
      <c r="BY277" s="2">
        <v>1200</v>
      </c>
      <c r="BZ277" s="2" t="s">
        <v>27</v>
      </c>
      <c r="CA277" s="2"/>
      <c r="CB277" s="2"/>
      <c r="CC277" s="2" t="s">
        <v>181</v>
      </c>
      <c r="CD277" s="2">
        <v>4001</v>
      </c>
      <c r="CE277" s="2" t="s">
        <v>118</v>
      </c>
      <c r="CF277" s="5">
        <v>42831</v>
      </c>
      <c r="CG277" s="2"/>
      <c r="CH277" s="2"/>
      <c r="CI277" s="2">
        <v>1</v>
      </c>
      <c r="CJ277" s="2">
        <v>1</v>
      </c>
      <c r="CK277" s="2">
        <v>21</v>
      </c>
      <c r="CL277" s="2" t="s">
        <v>86</v>
      </c>
      <c r="CM277" s="2"/>
    </row>
    <row r="278" spans="1:91">
      <c r="A278" s="2" t="s">
        <v>71</v>
      </c>
      <c r="B278" s="2" t="s">
        <v>72</v>
      </c>
      <c r="C278" s="2" t="s">
        <v>73</v>
      </c>
      <c r="D278" s="2"/>
      <c r="E278" s="2" t="str">
        <f>"FES1162542865"</f>
        <v>FES1162542865</v>
      </c>
      <c r="F278" s="3">
        <v>42836</v>
      </c>
      <c r="G278" s="2">
        <v>201710</v>
      </c>
      <c r="H278" s="2" t="s">
        <v>74</v>
      </c>
      <c r="I278" s="2" t="s">
        <v>75</v>
      </c>
      <c r="J278" s="2" t="s">
        <v>76</v>
      </c>
      <c r="K278" s="2" t="s">
        <v>77</v>
      </c>
      <c r="L278" s="2" t="s">
        <v>176</v>
      </c>
      <c r="M278" s="2" t="s">
        <v>176</v>
      </c>
      <c r="N278" s="2" t="s">
        <v>339</v>
      </c>
      <c r="O278" s="2" t="s">
        <v>115</v>
      </c>
      <c r="P278" s="2" t="str">
        <f>"2170559453                    "</f>
        <v xml:space="preserve">2170559453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4.29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1</v>
      </c>
      <c r="BJ278" s="2">
        <v>1.2</v>
      </c>
      <c r="BK278" s="2">
        <v>1.5</v>
      </c>
      <c r="BL278" s="2">
        <v>41.73</v>
      </c>
      <c r="BM278" s="2">
        <v>5.84</v>
      </c>
      <c r="BN278" s="2">
        <v>47.57</v>
      </c>
      <c r="BO278" s="2">
        <v>47.57</v>
      </c>
      <c r="BP278" s="2"/>
      <c r="BQ278" s="2" t="s">
        <v>340</v>
      </c>
      <c r="BR278" s="2" t="s">
        <v>123</v>
      </c>
      <c r="BS278" s="3">
        <v>42837</v>
      </c>
      <c r="BT278" s="4">
        <v>0.55555555555555558</v>
      </c>
      <c r="BU278" s="2" t="s">
        <v>341</v>
      </c>
      <c r="BV278" s="2" t="s">
        <v>111</v>
      </c>
      <c r="BW278" s="2"/>
      <c r="BX278" s="2"/>
      <c r="BY278" s="2">
        <v>6027.29</v>
      </c>
      <c r="BZ278" s="2" t="s">
        <v>27</v>
      </c>
      <c r="CA278" s="2"/>
      <c r="CB278" s="2"/>
      <c r="CC278" s="2" t="s">
        <v>176</v>
      </c>
      <c r="CD278" s="2">
        <v>7646</v>
      </c>
      <c r="CE278" s="2" t="s">
        <v>144</v>
      </c>
      <c r="CF278" s="5">
        <v>42838</v>
      </c>
      <c r="CG278" s="2"/>
      <c r="CH278" s="2"/>
      <c r="CI278" s="2">
        <v>1</v>
      </c>
      <c r="CJ278" s="2">
        <v>1</v>
      </c>
      <c r="CK278" s="2">
        <v>21</v>
      </c>
      <c r="CL278" s="2" t="s">
        <v>86</v>
      </c>
      <c r="CM278" s="2"/>
    </row>
    <row r="279" spans="1:91">
      <c r="A279" s="2" t="s">
        <v>71</v>
      </c>
      <c r="B279" s="2" t="s">
        <v>72</v>
      </c>
      <c r="C279" s="2" t="s">
        <v>73</v>
      </c>
      <c r="D279" s="2"/>
      <c r="E279" s="2" t="str">
        <f>"FES1162541781"</f>
        <v>FES1162541781</v>
      </c>
      <c r="F279" s="3">
        <v>42830</v>
      </c>
      <c r="G279" s="2">
        <v>201710</v>
      </c>
      <c r="H279" s="2" t="s">
        <v>74</v>
      </c>
      <c r="I279" s="2" t="s">
        <v>75</v>
      </c>
      <c r="J279" s="2" t="s">
        <v>76</v>
      </c>
      <c r="K279" s="2" t="s">
        <v>77</v>
      </c>
      <c r="L279" s="2" t="s">
        <v>187</v>
      </c>
      <c r="M279" s="2" t="s">
        <v>146</v>
      </c>
      <c r="N279" s="2" t="s">
        <v>573</v>
      </c>
      <c r="O279" s="2" t="s">
        <v>115</v>
      </c>
      <c r="P279" s="2" t="str">
        <f>"1162537941                    "</f>
        <v xml:space="preserve">1162537941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4.29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</v>
      </c>
      <c r="BJ279" s="2">
        <v>0.2</v>
      </c>
      <c r="BK279" s="2">
        <v>1</v>
      </c>
      <c r="BL279" s="2">
        <v>41.73</v>
      </c>
      <c r="BM279" s="2">
        <v>5.84</v>
      </c>
      <c r="BN279" s="2">
        <v>47.57</v>
      </c>
      <c r="BO279" s="2">
        <v>47.57</v>
      </c>
      <c r="BP279" s="2" t="s">
        <v>749</v>
      </c>
      <c r="BQ279" s="2" t="s">
        <v>750</v>
      </c>
      <c r="BR279" s="2" t="s">
        <v>123</v>
      </c>
      <c r="BS279" s="3">
        <v>42831</v>
      </c>
      <c r="BT279" s="4">
        <v>0.40347222222222223</v>
      </c>
      <c r="BU279" s="2" t="s">
        <v>751</v>
      </c>
      <c r="BV279" s="2" t="s">
        <v>111</v>
      </c>
      <c r="BW279" s="2"/>
      <c r="BX279" s="2"/>
      <c r="BY279" s="2">
        <v>1200</v>
      </c>
      <c r="BZ279" s="2" t="s">
        <v>27</v>
      </c>
      <c r="CA279" s="2"/>
      <c r="CB279" s="2"/>
      <c r="CC279" s="2" t="s">
        <v>146</v>
      </c>
      <c r="CD279" s="2">
        <v>82</v>
      </c>
      <c r="CE279" s="2" t="s">
        <v>118</v>
      </c>
      <c r="CF279" s="5">
        <v>42835</v>
      </c>
      <c r="CG279" s="2"/>
      <c r="CH279" s="2"/>
      <c r="CI279" s="2">
        <v>0</v>
      </c>
      <c r="CJ279" s="2">
        <v>0</v>
      </c>
      <c r="CK279" s="2">
        <v>21</v>
      </c>
      <c r="CL279" s="2" t="s">
        <v>86</v>
      </c>
      <c r="CM279" s="2"/>
    </row>
    <row r="280" spans="1:91">
      <c r="A280" s="2" t="s">
        <v>71</v>
      </c>
      <c r="B280" s="2" t="s">
        <v>72</v>
      </c>
      <c r="C280" s="2" t="s">
        <v>73</v>
      </c>
      <c r="D280" s="2"/>
      <c r="E280" s="2" t="str">
        <f>"FES1162541406"</f>
        <v>FES1162541406</v>
      </c>
      <c r="F280" s="3">
        <v>42829</v>
      </c>
      <c r="G280" s="2">
        <v>201710</v>
      </c>
      <c r="H280" s="2" t="s">
        <v>74</v>
      </c>
      <c r="I280" s="2" t="s">
        <v>75</v>
      </c>
      <c r="J280" s="2" t="s">
        <v>76</v>
      </c>
      <c r="K280" s="2" t="s">
        <v>77</v>
      </c>
      <c r="L280" s="2" t="s">
        <v>401</v>
      </c>
      <c r="M280" s="2" t="s">
        <v>402</v>
      </c>
      <c r="N280" s="2" t="s">
        <v>752</v>
      </c>
      <c r="O280" s="2" t="s">
        <v>115</v>
      </c>
      <c r="P280" s="2" t="str">
        <f>"2170560447                    "</f>
        <v xml:space="preserve">2170560447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8.84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3.8</v>
      </c>
      <c r="BJ280" s="2">
        <v>1.4</v>
      </c>
      <c r="BK280" s="2">
        <v>4</v>
      </c>
      <c r="BL280" s="2">
        <v>83.72</v>
      </c>
      <c r="BM280" s="2">
        <v>11.72</v>
      </c>
      <c r="BN280" s="2">
        <v>95.44</v>
      </c>
      <c r="BO280" s="2">
        <v>95.44</v>
      </c>
      <c r="BP280" s="2"/>
      <c r="BQ280" s="2" t="s">
        <v>753</v>
      </c>
      <c r="BR280" s="2" t="s">
        <v>123</v>
      </c>
      <c r="BS280" s="3">
        <v>42830</v>
      </c>
      <c r="BT280" s="4">
        <v>0.4375</v>
      </c>
      <c r="BU280" s="2" t="s">
        <v>754</v>
      </c>
      <c r="BV280" s="2" t="s">
        <v>111</v>
      </c>
      <c r="BW280" s="2"/>
      <c r="BX280" s="2"/>
      <c r="BY280" s="2">
        <v>6935.27</v>
      </c>
      <c r="BZ280" s="2" t="s">
        <v>27</v>
      </c>
      <c r="CA280" s="2"/>
      <c r="CB280" s="2"/>
      <c r="CC280" s="2" t="s">
        <v>402</v>
      </c>
      <c r="CD280" s="2">
        <v>4113</v>
      </c>
      <c r="CE280" s="2" t="s">
        <v>135</v>
      </c>
      <c r="CF280" s="5">
        <v>42831</v>
      </c>
      <c r="CG280" s="2"/>
      <c r="CH280" s="2"/>
      <c r="CI280" s="2">
        <v>1</v>
      </c>
      <c r="CJ280" s="2">
        <v>1</v>
      </c>
      <c r="CK280" s="2">
        <v>21</v>
      </c>
      <c r="CL280" s="2" t="s">
        <v>86</v>
      </c>
      <c r="CM280" s="2"/>
    </row>
    <row r="281" spans="1:91">
      <c r="A281" s="2" t="s">
        <v>71</v>
      </c>
      <c r="B281" s="2" t="s">
        <v>72</v>
      </c>
      <c r="C281" s="2" t="s">
        <v>73</v>
      </c>
      <c r="D281" s="2"/>
      <c r="E281" s="2" t="str">
        <f>"FES1162543347"</f>
        <v>FES1162543347</v>
      </c>
      <c r="F281" s="3">
        <v>42837</v>
      </c>
      <c r="G281" s="2">
        <v>201710</v>
      </c>
      <c r="H281" s="2" t="s">
        <v>74</v>
      </c>
      <c r="I281" s="2" t="s">
        <v>75</v>
      </c>
      <c r="J281" s="2" t="s">
        <v>76</v>
      </c>
      <c r="K281" s="2" t="s">
        <v>77</v>
      </c>
      <c r="L281" s="2" t="s">
        <v>166</v>
      </c>
      <c r="M281" s="2" t="s">
        <v>167</v>
      </c>
      <c r="N281" s="2" t="s">
        <v>486</v>
      </c>
      <c r="O281" s="2" t="s">
        <v>115</v>
      </c>
      <c r="P281" s="2" t="str">
        <f>"2170562026                    "</f>
        <v xml:space="preserve">2170562026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3.35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1.1000000000000001</v>
      </c>
      <c r="BJ281" s="2">
        <v>3.8</v>
      </c>
      <c r="BK281" s="2">
        <v>4</v>
      </c>
      <c r="BL281" s="2">
        <v>32.6</v>
      </c>
      <c r="BM281" s="2">
        <v>4.5599999999999996</v>
      </c>
      <c r="BN281" s="2">
        <v>37.159999999999997</v>
      </c>
      <c r="BO281" s="2">
        <v>37.159999999999997</v>
      </c>
      <c r="BP281" s="2"/>
      <c r="BQ281" s="2" t="s">
        <v>487</v>
      </c>
      <c r="BR281" s="2" t="s">
        <v>84</v>
      </c>
      <c r="BS281" s="3">
        <v>42838</v>
      </c>
      <c r="BT281" s="4">
        <v>0.41666666666666669</v>
      </c>
      <c r="BU281" s="2" t="s">
        <v>290</v>
      </c>
      <c r="BV281" s="2" t="s">
        <v>111</v>
      </c>
      <c r="BW281" s="2"/>
      <c r="BX281" s="2"/>
      <c r="BY281" s="2">
        <v>19098.88</v>
      </c>
      <c r="BZ281" s="2" t="s">
        <v>27</v>
      </c>
      <c r="CA281" s="2"/>
      <c r="CB281" s="2"/>
      <c r="CC281" s="2" t="s">
        <v>167</v>
      </c>
      <c r="CD281" s="2">
        <v>2013</v>
      </c>
      <c r="CE281" s="2" t="s">
        <v>118</v>
      </c>
      <c r="CF281" s="5">
        <v>42843</v>
      </c>
      <c r="CG281" s="2"/>
      <c r="CH281" s="2"/>
      <c r="CI281" s="2">
        <v>1</v>
      </c>
      <c r="CJ281" s="2">
        <v>1</v>
      </c>
      <c r="CK281" s="2">
        <v>22</v>
      </c>
      <c r="CL281" s="2" t="s">
        <v>86</v>
      </c>
      <c r="CM281" s="2"/>
    </row>
    <row r="282" spans="1:91">
      <c r="A282" s="2" t="s">
        <v>71</v>
      </c>
      <c r="B282" s="2" t="s">
        <v>72</v>
      </c>
      <c r="C282" s="2" t="s">
        <v>73</v>
      </c>
      <c r="D282" s="2"/>
      <c r="E282" s="2" t="str">
        <f>"FES1162541893"</f>
        <v>FES1162541893</v>
      </c>
      <c r="F282" s="3">
        <v>42831</v>
      </c>
      <c r="G282" s="2">
        <v>201710</v>
      </c>
      <c r="H282" s="2" t="s">
        <v>74</v>
      </c>
      <c r="I282" s="2" t="s">
        <v>75</v>
      </c>
      <c r="J282" s="2" t="s">
        <v>76</v>
      </c>
      <c r="K282" s="2" t="s">
        <v>77</v>
      </c>
      <c r="L282" s="2" t="s">
        <v>516</v>
      </c>
      <c r="M282" s="2" t="s">
        <v>517</v>
      </c>
      <c r="N282" s="2" t="s">
        <v>755</v>
      </c>
      <c r="O282" s="2" t="s">
        <v>115</v>
      </c>
      <c r="P282" s="2" t="str">
        <f>"2170560905                    "</f>
        <v xml:space="preserve">2170560905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3.35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1</v>
      </c>
      <c r="BJ282" s="2">
        <v>0.2</v>
      </c>
      <c r="BK282" s="2">
        <v>1</v>
      </c>
      <c r="BL282" s="2">
        <v>32.6</v>
      </c>
      <c r="BM282" s="2">
        <v>4.5599999999999996</v>
      </c>
      <c r="BN282" s="2">
        <v>37.159999999999997</v>
      </c>
      <c r="BO282" s="2">
        <v>37.159999999999997</v>
      </c>
      <c r="BP282" s="2"/>
      <c r="BQ282" s="2" t="s">
        <v>122</v>
      </c>
      <c r="BR282" s="2" t="s">
        <v>123</v>
      </c>
      <c r="BS282" s="3">
        <v>42832</v>
      </c>
      <c r="BT282" s="4">
        <v>0.4236111111111111</v>
      </c>
      <c r="BU282" s="2" t="s">
        <v>756</v>
      </c>
      <c r="BV282" s="2" t="s">
        <v>111</v>
      </c>
      <c r="BW282" s="2"/>
      <c r="BX282" s="2"/>
      <c r="BY282" s="2">
        <v>1200</v>
      </c>
      <c r="BZ282" s="2" t="s">
        <v>27</v>
      </c>
      <c r="CA282" s="2"/>
      <c r="CB282" s="2"/>
      <c r="CC282" s="2" t="s">
        <v>517</v>
      </c>
      <c r="CD282" s="2">
        <v>1459</v>
      </c>
      <c r="CE282" s="2" t="s">
        <v>118</v>
      </c>
      <c r="CF282" s="5">
        <v>42835</v>
      </c>
      <c r="CG282" s="2"/>
      <c r="CH282" s="2"/>
      <c r="CI282" s="2">
        <v>1</v>
      </c>
      <c r="CJ282" s="2">
        <v>1</v>
      </c>
      <c r="CK282" s="2">
        <v>22</v>
      </c>
      <c r="CL282" s="2" t="s">
        <v>86</v>
      </c>
      <c r="CM282" s="2"/>
    </row>
    <row r="283" spans="1:91">
      <c r="A283" s="2" t="s">
        <v>71</v>
      </c>
      <c r="B283" s="2" t="s">
        <v>72</v>
      </c>
      <c r="C283" s="2" t="s">
        <v>73</v>
      </c>
      <c r="D283" s="2"/>
      <c r="E283" s="2" t="str">
        <f>"FES1162541270"</f>
        <v>FES1162541270</v>
      </c>
      <c r="F283" s="3">
        <v>42829</v>
      </c>
      <c r="G283" s="2">
        <v>201710</v>
      </c>
      <c r="H283" s="2" t="s">
        <v>74</v>
      </c>
      <c r="I283" s="2" t="s">
        <v>75</v>
      </c>
      <c r="J283" s="2" t="s">
        <v>76</v>
      </c>
      <c r="K283" s="2" t="s">
        <v>77</v>
      </c>
      <c r="L283" s="2" t="s">
        <v>160</v>
      </c>
      <c r="M283" s="2" t="s">
        <v>161</v>
      </c>
      <c r="N283" s="2" t="s">
        <v>463</v>
      </c>
      <c r="O283" s="2" t="s">
        <v>115</v>
      </c>
      <c r="P283" s="2" t="str">
        <f>"2170560325                    "</f>
        <v xml:space="preserve">2170560325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14.37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6.3</v>
      </c>
      <c r="BJ283" s="2">
        <v>3.5</v>
      </c>
      <c r="BK283" s="2">
        <v>6.5</v>
      </c>
      <c r="BL283" s="2">
        <v>136.05000000000001</v>
      </c>
      <c r="BM283" s="2">
        <v>19.05</v>
      </c>
      <c r="BN283" s="2">
        <v>155.1</v>
      </c>
      <c r="BO283" s="2">
        <v>155.1</v>
      </c>
      <c r="BP283" s="2"/>
      <c r="BQ283" s="2" t="s">
        <v>129</v>
      </c>
      <c r="BR283" s="2" t="s">
        <v>123</v>
      </c>
      <c r="BS283" s="3">
        <v>42830</v>
      </c>
      <c r="BT283" s="4">
        <v>0.45833333333333331</v>
      </c>
      <c r="BU283" s="2" t="s">
        <v>464</v>
      </c>
      <c r="BV283" s="2" t="s">
        <v>86</v>
      </c>
      <c r="BW283" s="2" t="s">
        <v>157</v>
      </c>
      <c r="BX283" s="2" t="s">
        <v>251</v>
      </c>
      <c r="BY283" s="2">
        <v>17572.04</v>
      </c>
      <c r="BZ283" s="2" t="s">
        <v>27</v>
      </c>
      <c r="CA283" s="2"/>
      <c r="CB283" s="2"/>
      <c r="CC283" s="2" t="s">
        <v>161</v>
      </c>
      <c r="CD283" s="2">
        <v>5201</v>
      </c>
      <c r="CE283" s="2" t="s">
        <v>135</v>
      </c>
      <c r="CF283" s="5">
        <v>42832</v>
      </c>
      <c r="CG283" s="2"/>
      <c r="CH283" s="2"/>
      <c r="CI283" s="2">
        <v>1</v>
      </c>
      <c r="CJ283" s="2">
        <v>1</v>
      </c>
      <c r="CK283" s="2">
        <v>21</v>
      </c>
      <c r="CL283" s="2" t="s">
        <v>86</v>
      </c>
      <c r="CM283" s="2"/>
    </row>
    <row r="284" spans="1:91">
      <c r="A284" s="2" t="s">
        <v>71</v>
      </c>
      <c r="B284" s="2" t="s">
        <v>72</v>
      </c>
      <c r="C284" s="2" t="s">
        <v>73</v>
      </c>
      <c r="D284" s="2"/>
      <c r="E284" s="2" t="str">
        <f>"FES1162542800"</f>
        <v>FES1162542800</v>
      </c>
      <c r="F284" s="3">
        <v>42836</v>
      </c>
      <c r="G284" s="2">
        <v>201710</v>
      </c>
      <c r="H284" s="2" t="s">
        <v>74</v>
      </c>
      <c r="I284" s="2" t="s">
        <v>75</v>
      </c>
      <c r="J284" s="2" t="s">
        <v>76</v>
      </c>
      <c r="K284" s="2" t="s">
        <v>77</v>
      </c>
      <c r="L284" s="2" t="s">
        <v>166</v>
      </c>
      <c r="M284" s="2" t="s">
        <v>167</v>
      </c>
      <c r="N284" s="2" t="s">
        <v>168</v>
      </c>
      <c r="O284" s="2" t="s">
        <v>115</v>
      </c>
      <c r="P284" s="2" t="str">
        <f>"2170561681                    "</f>
        <v xml:space="preserve">2170561681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3.35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1</v>
      </c>
      <c r="BJ284" s="2">
        <v>0.2</v>
      </c>
      <c r="BK284" s="2">
        <v>1</v>
      </c>
      <c r="BL284" s="2">
        <v>32.6</v>
      </c>
      <c r="BM284" s="2">
        <v>4.5599999999999996</v>
      </c>
      <c r="BN284" s="2">
        <v>37.159999999999997</v>
      </c>
      <c r="BO284" s="2">
        <v>37.159999999999997</v>
      </c>
      <c r="BP284" s="2"/>
      <c r="BQ284" s="2" t="s">
        <v>169</v>
      </c>
      <c r="BR284" s="2" t="s">
        <v>123</v>
      </c>
      <c r="BS284" s="3">
        <v>42837</v>
      </c>
      <c r="BT284" s="4">
        <v>0.39513888888888887</v>
      </c>
      <c r="BU284" s="2" t="s">
        <v>170</v>
      </c>
      <c r="BV284" s="2" t="s">
        <v>111</v>
      </c>
      <c r="BW284" s="2"/>
      <c r="BX284" s="2"/>
      <c r="BY284" s="2">
        <v>1200</v>
      </c>
      <c r="BZ284" s="2" t="s">
        <v>27</v>
      </c>
      <c r="CA284" s="2" t="s">
        <v>170</v>
      </c>
      <c r="CB284" s="2"/>
      <c r="CC284" s="2" t="s">
        <v>167</v>
      </c>
      <c r="CD284" s="2">
        <v>2094</v>
      </c>
      <c r="CE284" s="2" t="s">
        <v>118</v>
      </c>
      <c r="CF284" s="5">
        <v>42837</v>
      </c>
      <c r="CG284" s="2"/>
      <c r="CH284" s="2"/>
      <c r="CI284" s="2">
        <v>1</v>
      </c>
      <c r="CJ284" s="2">
        <v>1</v>
      </c>
      <c r="CK284" s="2">
        <v>22</v>
      </c>
      <c r="CL284" s="2" t="s">
        <v>86</v>
      </c>
      <c r="CM284" s="2"/>
    </row>
    <row r="285" spans="1:91">
      <c r="A285" s="2" t="s">
        <v>71</v>
      </c>
      <c r="B285" s="2" t="s">
        <v>72</v>
      </c>
      <c r="C285" s="2" t="s">
        <v>73</v>
      </c>
      <c r="D285" s="2"/>
      <c r="E285" s="2" t="str">
        <f>"FES1162541642"</f>
        <v>FES1162541642</v>
      </c>
      <c r="F285" s="3">
        <v>42830</v>
      </c>
      <c r="G285" s="2">
        <v>201710</v>
      </c>
      <c r="H285" s="2" t="s">
        <v>74</v>
      </c>
      <c r="I285" s="2" t="s">
        <v>75</v>
      </c>
      <c r="J285" s="2" t="s">
        <v>76</v>
      </c>
      <c r="K285" s="2" t="s">
        <v>77</v>
      </c>
      <c r="L285" s="2" t="s">
        <v>99</v>
      </c>
      <c r="M285" s="2" t="s">
        <v>100</v>
      </c>
      <c r="N285" s="2" t="s">
        <v>481</v>
      </c>
      <c r="O285" s="2" t="s">
        <v>115</v>
      </c>
      <c r="P285" s="2" t="str">
        <f>"2170558354                    "</f>
        <v xml:space="preserve">2170558354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4.29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1</v>
      </c>
      <c r="BJ285" s="2">
        <v>1.1000000000000001</v>
      </c>
      <c r="BK285" s="2">
        <v>1.5</v>
      </c>
      <c r="BL285" s="2">
        <v>41.73</v>
      </c>
      <c r="BM285" s="2">
        <v>5.84</v>
      </c>
      <c r="BN285" s="2">
        <v>47.57</v>
      </c>
      <c r="BO285" s="2">
        <v>47.57</v>
      </c>
      <c r="BP285" s="2"/>
      <c r="BQ285" s="2" t="s">
        <v>482</v>
      </c>
      <c r="BR285" s="2" t="s">
        <v>123</v>
      </c>
      <c r="BS285" s="3">
        <v>42831</v>
      </c>
      <c r="BT285" s="4">
        <v>0.31597222222222221</v>
      </c>
      <c r="BU285" s="2" t="s">
        <v>130</v>
      </c>
      <c r="BV285" s="2" t="s">
        <v>111</v>
      </c>
      <c r="BW285" s="2"/>
      <c r="BX285" s="2"/>
      <c r="BY285" s="2">
        <v>5303.14</v>
      </c>
      <c r="BZ285" s="2" t="s">
        <v>27</v>
      </c>
      <c r="CA285" s="2"/>
      <c r="CB285" s="2"/>
      <c r="CC285" s="2" t="s">
        <v>100</v>
      </c>
      <c r="CD285" s="2">
        <v>6001</v>
      </c>
      <c r="CE285" s="2" t="s">
        <v>144</v>
      </c>
      <c r="CF285" s="5">
        <v>42832</v>
      </c>
      <c r="CG285" s="2"/>
      <c r="CH285" s="2"/>
      <c r="CI285" s="2">
        <v>1</v>
      </c>
      <c r="CJ285" s="2">
        <v>1</v>
      </c>
      <c r="CK285" s="2">
        <v>21</v>
      </c>
      <c r="CL285" s="2" t="s">
        <v>86</v>
      </c>
      <c r="CM285" s="2"/>
    </row>
    <row r="286" spans="1:91">
      <c r="A286" s="2" t="s">
        <v>71</v>
      </c>
      <c r="B286" s="2" t="s">
        <v>72</v>
      </c>
      <c r="C286" s="2" t="s">
        <v>73</v>
      </c>
      <c r="D286" s="2"/>
      <c r="E286" s="2" t="str">
        <f>"FES1162543345"</f>
        <v>FES1162543345</v>
      </c>
      <c r="F286" s="3">
        <v>42837</v>
      </c>
      <c r="G286" s="2">
        <v>201710</v>
      </c>
      <c r="H286" s="2" t="s">
        <v>74</v>
      </c>
      <c r="I286" s="2" t="s">
        <v>75</v>
      </c>
      <c r="J286" s="2" t="s">
        <v>76</v>
      </c>
      <c r="K286" s="2" t="s">
        <v>77</v>
      </c>
      <c r="L286" s="2" t="s">
        <v>166</v>
      </c>
      <c r="M286" s="2" t="s">
        <v>167</v>
      </c>
      <c r="N286" s="2" t="s">
        <v>486</v>
      </c>
      <c r="O286" s="2" t="s">
        <v>115</v>
      </c>
      <c r="P286" s="2" t="str">
        <f>"2170562022                    "</f>
        <v xml:space="preserve">2170562022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3.35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1</v>
      </c>
      <c r="BJ286" s="2">
        <v>0.2</v>
      </c>
      <c r="BK286" s="2">
        <v>1</v>
      </c>
      <c r="BL286" s="2">
        <v>32.6</v>
      </c>
      <c r="BM286" s="2">
        <v>4.5599999999999996</v>
      </c>
      <c r="BN286" s="2">
        <v>37.159999999999997</v>
      </c>
      <c r="BO286" s="2">
        <v>37.159999999999997</v>
      </c>
      <c r="BP286" s="2"/>
      <c r="BQ286" s="2" t="s">
        <v>487</v>
      </c>
      <c r="BR286" s="2" t="s">
        <v>84</v>
      </c>
      <c r="BS286" s="3">
        <v>42838</v>
      </c>
      <c r="BT286" s="4">
        <v>0.41666666666666669</v>
      </c>
      <c r="BU286" s="2" t="s">
        <v>290</v>
      </c>
      <c r="BV286" s="2" t="s">
        <v>111</v>
      </c>
      <c r="BW286" s="2"/>
      <c r="BX286" s="2"/>
      <c r="BY286" s="2">
        <v>1200</v>
      </c>
      <c r="BZ286" s="2" t="s">
        <v>27</v>
      </c>
      <c r="CA286" s="2"/>
      <c r="CB286" s="2"/>
      <c r="CC286" s="2" t="s">
        <v>167</v>
      </c>
      <c r="CD286" s="2">
        <v>2013</v>
      </c>
      <c r="CE286" s="2" t="s">
        <v>118</v>
      </c>
      <c r="CF286" s="5">
        <v>42843</v>
      </c>
      <c r="CG286" s="2"/>
      <c r="CH286" s="2"/>
      <c r="CI286" s="2">
        <v>1</v>
      </c>
      <c r="CJ286" s="2">
        <v>1</v>
      </c>
      <c r="CK286" s="2">
        <v>22</v>
      </c>
      <c r="CL286" s="2" t="s">
        <v>86</v>
      </c>
      <c r="CM286" s="2"/>
    </row>
    <row r="287" spans="1:91">
      <c r="A287" s="2" t="s">
        <v>71</v>
      </c>
      <c r="B287" s="2" t="s">
        <v>72</v>
      </c>
      <c r="C287" s="2" t="s">
        <v>73</v>
      </c>
      <c r="D287" s="2"/>
      <c r="E287" s="2" t="str">
        <f>"FES1162542117"</f>
        <v>FES1162542117</v>
      </c>
      <c r="F287" s="3">
        <v>42831</v>
      </c>
      <c r="G287" s="2">
        <v>201710</v>
      </c>
      <c r="H287" s="2" t="s">
        <v>74</v>
      </c>
      <c r="I287" s="2" t="s">
        <v>75</v>
      </c>
      <c r="J287" s="2" t="s">
        <v>76</v>
      </c>
      <c r="K287" s="2" t="s">
        <v>77</v>
      </c>
      <c r="L287" s="2" t="s">
        <v>99</v>
      </c>
      <c r="M287" s="2" t="s">
        <v>100</v>
      </c>
      <c r="N287" s="2" t="s">
        <v>583</v>
      </c>
      <c r="O287" s="2" t="s">
        <v>115</v>
      </c>
      <c r="P287" s="2" t="str">
        <f>"2170561004                    "</f>
        <v xml:space="preserve">2170561004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4.29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41.73</v>
      </c>
      <c r="BM287" s="2">
        <v>5.84</v>
      </c>
      <c r="BN287" s="2">
        <v>47.57</v>
      </c>
      <c r="BO287" s="2">
        <v>47.57</v>
      </c>
      <c r="BP287" s="2"/>
      <c r="BQ287" s="2" t="s">
        <v>584</v>
      </c>
      <c r="BR287" s="2" t="s">
        <v>123</v>
      </c>
      <c r="BS287" s="3">
        <v>42832</v>
      </c>
      <c r="BT287" s="4">
        <v>0.41319444444444442</v>
      </c>
      <c r="BU287" s="2" t="s">
        <v>757</v>
      </c>
      <c r="BV287" s="2" t="s">
        <v>111</v>
      </c>
      <c r="BW287" s="2"/>
      <c r="BX287" s="2"/>
      <c r="BY287" s="2">
        <v>1200</v>
      </c>
      <c r="BZ287" s="2" t="s">
        <v>27</v>
      </c>
      <c r="CA287" s="2"/>
      <c r="CB287" s="2"/>
      <c r="CC287" s="2" t="s">
        <v>100</v>
      </c>
      <c r="CD287" s="2">
        <v>6001</v>
      </c>
      <c r="CE287" s="2" t="s">
        <v>144</v>
      </c>
      <c r="CF287" s="5">
        <v>42835</v>
      </c>
      <c r="CG287" s="2"/>
      <c r="CH287" s="2"/>
      <c r="CI287" s="2">
        <v>1</v>
      </c>
      <c r="CJ287" s="2">
        <v>1</v>
      </c>
      <c r="CK287" s="2">
        <v>21</v>
      </c>
      <c r="CL287" s="2" t="s">
        <v>86</v>
      </c>
      <c r="CM287" s="2"/>
    </row>
    <row r="288" spans="1:91">
      <c r="A288" s="2" t="s">
        <v>71</v>
      </c>
      <c r="B288" s="2" t="s">
        <v>72</v>
      </c>
      <c r="C288" s="2" t="s">
        <v>73</v>
      </c>
      <c r="D288" s="2"/>
      <c r="E288" s="2" t="str">
        <f>"FES1162541368"</f>
        <v>FES1162541368</v>
      </c>
      <c r="F288" s="3">
        <v>42829</v>
      </c>
      <c r="G288" s="2">
        <v>201710</v>
      </c>
      <c r="H288" s="2" t="s">
        <v>74</v>
      </c>
      <c r="I288" s="2" t="s">
        <v>75</v>
      </c>
      <c r="J288" s="2" t="s">
        <v>76</v>
      </c>
      <c r="K288" s="2" t="s">
        <v>77</v>
      </c>
      <c r="L288" s="2" t="s">
        <v>516</v>
      </c>
      <c r="M288" s="2" t="s">
        <v>517</v>
      </c>
      <c r="N288" s="2" t="s">
        <v>758</v>
      </c>
      <c r="O288" s="2" t="s">
        <v>115</v>
      </c>
      <c r="P288" s="2" t="str">
        <f>"2170560456                    "</f>
        <v xml:space="preserve">2170560456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3.45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</v>
      </c>
      <c r="BJ288" s="2">
        <v>0.2</v>
      </c>
      <c r="BK288" s="2">
        <v>1</v>
      </c>
      <c r="BL288" s="2">
        <v>32.700000000000003</v>
      </c>
      <c r="BM288" s="2">
        <v>4.58</v>
      </c>
      <c r="BN288" s="2">
        <v>37.28</v>
      </c>
      <c r="BO288" s="2">
        <v>37.28</v>
      </c>
      <c r="BP288" s="2"/>
      <c r="BQ288" s="2" t="s">
        <v>759</v>
      </c>
      <c r="BR288" s="2" t="s">
        <v>123</v>
      </c>
      <c r="BS288" s="3">
        <v>42830</v>
      </c>
      <c r="BT288" s="4">
        <v>0.4375</v>
      </c>
      <c r="BU288" s="2" t="s">
        <v>760</v>
      </c>
      <c r="BV288" s="2" t="s">
        <v>111</v>
      </c>
      <c r="BW288" s="2"/>
      <c r="BX288" s="2"/>
      <c r="BY288" s="2">
        <v>1200</v>
      </c>
      <c r="BZ288" s="2" t="s">
        <v>27</v>
      </c>
      <c r="CA288" s="2"/>
      <c r="CB288" s="2"/>
      <c r="CC288" s="2" t="s">
        <v>517</v>
      </c>
      <c r="CD288" s="2">
        <v>1459</v>
      </c>
      <c r="CE288" s="2" t="s">
        <v>118</v>
      </c>
      <c r="CF288" s="5">
        <v>42832</v>
      </c>
      <c r="CG288" s="2"/>
      <c r="CH288" s="2"/>
      <c r="CI288" s="2">
        <v>1</v>
      </c>
      <c r="CJ288" s="2">
        <v>1</v>
      </c>
      <c r="CK288" s="2">
        <v>22</v>
      </c>
      <c r="CL288" s="2" t="s">
        <v>86</v>
      </c>
      <c r="CM288" s="2"/>
    </row>
    <row r="289" spans="1:91">
      <c r="A289" s="2" t="s">
        <v>71</v>
      </c>
      <c r="B289" s="2" t="s">
        <v>72</v>
      </c>
      <c r="C289" s="2" t="s">
        <v>73</v>
      </c>
      <c r="D289" s="2"/>
      <c r="E289" s="2" t="str">
        <f>"FES1162542898"</f>
        <v>FES1162542898</v>
      </c>
      <c r="F289" s="3">
        <v>42836</v>
      </c>
      <c r="G289" s="2">
        <v>201710</v>
      </c>
      <c r="H289" s="2" t="s">
        <v>74</v>
      </c>
      <c r="I289" s="2" t="s">
        <v>75</v>
      </c>
      <c r="J289" s="2" t="s">
        <v>76</v>
      </c>
      <c r="K289" s="2" t="s">
        <v>77</v>
      </c>
      <c r="L289" s="2" t="s">
        <v>231</v>
      </c>
      <c r="M289" s="2" t="s">
        <v>232</v>
      </c>
      <c r="N289" s="2" t="s">
        <v>316</v>
      </c>
      <c r="O289" s="2" t="s">
        <v>115</v>
      </c>
      <c r="P289" s="2" t="str">
        <f>"2170558933                    "</f>
        <v xml:space="preserve">2170558933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6.03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1</v>
      </c>
      <c r="BJ289" s="2">
        <v>0.2</v>
      </c>
      <c r="BK289" s="2">
        <v>1</v>
      </c>
      <c r="BL289" s="2">
        <v>58.68</v>
      </c>
      <c r="BM289" s="2">
        <v>8.2200000000000006</v>
      </c>
      <c r="BN289" s="2">
        <v>66.900000000000006</v>
      </c>
      <c r="BO289" s="2">
        <v>66.900000000000006</v>
      </c>
      <c r="BP289" s="2"/>
      <c r="BQ289" s="2" t="s">
        <v>317</v>
      </c>
      <c r="BR289" s="2" t="s">
        <v>123</v>
      </c>
      <c r="BS289" s="3">
        <v>42837</v>
      </c>
      <c r="BT289" s="4">
        <v>0.60416666666666663</v>
      </c>
      <c r="BU289" s="2" t="s">
        <v>761</v>
      </c>
      <c r="BV289" s="2" t="s">
        <v>86</v>
      </c>
      <c r="BW289" s="2"/>
      <c r="BX289" s="2"/>
      <c r="BY289" s="2">
        <v>1200</v>
      </c>
      <c r="BZ289" s="2" t="s">
        <v>27</v>
      </c>
      <c r="CA289" s="2"/>
      <c r="CB289" s="2"/>
      <c r="CC289" s="2" t="s">
        <v>232</v>
      </c>
      <c r="CD289" s="2">
        <v>250</v>
      </c>
      <c r="CE289" s="2" t="s">
        <v>144</v>
      </c>
      <c r="CF289" s="5">
        <v>42843</v>
      </c>
      <c r="CG289" s="2"/>
      <c r="CH289" s="2"/>
      <c r="CI289" s="2">
        <v>1</v>
      </c>
      <c r="CJ289" s="2">
        <v>1</v>
      </c>
      <c r="CK289" s="2">
        <v>24</v>
      </c>
      <c r="CL289" s="2" t="s">
        <v>86</v>
      </c>
      <c r="CM289" s="2"/>
    </row>
    <row r="290" spans="1:91">
      <c r="A290" s="2" t="s">
        <v>71</v>
      </c>
      <c r="B290" s="2" t="s">
        <v>72</v>
      </c>
      <c r="C290" s="2" t="s">
        <v>73</v>
      </c>
      <c r="D290" s="2"/>
      <c r="E290" s="2" t="str">
        <f>"FES1162541404"</f>
        <v>FES1162541404</v>
      </c>
      <c r="F290" s="3">
        <v>42829</v>
      </c>
      <c r="G290" s="2">
        <v>201710</v>
      </c>
      <c r="H290" s="2" t="s">
        <v>74</v>
      </c>
      <c r="I290" s="2" t="s">
        <v>75</v>
      </c>
      <c r="J290" s="2" t="s">
        <v>76</v>
      </c>
      <c r="K290" s="2" t="s">
        <v>77</v>
      </c>
      <c r="L290" s="2" t="s">
        <v>609</v>
      </c>
      <c r="M290" s="2" t="s">
        <v>610</v>
      </c>
      <c r="N290" s="2" t="s">
        <v>762</v>
      </c>
      <c r="O290" s="2" t="s">
        <v>115</v>
      </c>
      <c r="P290" s="2" t="str">
        <f>"2170560431                    "</f>
        <v xml:space="preserve">2170560431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4.42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41.86</v>
      </c>
      <c r="BM290" s="2">
        <v>5.86</v>
      </c>
      <c r="BN290" s="2">
        <v>47.72</v>
      </c>
      <c r="BO290" s="2">
        <v>47.72</v>
      </c>
      <c r="BP290" s="2"/>
      <c r="BQ290" s="2" t="s">
        <v>122</v>
      </c>
      <c r="BR290" s="2" t="s">
        <v>123</v>
      </c>
      <c r="BS290" s="3">
        <v>42830</v>
      </c>
      <c r="BT290" s="4">
        <v>0.58333333333333337</v>
      </c>
      <c r="BU290" s="2" t="s">
        <v>763</v>
      </c>
      <c r="BV290" s="2" t="s">
        <v>86</v>
      </c>
      <c r="BW290" s="2"/>
      <c r="BX290" s="2"/>
      <c r="BY290" s="2">
        <v>1200</v>
      </c>
      <c r="BZ290" s="2" t="s">
        <v>27</v>
      </c>
      <c r="CA290" s="2"/>
      <c r="CB290" s="2"/>
      <c r="CC290" s="2" t="s">
        <v>610</v>
      </c>
      <c r="CD290" s="2">
        <v>1911</v>
      </c>
      <c r="CE290" s="2" t="s">
        <v>144</v>
      </c>
      <c r="CF290" s="5">
        <v>42832</v>
      </c>
      <c r="CG290" s="2"/>
      <c r="CH290" s="2"/>
      <c r="CI290" s="2">
        <v>1</v>
      </c>
      <c r="CJ290" s="2">
        <v>1</v>
      </c>
      <c r="CK290" s="2">
        <v>21</v>
      </c>
      <c r="CL290" s="2" t="s">
        <v>86</v>
      </c>
      <c r="CM290" s="2"/>
    </row>
    <row r="291" spans="1:91">
      <c r="A291" s="2" t="s">
        <v>71</v>
      </c>
      <c r="B291" s="2" t="s">
        <v>72</v>
      </c>
      <c r="C291" s="2" t="s">
        <v>73</v>
      </c>
      <c r="D291" s="2"/>
      <c r="E291" s="2" t="str">
        <f>"FES1162543202"</f>
        <v>FES1162543202</v>
      </c>
      <c r="F291" s="3">
        <v>42837</v>
      </c>
      <c r="G291" s="2">
        <v>201710</v>
      </c>
      <c r="H291" s="2" t="s">
        <v>74</v>
      </c>
      <c r="I291" s="2" t="s">
        <v>75</v>
      </c>
      <c r="J291" s="2" t="s">
        <v>76</v>
      </c>
      <c r="K291" s="2" t="s">
        <v>77</v>
      </c>
      <c r="L291" s="2" t="s">
        <v>503</v>
      </c>
      <c r="M291" s="2" t="s">
        <v>504</v>
      </c>
      <c r="N291" s="2" t="s">
        <v>764</v>
      </c>
      <c r="O291" s="2" t="s">
        <v>115</v>
      </c>
      <c r="P291" s="2" t="str">
        <f>"2170561963                    "</f>
        <v xml:space="preserve">2170561963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3.35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1</v>
      </c>
      <c r="BJ291" s="2">
        <v>0.2</v>
      </c>
      <c r="BK291" s="2">
        <v>1</v>
      </c>
      <c r="BL291" s="2">
        <v>32.6</v>
      </c>
      <c r="BM291" s="2">
        <v>4.5599999999999996</v>
      </c>
      <c r="BN291" s="2">
        <v>37.159999999999997</v>
      </c>
      <c r="BO291" s="2">
        <v>37.159999999999997</v>
      </c>
      <c r="BP291" s="2"/>
      <c r="BQ291" s="2" t="s">
        <v>765</v>
      </c>
      <c r="BR291" s="2" t="s">
        <v>84</v>
      </c>
      <c r="BS291" s="3">
        <v>42838</v>
      </c>
      <c r="BT291" s="4">
        <v>0.27777777777777779</v>
      </c>
      <c r="BU291" s="2" t="s">
        <v>766</v>
      </c>
      <c r="BV291" s="2" t="s">
        <v>111</v>
      </c>
      <c r="BW291" s="2"/>
      <c r="BX291" s="2"/>
      <c r="BY291" s="2">
        <v>1200</v>
      </c>
      <c r="BZ291" s="2" t="s">
        <v>27</v>
      </c>
      <c r="CA291" s="2"/>
      <c r="CB291" s="2"/>
      <c r="CC291" s="2" t="s">
        <v>504</v>
      </c>
      <c r="CD291" s="2">
        <v>1501</v>
      </c>
      <c r="CE291" s="2" t="s">
        <v>118</v>
      </c>
      <c r="CF291" s="5">
        <v>42843</v>
      </c>
      <c r="CG291" s="2"/>
      <c r="CH291" s="2"/>
      <c r="CI291" s="2">
        <v>1</v>
      </c>
      <c r="CJ291" s="2">
        <v>1</v>
      </c>
      <c r="CK291" s="2">
        <v>22</v>
      </c>
      <c r="CL291" s="2" t="s">
        <v>86</v>
      </c>
      <c r="CM291" s="2"/>
    </row>
    <row r="292" spans="1:91">
      <c r="A292" s="2" t="s">
        <v>71</v>
      </c>
      <c r="B292" s="2" t="s">
        <v>72</v>
      </c>
      <c r="C292" s="2" t="s">
        <v>73</v>
      </c>
      <c r="D292" s="2"/>
      <c r="E292" s="2" t="str">
        <f>"FES1162541907"</f>
        <v>FES1162541907</v>
      </c>
      <c r="F292" s="3">
        <v>42831</v>
      </c>
      <c r="G292" s="2">
        <v>201710</v>
      </c>
      <c r="H292" s="2" t="s">
        <v>74</v>
      </c>
      <c r="I292" s="2" t="s">
        <v>75</v>
      </c>
      <c r="J292" s="2" t="s">
        <v>76</v>
      </c>
      <c r="K292" s="2" t="s">
        <v>77</v>
      </c>
      <c r="L292" s="2" t="s">
        <v>119</v>
      </c>
      <c r="M292" s="2" t="s">
        <v>120</v>
      </c>
      <c r="N292" s="2" t="s">
        <v>725</v>
      </c>
      <c r="O292" s="2" t="s">
        <v>115</v>
      </c>
      <c r="P292" s="2" t="str">
        <f>"2170558794                    "</f>
        <v xml:space="preserve">2170558794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3.35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</v>
      </c>
      <c r="BJ292" s="2">
        <v>0.2</v>
      </c>
      <c r="BK292" s="2">
        <v>1</v>
      </c>
      <c r="BL292" s="2">
        <v>32.6</v>
      </c>
      <c r="BM292" s="2">
        <v>4.5599999999999996</v>
      </c>
      <c r="BN292" s="2">
        <v>37.159999999999997</v>
      </c>
      <c r="BO292" s="2">
        <v>37.159999999999997</v>
      </c>
      <c r="BP292" s="2"/>
      <c r="BQ292" s="2" t="s">
        <v>726</v>
      </c>
      <c r="BR292" s="2" t="s">
        <v>123</v>
      </c>
      <c r="BS292" s="3">
        <v>42832</v>
      </c>
      <c r="BT292" s="4">
        <v>0.52152777777777781</v>
      </c>
      <c r="BU292" s="2" t="s">
        <v>767</v>
      </c>
      <c r="BV292" s="2" t="s">
        <v>86</v>
      </c>
      <c r="BW292" s="2" t="s">
        <v>157</v>
      </c>
      <c r="BX292" s="2" t="s">
        <v>618</v>
      </c>
      <c r="BY292" s="2">
        <v>1200</v>
      </c>
      <c r="BZ292" s="2" t="s">
        <v>27</v>
      </c>
      <c r="CA292" s="2"/>
      <c r="CB292" s="2"/>
      <c r="CC292" s="2" t="s">
        <v>120</v>
      </c>
      <c r="CD292" s="2">
        <v>2162</v>
      </c>
      <c r="CE292" s="2" t="s">
        <v>118</v>
      </c>
      <c r="CF292" s="5">
        <v>42835</v>
      </c>
      <c r="CG292" s="2"/>
      <c r="CH292" s="2"/>
      <c r="CI292" s="2">
        <v>1</v>
      </c>
      <c r="CJ292" s="2">
        <v>1</v>
      </c>
      <c r="CK292" s="2">
        <v>22</v>
      </c>
      <c r="CL292" s="2" t="s">
        <v>86</v>
      </c>
      <c r="CM292" s="2"/>
    </row>
    <row r="293" spans="1:91">
      <c r="A293" s="2" t="s">
        <v>71</v>
      </c>
      <c r="B293" s="2" t="s">
        <v>72</v>
      </c>
      <c r="C293" s="2" t="s">
        <v>73</v>
      </c>
      <c r="D293" s="2"/>
      <c r="E293" s="2" t="str">
        <f>"FES1162540987"</f>
        <v>FES1162540987</v>
      </c>
      <c r="F293" s="3">
        <v>42829</v>
      </c>
      <c r="G293" s="2">
        <v>201710</v>
      </c>
      <c r="H293" s="2" t="s">
        <v>74</v>
      </c>
      <c r="I293" s="2" t="s">
        <v>75</v>
      </c>
      <c r="J293" s="2" t="s">
        <v>76</v>
      </c>
      <c r="K293" s="2" t="s">
        <v>77</v>
      </c>
      <c r="L293" s="2" t="s">
        <v>187</v>
      </c>
      <c r="M293" s="2" t="s">
        <v>146</v>
      </c>
      <c r="N293" s="2" t="s">
        <v>768</v>
      </c>
      <c r="O293" s="2" t="s">
        <v>115</v>
      </c>
      <c r="P293" s="2" t="str">
        <f>"2170560069                    "</f>
        <v xml:space="preserve">2170560069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7.74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3.2</v>
      </c>
      <c r="BJ293" s="2">
        <v>1.5</v>
      </c>
      <c r="BK293" s="2">
        <v>3.5</v>
      </c>
      <c r="BL293" s="2">
        <v>73.260000000000005</v>
      </c>
      <c r="BM293" s="2">
        <v>10.26</v>
      </c>
      <c r="BN293" s="2">
        <v>83.52</v>
      </c>
      <c r="BO293" s="2">
        <v>83.52</v>
      </c>
      <c r="BP293" s="2"/>
      <c r="BQ293" s="2" t="s">
        <v>769</v>
      </c>
      <c r="BR293" s="2" t="s">
        <v>123</v>
      </c>
      <c r="BS293" s="3">
        <v>42830</v>
      </c>
      <c r="BT293" s="4">
        <v>0.3888888888888889</v>
      </c>
      <c r="BU293" s="2" t="s">
        <v>770</v>
      </c>
      <c r="BV293" s="2" t="s">
        <v>111</v>
      </c>
      <c r="BW293" s="2"/>
      <c r="BX293" s="2"/>
      <c r="BY293" s="2">
        <v>7326</v>
      </c>
      <c r="BZ293" s="2" t="s">
        <v>27</v>
      </c>
      <c r="CA293" s="2" t="s">
        <v>159</v>
      </c>
      <c r="CB293" s="2"/>
      <c r="CC293" s="2" t="s">
        <v>146</v>
      </c>
      <c r="CD293" s="2">
        <v>182</v>
      </c>
      <c r="CE293" s="2" t="s">
        <v>287</v>
      </c>
      <c r="CF293" s="5">
        <v>42832</v>
      </c>
      <c r="CG293" s="2"/>
      <c r="CH293" s="2"/>
      <c r="CI293" s="2">
        <v>0</v>
      </c>
      <c r="CJ293" s="2">
        <v>0</v>
      </c>
      <c r="CK293" s="2">
        <v>21</v>
      </c>
      <c r="CL293" s="2" t="s">
        <v>86</v>
      </c>
      <c r="CM293" s="2"/>
    </row>
    <row r="294" spans="1:91">
      <c r="A294" s="2" t="s">
        <v>71</v>
      </c>
      <c r="B294" s="2" t="s">
        <v>72</v>
      </c>
      <c r="C294" s="2" t="s">
        <v>73</v>
      </c>
      <c r="D294" s="2"/>
      <c r="E294" s="2" t="str">
        <f>"FES1162542810"</f>
        <v>FES1162542810</v>
      </c>
      <c r="F294" s="3">
        <v>42836</v>
      </c>
      <c r="G294" s="2">
        <v>201710</v>
      </c>
      <c r="H294" s="2" t="s">
        <v>74</v>
      </c>
      <c r="I294" s="2" t="s">
        <v>75</v>
      </c>
      <c r="J294" s="2" t="s">
        <v>76</v>
      </c>
      <c r="K294" s="2" t="s">
        <v>77</v>
      </c>
      <c r="L294" s="2" t="s">
        <v>187</v>
      </c>
      <c r="M294" s="2" t="s">
        <v>146</v>
      </c>
      <c r="N294" s="2" t="s">
        <v>771</v>
      </c>
      <c r="O294" s="2" t="s">
        <v>115</v>
      </c>
      <c r="P294" s="2" t="str">
        <f>"2170550069                    "</f>
        <v xml:space="preserve">2170550069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5.36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2</v>
      </c>
      <c r="BJ294" s="2">
        <v>2.4</v>
      </c>
      <c r="BK294" s="2">
        <v>2.5</v>
      </c>
      <c r="BL294" s="2">
        <v>52.16</v>
      </c>
      <c r="BM294" s="2">
        <v>7.3</v>
      </c>
      <c r="BN294" s="2">
        <v>59.46</v>
      </c>
      <c r="BO294" s="2">
        <v>59.46</v>
      </c>
      <c r="BP294" s="2"/>
      <c r="BQ294" s="2" t="s">
        <v>772</v>
      </c>
      <c r="BR294" s="2" t="s">
        <v>123</v>
      </c>
      <c r="BS294" s="3">
        <v>42845</v>
      </c>
      <c r="BT294" s="4">
        <v>0.37847222222222227</v>
      </c>
      <c r="BU294" s="2" t="s">
        <v>773</v>
      </c>
      <c r="BV294" s="2" t="s">
        <v>86</v>
      </c>
      <c r="BW294" s="2" t="s">
        <v>164</v>
      </c>
      <c r="BX294" s="2" t="s">
        <v>774</v>
      </c>
      <c r="BY294" s="2">
        <v>12240</v>
      </c>
      <c r="BZ294" s="2" t="s">
        <v>27</v>
      </c>
      <c r="CA294" s="2"/>
      <c r="CB294" s="2"/>
      <c r="CC294" s="2" t="s">
        <v>146</v>
      </c>
      <c r="CD294" s="2">
        <v>1</v>
      </c>
      <c r="CE294" s="2" t="s">
        <v>775</v>
      </c>
      <c r="CF294" s="5">
        <v>42851</v>
      </c>
      <c r="CG294" s="2"/>
      <c r="CH294" s="2"/>
      <c r="CI294" s="2">
        <v>0</v>
      </c>
      <c r="CJ294" s="2">
        <v>0</v>
      </c>
      <c r="CK294" s="2">
        <v>21</v>
      </c>
      <c r="CL294" s="2" t="s">
        <v>86</v>
      </c>
      <c r="CM294" s="2"/>
    </row>
    <row r="295" spans="1:91">
      <c r="A295" s="2" t="s">
        <v>71</v>
      </c>
      <c r="B295" s="2" t="s">
        <v>72</v>
      </c>
      <c r="C295" s="2" t="s">
        <v>73</v>
      </c>
      <c r="D295" s="2"/>
      <c r="E295" s="2" t="str">
        <f>"FES1162541793"</f>
        <v>FES1162541793</v>
      </c>
      <c r="F295" s="3">
        <v>42830</v>
      </c>
      <c r="G295" s="2">
        <v>201710</v>
      </c>
      <c r="H295" s="2" t="s">
        <v>74</v>
      </c>
      <c r="I295" s="2" t="s">
        <v>75</v>
      </c>
      <c r="J295" s="2" t="s">
        <v>76</v>
      </c>
      <c r="K295" s="2" t="s">
        <v>77</v>
      </c>
      <c r="L295" s="2" t="s">
        <v>358</v>
      </c>
      <c r="M295" s="2" t="s">
        <v>359</v>
      </c>
      <c r="N295" s="2" t="s">
        <v>776</v>
      </c>
      <c r="O295" s="2" t="s">
        <v>115</v>
      </c>
      <c r="P295" s="2" t="str">
        <f>"2170560803                    "</f>
        <v xml:space="preserve">2170560803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20.36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8</v>
      </c>
      <c r="BJ295" s="2">
        <v>9.3000000000000007</v>
      </c>
      <c r="BK295" s="2">
        <v>9.5</v>
      </c>
      <c r="BL295" s="2">
        <v>198.2</v>
      </c>
      <c r="BM295" s="2">
        <v>27.75</v>
      </c>
      <c r="BN295" s="2">
        <v>225.95</v>
      </c>
      <c r="BO295" s="2">
        <v>225.95</v>
      </c>
      <c r="BP295" s="2"/>
      <c r="BQ295" s="2" t="s">
        <v>777</v>
      </c>
      <c r="BR295" s="2" t="s">
        <v>123</v>
      </c>
      <c r="BS295" s="3">
        <v>42831</v>
      </c>
      <c r="BT295" s="4">
        <v>0.38194444444444442</v>
      </c>
      <c r="BU295" s="2" t="s">
        <v>778</v>
      </c>
      <c r="BV295" s="2" t="s">
        <v>111</v>
      </c>
      <c r="BW295" s="2"/>
      <c r="BX295" s="2"/>
      <c r="BY295" s="2">
        <v>46712.12</v>
      </c>
      <c r="BZ295" s="2" t="s">
        <v>27</v>
      </c>
      <c r="CA295" s="2"/>
      <c r="CB295" s="2"/>
      <c r="CC295" s="2" t="s">
        <v>359</v>
      </c>
      <c r="CD295" s="2">
        <v>6229</v>
      </c>
      <c r="CE295" s="2" t="s">
        <v>89</v>
      </c>
      <c r="CF295" s="5">
        <v>42832</v>
      </c>
      <c r="CG295" s="2"/>
      <c r="CH295" s="2"/>
      <c r="CI295" s="2">
        <v>1</v>
      </c>
      <c r="CJ295" s="2">
        <v>1</v>
      </c>
      <c r="CK295" s="2">
        <v>21</v>
      </c>
      <c r="CL295" s="2" t="s">
        <v>86</v>
      </c>
      <c r="CM295" s="2"/>
    </row>
    <row r="296" spans="1:91">
      <c r="A296" s="2" t="s">
        <v>71</v>
      </c>
      <c r="B296" s="2" t="s">
        <v>72</v>
      </c>
      <c r="C296" s="2" t="s">
        <v>73</v>
      </c>
      <c r="D296" s="2"/>
      <c r="E296" s="2" t="str">
        <f>"FES1162541593"</f>
        <v>FES1162541593</v>
      </c>
      <c r="F296" s="3">
        <v>42830</v>
      </c>
      <c r="G296" s="2">
        <v>201710</v>
      </c>
      <c r="H296" s="2" t="s">
        <v>74</v>
      </c>
      <c r="I296" s="2" t="s">
        <v>75</v>
      </c>
      <c r="J296" s="2" t="s">
        <v>76</v>
      </c>
      <c r="K296" s="2" t="s">
        <v>77</v>
      </c>
      <c r="L296" s="2" t="s">
        <v>99</v>
      </c>
      <c r="M296" s="2" t="s">
        <v>100</v>
      </c>
      <c r="N296" s="2" t="s">
        <v>108</v>
      </c>
      <c r="O296" s="2" t="s">
        <v>115</v>
      </c>
      <c r="P296" s="2" t="str">
        <f>"2170560699                    "</f>
        <v xml:space="preserve">2170560699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4.29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1</v>
      </c>
      <c r="BJ296" s="2">
        <v>0.2</v>
      </c>
      <c r="BK296" s="2">
        <v>1</v>
      </c>
      <c r="BL296" s="2">
        <v>41.73</v>
      </c>
      <c r="BM296" s="2">
        <v>5.84</v>
      </c>
      <c r="BN296" s="2">
        <v>47.57</v>
      </c>
      <c r="BO296" s="2">
        <v>47.57</v>
      </c>
      <c r="BP296" s="2"/>
      <c r="BQ296" s="2" t="s">
        <v>109</v>
      </c>
      <c r="BR296" s="2" t="s">
        <v>123</v>
      </c>
      <c r="BS296" s="3">
        <v>42831</v>
      </c>
      <c r="BT296" s="4">
        <v>0.41666666666666669</v>
      </c>
      <c r="BU296" s="2" t="s">
        <v>110</v>
      </c>
      <c r="BV296" s="2" t="s">
        <v>111</v>
      </c>
      <c r="BW296" s="2"/>
      <c r="BX296" s="2"/>
      <c r="BY296" s="2">
        <v>1200</v>
      </c>
      <c r="BZ296" s="2" t="s">
        <v>27</v>
      </c>
      <c r="CA296" s="2" t="s">
        <v>106</v>
      </c>
      <c r="CB296" s="2"/>
      <c r="CC296" s="2" t="s">
        <v>100</v>
      </c>
      <c r="CD296" s="2">
        <v>6001</v>
      </c>
      <c r="CE296" s="2" t="s">
        <v>144</v>
      </c>
      <c r="CF296" s="5">
        <v>42831</v>
      </c>
      <c r="CG296" s="2"/>
      <c r="CH296" s="2"/>
      <c r="CI296" s="2">
        <v>1</v>
      </c>
      <c r="CJ296" s="2">
        <v>1</v>
      </c>
      <c r="CK296" s="2">
        <v>21</v>
      </c>
      <c r="CL296" s="2" t="s">
        <v>86</v>
      </c>
      <c r="CM296" s="2"/>
    </row>
    <row r="297" spans="1:91">
      <c r="A297" s="2" t="s">
        <v>71</v>
      </c>
      <c r="B297" s="2" t="s">
        <v>72</v>
      </c>
      <c r="C297" s="2" t="s">
        <v>73</v>
      </c>
      <c r="D297" s="2"/>
      <c r="E297" s="2" t="str">
        <f>"FES1162543314"</f>
        <v>FES1162543314</v>
      </c>
      <c r="F297" s="3">
        <v>42837</v>
      </c>
      <c r="G297" s="2">
        <v>201710</v>
      </c>
      <c r="H297" s="2" t="s">
        <v>74</v>
      </c>
      <c r="I297" s="2" t="s">
        <v>75</v>
      </c>
      <c r="J297" s="2" t="s">
        <v>76</v>
      </c>
      <c r="K297" s="2" t="s">
        <v>77</v>
      </c>
      <c r="L297" s="2" t="s">
        <v>294</v>
      </c>
      <c r="M297" s="2" t="s">
        <v>295</v>
      </c>
      <c r="N297" s="2" t="s">
        <v>779</v>
      </c>
      <c r="O297" s="2" t="s">
        <v>115</v>
      </c>
      <c r="P297" s="2" t="str">
        <f>"2170561607                    "</f>
        <v xml:space="preserve">2170561607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4.29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1</v>
      </c>
      <c r="BI297" s="2">
        <v>1</v>
      </c>
      <c r="BJ297" s="2">
        <v>0.2</v>
      </c>
      <c r="BK297" s="2">
        <v>1</v>
      </c>
      <c r="BL297" s="2">
        <v>41.73</v>
      </c>
      <c r="BM297" s="2">
        <v>5.84</v>
      </c>
      <c r="BN297" s="2">
        <v>47.57</v>
      </c>
      <c r="BO297" s="2">
        <v>47.57</v>
      </c>
      <c r="BP297" s="2"/>
      <c r="BQ297" s="2" t="s">
        <v>129</v>
      </c>
      <c r="BR297" s="2" t="s">
        <v>84</v>
      </c>
      <c r="BS297" s="3">
        <v>42838</v>
      </c>
      <c r="BT297" s="4">
        <v>0.4375</v>
      </c>
      <c r="BU297" s="2" t="s">
        <v>780</v>
      </c>
      <c r="BV297" s="2" t="s">
        <v>111</v>
      </c>
      <c r="BW297" s="2"/>
      <c r="BX297" s="2"/>
      <c r="BY297" s="2">
        <v>1200</v>
      </c>
      <c r="BZ297" s="2" t="s">
        <v>27</v>
      </c>
      <c r="CA297" s="2"/>
      <c r="CB297" s="2"/>
      <c r="CC297" s="2" t="s">
        <v>295</v>
      </c>
      <c r="CD297" s="2">
        <v>3610</v>
      </c>
      <c r="CE297" s="2" t="s">
        <v>118</v>
      </c>
      <c r="CF297" s="5">
        <v>42843</v>
      </c>
      <c r="CG297" s="2"/>
      <c r="CH297" s="2"/>
      <c r="CI297" s="2">
        <v>1</v>
      </c>
      <c r="CJ297" s="2">
        <v>1</v>
      </c>
      <c r="CK297" s="2">
        <v>21</v>
      </c>
      <c r="CL297" s="2" t="s">
        <v>86</v>
      </c>
      <c r="CM297" s="2"/>
    </row>
    <row r="298" spans="1:91">
      <c r="A298" s="2" t="s">
        <v>71</v>
      </c>
      <c r="B298" s="2" t="s">
        <v>72</v>
      </c>
      <c r="C298" s="2" t="s">
        <v>73</v>
      </c>
      <c r="D298" s="2"/>
      <c r="E298" s="2" t="str">
        <f>"FES1162542088"</f>
        <v>FES1162542088</v>
      </c>
      <c r="F298" s="3">
        <v>42831</v>
      </c>
      <c r="G298" s="2">
        <v>201710</v>
      </c>
      <c r="H298" s="2" t="s">
        <v>74</v>
      </c>
      <c r="I298" s="2" t="s">
        <v>75</v>
      </c>
      <c r="J298" s="2" t="s">
        <v>76</v>
      </c>
      <c r="K298" s="2" t="s">
        <v>77</v>
      </c>
      <c r="L298" s="2" t="s">
        <v>166</v>
      </c>
      <c r="M298" s="2" t="s">
        <v>167</v>
      </c>
      <c r="N298" s="2" t="s">
        <v>781</v>
      </c>
      <c r="O298" s="2" t="s">
        <v>115</v>
      </c>
      <c r="P298" s="2" t="str">
        <f>"2170558584                    "</f>
        <v xml:space="preserve">2170558584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3.35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1</v>
      </c>
      <c r="BJ298" s="2">
        <v>0.2</v>
      </c>
      <c r="BK298" s="2">
        <v>1</v>
      </c>
      <c r="BL298" s="2">
        <v>32.6</v>
      </c>
      <c r="BM298" s="2">
        <v>4.5599999999999996</v>
      </c>
      <c r="BN298" s="2">
        <v>37.159999999999997</v>
      </c>
      <c r="BO298" s="2">
        <v>37.159999999999997</v>
      </c>
      <c r="BP298" s="2"/>
      <c r="BQ298" s="2" t="s">
        <v>166</v>
      </c>
      <c r="BR298" s="2" t="s">
        <v>123</v>
      </c>
      <c r="BS298" s="3">
        <v>42832</v>
      </c>
      <c r="BT298" s="4">
        <v>0.41666666666666669</v>
      </c>
      <c r="BU298" s="2" t="s">
        <v>782</v>
      </c>
      <c r="BV298" s="2" t="s">
        <v>111</v>
      </c>
      <c r="BW298" s="2"/>
      <c r="BX298" s="2"/>
      <c r="BY298" s="2">
        <v>1200</v>
      </c>
      <c r="BZ298" s="2" t="s">
        <v>27</v>
      </c>
      <c r="CA298" s="2" t="s">
        <v>159</v>
      </c>
      <c r="CB298" s="2"/>
      <c r="CC298" s="2" t="s">
        <v>167</v>
      </c>
      <c r="CD298" s="2">
        <v>2091</v>
      </c>
      <c r="CE298" s="2" t="s">
        <v>118</v>
      </c>
      <c r="CF298" s="5">
        <v>42835</v>
      </c>
      <c r="CG298" s="2"/>
      <c r="CH298" s="2"/>
      <c r="CI298" s="2">
        <v>1</v>
      </c>
      <c r="CJ298" s="2">
        <v>1</v>
      </c>
      <c r="CK298" s="2">
        <v>22</v>
      </c>
      <c r="CL298" s="2" t="s">
        <v>86</v>
      </c>
      <c r="CM298" s="2"/>
    </row>
    <row r="299" spans="1:91">
      <c r="A299" s="2" t="s">
        <v>71</v>
      </c>
      <c r="B299" s="2" t="s">
        <v>72</v>
      </c>
      <c r="C299" s="2" t="s">
        <v>73</v>
      </c>
      <c r="D299" s="2"/>
      <c r="E299" s="2" t="str">
        <f>"FES1162541391"</f>
        <v>FES1162541391</v>
      </c>
      <c r="F299" s="3">
        <v>42829</v>
      </c>
      <c r="G299" s="2">
        <v>201710</v>
      </c>
      <c r="H299" s="2" t="s">
        <v>74</v>
      </c>
      <c r="I299" s="2" t="s">
        <v>75</v>
      </c>
      <c r="J299" s="2" t="s">
        <v>76</v>
      </c>
      <c r="K299" s="2" t="s">
        <v>77</v>
      </c>
      <c r="L299" s="2" t="s">
        <v>119</v>
      </c>
      <c r="M299" s="2" t="s">
        <v>120</v>
      </c>
      <c r="N299" s="2" t="s">
        <v>783</v>
      </c>
      <c r="O299" s="2" t="s">
        <v>115</v>
      </c>
      <c r="P299" s="2" t="str">
        <f>"2170560480                    "</f>
        <v xml:space="preserve">2170560480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3.45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1</v>
      </c>
      <c r="BJ299" s="2">
        <v>0.2</v>
      </c>
      <c r="BK299" s="2">
        <v>1</v>
      </c>
      <c r="BL299" s="2">
        <v>32.700000000000003</v>
      </c>
      <c r="BM299" s="2">
        <v>4.58</v>
      </c>
      <c r="BN299" s="2">
        <v>37.28</v>
      </c>
      <c r="BO299" s="2">
        <v>37.28</v>
      </c>
      <c r="BP299" s="2"/>
      <c r="BQ299" s="2"/>
      <c r="BR299" s="2" t="s">
        <v>123</v>
      </c>
      <c r="BS299" s="3">
        <v>42830</v>
      </c>
      <c r="BT299" s="4">
        <v>0.41666666666666669</v>
      </c>
      <c r="BU299" s="2" t="s">
        <v>290</v>
      </c>
      <c r="BV299" s="2" t="s">
        <v>111</v>
      </c>
      <c r="BW299" s="2"/>
      <c r="BX299" s="2"/>
      <c r="BY299" s="2">
        <v>1200</v>
      </c>
      <c r="BZ299" s="2" t="s">
        <v>27</v>
      </c>
      <c r="CA299" s="2"/>
      <c r="CB299" s="2"/>
      <c r="CC299" s="2" t="s">
        <v>120</v>
      </c>
      <c r="CD299" s="2">
        <v>2194</v>
      </c>
      <c r="CE299" s="2" t="s">
        <v>118</v>
      </c>
      <c r="CF299" s="5">
        <v>42831</v>
      </c>
      <c r="CG299" s="2"/>
      <c r="CH299" s="2"/>
      <c r="CI299" s="2">
        <v>1</v>
      </c>
      <c r="CJ299" s="2">
        <v>1</v>
      </c>
      <c r="CK299" s="2">
        <v>22</v>
      </c>
      <c r="CL299" s="2" t="s">
        <v>86</v>
      </c>
      <c r="CM299" s="2"/>
    </row>
    <row r="300" spans="1:91">
      <c r="A300" s="2" t="s">
        <v>71</v>
      </c>
      <c r="B300" s="2" t="s">
        <v>72</v>
      </c>
      <c r="C300" s="2" t="s">
        <v>73</v>
      </c>
      <c r="D300" s="2"/>
      <c r="E300" s="2" t="str">
        <f>"FES1162542885"</f>
        <v>FES1162542885</v>
      </c>
      <c r="F300" s="3">
        <v>42836</v>
      </c>
      <c r="G300" s="2">
        <v>201710</v>
      </c>
      <c r="H300" s="2" t="s">
        <v>74</v>
      </c>
      <c r="I300" s="2" t="s">
        <v>75</v>
      </c>
      <c r="J300" s="2" t="s">
        <v>76</v>
      </c>
      <c r="K300" s="2" t="s">
        <v>77</v>
      </c>
      <c r="L300" s="2" t="s">
        <v>139</v>
      </c>
      <c r="M300" s="2" t="s">
        <v>140</v>
      </c>
      <c r="N300" s="2" t="s">
        <v>784</v>
      </c>
      <c r="O300" s="2" t="s">
        <v>115</v>
      </c>
      <c r="P300" s="2" t="str">
        <f>"2170555673                    "</f>
        <v xml:space="preserve">2170555673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4.29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1</v>
      </c>
      <c r="BJ300" s="2">
        <v>0.2</v>
      </c>
      <c r="BK300" s="2">
        <v>1</v>
      </c>
      <c r="BL300" s="2">
        <v>41.73</v>
      </c>
      <c r="BM300" s="2">
        <v>5.84</v>
      </c>
      <c r="BN300" s="2">
        <v>47.57</v>
      </c>
      <c r="BO300" s="2">
        <v>47.57</v>
      </c>
      <c r="BP300" s="2"/>
      <c r="BQ300" s="2"/>
      <c r="BR300" s="2" t="s">
        <v>123</v>
      </c>
      <c r="BS300" s="3">
        <v>42838</v>
      </c>
      <c r="BT300" s="4">
        <v>0.3888888888888889</v>
      </c>
      <c r="BU300" s="2" t="s">
        <v>785</v>
      </c>
      <c r="BV300" s="2" t="s">
        <v>86</v>
      </c>
      <c r="BW300" s="2" t="s">
        <v>164</v>
      </c>
      <c r="BX300" s="2" t="s">
        <v>786</v>
      </c>
      <c r="BY300" s="2">
        <v>1200</v>
      </c>
      <c r="BZ300" s="2" t="s">
        <v>27</v>
      </c>
      <c r="CA300" s="2"/>
      <c r="CB300" s="2"/>
      <c r="CC300" s="2" t="s">
        <v>140</v>
      </c>
      <c r="CD300" s="2">
        <v>157</v>
      </c>
      <c r="CE300" s="2" t="s">
        <v>118</v>
      </c>
      <c r="CF300" s="5">
        <v>42845</v>
      </c>
      <c r="CG300" s="2"/>
      <c r="CH300" s="2"/>
      <c r="CI300" s="2">
        <v>0</v>
      </c>
      <c r="CJ300" s="2">
        <v>0</v>
      </c>
      <c r="CK300" s="2">
        <v>21</v>
      </c>
      <c r="CL300" s="2" t="s">
        <v>86</v>
      </c>
      <c r="CM300" s="2"/>
    </row>
    <row r="301" spans="1:91">
      <c r="A301" s="2" t="s">
        <v>71</v>
      </c>
      <c r="B301" s="2" t="s">
        <v>72</v>
      </c>
      <c r="C301" s="2" t="s">
        <v>73</v>
      </c>
      <c r="D301" s="2"/>
      <c r="E301" s="2" t="str">
        <f>"FES1162541712"</f>
        <v>FES1162541712</v>
      </c>
      <c r="F301" s="3">
        <v>42830</v>
      </c>
      <c r="G301" s="2">
        <v>201710</v>
      </c>
      <c r="H301" s="2" t="s">
        <v>74</v>
      </c>
      <c r="I301" s="2" t="s">
        <v>75</v>
      </c>
      <c r="J301" s="2" t="s">
        <v>76</v>
      </c>
      <c r="K301" s="2" t="s">
        <v>77</v>
      </c>
      <c r="L301" s="2" t="s">
        <v>787</v>
      </c>
      <c r="M301" s="2" t="s">
        <v>788</v>
      </c>
      <c r="N301" s="2" t="s">
        <v>789</v>
      </c>
      <c r="O301" s="2" t="s">
        <v>115</v>
      </c>
      <c r="P301" s="2" t="str">
        <f>"2170560658                    "</f>
        <v xml:space="preserve">2170560658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10.18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2.1</v>
      </c>
      <c r="BJ301" s="2">
        <v>1</v>
      </c>
      <c r="BK301" s="2">
        <v>2.5</v>
      </c>
      <c r="BL301" s="2">
        <v>99.1</v>
      </c>
      <c r="BM301" s="2">
        <v>13.87</v>
      </c>
      <c r="BN301" s="2">
        <v>112.97</v>
      </c>
      <c r="BO301" s="2">
        <v>112.97</v>
      </c>
      <c r="BP301" s="2"/>
      <c r="BQ301" s="2" t="s">
        <v>790</v>
      </c>
      <c r="BR301" s="2" t="s">
        <v>123</v>
      </c>
      <c r="BS301" s="3">
        <v>42831</v>
      </c>
      <c r="BT301" s="4">
        <v>0.49722222222222223</v>
      </c>
      <c r="BU301" s="2" t="s">
        <v>791</v>
      </c>
      <c r="BV301" s="2" t="s">
        <v>111</v>
      </c>
      <c r="BW301" s="2"/>
      <c r="BX301" s="2"/>
      <c r="BY301" s="2">
        <v>4874.6899999999996</v>
      </c>
      <c r="BZ301" s="2" t="s">
        <v>27</v>
      </c>
      <c r="CA301" s="2" t="s">
        <v>159</v>
      </c>
      <c r="CB301" s="2"/>
      <c r="CC301" s="2" t="s">
        <v>788</v>
      </c>
      <c r="CD301" s="2">
        <v>9650</v>
      </c>
      <c r="CE301" s="2" t="s">
        <v>89</v>
      </c>
      <c r="CF301" s="5">
        <v>42836</v>
      </c>
      <c r="CG301" s="2"/>
      <c r="CH301" s="2"/>
      <c r="CI301" s="2">
        <v>1</v>
      </c>
      <c r="CJ301" s="2">
        <v>1</v>
      </c>
      <c r="CK301" s="2">
        <v>23</v>
      </c>
      <c r="CL301" s="2" t="s">
        <v>86</v>
      </c>
      <c r="CM301" s="2"/>
    </row>
    <row r="302" spans="1:91">
      <c r="A302" s="2" t="s">
        <v>71</v>
      </c>
      <c r="B302" s="2" t="s">
        <v>72</v>
      </c>
      <c r="C302" s="2" t="s">
        <v>73</v>
      </c>
      <c r="D302" s="2"/>
      <c r="E302" s="2" t="str">
        <f>"FES1162541397"</f>
        <v>FES1162541397</v>
      </c>
      <c r="F302" s="3">
        <v>42829</v>
      </c>
      <c r="G302" s="2">
        <v>201710</v>
      </c>
      <c r="H302" s="2" t="s">
        <v>74</v>
      </c>
      <c r="I302" s="2" t="s">
        <v>75</v>
      </c>
      <c r="J302" s="2" t="s">
        <v>76</v>
      </c>
      <c r="K302" s="2" t="s">
        <v>77</v>
      </c>
      <c r="L302" s="2" t="s">
        <v>792</v>
      </c>
      <c r="M302" s="2" t="s">
        <v>793</v>
      </c>
      <c r="N302" s="2" t="s">
        <v>794</v>
      </c>
      <c r="O302" s="2" t="s">
        <v>115</v>
      </c>
      <c r="P302" s="2" t="str">
        <f>"2170560448                    "</f>
        <v xml:space="preserve">2170560448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8.57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1</v>
      </c>
      <c r="BJ302" s="2">
        <v>0.2</v>
      </c>
      <c r="BK302" s="2">
        <v>1</v>
      </c>
      <c r="BL302" s="2">
        <v>81.11</v>
      </c>
      <c r="BM302" s="2">
        <v>11.36</v>
      </c>
      <c r="BN302" s="2">
        <v>92.47</v>
      </c>
      <c r="BO302" s="2">
        <v>92.47</v>
      </c>
      <c r="BP302" s="2"/>
      <c r="BQ302" s="2"/>
      <c r="BR302" s="2" t="s">
        <v>123</v>
      </c>
      <c r="BS302" s="3">
        <v>42831</v>
      </c>
      <c r="BT302" s="4">
        <v>0.41666666666666669</v>
      </c>
      <c r="BU302" s="2" t="s">
        <v>795</v>
      </c>
      <c r="BV302" s="2" t="s">
        <v>111</v>
      </c>
      <c r="BW302" s="2"/>
      <c r="BX302" s="2"/>
      <c r="BY302" s="2">
        <v>1200</v>
      </c>
      <c r="BZ302" s="2" t="s">
        <v>27</v>
      </c>
      <c r="CA302" s="2"/>
      <c r="CB302" s="2"/>
      <c r="CC302" s="2" t="s">
        <v>793</v>
      </c>
      <c r="CD302" s="2">
        <v>7306</v>
      </c>
      <c r="CE302" s="2" t="s">
        <v>144</v>
      </c>
      <c r="CF302" s="5">
        <v>42835</v>
      </c>
      <c r="CG302" s="2"/>
      <c r="CH302" s="2"/>
      <c r="CI302" s="2">
        <v>3</v>
      </c>
      <c r="CJ302" s="2">
        <v>2</v>
      </c>
      <c r="CK302" s="2">
        <v>23</v>
      </c>
      <c r="CL302" s="2" t="s">
        <v>86</v>
      </c>
      <c r="CM302" s="2"/>
    </row>
    <row r="303" spans="1:91">
      <c r="A303" s="2" t="s">
        <v>71</v>
      </c>
      <c r="B303" s="2" t="s">
        <v>72</v>
      </c>
      <c r="C303" s="2" t="s">
        <v>73</v>
      </c>
      <c r="D303" s="2"/>
      <c r="E303" s="2" t="str">
        <f>"FES1162543236"</f>
        <v>FES1162543236</v>
      </c>
      <c r="F303" s="3">
        <v>42837</v>
      </c>
      <c r="G303" s="2">
        <v>201710</v>
      </c>
      <c r="H303" s="2" t="s">
        <v>74</v>
      </c>
      <c r="I303" s="2" t="s">
        <v>75</v>
      </c>
      <c r="J303" s="2" t="s">
        <v>76</v>
      </c>
      <c r="K303" s="2" t="s">
        <v>77</v>
      </c>
      <c r="L303" s="2" t="s">
        <v>166</v>
      </c>
      <c r="M303" s="2" t="s">
        <v>167</v>
      </c>
      <c r="N303" s="2" t="s">
        <v>365</v>
      </c>
      <c r="O303" s="2" t="s">
        <v>115</v>
      </c>
      <c r="P303" s="2" t="str">
        <f>"2170558683                    "</f>
        <v xml:space="preserve">2170558683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3.35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1</v>
      </c>
      <c r="BJ303" s="2">
        <v>0.2</v>
      </c>
      <c r="BK303" s="2">
        <v>1</v>
      </c>
      <c r="BL303" s="2">
        <v>32.6</v>
      </c>
      <c r="BM303" s="2">
        <v>4.5599999999999996</v>
      </c>
      <c r="BN303" s="2">
        <v>37.159999999999997</v>
      </c>
      <c r="BO303" s="2">
        <v>37.159999999999997</v>
      </c>
      <c r="BP303" s="2"/>
      <c r="BQ303" s="2"/>
      <c r="BR303" s="2" t="s">
        <v>84</v>
      </c>
      <c r="BS303" s="3">
        <v>42853</v>
      </c>
      <c r="BT303" s="4">
        <v>0.41666666666666669</v>
      </c>
      <c r="BU303" s="2" t="s">
        <v>796</v>
      </c>
      <c r="BV303" s="2" t="s">
        <v>86</v>
      </c>
      <c r="BW303" s="2" t="s">
        <v>164</v>
      </c>
      <c r="BX303" s="2" t="s">
        <v>309</v>
      </c>
      <c r="BY303" s="2">
        <v>1200</v>
      </c>
      <c r="BZ303" s="2" t="s">
        <v>27</v>
      </c>
      <c r="CA303" s="2"/>
      <c r="CB303" s="2"/>
      <c r="CC303" s="2" t="s">
        <v>167</v>
      </c>
      <c r="CD303" s="2">
        <v>2196</v>
      </c>
      <c r="CE303" s="2" t="s">
        <v>118</v>
      </c>
      <c r="CF303" s="2"/>
      <c r="CG303" s="2"/>
      <c r="CH303" s="2"/>
      <c r="CI303" s="2">
        <v>1</v>
      </c>
      <c r="CJ303" s="2">
        <v>12</v>
      </c>
      <c r="CK303" s="2">
        <v>22</v>
      </c>
      <c r="CL303" s="2" t="s">
        <v>86</v>
      </c>
      <c r="CM303" s="2"/>
    </row>
    <row r="304" spans="1:91">
      <c r="A304" s="2" t="s">
        <v>71</v>
      </c>
      <c r="B304" s="2" t="s">
        <v>72</v>
      </c>
      <c r="C304" s="2" t="s">
        <v>73</v>
      </c>
      <c r="D304" s="2"/>
      <c r="E304" s="2" t="str">
        <f>"FES1162541910"</f>
        <v>FES1162541910</v>
      </c>
      <c r="F304" s="3">
        <v>42831</v>
      </c>
      <c r="G304" s="2">
        <v>201710</v>
      </c>
      <c r="H304" s="2" t="s">
        <v>74</v>
      </c>
      <c r="I304" s="2" t="s">
        <v>75</v>
      </c>
      <c r="J304" s="2" t="s">
        <v>76</v>
      </c>
      <c r="K304" s="2" t="s">
        <v>77</v>
      </c>
      <c r="L304" s="2" t="s">
        <v>119</v>
      </c>
      <c r="M304" s="2" t="s">
        <v>120</v>
      </c>
      <c r="N304" s="2" t="s">
        <v>797</v>
      </c>
      <c r="O304" s="2" t="s">
        <v>115</v>
      </c>
      <c r="P304" s="2" t="str">
        <f>"2170558847                    "</f>
        <v xml:space="preserve">2170558847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3.35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2</v>
      </c>
      <c r="BJ304" s="2">
        <v>1.6</v>
      </c>
      <c r="BK304" s="2">
        <v>2</v>
      </c>
      <c r="BL304" s="2">
        <v>32.6</v>
      </c>
      <c r="BM304" s="2">
        <v>4.5599999999999996</v>
      </c>
      <c r="BN304" s="2">
        <v>37.159999999999997</v>
      </c>
      <c r="BO304" s="2">
        <v>37.159999999999997</v>
      </c>
      <c r="BP304" s="2"/>
      <c r="BQ304" s="2" t="s">
        <v>798</v>
      </c>
      <c r="BR304" s="2" t="s">
        <v>123</v>
      </c>
      <c r="BS304" s="3">
        <v>42832</v>
      </c>
      <c r="BT304" s="4">
        <v>0.53125</v>
      </c>
      <c r="BU304" s="2" t="s">
        <v>799</v>
      </c>
      <c r="BV304" s="2" t="s">
        <v>111</v>
      </c>
      <c r="BW304" s="2"/>
      <c r="BX304" s="2"/>
      <c r="BY304" s="2">
        <v>7891.81</v>
      </c>
      <c r="BZ304" s="2" t="s">
        <v>27</v>
      </c>
      <c r="CA304" s="2"/>
      <c r="CB304" s="2"/>
      <c r="CC304" s="2" t="s">
        <v>120</v>
      </c>
      <c r="CD304" s="2">
        <v>2163</v>
      </c>
      <c r="CE304" s="2" t="s">
        <v>89</v>
      </c>
      <c r="CF304" s="5">
        <v>42835</v>
      </c>
      <c r="CG304" s="2"/>
      <c r="CH304" s="2"/>
      <c r="CI304" s="2">
        <v>1</v>
      </c>
      <c r="CJ304" s="2">
        <v>1</v>
      </c>
      <c r="CK304" s="2">
        <v>22</v>
      </c>
      <c r="CL304" s="2" t="s">
        <v>86</v>
      </c>
      <c r="CM304" s="2"/>
    </row>
    <row r="305" spans="1:91">
      <c r="A305" s="2" t="s">
        <v>71</v>
      </c>
      <c r="B305" s="2" t="s">
        <v>72</v>
      </c>
      <c r="C305" s="2" t="s">
        <v>73</v>
      </c>
      <c r="D305" s="2"/>
      <c r="E305" s="2" t="str">
        <f>"FES1162542903"</f>
        <v>FES1162542903</v>
      </c>
      <c r="F305" s="3">
        <v>42836</v>
      </c>
      <c r="G305" s="2">
        <v>201710</v>
      </c>
      <c r="H305" s="2" t="s">
        <v>74</v>
      </c>
      <c r="I305" s="2" t="s">
        <v>75</v>
      </c>
      <c r="J305" s="2" t="s">
        <v>76</v>
      </c>
      <c r="K305" s="2" t="s">
        <v>77</v>
      </c>
      <c r="L305" s="2" t="s">
        <v>358</v>
      </c>
      <c r="M305" s="2" t="s">
        <v>359</v>
      </c>
      <c r="N305" s="2" t="s">
        <v>800</v>
      </c>
      <c r="O305" s="2" t="s">
        <v>115</v>
      </c>
      <c r="P305" s="2" t="str">
        <f>"2170559035                    "</f>
        <v xml:space="preserve">2170559035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4.29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1</v>
      </c>
      <c r="BJ305" s="2">
        <v>0.2</v>
      </c>
      <c r="BK305" s="2">
        <v>1</v>
      </c>
      <c r="BL305" s="2">
        <v>41.73</v>
      </c>
      <c r="BM305" s="2">
        <v>5.84</v>
      </c>
      <c r="BN305" s="2">
        <v>47.57</v>
      </c>
      <c r="BO305" s="2">
        <v>47.57</v>
      </c>
      <c r="BP305" s="2"/>
      <c r="BQ305" s="2" t="s">
        <v>801</v>
      </c>
      <c r="BR305" s="2" t="s">
        <v>123</v>
      </c>
      <c r="BS305" s="3">
        <v>42837</v>
      </c>
      <c r="BT305" s="4">
        <v>0.31319444444444444</v>
      </c>
      <c r="BU305" s="2" t="s">
        <v>802</v>
      </c>
      <c r="BV305" s="2" t="s">
        <v>111</v>
      </c>
      <c r="BW305" s="2"/>
      <c r="BX305" s="2"/>
      <c r="BY305" s="2">
        <v>1200</v>
      </c>
      <c r="BZ305" s="2" t="s">
        <v>27</v>
      </c>
      <c r="CA305" s="2"/>
      <c r="CB305" s="2"/>
      <c r="CC305" s="2" t="s">
        <v>359</v>
      </c>
      <c r="CD305" s="2">
        <v>6230</v>
      </c>
      <c r="CE305" s="2" t="s">
        <v>144</v>
      </c>
      <c r="CF305" s="5">
        <v>42838</v>
      </c>
      <c r="CG305" s="2"/>
      <c r="CH305" s="2"/>
      <c r="CI305" s="2">
        <v>1</v>
      </c>
      <c r="CJ305" s="2">
        <v>1</v>
      </c>
      <c r="CK305" s="2">
        <v>21</v>
      </c>
      <c r="CL305" s="2" t="s">
        <v>86</v>
      </c>
      <c r="CM305" s="2"/>
    </row>
    <row r="306" spans="1:91">
      <c r="A306" s="2" t="s">
        <v>71</v>
      </c>
      <c r="B306" s="2" t="s">
        <v>72</v>
      </c>
      <c r="C306" s="2" t="s">
        <v>73</v>
      </c>
      <c r="D306" s="2"/>
      <c r="E306" s="2" t="str">
        <f>"FES1162541788"</f>
        <v>FES1162541788</v>
      </c>
      <c r="F306" s="3">
        <v>42830</v>
      </c>
      <c r="G306" s="2">
        <v>201710</v>
      </c>
      <c r="H306" s="2" t="s">
        <v>74</v>
      </c>
      <c r="I306" s="2" t="s">
        <v>75</v>
      </c>
      <c r="J306" s="2" t="s">
        <v>76</v>
      </c>
      <c r="K306" s="2" t="s">
        <v>77</v>
      </c>
      <c r="L306" s="2" t="s">
        <v>160</v>
      </c>
      <c r="M306" s="2" t="s">
        <v>161</v>
      </c>
      <c r="N306" s="2" t="s">
        <v>463</v>
      </c>
      <c r="O306" s="2" t="s">
        <v>115</v>
      </c>
      <c r="P306" s="2" t="str">
        <f>"2170560768                    "</f>
        <v xml:space="preserve">2170560768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30.01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14</v>
      </c>
      <c r="BJ306" s="2">
        <v>3.7</v>
      </c>
      <c r="BK306" s="2">
        <v>14</v>
      </c>
      <c r="BL306" s="2">
        <v>292.08999999999997</v>
      </c>
      <c r="BM306" s="2">
        <v>40.89</v>
      </c>
      <c r="BN306" s="2">
        <v>332.98</v>
      </c>
      <c r="BO306" s="2">
        <v>332.98</v>
      </c>
      <c r="BP306" s="2"/>
      <c r="BQ306" s="2" t="s">
        <v>129</v>
      </c>
      <c r="BR306" s="2" t="s">
        <v>123</v>
      </c>
      <c r="BS306" s="3">
        <v>42831</v>
      </c>
      <c r="BT306" s="4">
        <v>0.41666666666666669</v>
      </c>
      <c r="BU306" s="2" t="s">
        <v>803</v>
      </c>
      <c r="BV306" s="2" t="s">
        <v>111</v>
      </c>
      <c r="BW306" s="2"/>
      <c r="BX306" s="2"/>
      <c r="BY306" s="2">
        <v>18532.990000000002</v>
      </c>
      <c r="BZ306" s="2" t="s">
        <v>27</v>
      </c>
      <c r="CA306" s="2"/>
      <c r="CB306" s="2"/>
      <c r="CC306" s="2" t="s">
        <v>161</v>
      </c>
      <c r="CD306" s="2">
        <v>5201</v>
      </c>
      <c r="CE306" s="2" t="s">
        <v>89</v>
      </c>
      <c r="CF306" s="5">
        <v>42832</v>
      </c>
      <c r="CG306" s="2"/>
      <c r="CH306" s="2"/>
      <c r="CI306" s="2">
        <v>1</v>
      </c>
      <c r="CJ306" s="2">
        <v>1</v>
      </c>
      <c r="CK306" s="2">
        <v>21</v>
      </c>
      <c r="CL306" s="2" t="s">
        <v>86</v>
      </c>
      <c r="CM306" s="2"/>
    </row>
    <row r="307" spans="1:91">
      <c r="A307" s="2" t="s">
        <v>71</v>
      </c>
      <c r="B307" s="2" t="s">
        <v>72</v>
      </c>
      <c r="C307" s="2" t="s">
        <v>73</v>
      </c>
      <c r="D307" s="2"/>
      <c r="E307" s="2" t="str">
        <f>"FES1162541490"</f>
        <v>FES1162541490</v>
      </c>
      <c r="F307" s="3">
        <v>42830</v>
      </c>
      <c r="G307" s="2">
        <v>201710</v>
      </c>
      <c r="H307" s="2" t="s">
        <v>74</v>
      </c>
      <c r="I307" s="2" t="s">
        <v>75</v>
      </c>
      <c r="J307" s="2" t="s">
        <v>76</v>
      </c>
      <c r="K307" s="2" t="s">
        <v>77</v>
      </c>
      <c r="L307" s="2" t="s">
        <v>160</v>
      </c>
      <c r="M307" s="2" t="s">
        <v>161</v>
      </c>
      <c r="N307" s="2" t="s">
        <v>623</v>
      </c>
      <c r="O307" s="2" t="s">
        <v>115</v>
      </c>
      <c r="P307" s="2" t="str">
        <f>"2170560461                    "</f>
        <v xml:space="preserve">2170560461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4.29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1</v>
      </c>
      <c r="BJ307" s="2">
        <v>0.2</v>
      </c>
      <c r="BK307" s="2">
        <v>1</v>
      </c>
      <c r="BL307" s="2">
        <v>41.73</v>
      </c>
      <c r="BM307" s="2">
        <v>5.84</v>
      </c>
      <c r="BN307" s="2">
        <v>47.57</v>
      </c>
      <c r="BO307" s="2">
        <v>47.57</v>
      </c>
      <c r="BP307" s="2"/>
      <c r="BQ307" s="2" t="s">
        <v>116</v>
      </c>
      <c r="BR307" s="2" t="s">
        <v>123</v>
      </c>
      <c r="BS307" s="3">
        <v>42831</v>
      </c>
      <c r="BT307" s="4">
        <v>0.41666666666666669</v>
      </c>
      <c r="BU307" s="2" t="s">
        <v>804</v>
      </c>
      <c r="BV307" s="2" t="s">
        <v>111</v>
      </c>
      <c r="BW307" s="2"/>
      <c r="BX307" s="2"/>
      <c r="BY307" s="2">
        <v>1200</v>
      </c>
      <c r="BZ307" s="2" t="s">
        <v>27</v>
      </c>
      <c r="CA307" s="2" t="s">
        <v>159</v>
      </c>
      <c r="CB307" s="2"/>
      <c r="CC307" s="2" t="s">
        <v>161</v>
      </c>
      <c r="CD307" s="2">
        <v>5201</v>
      </c>
      <c r="CE307" s="2" t="s">
        <v>144</v>
      </c>
      <c r="CF307" s="5">
        <v>42832</v>
      </c>
      <c r="CG307" s="2"/>
      <c r="CH307" s="2"/>
      <c r="CI307" s="2">
        <v>1</v>
      </c>
      <c r="CJ307" s="2">
        <v>1</v>
      </c>
      <c r="CK307" s="2">
        <v>21</v>
      </c>
      <c r="CL307" s="2" t="s">
        <v>86</v>
      </c>
      <c r="CM307" s="2"/>
    </row>
    <row r="308" spans="1:91">
      <c r="A308" s="2" t="s">
        <v>71</v>
      </c>
      <c r="B308" s="2" t="s">
        <v>72</v>
      </c>
      <c r="C308" s="2" t="s">
        <v>73</v>
      </c>
      <c r="D308" s="2"/>
      <c r="E308" s="2" t="str">
        <f>"FES1162543227"</f>
        <v>FES1162543227</v>
      </c>
      <c r="F308" s="3">
        <v>42837</v>
      </c>
      <c r="G308" s="2">
        <v>201710</v>
      </c>
      <c r="H308" s="2" t="s">
        <v>74</v>
      </c>
      <c r="I308" s="2" t="s">
        <v>75</v>
      </c>
      <c r="J308" s="2" t="s">
        <v>76</v>
      </c>
      <c r="K308" s="2" t="s">
        <v>77</v>
      </c>
      <c r="L308" s="2" t="s">
        <v>260</v>
      </c>
      <c r="M308" s="2" t="s">
        <v>261</v>
      </c>
      <c r="N308" s="2" t="s">
        <v>805</v>
      </c>
      <c r="O308" s="2" t="s">
        <v>115</v>
      </c>
      <c r="P308" s="2" t="str">
        <f>"2170557865                    "</f>
        <v xml:space="preserve">2170557865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3.35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1.4</v>
      </c>
      <c r="BJ308" s="2">
        <v>0.2</v>
      </c>
      <c r="BK308" s="2">
        <v>2</v>
      </c>
      <c r="BL308" s="2">
        <v>32.6</v>
      </c>
      <c r="BM308" s="2">
        <v>4.5599999999999996</v>
      </c>
      <c r="BN308" s="2">
        <v>37.159999999999997</v>
      </c>
      <c r="BO308" s="2">
        <v>37.159999999999997</v>
      </c>
      <c r="BP308" s="2"/>
      <c r="BQ308" s="2"/>
      <c r="BR308" s="2" t="s">
        <v>84</v>
      </c>
      <c r="BS308" s="3">
        <v>42838</v>
      </c>
      <c r="BT308" s="4">
        <v>0.38541666666666669</v>
      </c>
      <c r="BU308" s="2" t="s">
        <v>806</v>
      </c>
      <c r="BV308" s="2" t="s">
        <v>111</v>
      </c>
      <c r="BW308" s="2"/>
      <c r="BX308" s="2"/>
      <c r="BY308" s="2">
        <v>1200</v>
      </c>
      <c r="BZ308" s="2" t="s">
        <v>27</v>
      </c>
      <c r="CA308" s="2"/>
      <c r="CB308" s="2"/>
      <c r="CC308" s="2" t="s">
        <v>261</v>
      </c>
      <c r="CD308" s="2">
        <v>1450</v>
      </c>
      <c r="CE308" s="2" t="s">
        <v>118</v>
      </c>
      <c r="CF308" s="5">
        <v>42843</v>
      </c>
      <c r="CG308" s="2"/>
      <c r="CH308" s="2"/>
      <c r="CI308" s="2">
        <v>1</v>
      </c>
      <c r="CJ308" s="2">
        <v>1</v>
      </c>
      <c r="CK308" s="2">
        <v>22</v>
      </c>
      <c r="CL308" s="2" t="s">
        <v>86</v>
      </c>
      <c r="CM308" s="2"/>
    </row>
    <row r="309" spans="1:91">
      <c r="A309" s="2" t="s">
        <v>71</v>
      </c>
      <c r="B309" s="2" t="s">
        <v>72</v>
      </c>
      <c r="C309" s="2" t="s">
        <v>73</v>
      </c>
      <c r="D309" s="2"/>
      <c r="E309" s="2" t="str">
        <f>"FES1162541904"</f>
        <v>FES1162541904</v>
      </c>
      <c r="F309" s="3">
        <v>42831</v>
      </c>
      <c r="G309" s="2">
        <v>201710</v>
      </c>
      <c r="H309" s="2" t="s">
        <v>74</v>
      </c>
      <c r="I309" s="2" t="s">
        <v>75</v>
      </c>
      <c r="J309" s="2" t="s">
        <v>76</v>
      </c>
      <c r="K309" s="2" t="s">
        <v>77</v>
      </c>
      <c r="L309" s="2" t="s">
        <v>443</v>
      </c>
      <c r="M309" s="2" t="s">
        <v>444</v>
      </c>
      <c r="N309" s="2" t="s">
        <v>627</v>
      </c>
      <c r="O309" s="2" t="s">
        <v>115</v>
      </c>
      <c r="P309" s="2" t="str">
        <f>"2170558700                    "</f>
        <v xml:space="preserve">2170558700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4.29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1</v>
      </c>
      <c r="BJ309" s="2">
        <v>0.2</v>
      </c>
      <c r="BK309" s="2">
        <v>1</v>
      </c>
      <c r="BL309" s="2">
        <v>41.73</v>
      </c>
      <c r="BM309" s="2">
        <v>5.84</v>
      </c>
      <c r="BN309" s="2">
        <v>47.57</v>
      </c>
      <c r="BO309" s="2">
        <v>47.57</v>
      </c>
      <c r="BP309" s="2"/>
      <c r="BQ309" s="2" t="s">
        <v>628</v>
      </c>
      <c r="BR309" s="2" t="s">
        <v>123</v>
      </c>
      <c r="BS309" s="3">
        <v>42832</v>
      </c>
      <c r="BT309" s="4">
        <v>0.41666666666666669</v>
      </c>
      <c r="BU309" s="2" t="s">
        <v>807</v>
      </c>
      <c r="BV309" s="2" t="s">
        <v>111</v>
      </c>
      <c r="BW309" s="2"/>
      <c r="BX309" s="2"/>
      <c r="BY309" s="2">
        <v>1200</v>
      </c>
      <c r="BZ309" s="2" t="s">
        <v>27</v>
      </c>
      <c r="CA309" s="2"/>
      <c r="CB309" s="2"/>
      <c r="CC309" s="2" t="s">
        <v>444</v>
      </c>
      <c r="CD309" s="2">
        <v>7130</v>
      </c>
      <c r="CE309" s="2" t="s">
        <v>144</v>
      </c>
      <c r="CF309" s="5">
        <v>42835</v>
      </c>
      <c r="CG309" s="2"/>
      <c r="CH309" s="2"/>
      <c r="CI309" s="2">
        <v>1</v>
      </c>
      <c r="CJ309" s="2">
        <v>1</v>
      </c>
      <c r="CK309" s="2">
        <v>21</v>
      </c>
      <c r="CL309" s="2" t="s">
        <v>86</v>
      </c>
      <c r="CM309" s="2"/>
    </row>
    <row r="310" spans="1:91">
      <c r="A310" s="2" t="s">
        <v>71</v>
      </c>
      <c r="B310" s="2" t="s">
        <v>72</v>
      </c>
      <c r="C310" s="2" t="s">
        <v>73</v>
      </c>
      <c r="D310" s="2"/>
      <c r="E310" s="2" t="str">
        <f>"FES1162541419"</f>
        <v>FES1162541419</v>
      </c>
      <c r="F310" s="3">
        <v>42829</v>
      </c>
      <c r="G310" s="2">
        <v>201710</v>
      </c>
      <c r="H310" s="2" t="s">
        <v>74</v>
      </c>
      <c r="I310" s="2" t="s">
        <v>75</v>
      </c>
      <c r="J310" s="2" t="s">
        <v>76</v>
      </c>
      <c r="K310" s="2" t="s">
        <v>77</v>
      </c>
      <c r="L310" s="2" t="s">
        <v>516</v>
      </c>
      <c r="M310" s="2" t="s">
        <v>517</v>
      </c>
      <c r="N310" s="2" t="s">
        <v>808</v>
      </c>
      <c r="O310" s="2" t="s">
        <v>115</v>
      </c>
      <c r="P310" s="2" t="str">
        <f>"2170560506                    "</f>
        <v xml:space="preserve">2170560506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3.45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1.4</v>
      </c>
      <c r="BJ310" s="2">
        <v>0.2</v>
      </c>
      <c r="BK310" s="2">
        <v>2</v>
      </c>
      <c r="BL310" s="2">
        <v>32.700000000000003</v>
      </c>
      <c r="BM310" s="2">
        <v>4.58</v>
      </c>
      <c r="BN310" s="2">
        <v>37.28</v>
      </c>
      <c r="BO310" s="2">
        <v>37.28</v>
      </c>
      <c r="BP310" s="2"/>
      <c r="BQ310" s="2" t="s">
        <v>809</v>
      </c>
      <c r="BR310" s="2" t="s">
        <v>123</v>
      </c>
      <c r="BS310" s="3">
        <v>42837</v>
      </c>
      <c r="BT310" s="4">
        <v>0.375</v>
      </c>
      <c r="BU310" s="2" t="s">
        <v>810</v>
      </c>
      <c r="BV310" s="2" t="s">
        <v>86</v>
      </c>
      <c r="BW310" s="2" t="s">
        <v>811</v>
      </c>
      <c r="BX310" s="2" t="s">
        <v>812</v>
      </c>
      <c r="BY310" s="2">
        <v>1200</v>
      </c>
      <c r="BZ310" s="2" t="s">
        <v>27</v>
      </c>
      <c r="CA310" s="2" t="s">
        <v>590</v>
      </c>
      <c r="CB310" s="2"/>
      <c r="CC310" s="2" t="s">
        <v>517</v>
      </c>
      <c r="CD310" s="2">
        <v>1459</v>
      </c>
      <c r="CE310" s="2" t="s">
        <v>118</v>
      </c>
      <c r="CF310" s="5">
        <v>42843</v>
      </c>
      <c r="CG310" s="2"/>
      <c r="CH310" s="2"/>
      <c r="CI310" s="2">
        <v>1</v>
      </c>
      <c r="CJ310" s="2">
        <v>6</v>
      </c>
      <c r="CK310" s="2">
        <v>22</v>
      </c>
      <c r="CL310" s="2" t="s">
        <v>86</v>
      </c>
      <c r="CM310" s="2"/>
    </row>
    <row r="311" spans="1:91">
      <c r="A311" s="2" t="s">
        <v>71</v>
      </c>
      <c r="B311" s="2" t="s">
        <v>72</v>
      </c>
      <c r="C311" s="2" t="s">
        <v>73</v>
      </c>
      <c r="D311" s="2"/>
      <c r="E311" s="2" t="str">
        <f>"FES1162542856"</f>
        <v>FES1162542856</v>
      </c>
      <c r="F311" s="3">
        <v>42836</v>
      </c>
      <c r="G311" s="2">
        <v>201710</v>
      </c>
      <c r="H311" s="2" t="s">
        <v>74</v>
      </c>
      <c r="I311" s="2" t="s">
        <v>75</v>
      </c>
      <c r="J311" s="2" t="s">
        <v>76</v>
      </c>
      <c r="K311" s="2" t="s">
        <v>77</v>
      </c>
      <c r="L311" s="2" t="s">
        <v>294</v>
      </c>
      <c r="M311" s="2" t="s">
        <v>295</v>
      </c>
      <c r="N311" s="2" t="s">
        <v>813</v>
      </c>
      <c r="O311" s="2" t="s">
        <v>115</v>
      </c>
      <c r="P311" s="2" t="str">
        <f>"2170558861                    "</f>
        <v xml:space="preserve">2170558861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4.29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1</v>
      </c>
      <c r="BJ311" s="2">
        <v>0.2</v>
      </c>
      <c r="BK311" s="2">
        <v>1</v>
      </c>
      <c r="BL311" s="2">
        <v>41.73</v>
      </c>
      <c r="BM311" s="2">
        <v>5.84</v>
      </c>
      <c r="BN311" s="2">
        <v>47.57</v>
      </c>
      <c r="BO311" s="2">
        <v>47.57</v>
      </c>
      <c r="BP311" s="2"/>
      <c r="BQ311" s="2" t="s">
        <v>116</v>
      </c>
      <c r="BR311" s="2" t="s">
        <v>123</v>
      </c>
      <c r="BS311" s="3">
        <v>42837</v>
      </c>
      <c r="BT311" s="4">
        <v>0.4375</v>
      </c>
      <c r="BU311" s="2" t="s">
        <v>814</v>
      </c>
      <c r="BV311" s="2" t="s">
        <v>111</v>
      </c>
      <c r="BW311" s="2"/>
      <c r="BX311" s="2"/>
      <c r="BY311" s="2">
        <v>1200</v>
      </c>
      <c r="BZ311" s="2" t="s">
        <v>27</v>
      </c>
      <c r="CA311" s="2"/>
      <c r="CB311" s="2"/>
      <c r="CC311" s="2" t="s">
        <v>295</v>
      </c>
      <c r="CD311" s="2">
        <v>3610</v>
      </c>
      <c r="CE311" s="2" t="s">
        <v>144</v>
      </c>
      <c r="CF311" s="5">
        <v>42843</v>
      </c>
      <c r="CG311" s="2"/>
      <c r="CH311" s="2"/>
      <c r="CI311" s="2">
        <v>1</v>
      </c>
      <c r="CJ311" s="2">
        <v>1</v>
      </c>
      <c r="CK311" s="2">
        <v>21</v>
      </c>
      <c r="CL311" s="2" t="s">
        <v>86</v>
      </c>
      <c r="CM311" s="2"/>
    </row>
    <row r="312" spans="1:91">
      <c r="A312" s="2" t="s">
        <v>71</v>
      </c>
      <c r="B312" s="2" t="s">
        <v>72</v>
      </c>
      <c r="C312" s="2" t="s">
        <v>73</v>
      </c>
      <c r="D312" s="2"/>
      <c r="E312" s="2" t="str">
        <f>"FES1162541751"</f>
        <v>FES1162541751</v>
      </c>
      <c r="F312" s="3">
        <v>42830</v>
      </c>
      <c r="G312" s="2">
        <v>201710</v>
      </c>
      <c r="H312" s="2" t="s">
        <v>74</v>
      </c>
      <c r="I312" s="2" t="s">
        <v>75</v>
      </c>
      <c r="J312" s="2" t="s">
        <v>76</v>
      </c>
      <c r="K312" s="2" t="s">
        <v>77</v>
      </c>
      <c r="L312" s="2" t="s">
        <v>516</v>
      </c>
      <c r="M312" s="2" t="s">
        <v>517</v>
      </c>
      <c r="N312" s="2" t="s">
        <v>815</v>
      </c>
      <c r="O312" s="2" t="s">
        <v>115</v>
      </c>
      <c r="P312" s="2" t="str">
        <f>"210555619                     "</f>
        <v xml:space="preserve">210555619 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3.35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1.7</v>
      </c>
      <c r="BJ312" s="2">
        <v>2.8</v>
      </c>
      <c r="BK312" s="2">
        <v>3</v>
      </c>
      <c r="BL312" s="2">
        <v>32.6</v>
      </c>
      <c r="BM312" s="2">
        <v>4.5599999999999996</v>
      </c>
      <c r="BN312" s="2">
        <v>37.159999999999997</v>
      </c>
      <c r="BO312" s="2">
        <v>37.159999999999997</v>
      </c>
      <c r="BP312" s="2"/>
      <c r="BQ312" s="2" t="s">
        <v>816</v>
      </c>
      <c r="BR312" s="2" t="s">
        <v>123</v>
      </c>
      <c r="BS312" s="3">
        <v>42831</v>
      </c>
      <c r="BT312" s="4">
        <v>0.3298611111111111</v>
      </c>
      <c r="BU312" s="2" t="s">
        <v>817</v>
      </c>
      <c r="BV312" s="2" t="s">
        <v>111</v>
      </c>
      <c r="BW312" s="2"/>
      <c r="BX312" s="2"/>
      <c r="BY312" s="2">
        <v>14060</v>
      </c>
      <c r="BZ312" s="2" t="s">
        <v>27</v>
      </c>
      <c r="CA312" s="2"/>
      <c r="CB312" s="2"/>
      <c r="CC312" s="2" t="s">
        <v>517</v>
      </c>
      <c r="CD312" s="2">
        <v>1459</v>
      </c>
      <c r="CE312" s="2" t="s">
        <v>89</v>
      </c>
      <c r="CF312" s="5">
        <v>42832</v>
      </c>
      <c r="CG312" s="2"/>
      <c r="CH312" s="2"/>
      <c r="CI312" s="2">
        <v>1</v>
      </c>
      <c r="CJ312" s="2">
        <v>1</v>
      </c>
      <c r="CK312" s="2">
        <v>22</v>
      </c>
      <c r="CL312" s="2" t="s">
        <v>86</v>
      </c>
      <c r="CM312" s="2"/>
    </row>
    <row r="313" spans="1:91">
      <c r="A313" s="2" t="s">
        <v>71</v>
      </c>
      <c r="B313" s="2" t="s">
        <v>72</v>
      </c>
      <c r="C313" s="2" t="s">
        <v>73</v>
      </c>
      <c r="D313" s="2"/>
      <c r="E313" s="2" t="str">
        <f>"FES1162541385"</f>
        <v>FES1162541385</v>
      </c>
      <c r="F313" s="3">
        <v>42829</v>
      </c>
      <c r="G313" s="2">
        <v>201710</v>
      </c>
      <c r="H313" s="2" t="s">
        <v>74</v>
      </c>
      <c r="I313" s="2" t="s">
        <v>75</v>
      </c>
      <c r="J313" s="2" t="s">
        <v>76</v>
      </c>
      <c r="K313" s="2" t="s">
        <v>77</v>
      </c>
      <c r="L313" s="2" t="s">
        <v>131</v>
      </c>
      <c r="M313" s="2" t="s">
        <v>132</v>
      </c>
      <c r="N313" s="2" t="s">
        <v>649</v>
      </c>
      <c r="O313" s="2" t="s">
        <v>115</v>
      </c>
      <c r="P313" s="2" t="str">
        <f>"2170560250                    "</f>
        <v xml:space="preserve">2170560250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4.42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1</v>
      </c>
      <c r="BJ313" s="2">
        <v>0.2</v>
      </c>
      <c r="BK313" s="2">
        <v>1</v>
      </c>
      <c r="BL313" s="2">
        <v>41.86</v>
      </c>
      <c r="BM313" s="2">
        <v>5.86</v>
      </c>
      <c r="BN313" s="2">
        <v>47.72</v>
      </c>
      <c r="BO313" s="2">
        <v>47.72</v>
      </c>
      <c r="BP313" s="2"/>
      <c r="BQ313" s="2" t="s">
        <v>818</v>
      </c>
      <c r="BR313" s="2" t="s">
        <v>123</v>
      </c>
      <c r="BS313" s="3">
        <v>42830</v>
      </c>
      <c r="BT313" s="4">
        <v>0.41666666666666669</v>
      </c>
      <c r="BU313" s="2" t="s">
        <v>819</v>
      </c>
      <c r="BV313" s="2" t="s">
        <v>111</v>
      </c>
      <c r="BW313" s="2"/>
      <c r="BX313" s="2"/>
      <c r="BY313" s="2">
        <v>1200</v>
      </c>
      <c r="BZ313" s="2" t="s">
        <v>27</v>
      </c>
      <c r="CA313" s="2"/>
      <c r="CB313" s="2"/>
      <c r="CC313" s="2" t="s">
        <v>132</v>
      </c>
      <c r="CD313" s="2">
        <v>7405</v>
      </c>
      <c r="CE313" s="2" t="s">
        <v>144</v>
      </c>
      <c r="CF313" s="5">
        <v>42831</v>
      </c>
      <c r="CG313" s="2"/>
      <c r="CH313" s="2"/>
      <c r="CI313" s="2">
        <v>1</v>
      </c>
      <c r="CJ313" s="2">
        <v>1</v>
      </c>
      <c r="CK313" s="2">
        <v>21</v>
      </c>
      <c r="CL313" s="2" t="s">
        <v>86</v>
      </c>
      <c r="CM313" s="2"/>
    </row>
    <row r="314" spans="1:91">
      <c r="A314" s="2" t="s">
        <v>71</v>
      </c>
      <c r="B314" s="2" t="s">
        <v>72</v>
      </c>
      <c r="C314" s="2" t="s">
        <v>73</v>
      </c>
      <c r="D314" s="2"/>
      <c r="E314" s="2" t="str">
        <f>"FES1162543260"</f>
        <v>FES1162543260</v>
      </c>
      <c r="F314" s="3">
        <v>42837</v>
      </c>
      <c r="G314" s="2">
        <v>201710</v>
      </c>
      <c r="H314" s="2" t="s">
        <v>74</v>
      </c>
      <c r="I314" s="2" t="s">
        <v>75</v>
      </c>
      <c r="J314" s="2" t="s">
        <v>76</v>
      </c>
      <c r="K314" s="2" t="s">
        <v>77</v>
      </c>
      <c r="L314" s="2" t="s">
        <v>176</v>
      </c>
      <c r="M314" s="2" t="s">
        <v>176</v>
      </c>
      <c r="N314" s="2" t="s">
        <v>820</v>
      </c>
      <c r="O314" s="2" t="s">
        <v>115</v>
      </c>
      <c r="P314" s="2" t="str">
        <f>"2170559489                    "</f>
        <v xml:space="preserve">2170559489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4.29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1</v>
      </c>
      <c r="BJ314" s="2">
        <v>0.2</v>
      </c>
      <c r="BK314" s="2">
        <v>1</v>
      </c>
      <c r="BL314" s="2">
        <v>41.73</v>
      </c>
      <c r="BM314" s="2">
        <v>5.84</v>
      </c>
      <c r="BN314" s="2">
        <v>47.57</v>
      </c>
      <c r="BO314" s="2">
        <v>47.57</v>
      </c>
      <c r="BP314" s="2"/>
      <c r="BQ314" s="2" t="s">
        <v>821</v>
      </c>
      <c r="BR314" s="2" t="s">
        <v>84</v>
      </c>
      <c r="BS314" s="3">
        <v>42838</v>
      </c>
      <c r="BT314" s="4">
        <v>0.50694444444444442</v>
      </c>
      <c r="BU314" s="2" t="s">
        <v>822</v>
      </c>
      <c r="BV314" s="2" t="s">
        <v>111</v>
      </c>
      <c r="BW314" s="2"/>
      <c r="BX314" s="2"/>
      <c r="BY314" s="2">
        <v>1200</v>
      </c>
      <c r="BZ314" s="2" t="s">
        <v>27</v>
      </c>
      <c r="CA314" s="2"/>
      <c r="CB314" s="2"/>
      <c r="CC314" s="2" t="s">
        <v>176</v>
      </c>
      <c r="CD314" s="2">
        <v>7646</v>
      </c>
      <c r="CE314" s="2" t="s">
        <v>118</v>
      </c>
      <c r="CF314" s="5">
        <v>42843</v>
      </c>
      <c r="CG314" s="2"/>
      <c r="CH314" s="2"/>
      <c r="CI314" s="2">
        <v>1</v>
      </c>
      <c r="CJ314" s="2">
        <v>1</v>
      </c>
      <c r="CK314" s="2">
        <v>21</v>
      </c>
      <c r="CL314" s="2" t="s">
        <v>86</v>
      </c>
      <c r="CM314" s="2"/>
    </row>
    <row r="315" spans="1:91">
      <c r="A315" s="2" t="s">
        <v>71</v>
      </c>
      <c r="B315" s="2" t="s">
        <v>72</v>
      </c>
      <c r="C315" s="2" t="s">
        <v>73</v>
      </c>
      <c r="D315" s="2"/>
      <c r="E315" s="2" t="str">
        <f>"FES1162541923"</f>
        <v>FES1162541923</v>
      </c>
      <c r="F315" s="3">
        <v>42831</v>
      </c>
      <c r="G315" s="2">
        <v>201710</v>
      </c>
      <c r="H315" s="2" t="s">
        <v>74</v>
      </c>
      <c r="I315" s="2" t="s">
        <v>75</v>
      </c>
      <c r="J315" s="2" t="s">
        <v>76</v>
      </c>
      <c r="K315" s="2" t="s">
        <v>77</v>
      </c>
      <c r="L315" s="2" t="s">
        <v>166</v>
      </c>
      <c r="M315" s="2" t="s">
        <v>167</v>
      </c>
      <c r="N315" s="2" t="s">
        <v>168</v>
      </c>
      <c r="O315" s="2" t="s">
        <v>115</v>
      </c>
      <c r="P315" s="2" t="str">
        <f>"2170560911                    "</f>
        <v xml:space="preserve">2170560911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3.35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2</v>
      </c>
      <c r="BJ315" s="2">
        <v>1.6</v>
      </c>
      <c r="BK315" s="2">
        <v>2</v>
      </c>
      <c r="BL315" s="2">
        <v>32.6</v>
      </c>
      <c r="BM315" s="2">
        <v>4.5599999999999996</v>
      </c>
      <c r="BN315" s="2">
        <v>37.159999999999997</v>
      </c>
      <c r="BO315" s="2">
        <v>37.159999999999997</v>
      </c>
      <c r="BP315" s="2"/>
      <c r="BQ315" s="2" t="s">
        <v>169</v>
      </c>
      <c r="BR315" s="2" t="s">
        <v>123</v>
      </c>
      <c r="BS315" s="3">
        <v>42832</v>
      </c>
      <c r="BT315" s="4">
        <v>0.41805555555555557</v>
      </c>
      <c r="BU315" s="2" t="s">
        <v>823</v>
      </c>
      <c r="BV315" s="2" t="s">
        <v>111</v>
      </c>
      <c r="BW315" s="2"/>
      <c r="BX315" s="2"/>
      <c r="BY315" s="2">
        <v>7866.99</v>
      </c>
      <c r="BZ315" s="2" t="s">
        <v>27</v>
      </c>
      <c r="CA315" s="2" t="s">
        <v>171</v>
      </c>
      <c r="CB315" s="2"/>
      <c r="CC315" s="2" t="s">
        <v>167</v>
      </c>
      <c r="CD315" s="2">
        <v>2094</v>
      </c>
      <c r="CE315" s="2" t="s">
        <v>89</v>
      </c>
      <c r="CF315" s="5">
        <v>42835</v>
      </c>
      <c r="CG315" s="2"/>
      <c r="CH315" s="2"/>
      <c r="CI315" s="2">
        <v>1</v>
      </c>
      <c r="CJ315" s="2">
        <v>1</v>
      </c>
      <c r="CK315" s="2">
        <v>22</v>
      </c>
      <c r="CL315" s="2" t="s">
        <v>86</v>
      </c>
      <c r="CM315" s="2"/>
    </row>
    <row r="316" spans="1:91">
      <c r="A316" s="2" t="s">
        <v>71</v>
      </c>
      <c r="B316" s="2" t="s">
        <v>72</v>
      </c>
      <c r="C316" s="2" t="s">
        <v>73</v>
      </c>
      <c r="D316" s="2"/>
      <c r="E316" s="2" t="str">
        <f>"FES1162541276"</f>
        <v>FES1162541276</v>
      </c>
      <c r="F316" s="3">
        <v>42829</v>
      </c>
      <c r="G316" s="2">
        <v>201710</v>
      </c>
      <c r="H316" s="2" t="s">
        <v>74</v>
      </c>
      <c r="I316" s="2" t="s">
        <v>75</v>
      </c>
      <c r="J316" s="2" t="s">
        <v>76</v>
      </c>
      <c r="K316" s="2" t="s">
        <v>77</v>
      </c>
      <c r="L316" s="2" t="s">
        <v>99</v>
      </c>
      <c r="M316" s="2" t="s">
        <v>100</v>
      </c>
      <c r="N316" s="2" t="s">
        <v>824</v>
      </c>
      <c r="O316" s="2" t="s">
        <v>115</v>
      </c>
      <c r="P316" s="2" t="str">
        <f>"2170560337                    "</f>
        <v xml:space="preserve">2170560337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19.899999999999999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9</v>
      </c>
      <c r="BJ316" s="2">
        <v>3.5</v>
      </c>
      <c r="BK316" s="2">
        <v>9</v>
      </c>
      <c r="BL316" s="2">
        <v>188.38</v>
      </c>
      <c r="BM316" s="2">
        <v>26.37</v>
      </c>
      <c r="BN316" s="2">
        <v>214.75</v>
      </c>
      <c r="BO316" s="2">
        <v>214.75</v>
      </c>
      <c r="BP316" s="2"/>
      <c r="BQ316" s="2" t="s">
        <v>825</v>
      </c>
      <c r="BR316" s="2" t="s">
        <v>123</v>
      </c>
      <c r="BS316" s="3">
        <v>42830</v>
      </c>
      <c r="BT316" s="4">
        <v>0.40069444444444446</v>
      </c>
      <c r="BU316" s="2" t="s">
        <v>245</v>
      </c>
      <c r="BV316" s="2" t="s">
        <v>111</v>
      </c>
      <c r="BW316" s="2"/>
      <c r="BX316" s="2"/>
      <c r="BY316" s="2">
        <v>17582.22</v>
      </c>
      <c r="BZ316" s="2" t="s">
        <v>27</v>
      </c>
      <c r="CA316" s="2"/>
      <c r="CB316" s="2"/>
      <c r="CC316" s="2" t="s">
        <v>100</v>
      </c>
      <c r="CD316" s="2">
        <v>6045</v>
      </c>
      <c r="CE316" s="2" t="s">
        <v>135</v>
      </c>
      <c r="CF316" s="5">
        <v>42832</v>
      </c>
      <c r="CG316" s="2"/>
      <c r="CH316" s="2"/>
      <c r="CI316" s="2">
        <v>1</v>
      </c>
      <c r="CJ316" s="2">
        <v>1</v>
      </c>
      <c r="CK316" s="2">
        <v>21</v>
      </c>
      <c r="CL316" s="2" t="s">
        <v>86</v>
      </c>
      <c r="CM316" s="2"/>
    </row>
    <row r="317" spans="1:91">
      <c r="A317" s="2" t="s">
        <v>71</v>
      </c>
      <c r="B317" s="2" t="s">
        <v>72</v>
      </c>
      <c r="C317" s="2" t="s">
        <v>73</v>
      </c>
      <c r="D317" s="2"/>
      <c r="E317" s="2" t="str">
        <f>"FES1162542780"</f>
        <v>FES1162542780</v>
      </c>
      <c r="F317" s="3">
        <v>42836</v>
      </c>
      <c r="G317" s="2">
        <v>201710</v>
      </c>
      <c r="H317" s="2" t="s">
        <v>74</v>
      </c>
      <c r="I317" s="2" t="s">
        <v>75</v>
      </c>
      <c r="J317" s="2" t="s">
        <v>76</v>
      </c>
      <c r="K317" s="2" t="s">
        <v>77</v>
      </c>
      <c r="L317" s="2" t="s">
        <v>139</v>
      </c>
      <c r="M317" s="2" t="s">
        <v>140</v>
      </c>
      <c r="N317" s="2" t="s">
        <v>826</v>
      </c>
      <c r="O317" s="2" t="s">
        <v>115</v>
      </c>
      <c r="P317" s="2" t="str">
        <f>"2170560315                    "</f>
        <v xml:space="preserve">2170560315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4.29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0.2</v>
      </c>
      <c r="BK317" s="2">
        <v>1</v>
      </c>
      <c r="BL317" s="2">
        <v>41.73</v>
      </c>
      <c r="BM317" s="2">
        <v>5.84</v>
      </c>
      <c r="BN317" s="2">
        <v>47.57</v>
      </c>
      <c r="BO317" s="2">
        <v>47.57</v>
      </c>
      <c r="BP317" s="2"/>
      <c r="BQ317" s="2" t="s">
        <v>827</v>
      </c>
      <c r="BR317" s="2" t="s">
        <v>123</v>
      </c>
      <c r="BS317" s="3">
        <v>42837</v>
      </c>
      <c r="BT317" s="4">
        <v>0.3576388888888889</v>
      </c>
      <c r="BU317" s="2" t="s">
        <v>828</v>
      </c>
      <c r="BV317" s="2" t="s">
        <v>111</v>
      </c>
      <c r="BW317" s="2"/>
      <c r="BX317" s="2"/>
      <c r="BY317" s="2">
        <v>1200</v>
      </c>
      <c r="BZ317" s="2" t="s">
        <v>27</v>
      </c>
      <c r="CA317" s="2"/>
      <c r="CB317" s="2"/>
      <c r="CC317" s="2" t="s">
        <v>140</v>
      </c>
      <c r="CD317" s="2">
        <v>157</v>
      </c>
      <c r="CE317" s="2" t="s">
        <v>144</v>
      </c>
      <c r="CF317" s="5">
        <v>42843</v>
      </c>
      <c r="CG317" s="2"/>
      <c r="CH317" s="2"/>
      <c r="CI317" s="2">
        <v>0</v>
      </c>
      <c r="CJ317" s="2">
        <v>0</v>
      </c>
      <c r="CK317" s="2">
        <v>21</v>
      </c>
      <c r="CL317" s="2" t="s">
        <v>86</v>
      </c>
      <c r="CM317" s="2"/>
    </row>
    <row r="318" spans="1:91">
      <c r="A318" s="2" t="s">
        <v>71</v>
      </c>
      <c r="B318" s="2" t="s">
        <v>72</v>
      </c>
      <c r="C318" s="2" t="s">
        <v>73</v>
      </c>
      <c r="D318" s="2"/>
      <c r="E318" s="2" t="str">
        <f>"FES1162541790"</f>
        <v>FES1162541790</v>
      </c>
      <c r="F318" s="3">
        <v>42830</v>
      </c>
      <c r="G318" s="2">
        <v>201710</v>
      </c>
      <c r="H318" s="2" t="s">
        <v>74</v>
      </c>
      <c r="I318" s="2" t="s">
        <v>75</v>
      </c>
      <c r="J318" s="2" t="s">
        <v>76</v>
      </c>
      <c r="K318" s="2" t="s">
        <v>77</v>
      </c>
      <c r="L318" s="2" t="s">
        <v>358</v>
      </c>
      <c r="M318" s="2" t="s">
        <v>359</v>
      </c>
      <c r="N318" s="2" t="s">
        <v>776</v>
      </c>
      <c r="O318" s="2" t="s">
        <v>115</v>
      </c>
      <c r="P318" s="2" t="str">
        <f>"2170560800                    "</f>
        <v xml:space="preserve">2170560800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27.86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13</v>
      </c>
      <c r="BJ318" s="2">
        <v>8.9</v>
      </c>
      <c r="BK318" s="2">
        <v>13</v>
      </c>
      <c r="BL318" s="2">
        <v>271.22000000000003</v>
      </c>
      <c r="BM318" s="2">
        <v>37.97</v>
      </c>
      <c r="BN318" s="2">
        <v>309.19</v>
      </c>
      <c r="BO318" s="2">
        <v>309.19</v>
      </c>
      <c r="BP318" s="2"/>
      <c r="BQ318" s="2" t="s">
        <v>829</v>
      </c>
      <c r="BR318" s="2" t="s">
        <v>123</v>
      </c>
      <c r="BS318" s="3">
        <v>42831</v>
      </c>
      <c r="BT318" s="4">
        <v>0.38194444444444442</v>
      </c>
      <c r="BU318" s="2" t="s">
        <v>830</v>
      </c>
      <c r="BV318" s="2" t="s">
        <v>111</v>
      </c>
      <c r="BW318" s="2"/>
      <c r="BX318" s="2"/>
      <c r="BY318" s="2">
        <v>44689.13</v>
      </c>
      <c r="BZ318" s="2" t="s">
        <v>27</v>
      </c>
      <c r="CA318" s="2"/>
      <c r="CB318" s="2"/>
      <c r="CC318" s="2" t="s">
        <v>359</v>
      </c>
      <c r="CD318" s="2">
        <v>6229</v>
      </c>
      <c r="CE318" s="2" t="s">
        <v>89</v>
      </c>
      <c r="CF318" s="5">
        <v>42832</v>
      </c>
      <c r="CG318" s="2"/>
      <c r="CH318" s="2"/>
      <c r="CI318" s="2">
        <v>1</v>
      </c>
      <c r="CJ318" s="2">
        <v>1</v>
      </c>
      <c r="CK318" s="2">
        <v>21</v>
      </c>
      <c r="CL318" s="2" t="s">
        <v>86</v>
      </c>
      <c r="CM318" s="2"/>
    </row>
    <row r="319" spans="1:91">
      <c r="A319" s="2" t="s">
        <v>71</v>
      </c>
      <c r="B319" s="2" t="s">
        <v>72</v>
      </c>
      <c r="C319" s="2" t="s">
        <v>73</v>
      </c>
      <c r="D319" s="2"/>
      <c r="E319" s="2" t="str">
        <f>"FES1162541536"</f>
        <v>FES1162541536</v>
      </c>
      <c r="F319" s="3">
        <v>42830</v>
      </c>
      <c r="G319" s="2">
        <v>201710</v>
      </c>
      <c r="H319" s="2" t="s">
        <v>74</v>
      </c>
      <c r="I319" s="2" t="s">
        <v>75</v>
      </c>
      <c r="J319" s="2" t="s">
        <v>76</v>
      </c>
      <c r="K319" s="2" t="s">
        <v>77</v>
      </c>
      <c r="L319" s="2" t="s">
        <v>160</v>
      </c>
      <c r="M319" s="2" t="s">
        <v>161</v>
      </c>
      <c r="N319" s="2" t="s">
        <v>831</v>
      </c>
      <c r="O319" s="2" t="s">
        <v>115</v>
      </c>
      <c r="P319" s="2" t="str">
        <f>"2170560441                    "</f>
        <v xml:space="preserve">2170560441 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4.29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1.4</v>
      </c>
      <c r="BJ319" s="2">
        <v>2</v>
      </c>
      <c r="BK319" s="2">
        <v>2</v>
      </c>
      <c r="BL319" s="2">
        <v>41.73</v>
      </c>
      <c r="BM319" s="2">
        <v>5.84</v>
      </c>
      <c r="BN319" s="2">
        <v>47.57</v>
      </c>
      <c r="BO319" s="2">
        <v>47.57</v>
      </c>
      <c r="BP319" s="2"/>
      <c r="BQ319" s="2" t="s">
        <v>83</v>
      </c>
      <c r="BR319" s="2" t="s">
        <v>123</v>
      </c>
      <c r="BS319" s="3">
        <v>42831</v>
      </c>
      <c r="BT319" s="4">
        <v>0.41666666666666669</v>
      </c>
      <c r="BU319" s="2" t="s">
        <v>832</v>
      </c>
      <c r="BV319" s="2" t="s">
        <v>111</v>
      </c>
      <c r="BW319" s="2"/>
      <c r="BX319" s="2"/>
      <c r="BY319" s="2">
        <v>9822.15</v>
      </c>
      <c r="BZ319" s="2" t="s">
        <v>27</v>
      </c>
      <c r="CA319" s="2" t="s">
        <v>159</v>
      </c>
      <c r="CB319" s="2"/>
      <c r="CC319" s="2" t="s">
        <v>161</v>
      </c>
      <c r="CD319" s="2">
        <v>5201</v>
      </c>
      <c r="CE319" s="2" t="s">
        <v>144</v>
      </c>
      <c r="CF319" s="5">
        <v>42832</v>
      </c>
      <c r="CG319" s="2"/>
      <c r="CH319" s="2"/>
      <c r="CI319" s="2">
        <v>1</v>
      </c>
      <c r="CJ319" s="2">
        <v>1</v>
      </c>
      <c r="CK319" s="2">
        <v>21</v>
      </c>
      <c r="CL319" s="2" t="s">
        <v>86</v>
      </c>
      <c r="CM319" s="2"/>
    </row>
    <row r="320" spans="1:91">
      <c r="A320" s="2" t="s">
        <v>71</v>
      </c>
      <c r="B320" s="2" t="s">
        <v>72</v>
      </c>
      <c r="C320" s="2" t="s">
        <v>73</v>
      </c>
      <c r="D320" s="2"/>
      <c r="E320" s="2" t="str">
        <f>"FES1162543278"</f>
        <v>FES1162543278</v>
      </c>
      <c r="F320" s="3">
        <v>42837</v>
      </c>
      <c r="G320" s="2">
        <v>201710</v>
      </c>
      <c r="H320" s="2" t="s">
        <v>74</v>
      </c>
      <c r="I320" s="2" t="s">
        <v>75</v>
      </c>
      <c r="J320" s="2" t="s">
        <v>76</v>
      </c>
      <c r="K320" s="2" t="s">
        <v>77</v>
      </c>
      <c r="L320" s="2" t="s">
        <v>187</v>
      </c>
      <c r="M320" s="2" t="s">
        <v>146</v>
      </c>
      <c r="N320" s="2" t="s">
        <v>218</v>
      </c>
      <c r="O320" s="2" t="s">
        <v>115</v>
      </c>
      <c r="P320" s="2" t="str">
        <f>"2170559714                    "</f>
        <v xml:space="preserve">2170559714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4.29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1.6</v>
      </c>
      <c r="BJ320" s="2">
        <v>0.2</v>
      </c>
      <c r="BK320" s="2">
        <v>2</v>
      </c>
      <c r="BL320" s="2">
        <v>41.73</v>
      </c>
      <c r="BM320" s="2">
        <v>5.84</v>
      </c>
      <c r="BN320" s="2">
        <v>47.57</v>
      </c>
      <c r="BO320" s="2">
        <v>47.57</v>
      </c>
      <c r="BP320" s="2"/>
      <c r="BQ320" s="2" t="s">
        <v>219</v>
      </c>
      <c r="BR320" s="2" t="s">
        <v>84</v>
      </c>
      <c r="BS320" s="3">
        <v>42838</v>
      </c>
      <c r="BT320" s="4">
        <v>0.3611111111111111</v>
      </c>
      <c r="BU320" s="2" t="s">
        <v>373</v>
      </c>
      <c r="BV320" s="2" t="s">
        <v>111</v>
      </c>
      <c r="BW320" s="2"/>
      <c r="BX320" s="2"/>
      <c r="BY320" s="2">
        <v>1200</v>
      </c>
      <c r="BZ320" s="2" t="s">
        <v>27</v>
      </c>
      <c r="CA320" s="2"/>
      <c r="CB320" s="2"/>
      <c r="CC320" s="2" t="s">
        <v>146</v>
      </c>
      <c r="CD320" s="2">
        <v>200</v>
      </c>
      <c r="CE320" s="2" t="s">
        <v>118</v>
      </c>
      <c r="CF320" s="5">
        <v>42844</v>
      </c>
      <c r="CG320" s="2"/>
      <c r="CH320" s="2"/>
      <c r="CI320" s="2">
        <v>0</v>
      </c>
      <c r="CJ320" s="2">
        <v>0</v>
      </c>
      <c r="CK320" s="2">
        <v>21</v>
      </c>
      <c r="CL320" s="2" t="s">
        <v>86</v>
      </c>
      <c r="CM320" s="2"/>
    </row>
    <row r="321" spans="1:91">
      <c r="A321" s="2" t="s">
        <v>71</v>
      </c>
      <c r="B321" s="2" t="s">
        <v>72</v>
      </c>
      <c r="C321" s="2" t="s">
        <v>73</v>
      </c>
      <c r="D321" s="2"/>
      <c r="E321" s="2" t="str">
        <f>"FES1162542021"</f>
        <v>FES1162542021</v>
      </c>
      <c r="F321" s="3">
        <v>42831</v>
      </c>
      <c r="G321" s="2">
        <v>201710</v>
      </c>
      <c r="H321" s="2" t="s">
        <v>74</v>
      </c>
      <c r="I321" s="2" t="s">
        <v>75</v>
      </c>
      <c r="J321" s="2" t="s">
        <v>76</v>
      </c>
      <c r="K321" s="2" t="s">
        <v>77</v>
      </c>
      <c r="L321" s="2" t="s">
        <v>160</v>
      </c>
      <c r="M321" s="2" t="s">
        <v>161</v>
      </c>
      <c r="N321" s="2" t="s">
        <v>741</v>
      </c>
      <c r="O321" s="2" t="s">
        <v>115</v>
      </c>
      <c r="P321" s="2" t="str">
        <f>"2170559585                    "</f>
        <v xml:space="preserve">2170559585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4.29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0.2</v>
      </c>
      <c r="BK321" s="2">
        <v>1</v>
      </c>
      <c r="BL321" s="2">
        <v>41.73</v>
      </c>
      <c r="BM321" s="2">
        <v>5.84</v>
      </c>
      <c r="BN321" s="2">
        <v>47.57</v>
      </c>
      <c r="BO321" s="2">
        <v>47.57</v>
      </c>
      <c r="BP321" s="2"/>
      <c r="BQ321" s="2" t="s">
        <v>742</v>
      </c>
      <c r="BR321" s="2" t="s">
        <v>123</v>
      </c>
      <c r="BS321" s="3">
        <v>42832</v>
      </c>
      <c r="BT321" s="4">
        <v>0.41666666666666669</v>
      </c>
      <c r="BU321" s="2" t="s">
        <v>833</v>
      </c>
      <c r="BV321" s="2" t="s">
        <v>111</v>
      </c>
      <c r="BW321" s="2"/>
      <c r="BX321" s="2"/>
      <c r="BY321" s="2">
        <v>1200</v>
      </c>
      <c r="BZ321" s="2" t="s">
        <v>27</v>
      </c>
      <c r="CA321" s="2"/>
      <c r="CB321" s="2"/>
      <c r="CC321" s="2" t="s">
        <v>161</v>
      </c>
      <c r="CD321" s="2">
        <v>5201</v>
      </c>
      <c r="CE321" s="2" t="s">
        <v>144</v>
      </c>
      <c r="CF321" s="5">
        <v>42835</v>
      </c>
      <c r="CG321" s="2"/>
      <c r="CH321" s="2"/>
      <c r="CI321" s="2">
        <v>1</v>
      </c>
      <c r="CJ321" s="2">
        <v>1</v>
      </c>
      <c r="CK321" s="2">
        <v>21</v>
      </c>
      <c r="CL321" s="2" t="s">
        <v>86</v>
      </c>
      <c r="CM321" s="2"/>
    </row>
    <row r="322" spans="1:91">
      <c r="A322" s="2" t="s">
        <v>71</v>
      </c>
      <c r="B322" s="2" t="s">
        <v>72</v>
      </c>
      <c r="C322" s="2" t="s">
        <v>73</v>
      </c>
      <c r="D322" s="2"/>
      <c r="E322" s="2" t="str">
        <f>"FES1162541351"</f>
        <v>FES1162541351</v>
      </c>
      <c r="F322" s="3">
        <v>42829</v>
      </c>
      <c r="G322" s="2">
        <v>201710</v>
      </c>
      <c r="H322" s="2" t="s">
        <v>74</v>
      </c>
      <c r="I322" s="2" t="s">
        <v>75</v>
      </c>
      <c r="J322" s="2" t="s">
        <v>76</v>
      </c>
      <c r="K322" s="2" t="s">
        <v>77</v>
      </c>
      <c r="L322" s="2" t="s">
        <v>166</v>
      </c>
      <c r="M322" s="2" t="s">
        <v>167</v>
      </c>
      <c r="N322" s="2" t="s">
        <v>579</v>
      </c>
      <c r="O322" s="2" t="s">
        <v>115</v>
      </c>
      <c r="P322" s="2" t="str">
        <f>"2170560427                    "</f>
        <v xml:space="preserve">2170560427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3.45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0.2</v>
      </c>
      <c r="BK322" s="2">
        <v>1</v>
      </c>
      <c r="BL322" s="2">
        <v>32.700000000000003</v>
      </c>
      <c r="BM322" s="2">
        <v>4.58</v>
      </c>
      <c r="BN322" s="2">
        <v>37.28</v>
      </c>
      <c r="BO322" s="2">
        <v>37.28</v>
      </c>
      <c r="BP322" s="2"/>
      <c r="BQ322" s="2" t="s">
        <v>122</v>
      </c>
      <c r="BR322" s="2" t="s">
        <v>123</v>
      </c>
      <c r="BS322" s="3">
        <v>42830</v>
      </c>
      <c r="BT322" s="4">
        <v>0.31041666666666667</v>
      </c>
      <c r="BU322" s="2" t="s">
        <v>834</v>
      </c>
      <c r="BV322" s="2" t="s">
        <v>111</v>
      </c>
      <c r="BW322" s="2"/>
      <c r="BX322" s="2"/>
      <c r="BY322" s="2">
        <v>1200</v>
      </c>
      <c r="BZ322" s="2" t="s">
        <v>27</v>
      </c>
      <c r="CA322" s="2" t="s">
        <v>171</v>
      </c>
      <c r="CB322" s="2"/>
      <c r="CC322" s="2" t="s">
        <v>167</v>
      </c>
      <c r="CD322" s="2">
        <v>2022</v>
      </c>
      <c r="CE322" s="2" t="s">
        <v>118</v>
      </c>
      <c r="CF322" s="5">
        <v>42830</v>
      </c>
      <c r="CG322" s="2"/>
      <c r="CH322" s="2"/>
      <c r="CI322" s="2">
        <v>1</v>
      </c>
      <c r="CJ322" s="2">
        <v>1</v>
      </c>
      <c r="CK322" s="2">
        <v>22</v>
      </c>
      <c r="CL322" s="2" t="s">
        <v>86</v>
      </c>
      <c r="CM322" s="2"/>
    </row>
    <row r="323" spans="1:91">
      <c r="A323" s="2" t="s">
        <v>71</v>
      </c>
      <c r="B323" s="2" t="s">
        <v>72</v>
      </c>
      <c r="C323" s="2" t="s">
        <v>73</v>
      </c>
      <c r="D323" s="2"/>
      <c r="E323" s="2" t="str">
        <f>"FES1162542933"</f>
        <v>FES1162542933</v>
      </c>
      <c r="F323" s="3">
        <v>42836</v>
      </c>
      <c r="G323" s="2">
        <v>201710</v>
      </c>
      <c r="H323" s="2" t="s">
        <v>74</v>
      </c>
      <c r="I323" s="2" t="s">
        <v>75</v>
      </c>
      <c r="J323" s="2" t="s">
        <v>76</v>
      </c>
      <c r="K323" s="2" t="s">
        <v>77</v>
      </c>
      <c r="L323" s="2" t="s">
        <v>396</v>
      </c>
      <c r="M323" s="2" t="s">
        <v>397</v>
      </c>
      <c r="N323" s="2" t="s">
        <v>500</v>
      </c>
      <c r="O323" s="2" t="s">
        <v>115</v>
      </c>
      <c r="P323" s="2" t="str">
        <f>"2170559804                    "</f>
        <v xml:space="preserve">2170559804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4.29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0.2</v>
      </c>
      <c r="BK323" s="2">
        <v>1</v>
      </c>
      <c r="BL323" s="2">
        <v>41.73</v>
      </c>
      <c r="BM323" s="2">
        <v>5.84</v>
      </c>
      <c r="BN323" s="2">
        <v>47.57</v>
      </c>
      <c r="BO323" s="2">
        <v>47.57</v>
      </c>
      <c r="BP323" s="2"/>
      <c r="BQ323" s="2" t="s">
        <v>501</v>
      </c>
      <c r="BR323" s="2" t="s">
        <v>123</v>
      </c>
      <c r="BS323" s="3">
        <v>42837</v>
      </c>
      <c r="BT323" s="4">
        <v>0.4375</v>
      </c>
      <c r="BU323" s="2" t="s">
        <v>835</v>
      </c>
      <c r="BV323" s="2" t="s">
        <v>111</v>
      </c>
      <c r="BW323" s="2"/>
      <c r="BX323" s="2"/>
      <c r="BY323" s="2">
        <v>1200</v>
      </c>
      <c r="BZ323" s="2" t="s">
        <v>27</v>
      </c>
      <c r="CA323" s="2"/>
      <c r="CB323" s="2"/>
      <c r="CC323" s="2" t="s">
        <v>397</v>
      </c>
      <c r="CD323" s="2">
        <v>4302</v>
      </c>
      <c r="CE323" s="2" t="s">
        <v>144</v>
      </c>
      <c r="CF323" s="5">
        <v>42838</v>
      </c>
      <c r="CG323" s="2"/>
      <c r="CH323" s="2"/>
      <c r="CI323" s="2">
        <v>1</v>
      </c>
      <c r="CJ323" s="2">
        <v>1</v>
      </c>
      <c r="CK323" s="2">
        <v>21</v>
      </c>
      <c r="CL323" s="2" t="s">
        <v>86</v>
      </c>
      <c r="CM323" s="2"/>
    </row>
    <row r="324" spans="1:91">
      <c r="A324" s="2" t="s">
        <v>71</v>
      </c>
      <c r="B324" s="2" t="s">
        <v>72</v>
      </c>
      <c r="C324" s="2" t="s">
        <v>73</v>
      </c>
      <c r="D324" s="2"/>
      <c r="E324" s="2" t="str">
        <f>"FES1162541591"</f>
        <v>FES1162541591</v>
      </c>
      <c r="F324" s="3">
        <v>42830</v>
      </c>
      <c r="G324" s="2">
        <v>201710</v>
      </c>
      <c r="H324" s="2" t="s">
        <v>74</v>
      </c>
      <c r="I324" s="2" t="s">
        <v>75</v>
      </c>
      <c r="J324" s="2" t="s">
        <v>76</v>
      </c>
      <c r="K324" s="2" t="s">
        <v>77</v>
      </c>
      <c r="L324" s="2" t="s">
        <v>91</v>
      </c>
      <c r="M324" s="2" t="s">
        <v>92</v>
      </c>
      <c r="N324" s="2" t="s">
        <v>836</v>
      </c>
      <c r="O324" s="2" t="s">
        <v>115</v>
      </c>
      <c r="P324" s="2" t="str">
        <f>"2170560639                    "</f>
        <v xml:space="preserve">2170560639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3.35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2.7</v>
      </c>
      <c r="BJ324" s="2">
        <v>0.2</v>
      </c>
      <c r="BK324" s="2">
        <v>3</v>
      </c>
      <c r="BL324" s="2">
        <v>32.6</v>
      </c>
      <c r="BM324" s="2">
        <v>4.5599999999999996</v>
      </c>
      <c r="BN324" s="2">
        <v>37.159999999999997</v>
      </c>
      <c r="BO324" s="2">
        <v>37.159999999999997</v>
      </c>
      <c r="BP324" s="2"/>
      <c r="BQ324" s="2" t="s">
        <v>122</v>
      </c>
      <c r="BR324" s="2" t="s">
        <v>123</v>
      </c>
      <c r="BS324" s="3">
        <v>42831</v>
      </c>
      <c r="BT324" s="4">
        <v>0.30624999999999997</v>
      </c>
      <c r="BU324" s="2" t="s">
        <v>837</v>
      </c>
      <c r="BV324" s="2" t="s">
        <v>111</v>
      </c>
      <c r="BW324" s="2"/>
      <c r="BX324" s="2"/>
      <c r="BY324" s="2">
        <v>1200</v>
      </c>
      <c r="BZ324" s="2" t="s">
        <v>27</v>
      </c>
      <c r="CA324" s="2"/>
      <c r="CB324" s="2"/>
      <c r="CC324" s="2" t="s">
        <v>92</v>
      </c>
      <c r="CD324" s="2">
        <v>1401</v>
      </c>
      <c r="CE324" s="2" t="s">
        <v>118</v>
      </c>
      <c r="CF324" s="5">
        <v>42832</v>
      </c>
      <c r="CG324" s="2"/>
      <c r="CH324" s="2"/>
      <c r="CI324" s="2">
        <v>1</v>
      </c>
      <c r="CJ324" s="2">
        <v>1</v>
      </c>
      <c r="CK324" s="2">
        <v>22</v>
      </c>
      <c r="CL324" s="2" t="s">
        <v>86</v>
      </c>
      <c r="CM324" s="2"/>
    </row>
    <row r="325" spans="1:91">
      <c r="A325" s="2" t="s">
        <v>71</v>
      </c>
      <c r="B325" s="2" t="s">
        <v>72</v>
      </c>
      <c r="C325" s="2" t="s">
        <v>73</v>
      </c>
      <c r="D325" s="2"/>
      <c r="E325" s="2" t="str">
        <f>"FES1162541420"</f>
        <v>FES1162541420</v>
      </c>
      <c r="F325" s="3">
        <v>42829</v>
      </c>
      <c r="G325" s="2">
        <v>201710</v>
      </c>
      <c r="H325" s="2" t="s">
        <v>74</v>
      </c>
      <c r="I325" s="2" t="s">
        <v>75</v>
      </c>
      <c r="J325" s="2" t="s">
        <v>76</v>
      </c>
      <c r="K325" s="2" t="s">
        <v>77</v>
      </c>
      <c r="L325" s="2" t="s">
        <v>516</v>
      </c>
      <c r="M325" s="2" t="s">
        <v>517</v>
      </c>
      <c r="N325" s="2" t="s">
        <v>613</v>
      </c>
      <c r="O325" s="2" t="s">
        <v>115</v>
      </c>
      <c r="P325" s="2" t="str">
        <f>"2170560507                    "</f>
        <v xml:space="preserve">2170560507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3.45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1</v>
      </c>
      <c r="BJ325" s="2">
        <v>0.2</v>
      </c>
      <c r="BK325" s="2">
        <v>1</v>
      </c>
      <c r="BL325" s="2">
        <v>32.700000000000003</v>
      </c>
      <c r="BM325" s="2">
        <v>4.58</v>
      </c>
      <c r="BN325" s="2">
        <v>37.28</v>
      </c>
      <c r="BO325" s="2">
        <v>37.28</v>
      </c>
      <c r="BP325" s="2"/>
      <c r="BQ325" s="2" t="s">
        <v>614</v>
      </c>
      <c r="BR325" s="2" t="s">
        <v>123</v>
      </c>
      <c r="BS325" s="3">
        <v>42830</v>
      </c>
      <c r="BT325" s="4">
        <v>0.41319444444444442</v>
      </c>
      <c r="BU325" s="2" t="s">
        <v>615</v>
      </c>
      <c r="BV325" s="2" t="s">
        <v>111</v>
      </c>
      <c r="BW325" s="2"/>
      <c r="BX325" s="2"/>
      <c r="BY325" s="2">
        <v>1200</v>
      </c>
      <c r="BZ325" s="2" t="s">
        <v>27</v>
      </c>
      <c r="CA325" s="2"/>
      <c r="CB325" s="2"/>
      <c r="CC325" s="2" t="s">
        <v>517</v>
      </c>
      <c r="CD325" s="2">
        <v>1459</v>
      </c>
      <c r="CE325" s="2" t="s">
        <v>118</v>
      </c>
      <c r="CF325" s="5">
        <v>42832</v>
      </c>
      <c r="CG325" s="2"/>
      <c r="CH325" s="2"/>
      <c r="CI325" s="2">
        <v>1</v>
      </c>
      <c r="CJ325" s="2">
        <v>1</v>
      </c>
      <c r="CK325" s="2">
        <v>22</v>
      </c>
      <c r="CL325" s="2" t="s">
        <v>86</v>
      </c>
      <c r="CM325" s="2"/>
    </row>
    <row r="326" spans="1:91">
      <c r="A326" s="2" t="s">
        <v>71</v>
      </c>
      <c r="B326" s="2" t="s">
        <v>72</v>
      </c>
      <c r="C326" s="2" t="s">
        <v>73</v>
      </c>
      <c r="D326" s="2"/>
      <c r="E326" s="2" t="str">
        <f>"FES1162543251"</f>
        <v>FES1162543251</v>
      </c>
      <c r="F326" s="3">
        <v>42837</v>
      </c>
      <c r="G326" s="2">
        <v>201710</v>
      </c>
      <c r="H326" s="2" t="s">
        <v>74</v>
      </c>
      <c r="I326" s="2" t="s">
        <v>75</v>
      </c>
      <c r="J326" s="2" t="s">
        <v>76</v>
      </c>
      <c r="K326" s="2" t="s">
        <v>77</v>
      </c>
      <c r="L326" s="2" t="s">
        <v>99</v>
      </c>
      <c r="M326" s="2" t="s">
        <v>100</v>
      </c>
      <c r="N326" s="2" t="s">
        <v>700</v>
      </c>
      <c r="O326" s="2" t="s">
        <v>115</v>
      </c>
      <c r="P326" s="2" t="str">
        <f>"2170559302                    "</f>
        <v xml:space="preserve">2170559302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6.43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3</v>
      </c>
      <c r="BJ326" s="2">
        <v>2</v>
      </c>
      <c r="BK326" s="2">
        <v>3</v>
      </c>
      <c r="BL326" s="2">
        <v>62.59</v>
      </c>
      <c r="BM326" s="2">
        <v>8.76</v>
      </c>
      <c r="BN326" s="2">
        <v>71.349999999999994</v>
      </c>
      <c r="BO326" s="2">
        <v>71.349999999999994</v>
      </c>
      <c r="BP326" s="2"/>
      <c r="BQ326" s="2" t="s">
        <v>701</v>
      </c>
      <c r="BR326" s="2" t="s">
        <v>84</v>
      </c>
      <c r="BS326" s="3">
        <v>42838</v>
      </c>
      <c r="BT326" s="4">
        <v>0.36805555555555558</v>
      </c>
      <c r="BU326" s="2" t="s">
        <v>838</v>
      </c>
      <c r="BV326" s="2" t="s">
        <v>111</v>
      </c>
      <c r="BW326" s="2"/>
      <c r="BX326" s="2"/>
      <c r="BY326" s="2">
        <v>9918</v>
      </c>
      <c r="BZ326" s="2" t="s">
        <v>27</v>
      </c>
      <c r="CA326" s="2" t="s">
        <v>106</v>
      </c>
      <c r="CB326" s="2"/>
      <c r="CC326" s="2" t="s">
        <v>100</v>
      </c>
      <c r="CD326" s="2">
        <v>6001</v>
      </c>
      <c r="CE326" s="2" t="s">
        <v>89</v>
      </c>
      <c r="CF326" s="5">
        <v>42838</v>
      </c>
      <c r="CG326" s="2"/>
      <c r="CH326" s="2"/>
      <c r="CI326" s="2">
        <v>1</v>
      </c>
      <c r="CJ326" s="2">
        <v>1</v>
      </c>
      <c r="CK326" s="2">
        <v>21</v>
      </c>
      <c r="CL326" s="2" t="s">
        <v>86</v>
      </c>
      <c r="CM326" s="2"/>
    </row>
    <row r="327" spans="1:91">
      <c r="A327" s="2" t="s">
        <v>71</v>
      </c>
      <c r="B327" s="2" t="s">
        <v>72</v>
      </c>
      <c r="C327" s="2" t="s">
        <v>73</v>
      </c>
      <c r="D327" s="2"/>
      <c r="E327" s="2" t="str">
        <f>"FES1162542111"</f>
        <v>FES1162542111</v>
      </c>
      <c r="F327" s="3">
        <v>42831</v>
      </c>
      <c r="G327" s="2">
        <v>201710</v>
      </c>
      <c r="H327" s="2" t="s">
        <v>74</v>
      </c>
      <c r="I327" s="2" t="s">
        <v>75</v>
      </c>
      <c r="J327" s="2" t="s">
        <v>76</v>
      </c>
      <c r="K327" s="2" t="s">
        <v>77</v>
      </c>
      <c r="L327" s="2" t="s">
        <v>180</v>
      </c>
      <c r="M327" s="2" t="s">
        <v>181</v>
      </c>
      <c r="N327" s="2" t="s">
        <v>839</v>
      </c>
      <c r="O327" s="2" t="s">
        <v>115</v>
      </c>
      <c r="P327" s="2" t="str">
        <f>"2170559249                    "</f>
        <v xml:space="preserve">2170559249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4.29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1</v>
      </c>
      <c r="BJ327" s="2">
        <v>0.7</v>
      </c>
      <c r="BK327" s="2">
        <v>1</v>
      </c>
      <c r="BL327" s="2">
        <v>41.73</v>
      </c>
      <c r="BM327" s="2">
        <v>5.84</v>
      </c>
      <c r="BN327" s="2">
        <v>47.57</v>
      </c>
      <c r="BO327" s="2">
        <v>47.57</v>
      </c>
      <c r="BP327" s="2"/>
      <c r="BQ327" s="2" t="s">
        <v>840</v>
      </c>
      <c r="BR327" s="2" t="s">
        <v>123</v>
      </c>
      <c r="BS327" s="3">
        <v>42832</v>
      </c>
      <c r="BT327" s="4">
        <v>0.39930555555555558</v>
      </c>
      <c r="BU327" s="2" t="s">
        <v>245</v>
      </c>
      <c r="BV327" s="2" t="s">
        <v>111</v>
      </c>
      <c r="BW327" s="2"/>
      <c r="BX327" s="2"/>
      <c r="BY327" s="2">
        <v>3449.56</v>
      </c>
      <c r="BZ327" s="2" t="s">
        <v>27</v>
      </c>
      <c r="CA327" s="2"/>
      <c r="CB327" s="2"/>
      <c r="CC327" s="2" t="s">
        <v>181</v>
      </c>
      <c r="CD327" s="2">
        <v>4052</v>
      </c>
      <c r="CE327" s="2" t="s">
        <v>135</v>
      </c>
      <c r="CF327" s="5">
        <v>42835</v>
      </c>
      <c r="CG327" s="2"/>
      <c r="CH327" s="2"/>
      <c r="CI327" s="2">
        <v>1</v>
      </c>
      <c r="CJ327" s="2">
        <v>1</v>
      </c>
      <c r="CK327" s="2">
        <v>21</v>
      </c>
      <c r="CL327" s="2" t="s">
        <v>86</v>
      </c>
      <c r="CM327" s="2"/>
    </row>
    <row r="328" spans="1:91">
      <c r="A328" s="2" t="s">
        <v>71</v>
      </c>
      <c r="B328" s="2" t="s">
        <v>72</v>
      </c>
      <c r="C328" s="2" t="s">
        <v>73</v>
      </c>
      <c r="D328" s="2"/>
      <c r="E328" s="2" t="str">
        <f>"FES1162541211"</f>
        <v>FES1162541211</v>
      </c>
      <c r="F328" s="3">
        <v>42829</v>
      </c>
      <c r="G328" s="2">
        <v>201710</v>
      </c>
      <c r="H328" s="2" t="s">
        <v>74</v>
      </c>
      <c r="I328" s="2" t="s">
        <v>75</v>
      </c>
      <c r="J328" s="2" t="s">
        <v>76</v>
      </c>
      <c r="K328" s="2" t="s">
        <v>77</v>
      </c>
      <c r="L328" s="2" t="s">
        <v>99</v>
      </c>
      <c r="M328" s="2" t="s">
        <v>100</v>
      </c>
      <c r="N328" s="2" t="s">
        <v>108</v>
      </c>
      <c r="O328" s="2" t="s">
        <v>115</v>
      </c>
      <c r="P328" s="2" t="str">
        <f>"2170560316                    "</f>
        <v xml:space="preserve">2170560316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4.42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1</v>
      </c>
      <c r="BJ328" s="2">
        <v>0.2</v>
      </c>
      <c r="BK328" s="2">
        <v>1</v>
      </c>
      <c r="BL328" s="2">
        <v>41.86</v>
      </c>
      <c r="BM328" s="2">
        <v>5.86</v>
      </c>
      <c r="BN328" s="2">
        <v>47.72</v>
      </c>
      <c r="BO328" s="2">
        <v>47.72</v>
      </c>
      <c r="BP328" s="2"/>
      <c r="BQ328" s="2" t="s">
        <v>109</v>
      </c>
      <c r="BR328" s="2" t="s">
        <v>123</v>
      </c>
      <c r="BS328" s="3">
        <v>42830</v>
      </c>
      <c r="BT328" s="4">
        <v>0.39583333333333331</v>
      </c>
      <c r="BU328" s="2" t="s">
        <v>110</v>
      </c>
      <c r="BV328" s="2" t="s">
        <v>111</v>
      </c>
      <c r="BW328" s="2"/>
      <c r="BX328" s="2"/>
      <c r="BY328" s="2">
        <v>1200</v>
      </c>
      <c r="BZ328" s="2" t="s">
        <v>27</v>
      </c>
      <c r="CA328" s="2" t="s">
        <v>106</v>
      </c>
      <c r="CB328" s="2"/>
      <c r="CC328" s="2" t="s">
        <v>100</v>
      </c>
      <c r="CD328" s="2">
        <v>6001</v>
      </c>
      <c r="CE328" s="2" t="s">
        <v>144</v>
      </c>
      <c r="CF328" s="5">
        <v>42830</v>
      </c>
      <c r="CG328" s="2"/>
      <c r="CH328" s="2"/>
      <c r="CI328" s="2">
        <v>1</v>
      </c>
      <c r="CJ328" s="2">
        <v>1</v>
      </c>
      <c r="CK328" s="2">
        <v>21</v>
      </c>
      <c r="CL328" s="2" t="s">
        <v>86</v>
      </c>
      <c r="CM328" s="2"/>
    </row>
    <row r="329" spans="1:91">
      <c r="A329" s="2" t="s">
        <v>71</v>
      </c>
      <c r="B329" s="2" t="s">
        <v>72</v>
      </c>
      <c r="C329" s="2" t="s">
        <v>73</v>
      </c>
      <c r="D329" s="2"/>
      <c r="E329" s="2" t="str">
        <f>"FES1162542813"</f>
        <v>FES1162542813</v>
      </c>
      <c r="F329" s="3">
        <v>42836</v>
      </c>
      <c r="G329" s="2">
        <v>201710</v>
      </c>
      <c r="H329" s="2" t="s">
        <v>74</v>
      </c>
      <c r="I329" s="2" t="s">
        <v>75</v>
      </c>
      <c r="J329" s="2" t="s">
        <v>76</v>
      </c>
      <c r="K329" s="2" t="s">
        <v>77</v>
      </c>
      <c r="L329" s="2" t="s">
        <v>275</v>
      </c>
      <c r="M329" s="2" t="s">
        <v>276</v>
      </c>
      <c r="N329" s="2" t="s">
        <v>277</v>
      </c>
      <c r="O329" s="2" t="s">
        <v>115</v>
      </c>
      <c r="P329" s="2" t="str">
        <f>"2170559055                    "</f>
        <v xml:space="preserve">2170559055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4.29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1.4</v>
      </c>
      <c r="BK329" s="2">
        <v>1.5</v>
      </c>
      <c r="BL329" s="2">
        <v>41.73</v>
      </c>
      <c r="BM329" s="2">
        <v>5.84</v>
      </c>
      <c r="BN329" s="2">
        <v>47.57</v>
      </c>
      <c r="BO329" s="2">
        <v>47.57</v>
      </c>
      <c r="BP329" s="2"/>
      <c r="BQ329" s="2" t="s">
        <v>278</v>
      </c>
      <c r="BR329" s="2" t="s">
        <v>123</v>
      </c>
      <c r="BS329" s="3">
        <v>42837</v>
      </c>
      <c r="BT329" s="4">
        <v>0.34375</v>
      </c>
      <c r="BU329" s="2" t="s">
        <v>841</v>
      </c>
      <c r="BV329" s="2" t="s">
        <v>111</v>
      </c>
      <c r="BW329" s="2"/>
      <c r="BX329" s="2"/>
      <c r="BY329" s="2">
        <v>7047.7</v>
      </c>
      <c r="BZ329" s="2" t="s">
        <v>27</v>
      </c>
      <c r="CA329" s="2"/>
      <c r="CB329" s="2"/>
      <c r="CC329" s="2" t="s">
        <v>276</v>
      </c>
      <c r="CD329" s="2">
        <v>4126</v>
      </c>
      <c r="CE329" s="2" t="s">
        <v>144</v>
      </c>
      <c r="CF329" s="5">
        <v>42843</v>
      </c>
      <c r="CG329" s="2"/>
      <c r="CH329" s="2"/>
      <c r="CI329" s="2">
        <v>1</v>
      </c>
      <c r="CJ329" s="2">
        <v>1</v>
      </c>
      <c r="CK329" s="2">
        <v>21</v>
      </c>
      <c r="CL329" s="2" t="s">
        <v>86</v>
      </c>
      <c r="CM329" s="2"/>
    </row>
    <row r="330" spans="1:91">
      <c r="A330" s="2" t="s">
        <v>71</v>
      </c>
      <c r="B330" s="2" t="s">
        <v>72</v>
      </c>
      <c r="C330" s="2" t="s">
        <v>73</v>
      </c>
      <c r="D330" s="2"/>
      <c r="E330" s="2" t="str">
        <f>"FES1162541645"</f>
        <v>FES1162541645</v>
      </c>
      <c r="F330" s="3">
        <v>42830</v>
      </c>
      <c r="G330" s="2">
        <v>201710</v>
      </c>
      <c r="H330" s="2" t="s">
        <v>74</v>
      </c>
      <c r="I330" s="2" t="s">
        <v>75</v>
      </c>
      <c r="J330" s="2" t="s">
        <v>76</v>
      </c>
      <c r="K330" s="2" t="s">
        <v>77</v>
      </c>
      <c r="L330" s="2" t="s">
        <v>166</v>
      </c>
      <c r="M330" s="2" t="s">
        <v>167</v>
      </c>
      <c r="N330" s="2" t="s">
        <v>168</v>
      </c>
      <c r="O330" s="2" t="s">
        <v>115</v>
      </c>
      <c r="P330" s="2" t="str">
        <f>"2170558399                    "</f>
        <v xml:space="preserve">2170558399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3.35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1</v>
      </c>
      <c r="BJ330" s="2">
        <v>0.2</v>
      </c>
      <c r="BK330" s="2">
        <v>1</v>
      </c>
      <c r="BL330" s="2">
        <v>32.6</v>
      </c>
      <c r="BM330" s="2">
        <v>4.5599999999999996</v>
      </c>
      <c r="BN330" s="2">
        <v>37.159999999999997</v>
      </c>
      <c r="BO330" s="2">
        <v>37.159999999999997</v>
      </c>
      <c r="BP330" s="2"/>
      <c r="BQ330" s="2" t="s">
        <v>169</v>
      </c>
      <c r="BR330" s="2" t="s">
        <v>123</v>
      </c>
      <c r="BS330" s="3">
        <v>42831</v>
      </c>
      <c r="BT330" s="4">
        <v>0.38680555555555557</v>
      </c>
      <c r="BU330" s="2" t="s">
        <v>823</v>
      </c>
      <c r="BV330" s="2" t="s">
        <v>111</v>
      </c>
      <c r="BW330" s="2"/>
      <c r="BX330" s="2"/>
      <c r="BY330" s="2">
        <v>1200</v>
      </c>
      <c r="BZ330" s="2" t="s">
        <v>27</v>
      </c>
      <c r="CA330" s="2" t="s">
        <v>171</v>
      </c>
      <c r="CB330" s="2"/>
      <c r="CC330" s="2" t="s">
        <v>167</v>
      </c>
      <c r="CD330" s="2">
        <v>2094</v>
      </c>
      <c r="CE330" s="2" t="s">
        <v>118</v>
      </c>
      <c r="CF330" s="5">
        <v>42832</v>
      </c>
      <c r="CG330" s="2"/>
      <c r="CH330" s="2"/>
      <c r="CI330" s="2">
        <v>1</v>
      </c>
      <c r="CJ330" s="2">
        <v>1</v>
      </c>
      <c r="CK330" s="2">
        <v>22</v>
      </c>
      <c r="CL330" s="2" t="s">
        <v>86</v>
      </c>
      <c r="CM330" s="2"/>
    </row>
    <row r="331" spans="1:91">
      <c r="A331" s="2" t="s">
        <v>71</v>
      </c>
      <c r="B331" s="2" t="s">
        <v>72</v>
      </c>
      <c r="C331" s="2" t="s">
        <v>73</v>
      </c>
      <c r="D331" s="2"/>
      <c r="E331" s="2" t="str">
        <f>"FES1162541521"</f>
        <v>FES1162541521</v>
      </c>
      <c r="F331" s="3">
        <v>42830</v>
      </c>
      <c r="G331" s="2">
        <v>201710</v>
      </c>
      <c r="H331" s="2" t="s">
        <v>74</v>
      </c>
      <c r="I331" s="2" t="s">
        <v>75</v>
      </c>
      <c r="J331" s="2" t="s">
        <v>76</v>
      </c>
      <c r="K331" s="2" t="s">
        <v>77</v>
      </c>
      <c r="L331" s="2" t="s">
        <v>99</v>
      </c>
      <c r="M331" s="2" t="s">
        <v>100</v>
      </c>
      <c r="N331" s="2" t="s">
        <v>108</v>
      </c>
      <c r="O331" s="2" t="s">
        <v>115</v>
      </c>
      <c r="P331" s="2" t="str">
        <f>"2170558872                    "</f>
        <v xml:space="preserve">2170558872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4.29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</v>
      </c>
      <c r="BJ331" s="2">
        <v>0.2</v>
      </c>
      <c r="BK331" s="2">
        <v>1</v>
      </c>
      <c r="BL331" s="2">
        <v>41.73</v>
      </c>
      <c r="BM331" s="2">
        <v>5.84</v>
      </c>
      <c r="BN331" s="2">
        <v>47.57</v>
      </c>
      <c r="BO331" s="2">
        <v>47.57</v>
      </c>
      <c r="BP331" s="2"/>
      <c r="BQ331" s="2" t="s">
        <v>109</v>
      </c>
      <c r="BR331" s="2" t="s">
        <v>123</v>
      </c>
      <c r="BS331" s="3">
        <v>42831</v>
      </c>
      <c r="BT331" s="4">
        <v>0.41666666666666669</v>
      </c>
      <c r="BU331" s="2" t="s">
        <v>110</v>
      </c>
      <c r="BV331" s="2" t="s">
        <v>111</v>
      </c>
      <c r="BW331" s="2"/>
      <c r="BX331" s="2"/>
      <c r="BY331" s="2">
        <v>1200</v>
      </c>
      <c r="BZ331" s="2" t="s">
        <v>27</v>
      </c>
      <c r="CA331" s="2" t="s">
        <v>106</v>
      </c>
      <c r="CB331" s="2"/>
      <c r="CC331" s="2" t="s">
        <v>100</v>
      </c>
      <c r="CD331" s="2">
        <v>6001</v>
      </c>
      <c r="CE331" s="2" t="s">
        <v>144</v>
      </c>
      <c r="CF331" s="5">
        <v>42831</v>
      </c>
      <c r="CG331" s="2"/>
      <c r="CH331" s="2"/>
      <c r="CI331" s="2">
        <v>1</v>
      </c>
      <c r="CJ331" s="2">
        <v>1</v>
      </c>
      <c r="CK331" s="2">
        <v>21</v>
      </c>
      <c r="CL331" s="2" t="s">
        <v>86</v>
      </c>
      <c r="CM331" s="2"/>
    </row>
    <row r="332" spans="1:91">
      <c r="A332" s="2" t="s">
        <v>71</v>
      </c>
      <c r="B332" s="2" t="s">
        <v>72</v>
      </c>
      <c r="C332" s="2" t="s">
        <v>73</v>
      </c>
      <c r="D332" s="2"/>
      <c r="E332" s="2" t="str">
        <f>"FES1162543238"</f>
        <v>FES1162543238</v>
      </c>
      <c r="F332" s="3">
        <v>42837</v>
      </c>
      <c r="G332" s="2">
        <v>201710</v>
      </c>
      <c r="H332" s="2" t="s">
        <v>74</v>
      </c>
      <c r="I332" s="2" t="s">
        <v>75</v>
      </c>
      <c r="J332" s="2" t="s">
        <v>76</v>
      </c>
      <c r="K332" s="2" t="s">
        <v>77</v>
      </c>
      <c r="L332" s="2" t="s">
        <v>99</v>
      </c>
      <c r="M332" s="2" t="s">
        <v>100</v>
      </c>
      <c r="N332" s="2" t="s">
        <v>671</v>
      </c>
      <c r="O332" s="2" t="s">
        <v>115</v>
      </c>
      <c r="P332" s="2" t="str">
        <f>"2170558858                    "</f>
        <v xml:space="preserve">2170558858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5.36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2.4</v>
      </c>
      <c r="BJ332" s="2">
        <v>1.7</v>
      </c>
      <c r="BK332" s="2">
        <v>2.5</v>
      </c>
      <c r="BL332" s="2">
        <v>52.16</v>
      </c>
      <c r="BM332" s="2">
        <v>7.3</v>
      </c>
      <c r="BN332" s="2">
        <v>59.46</v>
      </c>
      <c r="BO332" s="2">
        <v>59.46</v>
      </c>
      <c r="BP332" s="2"/>
      <c r="BQ332" s="2" t="s">
        <v>672</v>
      </c>
      <c r="BR332" s="2" t="s">
        <v>84</v>
      </c>
      <c r="BS332" s="3">
        <v>42838</v>
      </c>
      <c r="BT332" s="4">
        <v>0.3354166666666667</v>
      </c>
      <c r="BU332" s="2" t="s">
        <v>672</v>
      </c>
      <c r="BV332" s="2" t="s">
        <v>111</v>
      </c>
      <c r="BW332" s="2"/>
      <c r="BX332" s="2"/>
      <c r="BY332" s="2">
        <v>8651.33</v>
      </c>
      <c r="BZ332" s="2" t="s">
        <v>27</v>
      </c>
      <c r="CA332" s="2" t="s">
        <v>106</v>
      </c>
      <c r="CB332" s="2"/>
      <c r="CC332" s="2" t="s">
        <v>100</v>
      </c>
      <c r="CD332" s="2">
        <v>6001</v>
      </c>
      <c r="CE332" s="2" t="s">
        <v>89</v>
      </c>
      <c r="CF332" s="5">
        <v>42838</v>
      </c>
      <c r="CG332" s="2"/>
      <c r="CH332" s="2"/>
      <c r="CI332" s="2">
        <v>1</v>
      </c>
      <c r="CJ332" s="2">
        <v>1</v>
      </c>
      <c r="CK332" s="2">
        <v>21</v>
      </c>
      <c r="CL332" s="2" t="s">
        <v>86</v>
      </c>
      <c r="CM332" s="2"/>
    </row>
    <row r="333" spans="1:91">
      <c r="A333" s="2" t="s">
        <v>71</v>
      </c>
      <c r="B333" s="2" t="s">
        <v>72</v>
      </c>
      <c r="C333" s="2" t="s">
        <v>73</v>
      </c>
      <c r="D333" s="2"/>
      <c r="E333" s="2" t="str">
        <f>"FES1162541897"</f>
        <v>FES1162541897</v>
      </c>
      <c r="F333" s="3">
        <v>42831</v>
      </c>
      <c r="G333" s="2">
        <v>201710</v>
      </c>
      <c r="H333" s="2" t="s">
        <v>74</v>
      </c>
      <c r="I333" s="2" t="s">
        <v>75</v>
      </c>
      <c r="J333" s="2" t="s">
        <v>76</v>
      </c>
      <c r="K333" s="2" t="s">
        <v>77</v>
      </c>
      <c r="L333" s="2" t="s">
        <v>443</v>
      </c>
      <c r="M333" s="2" t="s">
        <v>444</v>
      </c>
      <c r="N333" s="2" t="s">
        <v>627</v>
      </c>
      <c r="O333" s="2" t="s">
        <v>115</v>
      </c>
      <c r="P333" s="2" t="str">
        <f>"2170558455                    "</f>
        <v xml:space="preserve">2170558455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4.29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1</v>
      </c>
      <c r="BJ333" s="2">
        <v>0.2</v>
      </c>
      <c r="BK333" s="2">
        <v>1</v>
      </c>
      <c r="BL333" s="2">
        <v>41.73</v>
      </c>
      <c r="BM333" s="2">
        <v>5.84</v>
      </c>
      <c r="BN333" s="2">
        <v>47.57</v>
      </c>
      <c r="BO333" s="2">
        <v>47.57</v>
      </c>
      <c r="BP333" s="2"/>
      <c r="BQ333" s="2" t="s">
        <v>628</v>
      </c>
      <c r="BR333" s="2" t="s">
        <v>123</v>
      </c>
      <c r="BS333" s="3">
        <v>42832</v>
      </c>
      <c r="BT333" s="4">
        <v>0.41666666666666669</v>
      </c>
      <c r="BU333" s="2" t="s">
        <v>238</v>
      </c>
      <c r="BV333" s="2" t="s">
        <v>111</v>
      </c>
      <c r="BW333" s="2"/>
      <c r="BX333" s="2"/>
      <c r="BY333" s="2">
        <v>1200</v>
      </c>
      <c r="BZ333" s="2" t="s">
        <v>27</v>
      </c>
      <c r="CA333" s="2"/>
      <c r="CB333" s="2"/>
      <c r="CC333" s="2" t="s">
        <v>444</v>
      </c>
      <c r="CD333" s="2">
        <v>7130</v>
      </c>
      <c r="CE333" s="2" t="s">
        <v>144</v>
      </c>
      <c r="CF333" s="5">
        <v>42835</v>
      </c>
      <c r="CG333" s="2"/>
      <c r="CH333" s="2"/>
      <c r="CI333" s="2">
        <v>1</v>
      </c>
      <c r="CJ333" s="2">
        <v>1</v>
      </c>
      <c r="CK333" s="2">
        <v>21</v>
      </c>
      <c r="CL333" s="2" t="s">
        <v>86</v>
      </c>
      <c r="CM333" s="2"/>
    </row>
    <row r="334" spans="1:91">
      <c r="A334" s="2" t="s">
        <v>71</v>
      </c>
      <c r="B334" s="2" t="s">
        <v>72</v>
      </c>
      <c r="C334" s="2" t="s">
        <v>73</v>
      </c>
      <c r="D334" s="2"/>
      <c r="E334" s="2" t="str">
        <f>"FES1162541361"</f>
        <v>FES1162541361</v>
      </c>
      <c r="F334" s="3">
        <v>42829</v>
      </c>
      <c r="G334" s="2">
        <v>201710</v>
      </c>
      <c r="H334" s="2" t="s">
        <v>74</v>
      </c>
      <c r="I334" s="2" t="s">
        <v>75</v>
      </c>
      <c r="J334" s="2" t="s">
        <v>76</v>
      </c>
      <c r="K334" s="2" t="s">
        <v>77</v>
      </c>
      <c r="L334" s="2" t="s">
        <v>267</v>
      </c>
      <c r="M334" s="2" t="s">
        <v>268</v>
      </c>
      <c r="N334" s="2" t="s">
        <v>269</v>
      </c>
      <c r="O334" s="2" t="s">
        <v>115</v>
      </c>
      <c r="P334" s="2" t="str">
        <f>"2170560437                    "</f>
        <v xml:space="preserve">2170560437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3.45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0.2</v>
      </c>
      <c r="BK334" s="2">
        <v>1</v>
      </c>
      <c r="BL334" s="2">
        <v>32.700000000000003</v>
      </c>
      <c r="BM334" s="2">
        <v>4.58</v>
      </c>
      <c r="BN334" s="2">
        <v>37.28</v>
      </c>
      <c r="BO334" s="2">
        <v>37.28</v>
      </c>
      <c r="BP334" s="2"/>
      <c r="BQ334" s="2" t="s">
        <v>270</v>
      </c>
      <c r="BR334" s="2" t="s">
        <v>123</v>
      </c>
      <c r="BS334" s="3">
        <v>42830</v>
      </c>
      <c r="BT334" s="4">
        <v>0.41666666666666669</v>
      </c>
      <c r="BU334" s="2" t="s">
        <v>290</v>
      </c>
      <c r="BV334" s="2" t="s">
        <v>111</v>
      </c>
      <c r="BW334" s="2"/>
      <c r="BX334" s="2"/>
      <c r="BY334" s="2">
        <v>1200</v>
      </c>
      <c r="BZ334" s="2" t="s">
        <v>27</v>
      </c>
      <c r="CA334" s="2"/>
      <c r="CB334" s="2"/>
      <c r="CC334" s="2" t="s">
        <v>268</v>
      </c>
      <c r="CD334" s="2">
        <v>1709</v>
      </c>
      <c r="CE334" s="2" t="s">
        <v>118</v>
      </c>
      <c r="CF334" s="5">
        <v>42832</v>
      </c>
      <c r="CG334" s="2"/>
      <c r="CH334" s="2"/>
      <c r="CI334" s="2">
        <v>1</v>
      </c>
      <c r="CJ334" s="2">
        <v>1</v>
      </c>
      <c r="CK334" s="2">
        <v>22</v>
      </c>
      <c r="CL334" s="2" t="s">
        <v>86</v>
      </c>
      <c r="CM334" s="2"/>
    </row>
    <row r="335" spans="1:91">
      <c r="A335" s="2" t="s">
        <v>71</v>
      </c>
      <c r="B335" s="2" t="s">
        <v>72</v>
      </c>
      <c r="C335" s="2" t="s">
        <v>73</v>
      </c>
      <c r="D335" s="2"/>
      <c r="E335" s="2" t="str">
        <f>"FES1162542937"</f>
        <v>FES1162542937</v>
      </c>
      <c r="F335" s="3">
        <v>42836</v>
      </c>
      <c r="G335" s="2">
        <v>201710</v>
      </c>
      <c r="H335" s="2" t="s">
        <v>74</v>
      </c>
      <c r="I335" s="2" t="s">
        <v>75</v>
      </c>
      <c r="J335" s="2" t="s">
        <v>76</v>
      </c>
      <c r="K335" s="2" t="s">
        <v>77</v>
      </c>
      <c r="L335" s="2" t="s">
        <v>139</v>
      </c>
      <c r="M335" s="2" t="s">
        <v>140</v>
      </c>
      <c r="N335" s="2" t="s">
        <v>141</v>
      </c>
      <c r="O335" s="2" t="s">
        <v>115</v>
      </c>
      <c r="P335" s="2" t="str">
        <f>"2170560175                    "</f>
        <v xml:space="preserve">2170560175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4.29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1</v>
      </c>
      <c r="BJ335" s="2">
        <v>0.2</v>
      </c>
      <c r="BK335" s="2">
        <v>1</v>
      </c>
      <c r="BL335" s="2">
        <v>41.73</v>
      </c>
      <c r="BM335" s="2">
        <v>5.84</v>
      </c>
      <c r="BN335" s="2">
        <v>47.57</v>
      </c>
      <c r="BO335" s="2">
        <v>47.57</v>
      </c>
      <c r="BP335" s="2"/>
      <c r="BQ335" s="2" t="s">
        <v>142</v>
      </c>
      <c r="BR335" s="2" t="s">
        <v>123</v>
      </c>
      <c r="BS335" s="3">
        <v>42837</v>
      </c>
      <c r="BT335" s="4">
        <v>0.42708333333333331</v>
      </c>
      <c r="BU335" s="2" t="s">
        <v>143</v>
      </c>
      <c r="BV335" s="2" t="s">
        <v>111</v>
      </c>
      <c r="BW335" s="2"/>
      <c r="BX335" s="2"/>
      <c r="BY335" s="2">
        <v>1200</v>
      </c>
      <c r="BZ335" s="2" t="s">
        <v>27</v>
      </c>
      <c r="CA335" s="2"/>
      <c r="CB335" s="2"/>
      <c r="CC335" s="2" t="s">
        <v>140</v>
      </c>
      <c r="CD335" s="2">
        <v>157</v>
      </c>
      <c r="CE335" s="2" t="s">
        <v>144</v>
      </c>
      <c r="CF335" s="5">
        <v>42843</v>
      </c>
      <c r="CG335" s="2"/>
      <c r="CH335" s="2"/>
      <c r="CI335" s="2">
        <v>0</v>
      </c>
      <c r="CJ335" s="2">
        <v>0</v>
      </c>
      <c r="CK335" s="2">
        <v>21</v>
      </c>
      <c r="CL335" s="2" t="s">
        <v>86</v>
      </c>
      <c r="CM335" s="2"/>
    </row>
    <row r="336" spans="1:91">
      <c r="A336" s="2" t="s">
        <v>71</v>
      </c>
      <c r="B336" s="2" t="s">
        <v>72</v>
      </c>
      <c r="C336" s="2" t="s">
        <v>73</v>
      </c>
      <c r="D336" s="2"/>
      <c r="E336" s="2" t="str">
        <f>"FES1162541662"</f>
        <v>FES1162541662</v>
      </c>
      <c r="F336" s="3">
        <v>42830</v>
      </c>
      <c r="G336" s="2">
        <v>201710</v>
      </c>
      <c r="H336" s="2" t="s">
        <v>74</v>
      </c>
      <c r="I336" s="2" t="s">
        <v>75</v>
      </c>
      <c r="J336" s="2" t="s">
        <v>76</v>
      </c>
      <c r="K336" s="2" t="s">
        <v>77</v>
      </c>
      <c r="L336" s="2" t="s">
        <v>119</v>
      </c>
      <c r="M336" s="2" t="s">
        <v>120</v>
      </c>
      <c r="N336" s="2" t="s">
        <v>725</v>
      </c>
      <c r="O336" s="2" t="s">
        <v>115</v>
      </c>
      <c r="P336" s="2" t="str">
        <f>"2170558556                    "</f>
        <v xml:space="preserve">2170558556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3.35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</v>
      </c>
      <c r="BJ336" s="2">
        <v>0.2</v>
      </c>
      <c r="BK336" s="2">
        <v>1</v>
      </c>
      <c r="BL336" s="2">
        <v>32.6</v>
      </c>
      <c r="BM336" s="2">
        <v>4.5599999999999996</v>
      </c>
      <c r="BN336" s="2">
        <v>37.159999999999997</v>
      </c>
      <c r="BO336" s="2">
        <v>37.159999999999997</v>
      </c>
      <c r="BP336" s="2"/>
      <c r="BQ336" s="2" t="s">
        <v>726</v>
      </c>
      <c r="BR336" s="2" t="s">
        <v>123</v>
      </c>
      <c r="BS336" s="3">
        <v>42831</v>
      </c>
      <c r="BT336" s="4">
        <v>0.375</v>
      </c>
      <c r="BU336" s="2" t="s">
        <v>842</v>
      </c>
      <c r="BV336" s="2" t="s">
        <v>111</v>
      </c>
      <c r="BW336" s="2"/>
      <c r="BX336" s="2"/>
      <c r="BY336" s="2">
        <v>1200</v>
      </c>
      <c r="BZ336" s="2" t="s">
        <v>27</v>
      </c>
      <c r="CA336" s="2" t="s">
        <v>395</v>
      </c>
      <c r="CB336" s="2"/>
      <c r="CC336" s="2" t="s">
        <v>120</v>
      </c>
      <c r="CD336" s="2">
        <v>2162</v>
      </c>
      <c r="CE336" s="2" t="s">
        <v>118</v>
      </c>
      <c r="CF336" s="5">
        <v>42831</v>
      </c>
      <c r="CG336" s="2"/>
      <c r="CH336" s="2"/>
      <c r="CI336" s="2">
        <v>1</v>
      </c>
      <c r="CJ336" s="2">
        <v>1</v>
      </c>
      <c r="CK336" s="2">
        <v>22</v>
      </c>
      <c r="CL336" s="2" t="s">
        <v>86</v>
      </c>
      <c r="CM336" s="2"/>
    </row>
    <row r="337" spans="1:91">
      <c r="A337" s="2" t="s">
        <v>71</v>
      </c>
      <c r="B337" s="2" t="s">
        <v>72</v>
      </c>
      <c r="C337" s="2" t="s">
        <v>73</v>
      </c>
      <c r="D337" s="2"/>
      <c r="E337" s="2" t="str">
        <f>"FES1162541549"</f>
        <v>FES1162541549</v>
      </c>
      <c r="F337" s="3">
        <v>42830</v>
      </c>
      <c r="G337" s="2">
        <v>201710</v>
      </c>
      <c r="H337" s="2" t="s">
        <v>74</v>
      </c>
      <c r="I337" s="2" t="s">
        <v>75</v>
      </c>
      <c r="J337" s="2" t="s">
        <v>76</v>
      </c>
      <c r="K337" s="2" t="s">
        <v>77</v>
      </c>
      <c r="L337" s="2" t="s">
        <v>99</v>
      </c>
      <c r="M337" s="2" t="s">
        <v>100</v>
      </c>
      <c r="N337" s="2" t="s">
        <v>843</v>
      </c>
      <c r="O337" s="2" t="s">
        <v>115</v>
      </c>
      <c r="P337" s="2" t="str">
        <f>"2170560631                    "</f>
        <v xml:space="preserve">2170560631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15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7</v>
      </c>
      <c r="BJ337" s="2">
        <v>3.4</v>
      </c>
      <c r="BK337" s="2">
        <v>7</v>
      </c>
      <c r="BL337" s="2">
        <v>146.04</v>
      </c>
      <c r="BM337" s="2">
        <v>20.45</v>
      </c>
      <c r="BN337" s="2">
        <v>166.49</v>
      </c>
      <c r="BO337" s="2">
        <v>166.49</v>
      </c>
      <c r="BP337" s="2"/>
      <c r="BQ337" s="2" t="s">
        <v>844</v>
      </c>
      <c r="BR337" s="2" t="s">
        <v>123</v>
      </c>
      <c r="BS337" s="3">
        <v>42831</v>
      </c>
      <c r="BT337" s="4">
        <v>0.37222222222222223</v>
      </c>
      <c r="BU337" s="2" t="s">
        <v>845</v>
      </c>
      <c r="BV337" s="2" t="s">
        <v>111</v>
      </c>
      <c r="BW337" s="2"/>
      <c r="BX337" s="2"/>
      <c r="BY337" s="2">
        <v>17217.79</v>
      </c>
      <c r="BZ337" s="2" t="s">
        <v>27</v>
      </c>
      <c r="CA337" s="2" t="s">
        <v>154</v>
      </c>
      <c r="CB337" s="2"/>
      <c r="CC337" s="2" t="s">
        <v>100</v>
      </c>
      <c r="CD337" s="2">
        <v>6001</v>
      </c>
      <c r="CE337" s="2" t="s">
        <v>135</v>
      </c>
      <c r="CF337" s="5">
        <v>42831</v>
      </c>
      <c r="CG337" s="2"/>
      <c r="CH337" s="2"/>
      <c r="CI337" s="2">
        <v>1</v>
      </c>
      <c r="CJ337" s="2">
        <v>1</v>
      </c>
      <c r="CK337" s="2">
        <v>21</v>
      </c>
      <c r="CL337" s="2" t="s">
        <v>86</v>
      </c>
      <c r="CM337" s="2"/>
    </row>
    <row r="338" spans="1:91">
      <c r="A338" s="2" t="s">
        <v>71</v>
      </c>
      <c r="B338" s="2" t="s">
        <v>72</v>
      </c>
      <c r="C338" s="2" t="s">
        <v>73</v>
      </c>
      <c r="D338" s="2"/>
      <c r="E338" s="2" t="str">
        <f>"FES1162543183"</f>
        <v>FES1162543183</v>
      </c>
      <c r="F338" s="3">
        <v>42837</v>
      </c>
      <c r="G338" s="2">
        <v>201710</v>
      </c>
      <c r="H338" s="2" t="s">
        <v>74</v>
      </c>
      <c r="I338" s="2" t="s">
        <v>75</v>
      </c>
      <c r="J338" s="2" t="s">
        <v>76</v>
      </c>
      <c r="K338" s="2" t="s">
        <v>77</v>
      </c>
      <c r="L338" s="2" t="s">
        <v>160</v>
      </c>
      <c r="M338" s="2" t="s">
        <v>161</v>
      </c>
      <c r="N338" s="2" t="s">
        <v>623</v>
      </c>
      <c r="O338" s="2" t="s">
        <v>115</v>
      </c>
      <c r="P338" s="2" t="str">
        <f>"2170560005                    "</f>
        <v xml:space="preserve">2170560005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4.29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0.9</v>
      </c>
      <c r="BJ338" s="2">
        <v>1.7</v>
      </c>
      <c r="BK338" s="2">
        <v>2</v>
      </c>
      <c r="BL338" s="2">
        <v>41.73</v>
      </c>
      <c r="BM338" s="2">
        <v>5.84</v>
      </c>
      <c r="BN338" s="2">
        <v>47.57</v>
      </c>
      <c r="BO338" s="2">
        <v>47.57</v>
      </c>
      <c r="BP338" s="2"/>
      <c r="BQ338" s="2" t="s">
        <v>846</v>
      </c>
      <c r="BR338" s="2" t="s">
        <v>84</v>
      </c>
      <c r="BS338" s="3">
        <v>42838</v>
      </c>
      <c r="BT338" s="4">
        <v>0.41666666666666669</v>
      </c>
      <c r="BU338" s="2" t="s">
        <v>624</v>
      </c>
      <c r="BV338" s="2" t="s">
        <v>111</v>
      </c>
      <c r="BW338" s="2"/>
      <c r="BX338" s="2"/>
      <c r="BY338" s="2">
        <v>8640.06</v>
      </c>
      <c r="BZ338" s="2" t="s">
        <v>27</v>
      </c>
      <c r="CA338" s="2"/>
      <c r="CB338" s="2"/>
      <c r="CC338" s="2" t="s">
        <v>161</v>
      </c>
      <c r="CD338" s="2">
        <v>5201</v>
      </c>
      <c r="CE338" s="2" t="s">
        <v>89</v>
      </c>
      <c r="CF338" s="5">
        <v>42843</v>
      </c>
      <c r="CG338" s="2"/>
      <c r="CH338" s="2"/>
      <c r="CI338" s="2">
        <v>1</v>
      </c>
      <c r="CJ338" s="2">
        <v>1</v>
      </c>
      <c r="CK338" s="2">
        <v>21</v>
      </c>
      <c r="CL338" s="2" t="s">
        <v>86</v>
      </c>
      <c r="CM338" s="2"/>
    </row>
    <row r="339" spans="1:91">
      <c r="A339" s="2" t="s">
        <v>71</v>
      </c>
      <c r="B339" s="2" t="s">
        <v>72</v>
      </c>
      <c r="C339" s="2" t="s">
        <v>73</v>
      </c>
      <c r="D339" s="2"/>
      <c r="E339" s="2" t="str">
        <f>"FES1162542108"</f>
        <v>FES1162542108</v>
      </c>
      <c r="F339" s="3">
        <v>42831</v>
      </c>
      <c r="G339" s="2">
        <v>201710</v>
      </c>
      <c r="H339" s="2" t="s">
        <v>74</v>
      </c>
      <c r="I339" s="2" t="s">
        <v>75</v>
      </c>
      <c r="J339" s="2" t="s">
        <v>76</v>
      </c>
      <c r="K339" s="2" t="s">
        <v>77</v>
      </c>
      <c r="L339" s="2" t="s">
        <v>112</v>
      </c>
      <c r="M339" s="2" t="s">
        <v>113</v>
      </c>
      <c r="N339" s="2" t="s">
        <v>246</v>
      </c>
      <c r="O339" s="2" t="s">
        <v>115</v>
      </c>
      <c r="P339" s="2" t="str">
        <f>"2170560987                    "</f>
        <v xml:space="preserve">2170560987 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4.29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2</v>
      </c>
      <c r="BJ339" s="2">
        <v>1</v>
      </c>
      <c r="BK339" s="2">
        <v>2</v>
      </c>
      <c r="BL339" s="2">
        <v>41.73</v>
      </c>
      <c r="BM339" s="2">
        <v>5.84</v>
      </c>
      <c r="BN339" s="2">
        <v>47.57</v>
      </c>
      <c r="BO339" s="2">
        <v>47.57</v>
      </c>
      <c r="BP339" s="2"/>
      <c r="BQ339" s="2" t="s">
        <v>122</v>
      </c>
      <c r="BR339" s="2" t="s">
        <v>123</v>
      </c>
      <c r="BS339" s="3">
        <v>42832</v>
      </c>
      <c r="BT339" s="4">
        <v>0.40972222222222227</v>
      </c>
      <c r="BU339" s="2" t="s">
        <v>847</v>
      </c>
      <c r="BV339" s="2" t="s">
        <v>111</v>
      </c>
      <c r="BW339" s="2"/>
      <c r="BX339" s="2"/>
      <c r="BY339" s="2">
        <v>4929.3599999999997</v>
      </c>
      <c r="BZ339" s="2" t="s">
        <v>27</v>
      </c>
      <c r="CA339" s="2"/>
      <c r="CB339" s="2"/>
      <c r="CC339" s="2" t="s">
        <v>113</v>
      </c>
      <c r="CD339" s="2">
        <v>3212</v>
      </c>
      <c r="CE339" s="2" t="s">
        <v>135</v>
      </c>
      <c r="CF339" s="5">
        <v>42835</v>
      </c>
      <c r="CG339" s="2"/>
      <c r="CH339" s="2"/>
      <c r="CI339" s="2">
        <v>1</v>
      </c>
      <c r="CJ339" s="2">
        <v>1</v>
      </c>
      <c r="CK339" s="2">
        <v>21</v>
      </c>
      <c r="CL339" s="2" t="s">
        <v>86</v>
      </c>
      <c r="CM339" s="2"/>
    </row>
    <row r="340" spans="1:91">
      <c r="A340" s="2" t="s">
        <v>71</v>
      </c>
      <c r="B340" s="2" t="s">
        <v>72</v>
      </c>
      <c r="C340" s="2" t="s">
        <v>73</v>
      </c>
      <c r="D340" s="2"/>
      <c r="E340" s="2" t="str">
        <f>"FES1162541374"</f>
        <v>FES1162541374</v>
      </c>
      <c r="F340" s="3">
        <v>42829</v>
      </c>
      <c r="G340" s="2">
        <v>201710</v>
      </c>
      <c r="H340" s="2" t="s">
        <v>74</v>
      </c>
      <c r="I340" s="2" t="s">
        <v>75</v>
      </c>
      <c r="J340" s="2" t="s">
        <v>76</v>
      </c>
      <c r="K340" s="2" t="s">
        <v>77</v>
      </c>
      <c r="L340" s="2" t="s">
        <v>443</v>
      </c>
      <c r="M340" s="2" t="s">
        <v>444</v>
      </c>
      <c r="N340" s="2" t="s">
        <v>445</v>
      </c>
      <c r="O340" s="2" t="s">
        <v>115</v>
      </c>
      <c r="P340" s="2" t="str">
        <f>"2170560419                    "</f>
        <v xml:space="preserve">2170560419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4.42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1</v>
      </c>
      <c r="BJ340" s="2">
        <v>0.2</v>
      </c>
      <c r="BK340" s="2">
        <v>1</v>
      </c>
      <c r="BL340" s="2">
        <v>41.86</v>
      </c>
      <c r="BM340" s="2">
        <v>5.86</v>
      </c>
      <c r="BN340" s="2">
        <v>47.72</v>
      </c>
      <c r="BO340" s="2">
        <v>47.72</v>
      </c>
      <c r="BP340" s="2"/>
      <c r="BQ340" s="2" t="s">
        <v>129</v>
      </c>
      <c r="BR340" s="2" t="s">
        <v>123</v>
      </c>
      <c r="BS340" s="3">
        <v>42830</v>
      </c>
      <c r="BT340" s="4">
        <v>0.41666666666666669</v>
      </c>
      <c r="BU340" s="2" t="s">
        <v>446</v>
      </c>
      <c r="BV340" s="2" t="s">
        <v>111</v>
      </c>
      <c r="BW340" s="2"/>
      <c r="BX340" s="2"/>
      <c r="BY340" s="2">
        <v>1200</v>
      </c>
      <c r="BZ340" s="2" t="s">
        <v>27</v>
      </c>
      <c r="CA340" s="2" t="s">
        <v>159</v>
      </c>
      <c r="CB340" s="2"/>
      <c r="CC340" s="2" t="s">
        <v>444</v>
      </c>
      <c r="CD340" s="2">
        <v>7130</v>
      </c>
      <c r="CE340" s="2" t="s">
        <v>118</v>
      </c>
      <c r="CF340" s="5">
        <v>42831</v>
      </c>
      <c r="CG340" s="2"/>
      <c r="CH340" s="2"/>
      <c r="CI340" s="2">
        <v>1</v>
      </c>
      <c r="CJ340" s="2">
        <v>1</v>
      </c>
      <c r="CK340" s="2">
        <v>21</v>
      </c>
      <c r="CL340" s="2" t="s">
        <v>86</v>
      </c>
      <c r="CM340" s="2"/>
    </row>
    <row r="341" spans="1:91">
      <c r="A341" s="2" t="s">
        <v>71</v>
      </c>
      <c r="B341" s="2" t="s">
        <v>72</v>
      </c>
      <c r="C341" s="2" t="s">
        <v>73</v>
      </c>
      <c r="D341" s="2"/>
      <c r="E341" s="2" t="str">
        <f>"FES1162542975"</f>
        <v>FES1162542975</v>
      </c>
      <c r="F341" s="3">
        <v>42836</v>
      </c>
      <c r="G341" s="2">
        <v>201710</v>
      </c>
      <c r="H341" s="2" t="s">
        <v>74</v>
      </c>
      <c r="I341" s="2" t="s">
        <v>75</v>
      </c>
      <c r="J341" s="2" t="s">
        <v>76</v>
      </c>
      <c r="K341" s="2" t="s">
        <v>77</v>
      </c>
      <c r="L341" s="2" t="s">
        <v>99</v>
      </c>
      <c r="M341" s="2" t="s">
        <v>100</v>
      </c>
      <c r="N341" s="2" t="s">
        <v>848</v>
      </c>
      <c r="O341" s="2" t="s">
        <v>115</v>
      </c>
      <c r="P341" s="2" t="str">
        <f>"2170561762                    "</f>
        <v xml:space="preserve">2170561762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6.43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3</v>
      </c>
      <c r="BJ341" s="2">
        <v>2</v>
      </c>
      <c r="BK341" s="2">
        <v>3</v>
      </c>
      <c r="BL341" s="2">
        <v>62.59</v>
      </c>
      <c r="BM341" s="2">
        <v>8.76</v>
      </c>
      <c r="BN341" s="2">
        <v>71.349999999999994</v>
      </c>
      <c r="BO341" s="2">
        <v>71.349999999999994</v>
      </c>
      <c r="BP341" s="2"/>
      <c r="BQ341" s="2" t="s">
        <v>849</v>
      </c>
      <c r="BR341" s="2" t="s">
        <v>123</v>
      </c>
      <c r="BS341" s="3">
        <v>42837</v>
      </c>
      <c r="BT341" s="4">
        <v>0.3034722222222222</v>
      </c>
      <c r="BU341" s="2" t="s">
        <v>124</v>
      </c>
      <c r="BV341" s="2" t="s">
        <v>111</v>
      </c>
      <c r="BW341" s="2"/>
      <c r="BX341" s="2"/>
      <c r="BY341" s="2">
        <v>9918</v>
      </c>
      <c r="BZ341" s="2" t="s">
        <v>27</v>
      </c>
      <c r="CA341" s="2" t="s">
        <v>106</v>
      </c>
      <c r="CB341" s="2"/>
      <c r="CC341" s="2" t="s">
        <v>100</v>
      </c>
      <c r="CD341" s="2">
        <v>6012</v>
      </c>
      <c r="CE341" s="2" t="s">
        <v>135</v>
      </c>
      <c r="CF341" s="5">
        <v>42837</v>
      </c>
      <c r="CG341" s="2"/>
      <c r="CH341" s="2"/>
      <c r="CI341" s="2">
        <v>1</v>
      </c>
      <c r="CJ341" s="2">
        <v>1</v>
      </c>
      <c r="CK341" s="2">
        <v>21</v>
      </c>
      <c r="CL341" s="2" t="s">
        <v>86</v>
      </c>
      <c r="CM341" s="2"/>
    </row>
    <row r="342" spans="1:91">
      <c r="A342" s="2" t="s">
        <v>71</v>
      </c>
      <c r="B342" s="2" t="s">
        <v>72</v>
      </c>
      <c r="C342" s="2" t="s">
        <v>73</v>
      </c>
      <c r="D342" s="2"/>
      <c r="E342" s="2" t="str">
        <f>"FES1162541509"</f>
        <v>FES1162541509</v>
      </c>
      <c r="F342" s="3">
        <v>42830</v>
      </c>
      <c r="G342" s="2">
        <v>201710</v>
      </c>
      <c r="H342" s="2" t="s">
        <v>74</v>
      </c>
      <c r="I342" s="2" t="s">
        <v>75</v>
      </c>
      <c r="J342" s="2" t="s">
        <v>76</v>
      </c>
      <c r="K342" s="2" t="s">
        <v>77</v>
      </c>
      <c r="L342" s="2" t="s">
        <v>99</v>
      </c>
      <c r="M342" s="2" t="s">
        <v>100</v>
      </c>
      <c r="N342" s="2" t="s">
        <v>108</v>
      </c>
      <c r="O342" s="2" t="s">
        <v>115</v>
      </c>
      <c r="P342" s="2" t="str">
        <f>"2170556196                    "</f>
        <v xml:space="preserve">2170556196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8.57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4</v>
      </c>
      <c r="BJ342" s="2">
        <v>1.7</v>
      </c>
      <c r="BK342" s="2">
        <v>4</v>
      </c>
      <c r="BL342" s="2">
        <v>83.45</v>
      </c>
      <c r="BM342" s="2">
        <v>11.68</v>
      </c>
      <c r="BN342" s="2">
        <v>95.13</v>
      </c>
      <c r="BO342" s="2">
        <v>95.13</v>
      </c>
      <c r="BP342" s="2"/>
      <c r="BQ342" s="2" t="s">
        <v>109</v>
      </c>
      <c r="BR342" s="2" t="s">
        <v>123</v>
      </c>
      <c r="BS342" s="3">
        <v>42831</v>
      </c>
      <c r="BT342" s="4">
        <v>0.41666666666666669</v>
      </c>
      <c r="BU342" s="2" t="s">
        <v>110</v>
      </c>
      <c r="BV342" s="2" t="s">
        <v>111</v>
      </c>
      <c r="BW342" s="2"/>
      <c r="BX342" s="2"/>
      <c r="BY342" s="2">
        <v>8274.1200000000008</v>
      </c>
      <c r="BZ342" s="2" t="s">
        <v>27</v>
      </c>
      <c r="CA342" s="2" t="s">
        <v>106</v>
      </c>
      <c r="CB342" s="2"/>
      <c r="CC342" s="2" t="s">
        <v>100</v>
      </c>
      <c r="CD342" s="2">
        <v>6001</v>
      </c>
      <c r="CE342" s="2" t="s">
        <v>135</v>
      </c>
      <c r="CF342" s="5">
        <v>42831</v>
      </c>
      <c r="CG342" s="2"/>
      <c r="CH342" s="2"/>
      <c r="CI342" s="2">
        <v>1</v>
      </c>
      <c r="CJ342" s="2">
        <v>1</v>
      </c>
      <c r="CK342" s="2">
        <v>21</v>
      </c>
      <c r="CL342" s="2" t="s">
        <v>86</v>
      </c>
      <c r="CM342" s="2"/>
    </row>
    <row r="343" spans="1:91">
      <c r="A343" s="2" t="s">
        <v>71</v>
      </c>
      <c r="B343" s="2" t="s">
        <v>72</v>
      </c>
      <c r="C343" s="2" t="s">
        <v>73</v>
      </c>
      <c r="D343" s="2"/>
      <c r="E343" s="2" t="str">
        <f>"FES1162542001"</f>
        <v>FES1162542001</v>
      </c>
      <c r="F343" s="3">
        <v>42831</v>
      </c>
      <c r="G343" s="2">
        <v>201710</v>
      </c>
      <c r="H343" s="2" t="s">
        <v>74</v>
      </c>
      <c r="I343" s="2" t="s">
        <v>75</v>
      </c>
      <c r="J343" s="2" t="s">
        <v>76</v>
      </c>
      <c r="K343" s="2" t="s">
        <v>77</v>
      </c>
      <c r="L343" s="2" t="s">
        <v>187</v>
      </c>
      <c r="M343" s="2" t="s">
        <v>146</v>
      </c>
      <c r="N343" s="2" t="s">
        <v>850</v>
      </c>
      <c r="O343" s="2" t="s">
        <v>115</v>
      </c>
      <c r="P343" s="2" t="str">
        <f>"2170558352                    "</f>
        <v xml:space="preserve">2170558352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4.29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1</v>
      </c>
      <c r="BJ343" s="2">
        <v>0.2</v>
      </c>
      <c r="BK343" s="2">
        <v>1</v>
      </c>
      <c r="BL343" s="2">
        <v>41.73</v>
      </c>
      <c r="BM343" s="2">
        <v>5.84</v>
      </c>
      <c r="BN343" s="2">
        <v>47.57</v>
      </c>
      <c r="BO343" s="2">
        <v>47.57</v>
      </c>
      <c r="BP343" s="2"/>
      <c r="BQ343" s="2" t="s">
        <v>851</v>
      </c>
      <c r="BR343" s="2" t="s">
        <v>123</v>
      </c>
      <c r="BS343" s="3">
        <v>42832</v>
      </c>
      <c r="BT343" s="4">
        <v>0.4201388888888889</v>
      </c>
      <c r="BU343" s="2" t="s">
        <v>852</v>
      </c>
      <c r="BV343" s="2" t="s">
        <v>111</v>
      </c>
      <c r="BW343" s="2"/>
      <c r="BX343" s="2"/>
      <c r="BY343" s="2">
        <v>1200</v>
      </c>
      <c r="BZ343" s="2" t="s">
        <v>27</v>
      </c>
      <c r="CA343" s="2"/>
      <c r="CB343" s="2"/>
      <c r="CC343" s="2" t="s">
        <v>146</v>
      </c>
      <c r="CD343" s="2">
        <v>200</v>
      </c>
      <c r="CE343" s="2" t="s">
        <v>144</v>
      </c>
      <c r="CF343" s="5">
        <v>42836</v>
      </c>
      <c r="CG343" s="2"/>
      <c r="CH343" s="2"/>
      <c r="CI343" s="2">
        <v>0</v>
      </c>
      <c r="CJ343" s="2">
        <v>0</v>
      </c>
      <c r="CK343" s="2">
        <v>21</v>
      </c>
      <c r="CL343" s="2" t="s">
        <v>86</v>
      </c>
      <c r="CM343" s="2"/>
    </row>
    <row r="344" spans="1:91">
      <c r="A344" s="2" t="s">
        <v>71</v>
      </c>
      <c r="B344" s="2" t="s">
        <v>72</v>
      </c>
      <c r="C344" s="2" t="s">
        <v>73</v>
      </c>
      <c r="D344" s="2"/>
      <c r="E344" s="2" t="str">
        <f>"FES1162541394"</f>
        <v>FES1162541394</v>
      </c>
      <c r="F344" s="3">
        <v>42829</v>
      </c>
      <c r="G344" s="2">
        <v>201710</v>
      </c>
      <c r="H344" s="2" t="s">
        <v>74</v>
      </c>
      <c r="I344" s="2" t="s">
        <v>75</v>
      </c>
      <c r="J344" s="2" t="s">
        <v>76</v>
      </c>
      <c r="K344" s="2" t="s">
        <v>77</v>
      </c>
      <c r="L344" s="2" t="s">
        <v>443</v>
      </c>
      <c r="M344" s="2" t="s">
        <v>444</v>
      </c>
      <c r="N344" s="2" t="s">
        <v>627</v>
      </c>
      <c r="O344" s="2" t="s">
        <v>115</v>
      </c>
      <c r="P344" s="2" t="str">
        <f>"2170558607                    "</f>
        <v xml:space="preserve">2170558607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60.8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27.2</v>
      </c>
      <c r="BJ344" s="2">
        <v>9.1999999999999993</v>
      </c>
      <c r="BK344" s="2">
        <v>27.5</v>
      </c>
      <c r="BL344" s="2">
        <v>575.6</v>
      </c>
      <c r="BM344" s="2">
        <v>80.58</v>
      </c>
      <c r="BN344" s="2">
        <v>656.18</v>
      </c>
      <c r="BO344" s="2">
        <v>656.18</v>
      </c>
      <c r="BP344" s="2"/>
      <c r="BQ344" s="2" t="s">
        <v>628</v>
      </c>
      <c r="BR344" s="2" t="s">
        <v>123</v>
      </c>
      <c r="BS344" s="3">
        <v>42830</v>
      </c>
      <c r="BT344" s="4">
        <v>0</v>
      </c>
      <c r="BU344" s="2" t="s">
        <v>853</v>
      </c>
      <c r="BV344" s="2" t="s">
        <v>111</v>
      </c>
      <c r="BW344" s="2"/>
      <c r="BX344" s="2"/>
      <c r="BY344" s="2">
        <v>46241.279999999999</v>
      </c>
      <c r="BZ344" s="2" t="s">
        <v>27</v>
      </c>
      <c r="CA344" s="2" t="s">
        <v>159</v>
      </c>
      <c r="CB344" s="2"/>
      <c r="CC344" s="2" t="s">
        <v>444</v>
      </c>
      <c r="CD344" s="2">
        <v>7130</v>
      </c>
      <c r="CE344" s="2" t="s">
        <v>89</v>
      </c>
      <c r="CF344" s="5">
        <v>42831</v>
      </c>
      <c r="CG344" s="2"/>
      <c r="CH344" s="2"/>
      <c r="CI344" s="2">
        <v>1</v>
      </c>
      <c r="CJ344" s="2">
        <v>1</v>
      </c>
      <c r="CK344" s="2">
        <v>21</v>
      </c>
      <c r="CL344" s="2" t="s">
        <v>86</v>
      </c>
      <c r="CM344" s="2"/>
    </row>
    <row r="345" spans="1:91">
      <c r="A345" s="2" t="s">
        <v>71</v>
      </c>
      <c r="B345" s="2" t="s">
        <v>72</v>
      </c>
      <c r="C345" s="2" t="s">
        <v>73</v>
      </c>
      <c r="D345" s="2"/>
      <c r="E345" s="2" t="str">
        <f>"FES1162541692"</f>
        <v>FES1162541692</v>
      </c>
      <c r="F345" s="3">
        <v>42830</v>
      </c>
      <c r="G345" s="2">
        <v>201710</v>
      </c>
      <c r="H345" s="2" t="s">
        <v>74</v>
      </c>
      <c r="I345" s="2" t="s">
        <v>75</v>
      </c>
      <c r="J345" s="2" t="s">
        <v>76</v>
      </c>
      <c r="K345" s="2" t="s">
        <v>77</v>
      </c>
      <c r="L345" s="2" t="s">
        <v>591</v>
      </c>
      <c r="M345" s="2" t="s">
        <v>592</v>
      </c>
      <c r="N345" s="2" t="s">
        <v>675</v>
      </c>
      <c r="O345" s="2" t="s">
        <v>115</v>
      </c>
      <c r="P345" s="2" t="str">
        <f>"2170560487                    "</f>
        <v xml:space="preserve">2170560487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6.43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2.6</v>
      </c>
      <c r="BJ345" s="2">
        <v>1.5</v>
      </c>
      <c r="BK345" s="2">
        <v>3</v>
      </c>
      <c r="BL345" s="2">
        <v>62.59</v>
      </c>
      <c r="BM345" s="2">
        <v>8.76</v>
      </c>
      <c r="BN345" s="2">
        <v>71.349999999999994</v>
      </c>
      <c r="BO345" s="2">
        <v>71.349999999999994</v>
      </c>
      <c r="BP345" s="2"/>
      <c r="BQ345" s="2" t="s">
        <v>129</v>
      </c>
      <c r="BR345" s="2" t="s">
        <v>123</v>
      </c>
      <c r="BS345" s="3">
        <v>42831</v>
      </c>
      <c r="BT345" s="4">
        <v>0.41666666666666669</v>
      </c>
      <c r="BU345" s="2" t="s">
        <v>854</v>
      </c>
      <c r="BV345" s="2" t="s">
        <v>111</v>
      </c>
      <c r="BW345" s="2"/>
      <c r="BX345" s="2"/>
      <c r="BY345" s="2">
        <v>7257.37</v>
      </c>
      <c r="BZ345" s="2" t="s">
        <v>27</v>
      </c>
      <c r="CA345" s="2" t="s">
        <v>159</v>
      </c>
      <c r="CB345" s="2"/>
      <c r="CC345" s="2" t="s">
        <v>592</v>
      </c>
      <c r="CD345" s="2">
        <v>7600</v>
      </c>
      <c r="CE345" s="2" t="s">
        <v>172</v>
      </c>
      <c r="CF345" s="5">
        <v>42832</v>
      </c>
      <c r="CG345" s="2"/>
      <c r="CH345" s="2"/>
      <c r="CI345" s="2">
        <v>1</v>
      </c>
      <c r="CJ345" s="2">
        <v>1</v>
      </c>
      <c r="CK345" s="2">
        <v>21</v>
      </c>
      <c r="CL345" s="2" t="s">
        <v>86</v>
      </c>
      <c r="CM345" s="2"/>
    </row>
    <row r="346" spans="1:91">
      <c r="A346" s="2" t="s">
        <v>71</v>
      </c>
      <c r="B346" s="2" t="s">
        <v>72</v>
      </c>
      <c r="C346" s="2" t="s">
        <v>73</v>
      </c>
      <c r="D346" s="2"/>
      <c r="E346" s="2" t="str">
        <f>"FES1162543293"</f>
        <v>FES1162543293</v>
      </c>
      <c r="F346" s="3">
        <v>42837</v>
      </c>
      <c r="G346" s="2">
        <v>201710</v>
      </c>
      <c r="H346" s="2" t="s">
        <v>74</v>
      </c>
      <c r="I346" s="2" t="s">
        <v>75</v>
      </c>
      <c r="J346" s="2" t="s">
        <v>76</v>
      </c>
      <c r="K346" s="2" t="s">
        <v>77</v>
      </c>
      <c r="L346" s="2" t="s">
        <v>180</v>
      </c>
      <c r="M346" s="2" t="s">
        <v>181</v>
      </c>
      <c r="N346" s="2" t="s">
        <v>855</v>
      </c>
      <c r="O346" s="2" t="s">
        <v>115</v>
      </c>
      <c r="P346" s="2" t="str">
        <f>"2170559933                    "</f>
        <v xml:space="preserve">2170559933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4.29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41.73</v>
      </c>
      <c r="BM346" s="2">
        <v>5.84</v>
      </c>
      <c r="BN346" s="2">
        <v>47.57</v>
      </c>
      <c r="BO346" s="2">
        <v>47.57</v>
      </c>
      <c r="BP346" s="2"/>
      <c r="BQ346" s="2" t="s">
        <v>122</v>
      </c>
      <c r="BR346" s="2" t="s">
        <v>84</v>
      </c>
      <c r="BS346" s="3">
        <v>42838</v>
      </c>
      <c r="BT346" s="4">
        <v>0.28819444444444448</v>
      </c>
      <c r="BU346" s="2" t="s">
        <v>856</v>
      </c>
      <c r="BV346" s="2" t="s">
        <v>111</v>
      </c>
      <c r="BW346" s="2"/>
      <c r="BX346" s="2"/>
      <c r="BY346" s="2">
        <v>1200</v>
      </c>
      <c r="BZ346" s="2" t="s">
        <v>27</v>
      </c>
      <c r="CA346" s="2" t="s">
        <v>159</v>
      </c>
      <c r="CB346" s="2"/>
      <c r="CC346" s="2" t="s">
        <v>181</v>
      </c>
      <c r="CD346" s="2">
        <v>4093</v>
      </c>
      <c r="CE346" s="2" t="s">
        <v>118</v>
      </c>
      <c r="CF346" s="5">
        <v>42843</v>
      </c>
      <c r="CG346" s="2"/>
      <c r="CH346" s="2"/>
      <c r="CI346" s="2">
        <v>1</v>
      </c>
      <c r="CJ346" s="2">
        <v>1</v>
      </c>
      <c r="CK346" s="2">
        <v>21</v>
      </c>
      <c r="CL346" s="2" t="s">
        <v>86</v>
      </c>
      <c r="CM346" s="2"/>
    </row>
    <row r="347" spans="1:91">
      <c r="A347" s="2" t="s">
        <v>71</v>
      </c>
      <c r="B347" s="2" t="s">
        <v>72</v>
      </c>
      <c r="C347" s="2" t="s">
        <v>73</v>
      </c>
      <c r="D347" s="2"/>
      <c r="E347" s="2" t="str">
        <f>"FES1162541883"</f>
        <v>FES1162541883</v>
      </c>
      <c r="F347" s="3">
        <v>42831</v>
      </c>
      <c r="G347" s="2">
        <v>201710</v>
      </c>
      <c r="H347" s="2" t="s">
        <v>74</v>
      </c>
      <c r="I347" s="2" t="s">
        <v>75</v>
      </c>
      <c r="J347" s="2" t="s">
        <v>76</v>
      </c>
      <c r="K347" s="2" t="s">
        <v>77</v>
      </c>
      <c r="L347" s="2" t="s">
        <v>112</v>
      </c>
      <c r="M347" s="2" t="s">
        <v>113</v>
      </c>
      <c r="N347" s="2" t="s">
        <v>208</v>
      </c>
      <c r="O347" s="2" t="s">
        <v>115</v>
      </c>
      <c r="P347" s="2" t="str">
        <f>"2170560893                    "</f>
        <v xml:space="preserve">2170560893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6.43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3</v>
      </c>
      <c r="BJ347" s="2">
        <v>2</v>
      </c>
      <c r="BK347" s="2">
        <v>3</v>
      </c>
      <c r="BL347" s="2">
        <v>62.59</v>
      </c>
      <c r="BM347" s="2">
        <v>8.76</v>
      </c>
      <c r="BN347" s="2">
        <v>71.349999999999994</v>
      </c>
      <c r="BO347" s="2">
        <v>71.349999999999994</v>
      </c>
      <c r="BP347" s="2"/>
      <c r="BQ347" s="2" t="s">
        <v>122</v>
      </c>
      <c r="BR347" s="2" t="s">
        <v>123</v>
      </c>
      <c r="BS347" s="3">
        <v>42832</v>
      </c>
      <c r="BT347" s="4">
        <v>0.3923611111111111</v>
      </c>
      <c r="BU347" s="2" t="s">
        <v>857</v>
      </c>
      <c r="BV347" s="2" t="s">
        <v>111</v>
      </c>
      <c r="BW347" s="2"/>
      <c r="BX347" s="2"/>
      <c r="BY347" s="2">
        <v>9925.42</v>
      </c>
      <c r="BZ347" s="2" t="s">
        <v>27</v>
      </c>
      <c r="CA347" s="2"/>
      <c r="CB347" s="2"/>
      <c r="CC347" s="2" t="s">
        <v>113</v>
      </c>
      <c r="CD347" s="2">
        <v>3201</v>
      </c>
      <c r="CE347" s="2" t="s">
        <v>135</v>
      </c>
      <c r="CF347" s="5">
        <v>42835</v>
      </c>
      <c r="CG347" s="2"/>
      <c r="CH347" s="2"/>
      <c r="CI347" s="2">
        <v>1</v>
      </c>
      <c r="CJ347" s="2">
        <v>1</v>
      </c>
      <c r="CK347" s="2">
        <v>21</v>
      </c>
      <c r="CL347" s="2" t="s">
        <v>86</v>
      </c>
      <c r="CM347" s="2"/>
    </row>
    <row r="348" spans="1:91">
      <c r="A348" s="2" t="s">
        <v>71</v>
      </c>
      <c r="B348" s="2" t="s">
        <v>72</v>
      </c>
      <c r="C348" s="2" t="s">
        <v>73</v>
      </c>
      <c r="D348" s="2"/>
      <c r="E348" s="2" t="str">
        <f>"FES1162541381"</f>
        <v>FES1162541381</v>
      </c>
      <c r="F348" s="3">
        <v>42829</v>
      </c>
      <c r="G348" s="2">
        <v>201710</v>
      </c>
      <c r="H348" s="2" t="s">
        <v>74</v>
      </c>
      <c r="I348" s="2" t="s">
        <v>75</v>
      </c>
      <c r="J348" s="2" t="s">
        <v>76</v>
      </c>
      <c r="K348" s="2" t="s">
        <v>77</v>
      </c>
      <c r="L348" s="2" t="s">
        <v>99</v>
      </c>
      <c r="M348" s="2" t="s">
        <v>100</v>
      </c>
      <c r="N348" s="2" t="s">
        <v>583</v>
      </c>
      <c r="O348" s="2" t="s">
        <v>115</v>
      </c>
      <c r="P348" s="2" t="str">
        <f>"2170560032                    "</f>
        <v xml:space="preserve">2170560032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53.06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2</v>
      </c>
      <c r="BI348" s="2">
        <v>24</v>
      </c>
      <c r="BJ348" s="2">
        <v>7.8</v>
      </c>
      <c r="BK348" s="2">
        <v>24</v>
      </c>
      <c r="BL348" s="2">
        <v>502.34</v>
      </c>
      <c r="BM348" s="2">
        <v>70.33</v>
      </c>
      <c r="BN348" s="2">
        <v>572.66999999999996</v>
      </c>
      <c r="BO348" s="2">
        <v>572.66999999999996</v>
      </c>
      <c r="BP348" s="2"/>
      <c r="BQ348" s="2" t="s">
        <v>584</v>
      </c>
      <c r="BR348" s="2" t="s">
        <v>123</v>
      </c>
      <c r="BS348" s="3">
        <v>42830</v>
      </c>
      <c r="BT348" s="4">
        <v>0.4680555555555555</v>
      </c>
      <c r="BU348" s="2" t="s">
        <v>585</v>
      </c>
      <c r="BV348" s="2" t="s">
        <v>86</v>
      </c>
      <c r="BW348" s="2"/>
      <c r="BX348" s="2"/>
      <c r="BY348" s="2">
        <v>39081.019999999997</v>
      </c>
      <c r="BZ348" s="2" t="s">
        <v>27</v>
      </c>
      <c r="CA348" s="2" t="s">
        <v>154</v>
      </c>
      <c r="CB348" s="2"/>
      <c r="CC348" s="2" t="s">
        <v>100</v>
      </c>
      <c r="CD348" s="2">
        <v>6001</v>
      </c>
      <c r="CE348" s="2" t="s">
        <v>287</v>
      </c>
      <c r="CF348" s="5">
        <v>42831</v>
      </c>
      <c r="CG348" s="2"/>
      <c r="CH348" s="2"/>
      <c r="CI348" s="2">
        <v>1</v>
      </c>
      <c r="CJ348" s="2">
        <v>1</v>
      </c>
      <c r="CK348" s="2">
        <v>21</v>
      </c>
      <c r="CL348" s="2" t="s">
        <v>86</v>
      </c>
      <c r="CM348" s="2"/>
    </row>
    <row r="349" spans="1:91">
      <c r="A349" s="2" t="s">
        <v>71</v>
      </c>
      <c r="B349" s="2" t="s">
        <v>72</v>
      </c>
      <c r="C349" s="2" t="s">
        <v>73</v>
      </c>
      <c r="D349" s="2"/>
      <c r="E349" s="2" t="str">
        <f>"FES1162541677"</f>
        <v>FES1162541677</v>
      </c>
      <c r="F349" s="3">
        <v>42830</v>
      </c>
      <c r="G349" s="2">
        <v>201710</v>
      </c>
      <c r="H349" s="2" t="s">
        <v>74</v>
      </c>
      <c r="I349" s="2" t="s">
        <v>75</v>
      </c>
      <c r="J349" s="2" t="s">
        <v>76</v>
      </c>
      <c r="K349" s="2" t="s">
        <v>77</v>
      </c>
      <c r="L349" s="2" t="s">
        <v>131</v>
      </c>
      <c r="M349" s="2" t="s">
        <v>132</v>
      </c>
      <c r="N349" s="2" t="s">
        <v>858</v>
      </c>
      <c r="O349" s="2" t="s">
        <v>115</v>
      </c>
      <c r="P349" s="2" t="str">
        <f>"2170559955                    "</f>
        <v xml:space="preserve">2170559955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11.79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5.2</v>
      </c>
      <c r="BJ349" s="2">
        <v>3.3</v>
      </c>
      <c r="BK349" s="2">
        <v>5.5</v>
      </c>
      <c r="BL349" s="2">
        <v>114.75</v>
      </c>
      <c r="BM349" s="2">
        <v>16.07</v>
      </c>
      <c r="BN349" s="2">
        <v>130.82</v>
      </c>
      <c r="BO349" s="2">
        <v>130.82</v>
      </c>
      <c r="BP349" s="2"/>
      <c r="BQ349" s="2" t="s">
        <v>617</v>
      </c>
      <c r="BR349" s="2" t="s">
        <v>123</v>
      </c>
      <c r="BS349" s="3">
        <v>42831</v>
      </c>
      <c r="BT349" s="4">
        <v>0.48958333333333331</v>
      </c>
      <c r="BU349" s="2" t="s">
        <v>859</v>
      </c>
      <c r="BV349" s="2" t="s">
        <v>86</v>
      </c>
      <c r="BW349" s="2" t="s">
        <v>484</v>
      </c>
      <c r="BX349" s="2" t="s">
        <v>860</v>
      </c>
      <c r="BY349" s="2">
        <v>16478.21</v>
      </c>
      <c r="BZ349" s="2" t="s">
        <v>27</v>
      </c>
      <c r="CA349" s="2"/>
      <c r="CB349" s="2"/>
      <c r="CC349" s="2" t="s">
        <v>132</v>
      </c>
      <c r="CD349" s="2">
        <v>7580</v>
      </c>
      <c r="CE349" s="2" t="s">
        <v>89</v>
      </c>
      <c r="CF349" s="5">
        <v>42832</v>
      </c>
      <c r="CG349" s="2"/>
      <c r="CH349" s="2"/>
      <c r="CI349" s="2">
        <v>1</v>
      </c>
      <c r="CJ349" s="2">
        <v>1</v>
      </c>
      <c r="CK349" s="2">
        <v>21</v>
      </c>
      <c r="CL349" s="2" t="s">
        <v>86</v>
      </c>
      <c r="CM349" s="2"/>
    </row>
    <row r="350" spans="1:91">
      <c r="A350" s="2" t="s">
        <v>71</v>
      </c>
      <c r="B350" s="2" t="s">
        <v>72</v>
      </c>
      <c r="C350" s="2" t="s">
        <v>73</v>
      </c>
      <c r="D350" s="2"/>
      <c r="E350" s="2" t="str">
        <f>"FES1162541510"</f>
        <v>FES1162541510</v>
      </c>
      <c r="F350" s="3">
        <v>42830</v>
      </c>
      <c r="G350" s="2">
        <v>201710</v>
      </c>
      <c r="H350" s="2" t="s">
        <v>74</v>
      </c>
      <c r="I350" s="2" t="s">
        <v>75</v>
      </c>
      <c r="J350" s="2" t="s">
        <v>76</v>
      </c>
      <c r="K350" s="2" t="s">
        <v>77</v>
      </c>
      <c r="L350" s="2" t="s">
        <v>99</v>
      </c>
      <c r="M350" s="2" t="s">
        <v>100</v>
      </c>
      <c r="N350" s="2" t="s">
        <v>108</v>
      </c>
      <c r="O350" s="2" t="s">
        <v>115</v>
      </c>
      <c r="P350" s="2" t="str">
        <f>"217055620                     "</f>
        <v xml:space="preserve">217055620 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8.57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4</v>
      </c>
      <c r="BJ350" s="2">
        <v>1.6</v>
      </c>
      <c r="BK350" s="2">
        <v>4</v>
      </c>
      <c r="BL350" s="2">
        <v>83.45</v>
      </c>
      <c r="BM350" s="2">
        <v>11.68</v>
      </c>
      <c r="BN350" s="2">
        <v>95.13</v>
      </c>
      <c r="BO350" s="2">
        <v>95.13</v>
      </c>
      <c r="BP350" s="2"/>
      <c r="BQ350" s="2" t="s">
        <v>109</v>
      </c>
      <c r="BR350" s="2" t="s">
        <v>123</v>
      </c>
      <c r="BS350" s="3">
        <v>42831</v>
      </c>
      <c r="BT350" s="4">
        <v>0.41666666666666669</v>
      </c>
      <c r="BU350" s="2" t="s">
        <v>110</v>
      </c>
      <c r="BV350" s="2" t="s">
        <v>111</v>
      </c>
      <c r="BW350" s="2"/>
      <c r="BX350" s="2"/>
      <c r="BY350" s="2">
        <v>8007.71</v>
      </c>
      <c r="BZ350" s="2" t="s">
        <v>27</v>
      </c>
      <c r="CA350" s="2" t="s">
        <v>106</v>
      </c>
      <c r="CB350" s="2"/>
      <c r="CC350" s="2" t="s">
        <v>100</v>
      </c>
      <c r="CD350" s="2">
        <v>6001</v>
      </c>
      <c r="CE350" s="2" t="s">
        <v>135</v>
      </c>
      <c r="CF350" s="5">
        <v>42831</v>
      </c>
      <c r="CG350" s="2"/>
      <c r="CH350" s="2"/>
      <c r="CI350" s="2">
        <v>1</v>
      </c>
      <c r="CJ350" s="2">
        <v>1</v>
      </c>
      <c r="CK350" s="2">
        <v>21</v>
      </c>
      <c r="CL350" s="2" t="s">
        <v>86</v>
      </c>
      <c r="CM350" s="2"/>
    </row>
    <row r="351" spans="1:91">
      <c r="A351" s="2" t="s">
        <v>71</v>
      </c>
      <c r="B351" s="2" t="s">
        <v>72</v>
      </c>
      <c r="C351" s="2" t="s">
        <v>73</v>
      </c>
      <c r="D351" s="2"/>
      <c r="E351" s="2" t="str">
        <f>"FES1162543178"</f>
        <v>FES1162543178</v>
      </c>
      <c r="F351" s="3">
        <v>42837</v>
      </c>
      <c r="G351" s="2">
        <v>201710</v>
      </c>
      <c r="H351" s="2" t="s">
        <v>74</v>
      </c>
      <c r="I351" s="2" t="s">
        <v>75</v>
      </c>
      <c r="J351" s="2" t="s">
        <v>76</v>
      </c>
      <c r="K351" s="2" t="s">
        <v>77</v>
      </c>
      <c r="L351" s="2" t="s">
        <v>99</v>
      </c>
      <c r="M351" s="2" t="s">
        <v>100</v>
      </c>
      <c r="N351" s="2" t="s">
        <v>108</v>
      </c>
      <c r="O351" s="2" t="s">
        <v>115</v>
      </c>
      <c r="P351" s="2" t="str">
        <f>"2170559832                    "</f>
        <v xml:space="preserve">2170559832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62.16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2</v>
      </c>
      <c r="BI351" s="2">
        <v>25.8</v>
      </c>
      <c r="BJ351" s="2">
        <v>28.8</v>
      </c>
      <c r="BK351" s="2">
        <v>29</v>
      </c>
      <c r="BL351" s="2">
        <v>605.04</v>
      </c>
      <c r="BM351" s="2">
        <v>84.71</v>
      </c>
      <c r="BN351" s="2">
        <v>689.75</v>
      </c>
      <c r="BO351" s="2">
        <v>689.75</v>
      </c>
      <c r="BP351" s="2"/>
      <c r="BQ351" s="2" t="s">
        <v>109</v>
      </c>
      <c r="BR351" s="2" t="s">
        <v>84</v>
      </c>
      <c r="BS351" s="3">
        <v>42838</v>
      </c>
      <c r="BT351" s="4">
        <v>0.375</v>
      </c>
      <c r="BU351" s="2" t="s">
        <v>110</v>
      </c>
      <c r="BV351" s="2" t="s">
        <v>111</v>
      </c>
      <c r="BW351" s="2"/>
      <c r="BX351" s="2"/>
      <c r="BY351" s="2">
        <v>143871.79</v>
      </c>
      <c r="BZ351" s="2" t="s">
        <v>27</v>
      </c>
      <c r="CA351" s="2" t="s">
        <v>106</v>
      </c>
      <c r="CB351" s="2"/>
      <c r="CC351" s="2" t="s">
        <v>100</v>
      </c>
      <c r="CD351" s="2">
        <v>6001</v>
      </c>
      <c r="CE351" s="2" t="s">
        <v>89</v>
      </c>
      <c r="CF351" s="5">
        <v>42838</v>
      </c>
      <c r="CG351" s="2"/>
      <c r="CH351" s="2"/>
      <c r="CI351" s="2">
        <v>1</v>
      </c>
      <c r="CJ351" s="2">
        <v>1</v>
      </c>
      <c r="CK351" s="2">
        <v>21</v>
      </c>
      <c r="CL351" s="2" t="s">
        <v>86</v>
      </c>
      <c r="CM351" s="2"/>
    </row>
    <row r="352" spans="1:91">
      <c r="A352" s="2" t="s">
        <v>71</v>
      </c>
      <c r="B352" s="2" t="s">
        <v>72</v>
      </c>
      <c r="C352" s="2" t="s">
        <v>73</v>
      </c>
      <c r="D352" s="2"/>
      <c r="E352" s="2" t="str">
        <f>"FES1162542093"</f>
        <v>FES1162542093</v>
      </c>
      <c r="F352" s="3">
        <v>42831</v>
      </c>
      <c r="G352" s="2">
        <v>201710</v>
      </c>
      <c r="H352" s="2" t="s">
        <v>74</v>
      </c>
      <c r="I352" s="2" t="s">
        <v>75</v>
      </c>
      <c r="J352" s="2" t="s">
        <v>76</v>
      </c>
      <c r="K352" s="2" t="s">
        <v>77</v>
      </c>
      <c r="L352" s="2" t="s">
        <v>166</v>
      </c>
      <c r="M352" s="2" t="s">
        <v>167</v>
      </c>
      <c r="N352" s="2" t="s">
        <v>861</v>
      </c>
      <c r="O352" s="2" t="s">
        <v>115</v>
      </c>
      <c r="P352" s="2" t="str">
        <f>"2170558653                    "</f>
        <v xml:space="preserve">2170558653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3.35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1</v>
      </c>
      <c r="BJ352" s="2">
        <v>0.2</v>
      </c>
      <c r="BK352" s="2">
        <v>1</v>
      </c>
      <c r="BL352" s="2">
        <v>32.6</v>
      </c>
      <c r="BM352" s="2">
        <v>4.5599999999999996</v>
      </c>
      <c r="BN352" s="2">
        <v>37.159999999999997</v>
      </c>
      <c r="BO352" s="2">
        <v>37.159999999999997</v>
      </c>
      <c r="BP352" s="2"/>
      <c r="BQ352" s="2" t="s">
        <v>862</v>
      </c>
      <c r="BR352" s="2" t="s">
        <v>123</v>
      </c>
      <c r="BS352" s="3">
        <v>42832</v>
      </c>
      <c r="BT352" s="4">
        <v>0.375</v>
      </c>
      <c r="BU352" s="2" t="s">
        <v>863</v>
      </c>
      <c r="BV352" s="2" t="s">
        <v>111</v>
      </c>
      <c r="BW352" s="2"/>
      <c r="BX352" s="2"/>
      <c r="BY352" s="2">
        <v>1200</v>
      </c>
      <c r="BZ352" s="2" t="s">
        <v>27</v>
      </c>
      <c r="CA352" s="2"/>
      <c r="CB352" s="2"/>
      <c r="CC352" s="2" t="s">
        <v>167</v>
      </c>
      <c r="CD352" s="2">
        <v>2091</v>
      </c>
      <c r="CE352" s="2" t="s">
        <v>118</v>
      </c>
      <c r="CF352" s="5">
        <v>42835</v>
      </c>
      <c r="CG352" s="2"/>
      <c r="CH352" s="2"/>
      <c r="CI352" s="2">
        <v>1</v>
      </c>
      <c r="CJ352" s="2">
        <v>1</v>
      </c>
      <c r="CK352" s="2">
        <v>22</v>
      </c>
      <c r="CL352" s="2" t="s">
        <v>86</v>
      </c>
      <c r="CM352" s="2"/>
    </row>
    <row r="353" spans="1:91">
      <c r="A353" s="2" t="s">
        <v>71</v>
      </c>
      <c r="B353" s="2" t="s">
        <v>72</v>
      </c>
      <c r="C353" s="2" t="s">
        <v>73</v>
      </c>
      <c r="D353" s="2"/>
      <c r="E353" s="2" t="str">
        <f>"FES1162541292"</f>
        <v>FES1162541292</v>
      </c>
      <c r="F353" s="3">
        <v>42829</v>
      </c>
      <c r="G353" s="2">
        <v>201710</v>
      </c>
      <c r="H353" s="2" t="s">
        <v>74</v>
      </c>
      <c r="I353" s="2" t="s">
        <v>75</v>
      </c>
      <c r="J353" s="2" t="s">
        <v>76</v>
      </c>
      <c r="K353" s="2" t="s">
        <v>77</v>
      </c>
      <c r="L353" s="2" t="s">
        <v>180</v>
      </c>
      <c r="M353" s="2" t="s">
        <v>181</v>
      </c>
      <c r="N353" s="2" t="s">
        <v>348</v>
      </c>
      <c r="O353" s="2" t="s">
        <v>115</v>
      </c>
      <c r="P353" s="2" t="str">
        <f>"2170556660                    "</f>
        <v xml:space="preserve">2170556660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8.84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4</v>
      </c>
      <c r="BJ353" s="2">
        <v>1.7</v>
      </c>
      <c r="BK353" s="2">
        <v>4</v>
      </c>
      <c r="BL353" s="2">
        <v>83.72</v>
      </c>
      <c r="BM353" s="2">
        <v>11.72</v>
      </c>
      <c r="BN353" s="2">
        <v>95.44</v>
      </c>
      <c r="BO353" s="2">
        <v>95.44</v>
      </c>
      <c r="BP353" s="2"/>
      <c r="BQ353" s="2" t="s">
        <v>349</v>
      </c>
      <c r="BR353" s="2" t="s">
        <v>123</v>
      </c>
      <c r="BS353" s="3">
        <v>42830</v>
      </c>
      <c r="BT353" s="4">
        <v>0.4375</v>
      </c>
      <c r="BU353" s="2" t="s">
        <v>864</v>
      </c>
      <c r="BV353" s="2" t="s">
        <v>111</v>
      </c>
      <c r="BW353" s="2"/>
      <c r="BX353" s="2"/>
      <c r="BY353" s="2">
        <v>8262.91</v>
      </c>
      <c r="BZ353" s="2" t="s">
        <v>27</v>
      </c>
      <c r="CA353" s="2"/>
      <c r="CB353" s="2"/>
      <c r="CC353" s="2" t="s">
        <v>181</v>
      </c>
      <c r="CD353" s="2">
        <v>4001</v>
      </c>
      <c r="CE353" s="2" t="s">
        <v>89</v>
      </c>
      <c r="CF353" s="5">
        <v>42831</v>
      </c>
      <c r="CG353" s="2"/>
      <c r="CH353" s="2"/>
      <c r="CI353" s="2">
        <v>1</v>
      </c>
      <c r="CJ353" s="2">
        <v>1</v>
      </c>
      <c r="CK353" s="2">
        <v>21</v>
      </c>
      <c r="CL353" s="2" t="s">
        <v>86</v>
      </c>
      <c r="CM353" s="2"/>
    </row>
    <row r="354" spans="1:91">
      <c r="A354" s="2" t="s">
        <v>71</v>
      </c>
      <c r="B354" s="2" t="s">
        <v>72</v>
      </c>
      <c r="C354" s="2" t="s">
        <v>73</v>
      </c>
      <c r="D354" s="2"/>
      <c r="E354" s="2" t="str">
        <f>"FES1162542863"</f>
        <v>FES1162542863</v>
      </c>
      <c r="F354" s="3">
        <v>42836</v>
      </c>
      <c r="G354" s="2">
        <v>201710</v>
      </c>
      <c r="H354" s="2" t="s">
        <v>74</v>
      </c>
      <c r="I354" s="2" t="s">
        <v>75</v>
      </c>
      <c r="J354" s="2" t="s">
        <v>76</v>
      </c>
      <c r="K354" s="2" t="s">
        <v>77</v>
      </c>
      <c r="L354" s="2" t="s">
        <v>160</v>
      </c>
      <c r="M354" s="2" t="s">
        <v>161</v>
      </c>
      <c r="N354" s="2" t="s">
        <v>463</v>
      </c>
      <c r="O354" s="2" t="s">
        <v>115</v>
      </c>
      <c r="P354" s="2" t="str">
        <f>"2170559184                    "</f>
        <v xml:space="preserve">2170559184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4.29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1</v>
      </c>
      <c r="BJ354" s="2">
        <v>0.2</v>
      </c>
      <c r="BK354" s="2">
        <v>1</v>
      </c>
      <c r="BL354" s="2">
        <v>41.73</v>
      </c>
      <c r="BM354" s="2">
        <v>5.84</v>
      </c>
      <c r="BN354" s="2">
        <v>47.57</v>
      </c>
      <c r="BO354" s="2">
        <v>47.57</v>
      </c>
      <c r="BP354" s="2"/>
      <c r="BQ354" s="2" t="s">
        <v>129</v>
      </c>
      <c r="BR354" s="2" t="s">
        <v>123</v>
      </c>
      <c r="BS354" s="3">
        <v>42837</v>
      </c>
      <c r="BT354" s="4">
        <v>0.41666666666666669</v>
      </c>
      <c r="BU354" s="2" t="s">
        <v>464</v>
      </c>
      <c r="BV354" s="2" t="s">
        <v>111</v>
      </c>
      <c r="BW354" s="2"/>
      <c r="BX354" s="2"/>
      <c r="BY354" s="2">
        <v>1200</v>
      </c>
      <c r="BZ354" s="2" t="s">
        <v>27</v>
      </c>
      <c r="CA354" s="2"/>
      <c r="CB354" s="2"/>
      <c r="CC354" s="2" t="s">
        <v>161</v>
      </c>
      <c r="CD354" s="2">
        <v>5201</v>
      </c>
      <c r="CE354" s="2" t="s">
        <v>144</v>
      </c>
      <c r="CF354" s="5">
        <v>42838</v>
      </c>
      <c r="CG354" s="2"/>
      <c r="CH354" s="2"/>
      <c r="CI354" s="2">
        <v>1</v>
      </c>
      <c r="CJ354" s="2">
        <v>1</v>
      </c>
      <c r="CK354" s="2">
        <v>21</v>
      </c>
      <c r="CL354" s="2" t="s">
        <v>86</v>
      </c>
      <c r="CM354" s="2"/>
    </row>
    <row r="355" spans="1:91">
      <c r="A355" s="2" t="s">
        <v>71</v>
      </c>
      <c r="B355" s="2" t="s">
        <v>72</v>
      </c>
      <c r="C355" s="2" t="s">
        <v>73</v>
      </c>
      <c r="D355" s="2"/>
      <c r="E355" s="2" t="str">
        <f>"FES1162541779"</f>
        <v>FES1162541779</v>
      </c>
      <c r="F355" s="3">
        <v>42830</v>
      </c>
      <c r="G355" s="2">
        <v>201710</v>
      </c>
      <c r="H355" s="2" t="s">
        <v>74</v>
      </c>
      <c r="I355" s="2" t="s">
        <v>75</v>
      </c>
      <c r="J355" s="2" t="s">
        <v>76</v>
      </c>
      <c r="K355" s="2" t="s">
        <v>77</v>
      </c>
      <c r="L355" s="2" t="s">
        <v>865</v>
      </c>
      <c r="M355" s="2" t="s">
        <v>866</v>
      </c>
      <c r="N355" s="2" t="s">
        <v>867</v>
      </c>
      <c r="O355" s="2" t="s">
        <v>115</v>
      </c>
      <c r="P355" s="2" t="str">
        <f>"2170560784                    "</f>
        <v xml:space="preserve">2170560784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8.31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1</v>
      </c>
      <c r="BJ355" s="2">
        <v>0.2</v>
      </c>
      <c r="BK355" s="2">
        <v>1</v>
      </c>
      <c r="BL355" s="2">
        <v>80.849999999999994</v>
      </c>
      <c r="BM355" s="2">
        <v>11.32</v>
      </c>
      <c r="BN355" s="2">
        <v>92.17</v>
      </c>
      <c r="BO355" s="2">
        <v>92.17</v>
      </c>
      <c r="BP355" s="2"/>
      <c r="BQ355" s="2" t="s">
        <v>868</v>
      </c>
      <c r="BR355" s="2" t="s">
        <v>123</v>
      </c>
      <c r="BS355" s="3">
        <v>42831</v>
      </c>
      <c r="BT355" s="4">
        <v>0.625</v>
      </c>
      <c r="BU355" s="2" t="s">
        <v>869</v>
      </c>
      <c r="BV355" s="2" t="s">
        <v>111</v>
      </c>
      <c r="BW355" s="2"/>
      <c r="BX355" s="2"/>
      <c r="BY355" s="2">
        <v>1200</v>
      </c>
      <c r="BZ355" s="2" t="s">
        <v>27</v>
      </c>
      <c r="CA355" s="2" t="s">
        <v>159</v>
      </c>
      <c r="CB355" s="2"/>
      <c r="CC355" s="2" t="s">
        <v>866</v>
      </c>
      <c r="CD355" s="2">
        <v>6139</v>
      </c>
      <c r="CE355" s="2" t="s">
        <v>118</v>
      </c>
      <c r="CF355" s="5">
        <v>42838</v>
      </c>
      <c r="CG355" s="2"/>
      <c r="CH355" s="2"/>
      <c r="CI355" s="2">
        <v>3</v>
      </c>
      <c r="CJ355" s="2">
        <v>1</v>
      </c>
      <c r="CK355" s="2">
        <v>23</v>
      </c>
      <c r="CL355" s="2" t="s">
        <v>86</v>
      </c>
      <c r="CM355" s="2"/>
    </row>
    <row r="356" spans="1:91">
      <c r="A356" s="2" t="s">
        <v>71</v>
      </c>
      <c r="B356" s="2" t="s">
        <v>72</v>
      </c>
      <c r="C356" s="2" t="s">
        <v>73</v>
      </c>
      <c r="D356" s="2"/>
      <c r="E356" s="2" t="str">
        <f>"FES1162540429"</f>
        <v>FES1162540429</v>
      </c>
      <c r="F356" s="3">
        <v>42830</v>
      </c>
      <c r="G356" s="2">
        <v>201710</v>
      </c>
      <c r="H356" s="2" t="s">
        <v>74</v>
      </c>
      <c r="I356" s="2" t="s">
        <v>75</v>
      </c>
      <c r="J356" s="2" t="s">
        <v>76</v>
      </c>
      <c r="K356" s="2" t="s">
        <v>77</v>
      </c>
      <c r="L356" s="2" t="s">
        <v>190</v>
      </c>
      <c r="M356" s="2" t="s">
        <v>191</v>
      </c>
      <c r="N356" s="2" t="s">
        <v>870</v>
      </c>
      <c r="O356" s="2" t="s">
        <v>115</v>
      </c>
      <c r="P356" s="2" t="str">
        <f>"2170556497                    "</f>
        <v xml:space="preserve">2170556497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6.03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1</v>
      </c>
      <c r="BJ356" s="2">
        <v>0.2</v>
      </c>
      <c r="BK356" s="2">
        <v>1</v>
      </c>
      <c r="BL356" s="2">
        <v>58.68</v>
      </c>
      <c r="BM356" s="2">
        <v>8.2200000000000006</v>
      </c>
      <c r="BN356" s="2">
        <v>66.900000000000006</v>
      </c>
      <c r="BO356" s="2">
        <v>66.900000000000006</v>
      </c>
      <c r="BP356" s="2"/>
      <c r="BQ356" s="2" t="s">
        <v>871</v>
      </c>
      <c r="BR356" s="2" t="s">
        <v>123</v>
      </c>
      <c r="BS356" s="3">
        <v>42831</v>
      </c>
      <c r="BT356" s="4">
        <v>0.35416666666666669</v>
      </c>
      <c r="BU356" s="2" t="s">
        <v>841</v>
      </c>
      <c r="BV356" s="2" t="s">
        <v>111</v>
      </c>
      <c r="BW356" s="2"/>
      <c r="BX356" s="2"/>
      <c r="BY356" s="2">
        <v>1200</v>
      </c>
      <c r="BZ356" s="2" t="s">
        <v>27</v>
      </c>
      <c r="CA356" s="2"/>
      <c r="CB356" s="2"/>
      <c r="CC356" s="2" t="s">
        <v>191</v>
      </c>
      <c r="CD356" s="2">
        <v>1754</v>
      </c>
      <c r="CE356" s="2" t="s">
        <v>144</v>
      </c>
      <c r="CF356" s="5">
        <v>42832</v>
      </c>
      <c r="CG356" s="2"/>
      <c r="CH356" s="2"/>
      <c r="CI356" s="2">
        <v>1</v>
      </c>
      <c r="CJ356" s="2">
        <v>1</v>
      </c>
      <c r="CK356" s="2">
        <v>24</v>
      </c>
      <c r="CL356" s="2" t="s">
        <v>86</v>
      </c>
      <c r="CM356" s="2"/>
    </row>
    <row r="357" spans="1:91">
      <c r="A357" s="2" t="s">
        <v>71</v>
      </c>
      <c r="B357" s="2" t="s">
        <v>72</v>
      </c>
      <c r="C357" s="2" t="s">
        <v>73</v>
      </c>
      <c r="D357" s="2"/>
      <c r="E357" s="2" t="str">
        <f>"FES1162543419"</f>
        <v>FES1162543419</v>
      </c>
      <c r="F357" s="3">
        <v>42837</v>
      </c>
      <c r="G357" s="2">
        <v>201710</v>
      </c>
      <c r="H357" s="2" t="s">
        <v>74</v>
      </c>
      <c r="I357" s="2" t="s">
        <v>75</v>
      </c>
      <c r="J357" s="2" t="s">
        <v>76</v>
      </c>
      <c r="K357" s="2" t="s">
        <v>77</v>
      </c>
      <c r="L357" s="2" t="s">
        <v>131</v>
      </c>
      <c r="M357" s="2" t="s">
        <v>132</v>
      </c>
      <c r="N357" s="2" t="s">
        <v>384</v>
      </c>
      <c r="O357" s="2" t="s">
        <v>115</v>
      </c>
      <c r="P357" s="2" t="str">
        <f>"2170562108                    "</f>
        <v xml:space="preserve">2170562108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6.43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2.7</v>
      </c>
      <c r="BJ357" s="2">
        <v>1.7</v>
      </c>
      <c r="BK357" s="2">
        <v>3</v>
      </c>
      <c r="BL357" s="2">
        <v>62.59</v>
      </c>
      <c r="BM357" s="2">
        <v>8.76</v>
      </c>
      <c r="BN357" s="2">
        <v>71.349999999999994</v>
      </c>
      <c r="BO357" s="2">
        <v>71.349999999999994</v>
      </c>
      <c r="BP357" s="2"/>
      <c r="BQ357" s="2" t="s">
        <v>468</v>
      </c>
      <c r="BR357" s="2" t="s">
        <v>84</v>
      </c>
      <c r="BS357" s="3">
        <v>42838</v>
      </c>
      <c r="BT357" s="4">
        <v>0.41666666666666669</v>
      </c>
      <c r="BU357" s="2" t="s">
        <v>872</v>
      </c>
      <c r="BV357" s="2" t="s">
        <v>111</v>
      </c>
      <c r="BW357" s="2"/>
      <c r="BX357" s="2"/>
      <c r="BY357" s="2">
        <v>8412.4</v>
      </c>
      <c r="BZ357" s="2" t="s">
        <v>27</v>
      </c>
      <c r="CA357" s="2"/>
      <c r="CB357" s="2"/>
      <c r="CC357" s="2" t="s">
        <v>132</v>
      </c>
      <c r="CD357" s="2">
        <v>7405</v>
      </c>
      <c r="CE357" s="2" t="s">
        <v>89</v>
      </c>
      <c r="CF357" s="5">
        <v>42843</v>
      </c>
      <c r="CG357" s="2"/>
      <c r="CH357" s="2"/>
      <c r="CI357" s="2">
        <v>1</v>
      </c>
      <c r="CJ357" s="2">
        <v>1</v>
      </c>
      <c r="CK357" s="2">
        <v>21</v>
      </c>
      <c r="CL357" s="2" t="s">
        <v>86</v>
      </c>
      <c r="CM357" s="2"/>
    </row>
    <row r="358" spans="1:91">
      <c r="A358" s="2" t="s">
        <v>71</v>
      </c>
      <c r="B358" s="2" t="s">
        <v>72</v>
      </c>
      <c r="C358" s="2" t="s">
        <v>73</v>
      </c>
      <c r="D358" s="2"/>
      <c r="E358" s="2" t="str">
        <f>"FES1162542119"</f>
        <v>FES1162542119</v>
      </c>
      <c r="F358" s="3">
        <v>42831</v>
      </c>
      <c r="G358" s="2">
        <v>201710</v>
      </c>
      <c r="H358" s="2" t="s">
        <v>74</v>
      </c>
      <c r="I358" s="2" t="s">
        <v>75</v>
      </c>
      <c r="J358" s="2" t="s">
        <v>76</v>
      </c>
      <c r="K358" s="2" t="s">
        <v>77</v>
      </c>
      <c r="L358" s="2" t="s">
        <v>294</v>
      </c>
      <c r="M358" s="2" t="s">
        <v>295</v>
      </c>
      <c r="N358" s="2" t="s">
        <v>873</v>
      </c>
      <c r="O358" s="2" t="s">
        <v>115</v>
      </c>
      <c r="P358" s="2" t="str">
        <f>"2170561007                    "</f>
        <v xml:space="preserve">2170561007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4.29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1</v>
      </c>
      <c r="BJ358" s="2">
        <v>0.2</v>
      </c>
      <c r="BK358" s="2">
        <v>1</v>
      </c>
      <c r="BL358" s="2">
        <v>41.73</v>
      </c>
      <c r="BM358" s="2">
        <v>5.84</v>
      </c>
      <c r="BN358" s="2">
        <v>47.57</v>
      </c>
      <c r="BO358" s="2">
        <v>47.57</v>
      </c>
      <c r="BP358" s="2"/>
      <c r="BQ358" s="2" t="s">
        <v>874</v>
      </c>
      <c r="BR358" s="2" t="s">
        <v>123</v>
      </c>
      <c r="BS358" s="3">
        <v>42832</v>
      </c>
      <c r="BT358" s="4">
        <v>0.4375</v>
      </c>
      <c r="BU358" s="2" t="s">
        <v>875</v>
      </c>
      <c r="BV358" s="2" t="s">
        <v>111</v>
      </c>
      <c r="BW358" s="2"/>
      <c r="BX358" s="2"/>
      <c r="BY358" s="2">
        <v>1200</v>
      </c>
      <c r="BZ358" s="2" t="s">
        <v>27</v>
      </c>
      <c r="CA358" s="2"/>
      <c r="CB358" s="2"/>
      <c r="CC358" s="2" t="s">
        <v>295</v>
      </c>
      <c r="CD358" s="2">
        <v>3600</v>
      </c>
      <c r="CE358" s="2" t="s">
        <v>144</v>
      </c>
      <c r="CF358" s="5">
        <v>42835</v>
      </c>
      <c r="CG358" s="2"/>
      <c r="CH358" s="2"/>
      <c r="CI358" s="2">
        <v>1</v>
      </c>
      <c r="CJ358" s="2">
        <v>1</v>
      </c>
      <c r="CK358" s="2">
        <v>21</v>
      </c>
      <c r="CL358" s="2" t="s">
        <v>86</v>
      </c>
      <c r="CM358" s="2"/>
    </row>
    <row r="359" spans="1:91">
      <c r="A359" s="2" t="s">
        <v>71</v>
      </c>
      <c r="B359" s="2" t="s">
        <v>72</v>
      </c>
      <c r="C359" s="2" t="s">
        <v>73</v>
      </c>
      <c r="D359" s="2"/>
      <c r="E359" s="2" t="str">
        <f>"FES1162541379"</f>
        <v>FES1162541379</v>
      </c>
      <c r="F359" s="3">
        <v>42829</v>
      </c>
      <c r="G359" s="2">
        <v>201710</v>
      </c>
      <c r="H359" s="2" t="s">
        <v>74</v>
      </c>
      <c r="I359" s="2" t="s">
        <v>75</v>
      </c>
      <c r="J359" s="2" t="s">
        <v>76</v>
      </c>
      <c r="K359" s="2" t="s">
        <v>77</v>
      </c>
      <c r="L359" s="2" t="s">
        <v>74</v>
      </c>
      <c r="M359" s="2" t="s">
        <v>75</v>
      </c>
      <c r="N359" s="2" t="s">
        <v>711</v>
      </c>
      <c r="O359" s="2" t="s">
        <v>115</v>
      </c>
      <c r="P359" s="2" t="str">
        <f>"2170559975                    "</f>
        <v xml:space="preserve">2170559975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3.45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3.2</v>
      </c>
      <c r="BJ359" s="2">
        <v>1.6</v>
      </c>
      <c r="BK359" s="2">
        <v>4</v>
      </c>
      <c r="BL359" s="2">
        <v>32.700000000000003</v>
      </c>
      <c r="BM359" s="2">
        <v>4.58</v>
      </c>
      <c r="BN359" s="2">
        <v>37.28</v>
      </c>
      <c r="BO359" s="2">
        <v>37.28</v>
      </c>
      <c r="BP359" s="2"/>
      <c r="BQ359" s="2" t="s">
        <v>712</v>
      </c>
      <c r="BR359" s="2" t="s">
        <v>123</v>
      </c>
      <c r="BS359" s="3">
        <v>42830</v>
      </c>
      <c r="BT359" s="4">
        <v>0.41666666666666669</v>
      </c>
      <c r="BU359" s="2" t="s">
        <v>290</v>
      </c>
      <c r="BV359" s="2" t="s">
        <v>111</v>
      </c>
      <c r="BW359" s="2"/>
      <c r="BX359" s="2"/>
      <c r="BY359" s="2">
        <v>8178.63</v>
      </c>
      <c r="BZ359" s="2" t="s">
        <v>27</v>
      </c>
      <c r="CA359" s="2"/>
      <c r="CB359" s="2"/>
      <c r="CC359" s="2" t="s">
        <v>75</v>
      </c>
      <c r="CD359" s="2">
        <v>1600</v>
      </c>
      <c r="CE359" s="2" t="s">
        <v>89</v>
      </c>
      <c r="CF359" s="5">
        <v>42831</v>
      </c>
      <c r="CG359" s="2"/>
      <c r="CH359" s="2"/>
      <c r="CI359" s="2">
        <v>1</v>
      </c>
      <c r="CJ359" s="2">
        <v>1</v>
      </c>
      <c r="CK359" s="2">
        <v>22</v>
      </c>
      <c r="CL359" s="2" t="s">
        <v>86</v>
      </c>
      <c r="CM359" s="2"/>
    </row>
    <row r="360" spans="1:91">
      <c r="A360" s="2" t="s">
        <v>71</v>
      </c>
      <c r="B360" s="2" t="s">
        <v>72</v>
      </c>
      <c r="C360" s="2" t="s">
        <v>73</v>
      </c>
      <c r="D360" s="2"/>
      <c r="E360" s="2" t="str">
        <f>"FES1162542959"</f>
        <v>FES1162542959</v>
      </c>
      <c r="F360" s="3">
        <v>42836</v>
      </c>
      <c r="G360" s="2">
        <v>201710</v>
      </c>
      <c r="H360" s="2" t="s">
        <v>74</v>
      </c>
      <c r="I360" s="2" t="s">
        <v>75</v>
      </c>
      <c r="J360" s="2" t="s">
        <v>76</v>
      </c>
      <c r="K360" s="2" t="s">
        <v>77</v>
      </c>
      <c r="L360" s="2" t="s">
        <v>99</v>
      </c>
      <c r="M360" s="2" t="s">
        <v>100</v>
      </c>
      <c r="N360" s="2" t="s">
        <v>876</v>
      </c>
      <c r="O360" s="2" t="s">
        <v>115</v>
      </c>
      <c r="P360" s="2" t="str">
        <f>"2170561748                    "</f>
        <v xml:space="preserve">2170561748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6.43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1</v>
      </c>
      <c r="BJ360" s="2">
        <v>2.8</v>
      </c>
      <c r="BK360" s="2">
        <v>3</v>
      </c>
      <c r="BL360" s="2">
        <v>62.59</v>
      </c>
      <c r="BM360" s="2">
        <v>8.76</v>
      </c>
      <c r="BN360" s="2">
        <v>71.349999999999994</v>
      </c>
      <c r="BO360" s="2">
        <v>71.349999999999994</v>
      </c>
      <c r="BP360" s="2"/>
      <c r="BQ360" s="2" t="s">
        <v>877</v>
      </c>
      <c r="BR360" s="2" t="s">
        <v>123</v>
      </c>
      <c r="BS360" s="3">
        <v>42837</v>
      </c>
      <c r="BT360" s="4">
        <v>0.29236111111111113</v>
      </c>
      <c r="BU360" s="2" t="s">
        <v>687</v>
      </c>
      <c r="BV360" s="2" t="s">
        <v>111</v>
      </c>
      <c r="BW360" s="2"/>
      <c r="BX360" s="2"/>
      <c r="BY360" s="2">
        <v>13830.48</v>
      </c>
      <c r="BZ360" s="2" t="s">
        <v>27</v>
      </c>
      <c r="CA360" s="2" t="s">
        <v>106</v>
      </c>
      <c r="CB360" s="2"/>
      <c r="CC360" s="2" t="s">
        <v>100</v>
      </c>
      <c r="CD360" s="2">
        <v>6012</v>
      </c>
      <c r="CE360" s="2" t="s">
        <v>144</v>
      </c>
      <c r="CF360" s="5">
        <v>42837</v>
      </c>
      <c r="CG360" s="2"/>
      <c r="CH360" s="2"/>
      <c r="CI360" s="2">
        <v>1</v>
      </c>
      <c r="CJ360" s="2">
        <v>1</v>
      </c>
      <c r="CK360" s="2">
        <v>21</v>
      </c>
      <c r="CL360" s="2" t="s">
        <v>86</v>
      </c>
      <c r="CM360" s="2"/>
    </row>
    <row r="361" spans="1:91">
      <c r="A361" s="2" t="s">
        <v>71</v>
      </c>
      <c r="B361" s="2" t="s">
        <v>72</v>
      </c>
      <c r="C361" s="2" t="s">
        <v>73</v>
      </c>
      <c r="D361" s="2"/>
      <c r="E361" s="2" t="str">
        <f>"FES1162541713"</f>
        <v>FES1162541713</v>
      </c>
      <c r="F361" s="3">
        <v>42830</v>
      </c>
      <c r="G361" s="2">
        <v>201710</v>
      </c>
      <c r="H361" s="2" t="s">
        <v>74</v>
      </c>
      <c r="I361" s="2" t="s">
        <v>75</v>
      </c>
      <c r="J361" s="2" t="s">
        <v>76</v>
      </c>
      <c r="K361" s="2" t="s">
        <v>77</v>
      </c>
      <c r="L361" s="2" t="s">
        <v>492</v>
      </c>
      <c r="M361" s="2" t="s">
        <v>493</v>
      </c>
      <c r="N361" s="2" t="s">
        <v>878</v>
      </c>
      <c r="O361" s="2" t="s">
        <v>115</v>
      </c>
      <c r="P361" s="2" t="str">
        <f>"2170560659                    "</f>
        <v xml:space="preserve">2170560659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4.29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1</v>
      </c>
      <c r="BJ361" s="2">
        <v>0.2</v>
      </c>
      <c r="BK361" s="2">
        <v>1</v>
      </c>
      <c r="BL361" s="2">
        <v>41.73</v>
      </c>
      <c r="BM361" s="2">
        <v>5.84</v>
      </c>
      <c r="BN361" s="2">
        <v>47.57</v>
      </c>
      <c r="BO361" s="2">
        <v>47.57</v>
      </c>
      <c r="BP361" s="2"/>
      <c r="BQ361" s="2" t="s">
        <v>116</v>
      </c>
      <c r="BR361" s="2" t="s">
        <v>123</v>
      </c>
      <c r="BS361" s="3">
        <v>42831</v>
      </c>
      <c r="BT361" s="4">
        <v>0.41666666666666669</v>
      </c>
      <c r="BU361" s="2" t="s">
        <v>130</v>
      </c>
      <c r="BV361" s="2" t="s">
        <v>111</v>
      </c>
      <c r="BW361" s="2"/>
      <c r="BX361" s="2"/>
      <c r="BY361" s="2">
        <v>1200</v>
      </c>
      <c r="BZ361" s="2" t="s">
        <v>27</v>
      </c>
      <c r="CA361" s="2"/>
      <c r="CB361" s="2"/>
      <c r="CC361" s="2" t="s">
        <v>493</v>
      </c>
      <c r="CD361" s="2">
        <v>7140</v>
      </c>
      <c r="CE361" s="2" t="s">
        <v>118</v>
      </c>
      <c r="CF361" s="5">
        <v>42832</v>
      </c>
      <c r="CG361" s="2"/>
      <c r="CH361" s="2"/>
      <c r="CI361" s="2">
        <v>1</v>
      </c>
      <c r="CJ361" s="2">
        <v>1</v>
      </c>
      <c r="CK361" s="2">
        <v>21</v>
      </c>
      <c r="CL361" s="2" t="s">
        <v>86</v>
      </c>
      <c r="CM361" s="2"/>
    </row>
    <row r="362" spans="1:91">
      <c r="A362" s="2" t="s">
        <v>71</v>
      </c>
      <c r="B362" s="2" t="s">
        <v>72</v>
      </c>
      <c r="C362" s="2" t="s">
        <v>73</v>
      </c>
      <c r="D362" s="2"/>
      <c r="E362" s="2" t="str">
        <f>"FES1162541503"</f>
        <v>FES1162541503</v>
      </c>
      <c r="F362" s="3">
        <v>42830</v>
      </c>
      <c r="G362" s="2">
        <v>201710</v>
      </c>
      <c r="H362" s="2" t="s">
        <v>74</v>
      </c>
      <c r="I362" s="2" t="s">
        <v>75</v>
      </c>
      <c r="J362" s="2" t="s">
        <v>76</v>
      </c>
      <c r="K362" s="2" t="s">
        <v>77</v>
      </c>
      <c r="L362" s="2" t="s">
        <v>496</v>
      </c>
      <c r="M362" s="2" t="s">
        <v>497</v>
      </c>
      <c r="N362" s="2" t="s">
        <v>879</v>
      </c>
      <c r="O362" s="2" t="s">
        <v>115</v>
      </c>
      <c r="P362" s="2" t="str">
        <f>"2170560600                    "</f>
        <v xml:space="preserve">2170560600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3.35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1</v>
      </c>
      <c r="BJ362" s="2">
        <v>1.5</v>
      </c>
      <c r="BK362" s="2">
        <v>2</v>
      </c>
      <c r="BL362" s="2">
        <v>32.6</v>
      </c>
      <c r="BM362" s="2">
        <v>4.5599999999999996</v>
      </c>
      <c r="BN362" s="2">
        <v>37.159999999999997</v>
      </c>
      <c r="BO362" s="2">
        <v>37.159999999999997</v>
      </c>
      <c r="BP362" s="2"/>
      <c r="BQ362" s="2" t="s">
        <v>880</v>
      </c>
      <c r="BR362" s="2" t="s">
        <v>123</v>
      </c>
      <c r="BS362" s="3">
        <v>42831</v>
      </c>
      <c r="BT362" s="4">
        <v>0.33333333333333331</v>
      </c>
      <c r="BU362" s="2" t="s">
        <v>881</v>
      </c>
      <c r="BV362" s="2" t="s">
        <v>111</v>
      </c>
      <c r="BW362" s="2"/>
      <c r="BX362" s="2"/>
      <c r="BY362" s="2">
        <v>7683.66</v>
      </c>
      <c r="BZ362" s="2" t="s">
        <v>27</v>
      </c>
      <c r="CA362" s="2"/>
      <c r="CB362" s="2"/>
      <c r="CC362" s="2" t="s">
        <v>497</v>
      </c>
      <c r="CD362" s="2">
        <v>1559</v>
      </c>
      <c r="CE362" s="2" t="s">
        <v>118</v>
      </c>
      <c r="CF362" s="5">
        <v>42832</v>
      </c>
      <c r="CG362" s="2"/>
      <c r="CH362" s="2"/>
      <c r="CI362" s="2">
        <v>1</v>
      </c>
      <c r="CJ362" s="2">
        <v>1</v>
      </c>
      <c r="CK362" s="2">
        <v>22</v>
      </c>
      <c r="CL362" s="2" t="s">
        <v>86</v>
      </c>
      <c r="CM362" s="2"/>
    </row>
    <row r="363" spans="1:91">
      <c r="A363" s="2" t="s">
        <v>71</v>
      </c>
      <c r="B363" s="2" t="s">
        <v>72</v>
      </c>
      <c r="C363" s="2" t="s">
        <v>73</v>
      </c>
      <c r="D363" s="2"/>
      <c r="E363" s="2" t="str">
        <f>"FES1162543214"</f>
        <v>FES1162543214</v>
      </c>
      <c r="F363" s="3">
        <v>42837</v>
      </c>
      <c r="G363" s="2">
        <v>201710</v>
      </c>
      <c r="H363" s="2" t="s">
        <v>74</v>
      </c>
      <c r="I363" s="2" t="s">
        <v>75</v>
      </c>
      <c r="J363" s="2" t="s">
        <v>76</v>
      </c>
      <c r="K363" s="2" t="s">
        <v>77</v>
      </c>
      <c r="L363" s="2" t="s">
        <v>516</v>
      </c>
      <c r="M363" s="2" t="s">
        <v>517</v>
      </c>
      <c r="N363" s="2" t="s">
        <v>758</v>
      </c>
      <c r="O363" s="2" t="s">
        <v>115</v>
      </c>
      <c r="P363" s="2" t="str">
        <f>"2170561975                    "</f>
        <v xml:space="preserve">2170561975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3.35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2.1</v>
      </c>
      <c r="BJ363" s="2">
        <v>1.1000000000000001</v>
      </c>
      <c r="BK363" s="2">
        <v>3</v>
      </c>
      <c r="BL363" s="2">
        <v>32.6</v>
      </c>
      <c r="BM363" s="2">
        <v>4.5599999999999996</v>
      </c>
      <c r="BN363" s="2">
        <v>37.159999999999997</v>
      </c>
      <c r="BO363" s="2">
        <v>37.159999999999997</v>
      </c>
      <c r="BP363" s="2"/>
      <c r="BQ363" s="2" t="s">
        <v>759</v>
      </c>
      <c r="BR363" s="2" t="s">
        <v>84</v>
      </c>
      <c r="BS363" s="3">
        <v>42838</v>
      </c>
      <c r="BT363" s="4">
        <v>0.34791666666666665</v>
      </c>
      <c r="BU363" s="2" t="s">
        <v>434</v>
      </c>
      <c r="BV363" s="2" t="s">
        <v>111</v>
      </c>
      <c r="BW363" s="2"/>
      <c r="BX363" s="2"/>
      <c r="BY363" s="2">
        <v>5252.5</v>
      </c>
      <c r="BZ363" s="2" t="s">
        <v>27</v>
      </c>
      <c r="CA363" s="2"/>
      <c r="CB363" s="2"/>
      <c r="CC363" s="2" t="s">
        <v>517</v>
      </c>
      <c r="CD363" s="2">
        <v>1459</v>
      </c>
      <c r="CE363" s="2" t="s">
        <v>89</v>
      </c>
      <c r="CF363" s="5">
        <v>42843</v>
      </c>
      <c r="CG363" s="2"/>
      <c r="CH363" s="2"/>
      <c r="CI363" s="2">
        <v>1</v>
      </c>
      <c r="CJ363" s="2">
        <v>1</v>
      </c>
      <c r="CK363" s="2">
        <v>22</v>
      </c>
      <c r="CL363" s="2" t="s">
        <v>86</v>
      </c>
      <c r="CM363" s="2"/>
    </row>
    <row r="364" spans="1:91">
      <c r="A364" s="2" t="s">
        <v>71</v>
      </c>
      <c r="B364" s="2" t="s">
        <v>72</v>
      </c>
      <c r="C364" s="2" t="s">
        <v>73</v>
      </c>
      <c r="D364" s="2"/>
      <c r="E364" s="2" t="str">
        <f>"FES1162542096"</f>
        <v>FES1162542096</v>
      </c>
      <c r="F364" s="3">
        <v>42831</v>
      </c>
      <c r="G364" s="2">
        <v>201710</v>
      </c>
      <c r="H364" s="2" t="s">
        <v>74</v>
      </c>
      <c r="I364" s="2" t="s">
        <v>75</v>
      </c>
      <c r="J364" s="2" t="s">
        <v>76</v>
      </c>
      <c r="K364" s="2" t="s">
        <v>77</v>
      </c>
      <c r="L364" s="2" t="s">
        <v>166</v>
      </c>
      <c r="M364" s="2" t="s">
        <v>167</v>
      </c>
      <c r="N364" s="2" t="s">
        <v>365</v>
      </c>
      <c r="O364" s="2" t="s">
        <v>115</v>
      </c>
      <c r="P364" s="2" t="str">
        <f>"2170558683                    "</f>
        <v xml:space="preserve">2170558683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3.35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1</v>
      </c>
      <c r="BJ364" s="2">
        <v>0.2</v>
      </c>
      <c r="BK364" s="2">
        <v>1</v>
      </c>
      <c r="BL364" s="2">
        <v>32.6</v>
      </c>
      <c r="BM364" s="2">
        <v>4.5599999999999996</v>
      </c>
      <c r="BN364" s="2">
        <v>37.159999999999997</v>
      </c>
      <c r="BO364" s="2">
        <v>37.159999999999997</v>
      </c>
      <c r="BP364" s="2"/>
      <c r="BQ364" s="2"/>
      <c r="BR364" s="2" t="s">
        <v>123</v>
      </c>
      <c r="BS364" s="3">
        <v>42853</v>
      </c>
      <c r="BT364" s="4">
        <v>0.41666666666666669</v>
      </c>
      <c r="BU364" s="2" t="s">
        <v>796</v>
      </c>
      <c r="BV364" s="2" t="s">
        <v>86</v>
      </c>
      <c r="BW364" s="2" t="s">
        <v>164</v>
      </c>
      <c r="BX364" s="2" t="s">
        <v>309</v>
      </c>
      <c r="BY364" s="2">
        <v>1200</v>
      </c>
      <c r="BZ364" s="2" t="s">
        <v>27</v>
      </c>
      <c r="CA364" s="2"/>
      <c r="CB364" s="2"/>
      <c r="CC364" s="2" t="s">
        <v>167</v>
      </c>
      <c r="CD364" s="2">
        <v>2196</v>
      </c>
      <c r="CE364" s="2" t="s">
        <v>118</v>
      </c>
      <c r="CF364" s="2"/>
      <c r="CG364" s="2"/>
      <c r="CH364" s="2"/>
      <c r="CI364" s="2">
        <v>1</v>
      </c>
      <c r="CJ364" s="2">
        <v>16</v>
      </c>
      <c r="CK364" s="2">
        <v>22</v>
      </c>
      <c r="CL364" s="2" t="s">
        <v>86</v>
      </c>
      <c r="CM364" s="2"/>
    </row>
    <row r="365" spans="1:91">
      <c r="A365" s="2" t="s">
        <v>71</v>
      </c>
      <c r="B365" s="2" t="s">
        <v>72</v>
      </c>
      <c r="C365" s="2" t="s">
        <v>73</v>
      </c>
      <c r="D365" s="2"/>
      <c r="E365" s="2" t="str">
        <f>"FES1162541354"</f>
        <v>FES1162541354</v>
      </c>
      <c r="F365" s="3">
        <v>42829</v>
      </c>
      <c r="G365" s="2">
        <v>201710</v>
      </c>
      <c r="H365" s="2" t="s">
        <v>74</v>
      </c>
      <c r="I365" s="2" t="s">
        <v>75</v>
      </c>
      <c r="J365" s="2" t="s">
        <v>76</v>
      </c>
      <c r="K365" s="2" t="s">
        <v>77</v>
      </c>
      <c r="L365" s="2" t="s">
        <v>119</v>
      </c>
      <c r="M365" s="2" t="s">
        <v>120</v>
      </c>
      <c r="N365" s="2" t="s">
        <v>725</v>
      </c>
      <c r="O365" s="2" t="s">
        <v>115</v>
      </c>
      <c r="P365" s="2" t="str">
        <f>"2170560432                    "</f>
        <v xml:space="preserve">2170560432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3.45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2</v>
      </c>
      <c r="BJ365" s="2">
        <v>1</v>
      </c>
      <c r="BK365" s="2">
        <v>2</v>
      </c>
      <c r="BL365" s="2">
        <v>32.700000000000003</v>
      </c>
      <c r="BM365" s="2">
        <v>4.58</v>
      </c>
      <c r="BN365" s="2">
        <v>37.28</v>
      </c>
      <c r="BO365" s="2">
        <v>37.28</v>
      </c>
      <c r="BP365" s="2"/>
      <c r="BQ365" s="2" t="s">
        <v>726</v>
      </c>
      <c r="BR365" s="2" t="s">
        <v>123</v>
      </c>
      <c r="BS365" s="3">
        <v>42830</v>
      </c>
      <c r="BT365" s="4">
        <v>0.39583333333333331</v>
      </c>
      <c r="BU365" s="2" t="s">
        <v>882</v>
      </c>
      <c r="BV365" s="2" t="s">
        <v>111</v>
      </c>
      <c r="BW365" s="2"/>
      <c r="BX365" s="2"/>
      <c r="BY365" s="2">
        <v>5053.8599999999997</v>
      </c>
      <c r="BZ365" s="2" t="s">
        <v>27</v>
      </c>
      <c r="CA365" s="2" t="s">
        <v>125</v>
      </c>
      <c r="CB365" s="2"/>
      <c r="CC365" s="2" t="s">
        <v>120</v>
      </c>
      <c r="CD365" s="2">
        <v>2162</v>
      </c>
      <c r="CE365" s="2" t="s">
        <v>89</v>
      </c>
      <c r="CF365" s="5">
        <v>42830</v>
      </c>
      <c r="CG365" s="2"/>
      <c r="CH365" s="2"/>
      <c r="CI365" s="2">
        <v>1</v>
      </c>
      <c r="CJ365" s="2">
        <v>1</v>
      </c>
      <c r="CK365" s="2">
        <v>22</v>
      </c>
      <c r="CL365" s="2" t="s">
        <v>86</v>
      </c>
      <c r="CM365" s="2"/>
    </row>
    <row r="366" spans="1:91">
      <c r="A366" s="2" t="s">
        <v>71</v>
      </c>
      <c r="B366" s="2" t="s">
        <v>72</v>
      </c>
      <c r="C366" s="2" t="s">
        <v>73</v>
      </c>
      <c r="D366" s="2"/>
      <c r="E366" s="2" t="str">
        <f>"FES1162542841"</f>
        <v>FES1162542841</v>
      </c>
      <c r="F366" s="3">
        <v>42836</v>
      </c>
      <c r="G366" s="2">
        <v>201710</v>
      </c>
      <c r="H366" s="2" t="s">
        <v>74</v>
      </c>
      <c r="I366" s="2" t="s">
        <v>75</v>
      </c>
      <c r="J366" s="2" t="s">
        <v>76</v>
      </c>
      <c r="K366" s="2" t="s">
        <v>77</v>
      </c>
      <c r="L366" s="2" t="s">
        <v>160</v>
      </c>
      <c r="M366" s="2" t="s">
        <v>161</v>
      </c>
      <c r="N366" s="2" t="s">
        <v>883</v>
      </c>
      <c r="O366" s="2" t="s">
        <v>115</v>
      </c>
      <c r="P366" s="2" t="str">
        <f>"2170561707                    "</f>
        <v xml:space="preserve">2170561707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4.29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</v>
      </c>
      <c r="BJ366" s="2">
        <v>0.2</v>
      </c>
      <c r="BK366" s="2">
        <v>1</v>
      </c>
      <c r="BL366" s="2">
        <v>41.73</v>
      </c>
      <c r="BM366" s="2">
        <v>5.84</v>
      </c>
      <c r="BN366" s="2">
        <v>47.57</v>
      </c>
      <c r="BO366" s="2">
        <v>47.57</v>
      </c>
      <c r="BP366" s="2"/>
      <c r="BQ366" s="2" t="s">
        <v>83</v>
      </c>
      <c r="BR366" s="2" t="s">
        <v>123</v>
      </c>
      <c r="BS366" s="3">
        <v>42837</v>
      </c>
      <c r="BT366" s="4">
        <v>0.41666666666666669</v>
      </c>
      <c r="BU366" s="2" t="s">
        <v>884</v>
      </c>
      <c r="BV366" s="2" t="s">
        <v>111</v>
      </c>
      <c r="BW366" s="2"/>
      <c r="BX366" s="2"/>
      <c r="BY366" s="2">
        <v>1200</v>
      </c>
      <c r="BZ366" s="2" t="s">
        <v>27</v>
      </c>
      <c r="CA366" s="2"/>
      <c r="CB366" s="2"/>
      <c r="CC366" s="2" t="s">
        <v>161</v>
      </c>
      <c r="CD366" s="2">
        <v>5218</v>
      </c>
      <c r="CE366" s="2" t="s">
        <v>144</v>
      </c>
      <c r="CF366" s="5">
        <v>42838</v>
      </c>
      <c r="CG366" s="2"/>
      <c r="CH366" s="2"/>
      <c r="CI366" s="2">
        <v>1</v>
      </c>
      <c r="CJ366" s="2">
        <v>1</v>
      </c>
      <c r="CK366" s="2">
        <v>21</v>
      </c>
      <c r="CL366" s="2" t="s">
        <v>86</v>
      </c>
      <c r="CM366" s="2"/>
    </row>
    <row r="367" spans="1:91">
      <c r="A367" s="2" t="s">
        <v>71</v>
      </c>
      <c r="B367" s="2" t="s">
        <v>72</v>
      </c>
      <c r="C367" s="2" t="s">
        <v>73</v>
      </c>
      <c r="D367" s="2"/>
      <c r="E367" s="2" t="str">
        <f>"FES1162541640"</f>
        <v>FES1162541640</v>
      </c>
      <c r="F367" s="3">
        <v>42830</v>
      </c>
      <c r="G367" s="2">
        <v>201710</v>
      </c>
      <c r="H367" s="2" t="s">
        <v>74</v>
      </c>
      <c r="I367" s="2" t="s">
        <v>75</v>
      </c>
      <c r="J367" s="2" t="s">
        <v>76</v>
      </c>
      <c r="K367" s="2" t="s">
        <v>77</v>
      </c>
      <c r="L367" s="2" t="s">
        <v>74</v>
      </c>
      <c r="M367" s="2" t="s">
        <v>75</v>
      </c>
      <c r="N367" s="2" t="s">
        <v>885</v>
      </c>
      <c r="O367" s="2" t="s">
        <v>115</v>
      </c>
      <c r="P367" s="2" t="str">
        <f>"2170558334                    "</f>
        <v xml:space="preserve">2170558334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3.35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1</v>
      </c>
      <c r="BJ367" s="2">
        <v>0.2</v>
      </c>
      <c r="BK367" s="2">
        <v>1</v>
      </c>
      <c r="BL367" s="2">
        <v>32.6</v>
      </c>
      <c r="BM367" s="2">
        <v>4.5599999999999996</v>
      </c>
      <c r="BN367" s="2">
        <v>37.159999999999997</v>
      </c>
      <c r="BO367" s="2">
        <v>37.159999999999997</v>
      </c>
      <c r="BP367" s="2"/>
      <c r="BQ367" s="2" t="s">
        <v>886</v>
      </c>
      <c r="BR367" s="2" t="s">
        <v>123</v>
      </c>
      <c r="BS367" s="3">
        <v>42831</v>
      </c>
      <c r="BT367" s="4">
        <v>0.41666666666666669</v>
      </c>
      <c r="BU367" s="2" t="s">
        <v>290</v>
      </c>
      <c r="BV367" s="2" t="s">
        <v>111</v>
      </c>
      <c r="BW367" s="2"/>
      <c r="BX367" s="2"/>
      <c r="BY367" s="2">
        <v>1200</v>
      </c>
      <c r="BZ367" s="2" t="s">
        <v>27</v>
      </c>
      <c r="CA367" s="2"/>
      <c r="CB367" s="2"/>
      <c r="CC367" s="2" t="s">
        <v>75</v>
      </c>
      <c r="CD367" s="2">
        <v>1601</v>
      </c>
      <c r="CE367" s="2" t="s">
        <v>118</v>
      </c>
      <c r="CF367" s="5">
        <v>42832</v>
      </c>
      <c r="CG367" s="2"/>
      <c r="CH367" s="2"/>
      <c r="CI367" s="2">
        <v>1</v>
      </c>
      <c r="CJ367" s="2">
        <v>1</v>
      </c>
      <c r="CK367" s="2">
        <v>22</v>
      </c>
      <c r="CL367" s="2" t="s">
        <v>86</v>
      </c>
      <c r="CM367" s="2"/>
    </row>
    <row r="368" spans="1:91">
      <c r="A368" s="2" t="s">
        <v>71</v>
      </c>
      <c r="B368" s="2" t="s">
        <v>72</v>
      </c>
      <c r="C368" s="2" t="s">
        <v>73</v>
      </c>
      <c r="D368" s="2"/>
      <c r="E368" s="2" t="str">
        <f>"FES1162541715"</f>
        <v>FES1162541715</v>
      </c>
      <c r="F368" s="3">
        <v>42830</v>
      </c>
      <c r="G368" s="2">
        <v>201710</v>
      </c>
      <c r="H368" s="2" t="s">
        <v>74</v>
      </c>
      <c r="I368" s="2" t="s">
        <v>75</v>
      </c>
      <c r="J368" s="2" t="s">
        <v>76</v>
      </c>
      <c r="K368" s="2" t="s">
        <v>77</v>
      </c>
      <c r="L368" s="2" t="s">
        <v>99</v>
      </c>
      <c r="M368" s="2" t="s">
        <v>100</v>
      </c>
      <c r="N368" s="2" t="s">
        <v>583</v>
      </c>
      <c r="O368" s="2" t="s">
        <v>115</v>
      </c>
      <c r="P368" s="2" t="str">
        <f>"2170560715                    "</f>
        <v xml:space="preserve">2170560715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7.5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3</v>
      </c>
      <c r="BJ368" s="2">
        <v>3.2</v>
      </c>
      <c r="BK368" s="2">
        <v>3.5</v>
      </c>
      <c r="BL368" s="2">
        <v>73.02</v>
      </c>
      <c r="BM368" s="2">
        <v>10.220000000000001</v>
      </c>
      <c r="BN368" s="2">
        <v>83.24</v>
      </c>
      <c r="BO368" s="2">
        <v>83.24</v>
      </c>
      <c r="BP368" s="2"/>
      <c r="BQ368" s="2" t="s">
        <v>584</v>
      </c>
      <c r="BR368" s="2" t="s">
        <v>123</v>
      </c>
      <c r="BS368" s="3">
        <v>42831</v>
      </c>
      <c r="BT368" s="4">
        <v>0.36805555555555558</v>
      </c>
      <c r="BU368" s="2" t="s">
        <v>130</v>
      </c>
      <c r="BV368" s="2" t="s">
        <v>111</v>
      </c>
      <c r="BW368" s="2"/>
      <c r="BX368" s="2"/>
      <c r="BY368" s="2">
        <v>16144.13</v>
      </c>
      <c r="BZ368" s="2" t="s">
        <v>27</v>
      </c>
      <c r="CA368" s="2"/>
      <c r="CB368" s="2"/>
      <c r="CC368" s="2" t="s">
        <v>100</v>
      </c>
      <c r="CD368" s="2">
        <v>6001</v>
      </c>
      <c r="CE368" s="2" t="s">
        <v>135</v>
      </c>
      <c r="CF368" s="5">
        <v>42832</v>
      </c>
      <c r="CG368" s="2"/>
      <c r="CH368" s="2"/>
      <c r="CI368" s="2">
        <v>1</v>
      </c>
      <c r="CJ368" s="2">
        <v>1</v>
      </c>
      <c r="CK368" s="2">
        <v>21</v>
      </c>
      <c r="CL368" s="2" t="s">
        <v>86</v>
      </c>
      <c r="CM368" s="2"/>
    </row>
    <row r="369" spans="1:91">
      <c r="A369" s="2" t="s">
        <v>71</v>
      </c>
      <c r="B369" s="2" t="s">
        <v>72</v>
      </c>
      <c r="C369" s="2" t="s">
        <v>73</v>
      </c>
      <c r="D369" s="2"/>
      <c r="E369" s="2" t="str">
        <f>"FES1162543230"</f>
        <v>FES1162543230</v>
      </c>
      <c r="F369" s="3">
        <v>42837</v>
      </c>
      <c r="G369" s="2">
        <v>201710</v>
      </c>
      <c r="H369" s="2" t="s">
        <v>74</v>
      </c>
      <c r="I369" s="2" t="s">
        <v>75</v>
      </c>
      <c r="J369" s="2" t="s">
        <v>76</v>
      </c>
      <c r="K369" s="2" t="s">
        <v>77</v>
      </c>
      <c r="L369" s="2" t="s">
        <v>358</v>
      </c>
      <c r="M369" s="2" t="s">
        <v>359</v>
      </c>
      <c r="N369" s="2" t="s">
        <v>360</v>
      </c>
      <c r="O369" s="2" t="s">
        <v>115</v>
      </c>
      <c r="P369" s="2" t="str">
        <f>"2170557886                    "</f>
        <v xml:space="preserve">2170557886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10.72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4.5999999999999996</v>
      </c>
      <c r="BJ369" s="2">
        <v>1.7</v>
      </c>
      <c r="BK369" s="2">
        <v>5</v>
      </c>
      <c r="BL369" s="2">
        <v>104.32</v>
      </c>
      <c r="BM369" s="2">
        <v>14.6</v>
      </c>
      <c r="BN369" s="2">
        <v>118.92</v>
      </c>
      <c r="BO369" s="2">
        <v>118.92</v>
      </c>
      <c r="BP369" s="2"/>
      <c r="BQ369" s="2" t="s">
        <v>361</v>
      </c>
      <c r="BR369" s="2" t="s">
        <v>84</v>
      </c>
      <c r="BS369" s="3">
        <v>42838</v>
      </c>
      <c r="BT369" s="4">
        <v>0.33333333333333331</v>
      </c>
      <c r="BU369" s="2" t="s">
        <v>362</v>
      </c>
      <c r="BV369" s="2" t="s">
        <v>111</v>
      </c>
      <c r="BW369" s="2"/>
      <c r="BX369" s="2"/>
      <c r="BY369" s="2">
        <v>8589.18</v>
      </c>
      <c r="BZ369" s="2" t="s">
        <v>27</v>
      </c>
      <c r="CA369" s="2" t="s">
        <v>159</v>
      </c>
      <c r="CB369" s="2"/>
      <c r="CC369" s="2" t="s">
        <v>359</v>
      </c>
      <c r="CD369" s="2">
        <v>6229</v>
      </c>
      <c r="CE369" s="2" t="s">
        <v>89</v>
      </c>
      <c r="CF369" s="5">
        <v>42843</v>
      </c>
      <c r="CG369" s="2"/>
      <c r="CH369" s="2"/>
      <c r="CI369" s="2">
        <v>1</v>
      </c>
      <c r="CJ369" s="2">
        <v>1</v>
      </c>
      <c r="CK369" s="2">
        <v>21</v>
      </c>
      <c r="CL369" s="2" t="s">
        <v>86</v>
      </c>
      <c r="CM369" s="2"/>
    </row>
    <row r="370" spans="1:91">
      <c r="A370" s="2" t="s">
        <v>71</v>
      </c>
      <c r="B370" s="2" t="s">
        <v>72</v>
      </c>
      <c r="C370" s="2" t="s">
        <v>73</v>
      </c>
      <c r="D370" s="2"/>
      <c r="E370" s="2" t="str">
        <f>"FES1162542079"</f>
        <v>FES1162542079</v>
      </c>
      <c r="F370" s="3">
        <v>42831</v>
      </c>
      <c r="G370" s="2">
        <v>201710</v>
      </c>
      <c r="H370" s="2" t="s">
        <v>74</v>
      </c>
      <c r="I370" s="2" t="s">
        <v>75</v>
      </c>
      <c r="J370" s="2" t="s">
        <v>76</v>
      </c>
      <c r="K370" s="2" t="s">
        <v>77</v>
      </c>
      <c r="L370" s="2" t="s">
        <v>131</v>
      </c>
      <c r="M370" s="2" t="s">
        <v>132</v>
      </c>
      <c r="N370" s="2" t="s">
        <v>887</v>
      </c>
      <c r="O370" s="2" t="s">
        <v>115</v>
      </c>
      <c r="P370" s="2" t="str">
        <f>"2170558143                    "</f>
        <v xml:space="preserve">2170558143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4.29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1</v>
      </c>
      <c r="BJ370" s="2">
        <v>0.2</v>
      </c>
      <c r="BK370" s="2">
        <v>1</v>
      </c>
      <c r="BL370" s="2">
        <v>41.73</v>
      </c>
      <c r="BM370" s="2">
        <v>5.84</v>
      </c>
      <c r="BN370" s="2">
        <v>47.57</v>
      </c>
      <c r="BO370" s="2">
        <v>47.57</v>
      </c>
      <c r="BP370" s="2"/>
      <c r="BQ370" s="2" t="s">
        <v>129</v>
      </c>
      <c r="BR370" s="2" t="s">
        <v>123</v>
      </c>
      <c r="BS370" s="3">
        <v>42832</v>
      </c>
      <c r="BT370" s="4">
        <v>0.38541666666666669</v>
      </c>
      <c r="BU370" s="2" t="s">
        <v>888</v>
      </c>
      <c r="BV370" s="2" t="s">
        <v>111</v>
      </c>
      <c r="BW370" s="2"/>
      <c r="BX370" s="2"/>
      <c r="BY370" s="2">
        <v>1200</v>
      </c>
      <c r="BZ370" s="2" t="s">
        <v>27</v>
      </c>
      <c r="CA370" s="2"/>
      <c r="CB370" s="2"/>
      <c r="CC370" s="2" t="s">
        <v>132</v>
      </c>
      <c r="CD370" s="2">
        <v>7530</v>
      </c>
      <c r="CE370" s="2" t="s">
        <v>144</v>
      </c>
      <c r="CF370" s="5">
        <v>42835</v>
      </c>
      <c r="CG370" s="2"/>
      <c r="CH370" s="2"/>
      <c r="CI370" s="2">
        <v>1</v>
      </c>
      <c r="CJ370" s="2">
        <v>1</v>
      </c>
      <c r="CK370" s="2">
        <v>21</v>
      </c>
      <c r="CL370" s="2" t="s">
        <v>86</v>
      </c>
      <c r="CM370" s="2"/>
    </row>
    <row r="371" spans="1:91">
      <c r="A371" s="2" t="s">
        <v>71</v>
      </c>
      <c r="B371" s="2" t="s">
        <v>72</v>
      </c>
      <c r="C371" s="2" t="s">
        <v>73</v>
      </c>
      <c r="D371" s="2"/>
      <c r="E371" s="2" t="str">
        <f>"FES1162541345"</f>
        <v>FES1162541345</v>
      </c>
      <c r="F371" s="3">
        <v>42829</v>
      </c>
      <c r="G371" s="2">
        <v>201710</v>
      </c>
      <c r="H371" s="2" t="s">
        <v>74</v>
      </c>
      <c r="I371" s="2" t="s">
        <v>75</v>
      </c>
      <c r="J371" s="2" t="s">
        <v>76</v>
      </c>
      <c r="K371" s="2" t="s">
        <v>77</v>
      </c>
      <c r="L371" s="2" t="s">
        <v>166</v>
      </c>
      <c r="M371" s="2" t="s">
        <v>167</v>
      </c>
      <c r="N371" s="2" t="s">
        <v>889</v>
      </c>
      <c r="O371" s="2" t="s">
        <v>115</v>
      </c>
      <c r="P371" s="2" t="str">
        <f>"2170560418                    "</f>
        <v xml:space="preserve">2170560418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3.45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2.2999999999999998</v>
      </c>
      <c r="BJ371" s="2">
        <v>3.1</v>
      </c>
      <c r="BK371" s="2">
        <v>4</v>
      </c>
      <c r="BL371" s="2">
        <v>32.700000000000003</v>
      </c>
      <c r="BM371" s="2">
        <v>4.58</v>
      </c>
      <c r="BN371" s="2">
        <v>37.28</v>
      </c>
      <c r="BO371" s="2">
        <v>37.28</v>
      </c>
      <c r="BP371" s="2"/>
      <c r="BQ371" s="2" t="s">
        <v>890</v>
      </c>
      <c r="BR371" s="2" t="s">
        <v>123</v>
      </c>
      <c r="BS371" s="3">
        <v>42830</v>
      </c>
      <c r="BT371" s="4">
        <v>0.4375</v>
      </c>
      <c r="BU371" s="2" t="s">
        <v>891</v>
      </c>
      <c r="BV371" s="2" t="s">
        <v>111</v>
      </c>
      <c r="BW371" s="2"/>
      <c r="BX371" s="2"/>
      <c r="BY371" s="2">
        <v>15740.06</v>
      </c>
      <c r="BZ371" s="2" t="s">
        <v>27</v>
      </c>
      <c r="CA371" s="2"/>
      <c r="CB371" s="2"/>
      <c r="CC371" s="2" t="s">
        <v>167</v>
      </c>
      <c r="CD371" s="2">
        <v>2091</v>
      </c>
      <c r="CE371" s="2" t="s">
        <v>172</v>
      </c>
      <c r="CF371" s="5">
        <v>42831</v>
      </c>
      <c r="CG371" s="2"/>
      <c r="CH371" s="2"/>
      <c r="CI371" s="2">
        <v>1</v>
      </c>
      <c r="CJ371" s="2">
        <v>1</v>
      </c>
      <c r="CK371" s="2">
        <v>22</v>
      </c>
      <c r="CL371" s="2" t="s">
        <v>86</v>
      </c>
      <c r="CM371" s="2"/>
    </row>
    <row r="372" spans="1:91">
      <c r="A372" s="2" t="s">
        <v>71</v>
      </c>
      <c r="B372" s="2" t="s">
        <v>72</v>
      </c>
      <c r="C372" s="2" t="s">
        <v>73</v>
      </c>
      <c r="D372" s="2"/>
      <c r="E372" s="2" t="str">
        <f>"FES1162542874"</f>
        <v>FES1162542874</v>
      </c>
      <c r="F372" s="3">
        <v>42836</v>
      </c>
      <c r="G372" s="2">
        <v>201710</v>
      </c>
      <c r="H372" s="2" t="s">
        <v>74</v>
      </c>
      <c r="I372" s="2" t="s">
        <v>75</v>
      </c>
      <c r="J372" s="2" t="s">
        <v>76</v>
      </c>
      <c r="K372" s="2" t="s">
        <v>77</v>
      </c>
      <c r="L372" s="2" t="s">
        <v>99</v>
      </c>
      <c r="M372" s="2" t="s">
        <v>100</v>
      </c>
      <c r="N372" s="2" t="s">
        <v>151</v>
      </c>
      <c r="O372" s="2" t="s">
        <v>115</v>
      </c>
      <c r="P372" s="2" t="str">
        <f>"2170561713                    "</f>
        <v xml:space="preserve">2170561713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4.29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1</v>
      </c>
      <c r="BJ372" s="2">
        <v>0.2</v>
      </c>
      <c r="BK372" s="2">
        <v>1</v>
      </c>
      <c r="BL372" s="2">
        <v>41.73</v>
      </c>
      <c r="BM372" s="2">
        <v>5.84</v>
      </c>
      <c r="BN372" s="2">
        <v>47.57</v>
      </c>
      <c r="BO372" s="2">
        <v>47.57</v>
      </c>
      <c r="BP372" s="2"/>
      <c r="BQ372" s="2" t="s">
        <v>152</v>
      </c>
      <c r="BR372" s="2" t="s">
        <v>123</v>
      </c>
      <c r="BS372" s="3">
        <v>42837</v>
      </c>
      <c r="BT372" s="4">
        <v>0.33124999999999999</v>
      </c>
      <c r="BU372" s="2" t="s">
        <v>153</v>
      </c>
      <c r="BV372" s="2" t="s">
        <v>111</v>
      </c>
      <c r="BW372" s="2"/>
      <c r="BX372" s="2"/>
      <c r="BY372" s="2">
        <v>1200</v>
      </c>
      <c r="BZ372" s="2" t="s">
        <v>27</v>
      </c>
      <c r="CA372" s="2" t="s">
        <v>154</v>
      </c>
      <c r="CB372" s="2"/>
      <c r="CC372" s="2" t="s">
        <v>100</v>
      </c>
      <c r="CD372" s="2">
        <v>6001</v>
      </c>
      <c r="CE372" s="2" t="s">
        <v>144</v>
      </c>
      <c r="CF372" s="5">
        <v>42837</v>
      </c>
      <c r="CG372" s="2"/>
      <c r="CH372" s="2"/>
      <c r="CI372" s="2">
        <v>1</v>
      </c>
      <c r="CJ372" s="2">
        <v>1</v>
      </c>
      <c r="CK372" s="2">
        <v>21</v>
      </c>
      <c r="CL372" s="2" t="s">
        <v>86</v>
      </c>
      <c r="CM372" s="2"/>
    </row>
    <row r="373" spans="1:91">
      <c r="A373" s="2" t="s">
        <v>71</v>
      </c>
      <c r="B373" s="2" t="s">
        <v>72</v>
      </c>
      <c r="C373" s="2" t="s">
        <v>73</v>
      </c>
      <c r="D373" s="2"/>
      <c r="E373" s="2" t="str">
        <f>"FES1162541656"</f>
        <v>FES1162541656</v>
      </c>
      <c r="F373" s="3">
        <v>42830</v>
      </c>
      <c r="G373" s="2">
        <v>201710</v>
      </c>
      <c r="H373" s="2" t="s">
        <v>74</v>
      </c>
      <c r="I373" s="2" t="s">
        <v>75</v>
      </c>
      <c r="J373" s="2" t="s">
        <v>76</v>
      </c>
      <c r="K373" s="2" t="s">
        <v>77</v>
      </c>
      <c r="L373" s="2" t="s">
        <v>166</v>
      </c>
      <c r="M373" s="2" t="s">
        <v>167</v>
      </c>
      <c r="N373" s="2" t="s">
        <v>892</v>
      </c>
      <c r="O373" s="2" t="s">
        <v>115</v>
      </c>
      <c r="P373" s="2" t="str">
        <f>"2170558501                    "</f>
        <v xml:space="preserve">2170558501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3.35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1</v>
      </c>
      <c r="BJ373" s="2">
        <v>0.2</v>
      </c>
      <c r="BK373" s="2">
        <v>1</v>
      </c>
      <c r="BL373" s="2">
        <v>32.6</v>
      </c>
      <c r="BM373" s="2">
        <v>4.5599999999999996</v>
      </c>
      <c r="BN373" s="2">
        <v>37.159999999999997</v>
      </c>
      <c r="BO373" s="2">
        <v>37.159999999999997</v>
      </c>
      <c r="BP373" s="2"/>
      <c r="BQ373" s="2" t="s">
        <v>893</v>
      </c>
      <c r="BR373" s="2" t="s">
        <v>123</v>
      </c>
      <c r="BS373" s="3">
        <v>42831</v>
      </c>
      <c r="BT373" s="4">
        <v>0.41666666666666669</v>
      </c>
      <c r="BU373" s="2" t="s">
        <v>290</v>
      </c>
      <c r="BV373" s="2" t="s">
        <v>111</v>
      </c>
      <c r="BW373" s="2"/>
      <c r="BX373" s="2"/>
      <c r="BY373" s="2">
        <v>1200</v>
      </c>
      <c r="BZ373" s="2" t="s">
        <v>27</v>
      </c>
      <c r="CA373" s="2"/>
      <c r="CB373" s="2"/>
      <c r="CC373" s="2" t="s">
        <v>167</v>
      </c>
      <c r="CD373" s="2">
        <v>2013</v>
      </c>
      <c r="CE373" s="2" t="s">
        <v>118</v>
      </c>
      <c r="CF373" s="5">
        <v>42832</v>
      </c>
      <c r="CG373" s="2"/>
      <c r="CH373" s="2"/>
      <c r="CI373" s="2">
        <v>1</v>
      </c>
      <c r="CJ373" s="2">
        <v>1</v>
      </c>
      <c r="CK373" s="2">
        <v>22</v>
      </c>
      <c r="CL373" s="2" t="s">
        <v>86</v>
      </c>
      <c r="CM373" s="2"/>
    </row>
    <row r="374" spans="1:91">
      <c r="A374" s="2" t="s">
        <v>71</v>
      </c>
      <c r="B374" s="2" t="s">
        <v>72</v>
      </c>
      <c r="C374" s="2" t="s">
        <v>73</v>
      </c>
      <c r="D374" s="2"/>
      <c r="E374" s="2" t="str">
        <f>"FES1162541708"</f>
        <v>FES1162541708</v>
      </c>
      <c r="F374" s="3">
        <v>42830</v>
      </c>
      <c r="G374" s="2">
        <v>201710</v>
      </c>
      <c r="H374" s="2" t="s">
        <v>74</v>
      </c>
      <c r="I374" s="2" t="s">
        <v>75</v>
      </c>
      <c r="J374" s="2" t="s">
        <v>76</v>
      </c>
      <c r="K374" s="2" t="s">
        <v>77</v>
      </c>
      <c r="L374" s="2" t="s">
        <v>99</v>
      </c>
      <c r="M374" s="2" t="s">
        <v>100</v>
      </c>
      <c r="N374" s="2" t="s">
        <v>384</v>
      </c>
      <c r="O374" s="2" t="s">
        <v>115</v>
      </c>
      <c r="P374" s="2" t="str">
        <f>"2170555954                    "</f>
        <v xml:space="preserve">2170555954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4.29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2</v>
      </c>
      <c r="BJ374" s="2">
        <v>0.9</v>
      </c>
      <c r="BK374" s="2">
        <v>2</v>
      </c>
      <c r="BL374" s="2">
        <v>41.73</v>
      </c>
      <c r="BM374" s="2">
        <v>5.84</v>
      </c>
      <c r="BN374" s="2">
        <v>47.57</v>
      </c>
      <c r="BO374" s="2">
        <v>47.57</v>
      </c>
      <c r="BP374" s="2"/>
      <c r="BQ374" s="2" t="s">
        <v>129</v>
      </c>
      <c r="BR374" s="2" t="s">
        <v>123</v>
      </c>
      <c r="BS374" s="3">
        <v>42831</v>
      </c>
      <c r="BT374" s="4">
        <v>0.2986111111111111</v>
      </c>
      <c r="BU374" s="2" t="s">
        <v>130</v>
      </c>
      <c r="BV374" s="2" t="s">
        <v>111</v>
      </c>
      <c r="BW374" s="2"/>
      <c r="BX374" s="2"/>
      <c r="BY374" s="2">
        <v>4560</v>
      </c>
      <c r="BZ374" s="2" t="s">
        <v>27</v>
      </c>
      <c r="CA374" s="2"/>
      <c r="CB374" s="2"/>
      <c r="CC374" s="2" t="s">
        <v>100</v>
      </c>
      <c r="CD374" s="2">
        <v>6020</v>
      </c>
      <c r="CE374" s="2" t="s">
        <v>135</v>
      </c>
      <c r="CF374" s="5">
        <v>42832</v>
      </c>
      <c r="CG374" s="2"/>
      <c r="CH374" s="2"/>
      <c r="CI374" s="2">
        <v>1</v>
      </c>
      <c r="CJ374" s="2">
        <v>1</v>
      </c>
      <c r="CK374" s="2">
        <v>21</v>
      </c>
      <c r="CL374" s="2" t="s">
        <v>86</v>
      </c>
      <c r="CM374" s="2"/>
    </row>
    <row r="375" spans="1:91">
      <c r="A375" s="2" t="s">
        <v>71</v>
      </c>
      <c r="B375" s="2" t="s">
        <v>72</v>
      </c>
      <c r="C375" s="2" t="s">
        <v>73</v>
      </c>
      <c r="D375" s="2"/>
      <c r="E375" s="2" t="str">
        <f>"FES1162543281"</f>
        <v>FES1162543281</v>
      </c>
      <c r="F375" s="3">
        <v>42837</v>
      </c>
      <c r="G375" s="2">
        <v>201710</v>
      </c>
      <c r="H375" s="2" t="s">
        <v>74</v>
      </c>
      <c r="I375" s="2" t="s">
        <v>75</v>
      </c>
      <c r="J375" s="2" t="s">
        <v>76</v>
      </c>
      <c r="K375" s="2" t="s">
        <v>77</v>
      </c>
      <c r="L375" s="2" t="s">
        <v>160</v>
      </c>
      <c r="M375" s="2" t="s">
        <v>161</v>
      </c>
      <c r="N375" s="2" t="s">
        <v>894</v>
      </c>
      <c r="O375" s="2" t="s">
        <v>115</v>
      </c>
      <c r="P375" s="2" t="str">
        <f>"2170559778                    "</f>
        <v xml:space="preserve">2170559778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6.43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3</v>
      </c>
      <c r="BJ375" s="2">
        <v>2</v>
      </c>
      <c r="BK375" s="2">
        <v>3</v>
      </c>
      <c r="BL375" s="2">
        <v>62.59</v>
      </c>
      <c r="BM375" s="2">
        <v>8.76</v>
      </c>
      <c r="BN375" s="2">
        <v>71.349999999999994</v>
      </c>
      <c r="BO375" s="2">
        <v>71.349999999999994</v>
      </c>
      <c r="BP375" s="2"/>
      <c r="BQ375" s="2" t="s">
        <v>895</v>
      </c>
      <c r="BR375" s="2" t="s">
        <v>84</v>
      </c>
      <c r="BS375" s="3">
        <v>42838</v>
      </c>
      <c r="BT375" s="4">
        <v>0.41666666666666669</v>
      </c>
      <c r="BU375" s="2" t="s">
        <v>896</v>
      </c>
      <c r="BV375" s="2" t="s">
        <v>111</v>
      </c>
      <c r="BW375" s="2"/>
      <c r="BX375" s="2"/>
      <c r="BY375" s="2">
        <v>9918</v>
      </c>
      <c r="BZ375" s="2" t="s">
        <v>27</v>
      </c>
      <c r="CA375" s="2"/>
      <c r="CB375" s="2"/>
      <c r="CC375" s="2" t="s">
        <v>161</v>
      </c>
      <c r="CD375" s="2">
        <v>5201</v>
      </c>
      <c r="CE375" s="2" t="s">
        <v>89</v>
      </c>
      <c r="CF375" s="5">
        <v>42843</v>
      </c>
      <c r="CG375" s="2"/>
      <c r="CH375" s="2"/>
      <c r="CI375" s="2">
        <v>1</v>
      </c>
      <c r="CJ375" s="2">
        <v>1</v>
      </c>
      <c r="CK375" s="2">
        <v>21</v>
      </c>
      <c r="CL375" s="2" t="s">
        <v>86</v>
      </c>
      <c r="CM375" s="2"/>
    </row>
    <row r="376" spans="1:91">
      <c r="A376" s="2" t="s">
        <v>71</v>
      </c>
      <c r="B376" s="2" t="s">
        <v>72</v>
      </c>
      <c r="C376" s="2" t="s">
        <v>73</v>
      </c>
      <c r="D376" s="2"/>
      <c r="E376" s="2" t="str">
        <f>"FES1162542113"</f>
        <v>FES1162542113</v>
      </c>
      <c r="F376" s="3">
        <v>42831</v>
      </c>
      <c r="G376" s="2">
        <v>201710</v>
      </c>
      <c r="H376" s="2" t="s">
        <v>74</v>
      </c>
      <c r="I376" s="2" t="s">
        <v>75</v>
      </c>
      <c r="J376" s="2" t="s">
        <v>76</v>
      </c>
      <c r="K376" s="2" t="s">
        <v>77</v>
      </c>
      <c r="L376" s="2" t="s">
        <v>74</v>
      </c>
      <c r="M376" s="2" t="s">
        <v>75</v>
      </c>
      <c r="N376" s="2" t="s">
        <v>488</v>
      </c>
      <c r="O376" s="2" t="s">
        <v>115</v>
      </c>
      <c r="P376" s="2" t="str">
        <f>"2170561001                    "</f>
        <v xml:space="preserve">2170561001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3.35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1</v>
      </c>
      <c r="BJ376" s="2">
        <v>0.2</v>
      </c>
      <c r="BK376" s="2">
        <v>1</v>
      </c>
      <c r="BL376" s="2">
        <v>32.6</v>
      </c>
      <c r="BM376" s="2">
        <v>4.5599999999999996</v>
      </c>
      <c r="BN376" s="2">
        <v>37.159999999999997</v>
      </c>
      <c r="BO376" s="2">
        <v>37.159999999999997</v>
      </c>
      <c r="BP376" s="2"/>
      <c r="BQ376" s="2" t="s">
        <v>489</v>
      </c>
      <c r="BR376" s="2" t="s">
        <v>123</v>
      </c>
      <c r="BS376" s="3">
        <v>42832</v>
      </c>
      <c r="BT376" s="4">
        <v>0.33680555555555558</v>
      </c>
      <c r="BU376" s="2" t="s">
        <v>897</v>
      </c>
      <c r="BV376" s="2" t="s">
        <v>111</v>
      </c>
      <c r="BW376" s="2"/>
      <c r="BX376" s="2"/>
      <c r="BY376" s="2">
        <v>1200</v>
      </c>
      <c r="BZ376" s="2" t="s">
        <v>27</v>
      </c>
      <c r="CA376" s="2"/>
      <c r="CB376" s="2"/>
      <c r="CC376" s="2" t="s">
        <v>75</v>
      </c>
      <c r="CD376" s="2">
        <v>1645</v>
      </c>
      <c r="CE376" s="2" t="s">
        <v>118</v>
      </c>
      <c r="CF376" s="5">
        <v>42835</v>
      </c>
      <c r="CG376" s="2"/>
      <c r="CH376" s="2"/>
      <c r="CI376" s="2">
        <v>1</v>
      </c>
      <c r="CJ376" s="2">
        <v>1</v>
      </c>
      <c r="CK376" s="2">
        <v>22</v>
      </c>
      <c r="CL376" s="2" t="s">
        <v>86</v>
      </c>
      <c r="CM376" s="2"/>
    </row>
    <row r="377" spans="1:91">
      <c r="A377" s="2" t="s">
        <v>71</v>
      </c>
      <c r="B377" s="2" t="s">
        <v>72</v>
      </c>
      <c r="C377" s="2" t="s">
        <v>73</v>
      </c>
      <c r="D377" s="2"/>
      <c r="E377" s="2" t="str">
        <f>"FES1162541451"</f>
        <v>FES1162541451</v>
      </c>
      <c r="F377" s="3">
        <v>42829</v>
      </c>
      <c r="G377" s="2">
        <v>201710</v>
      </c>
      <c r="H377" s="2" t="s">
        <v>74</v>
      </c>
      <c r="I377" s="2" t="s">
        <v>75</v>
      </c>
      <c r="J377" s="2" t="s">
        <v>76</v>
      </c>
      <c r="K377" s="2" t="s">
        <v>77</v>
      </c>
      <c r="L377" s="2" t="s">
        <v>99</v>
      </c>
      <c r="M377" s="2" t="s">
        <v>100</v>
      </c>
      <c r="N377" s="2" t="s">
        <v>876</v>
      </c>
      <c r="O377" s="2" t="s">
        <v>115</v>
      </c>
      <c r="P377" s="2" t="str">
        <f>"2170560529                    "</f>
        <v xml:space="preserve">2170560529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4.42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1</v>
      </c>
      <c r="BJ377" s="2">
        <v>0.2</v>
      </c>
      <c r="BK377" s="2">
        <v>1</v>
      </c>
      <c r="BL377" s="2">
        <v>41.86</v>
      </c>
      <c r="BM377" s="2">
        <v>5.86</v>
      </c>
      <c r="BN377" s="2">
        <v>47.72</v>
      </c>
      <c r="BO377" s="2">
        <v>47.72</v>
      </c>
      <c r="BP377" s="2"/>
      <c r="BQ377" s="2" t="s">
        <v>877</v>
      </c>
      <c r="BR377" s="2" t="s">
        <v>123</v>
      </c>
      <c r="BS377" s="3">
        <v>42830</v>
      </c>
      <c r="BT377" s="4">
        <v>0.29305555555555557</v>
      </c>
      <c r="BU377" s="2" t="s">
        <v>898</v>
      </c>
      <c r="BV377" s="2" t="s">
        <v>111</v>
      </c>
      <c r="BW377" s="2"/>
      <c r="BX377" s="2"/>
      <c r="BY377" s="2">
        <v>1200</v>
      </c>
      <c r="BZ377" s="2" t="s">
        <v>27</v>
      </c>
      <c r="CA377" s="2" t="s">
        <v>106</v>
      </c>
      <c r="CB377" s="2"/>
      <c r="CC377" s="2" t="s">
        <v>100</v>
      </c>
      <c r="CD377" s="2">
        <v>6012</v>
      </c>
      <c r="CE377" s="2" t="s">
        <v>118</v>
      </c>
      <c r="CF377" s="5">
        <v>42830</v>
      </c>
      <c r="CG377" s="2"/>
      <c r="CH377" s="2"/>
      <c r="CI377" s="2">
        <v>1</v>
      </c>
      <c r="CJ377" s="2">
        <v>1</v>
      </c>
      <c r="CK377" s="2">
        <v>21</v>
      </c>
      <c r="CL377" s="2" t="s">
        <v>86</v>
      </c>
      <c r="CM377" s="2"/>
    </row>
    <row r="378" spans="1:91">
      <c r="A378" s="2" t="s">
        <v>71</v>
      </c>
      <c r="B378" s="2" t="s">
        <v>72</v>
      </c>
      <c r="C378" s="2" t="s">
        <v>73</v>
      </c>
      <c r="D378" s="2"/>
      <c r="E378" s="2" t="str">
        <f>"FES1162543017"</f>
        <v>FES1162543017</v>
      </c>
      <c r="F378" s="3">
        <v>42836</v>
      </c>
      <c r="G378" s="2">
        <v>201710</v>
      </c>
      <c r="H378" s="2" t="s">
        <v>74</v>
      </c>
      <c r="I378" s="2" t="s">
        <v>75</v>
      </c>
      <c r="J378" s="2" t="s">
        <v>76</v>
      </c>
      <c r="K378" s="2" t="s">
        <v>77</v>
      </c>
      <c r="L378" s="2" t="s">
        <v>99</v>
      </c>
      <c r="M378" s="2" t="s">
        <v>100</v>
      </c>
      <c r="N378" s="2" t="s">
        <v>151</v>
      </c>
      <c r="O378" s="2" t="s">
        <v>115</v>
      </c>
      <c r="P378" s="2" t="str">
        <f>"2170561805                    "</f>
        <v xml:space="preserve">2170561805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4.29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1</v>
      </c>
      <c r="BJ378" s="2">
        <v>0.2</v>
      </c>
      <c r="BK378" s="2">
        <v>1</v>
      </c>
      <c r="BL378" s="2">
        <v>41.73</v>
      </c>
      <c r="BM378" s="2">
        <v>5.84</v>
      </c>
      <c r="BN378" s="2">
        <v>47.57</v>
      </c>
      <c r="BO378" s="2">
        <v>47.57</v>
      </c>
      <c r="BP378" s="2"/>
      <c r="BQ378" s="2" t="s">
        <v>152</v>
      </c>
      <c r="BR378" s="2" t="s">
        <v>123</v>
      </c>
      <c r="BS378" s="3">
        <v>42837</v>
      </c>
      <c r="BT378" s="4">
        <v>0.33333333333333331</v>
      </c>
      <c r="BU378" s="2" t="s">
        <v>153</v>
      </c>
      <c r="BV378" s="2" t="s">
        <v>111</v>
      </c>
      <c r="BW378" s="2"/>
      <c r="BX378" s="2"/>
      <c r="BY378" s="2">
        <v>1200</v>
      </c>
      <c r="BZ378" s="2" t="s">
        <v>27</v>
      </c>
      <c r="CA378" s="2" t="s">
        <v>154</v>
      </c>
      <c r="CB378" s="2"/>
      <c r="CC378" s="2" t="s">
        <v>100</v>
      </c>
      <c r="CD378" s="2">
        <v>6001</v>
      </c>
      <c r="CE378" s="2" t="s">
        <v>144</v>
      </c>
      <c r="CF378" s="5">
        <v>42837</v>
      </c>
      <c r="CG378" s="2"/>
      <c r="CH378" s="2"/>
      <c r="CI378" s="2">
        <v>1</v>
      </c>
      <c r="CJ378" s="2">
        <v>1</v>
      </c>
      <c r="CK378" s="2">
        <v>21</v>
      </c>
      <c r="CL378" s="2" t="s">
        <v>86</v>
      </c>
      <c r="CM378" s="2"/>
    </row>
    <row r="379" spans="1:91">
      <c r="A379" s="2" t="s">
        <v>71</v>
      </c>
      <c r="B379" s="2" t="s">
        <v>72</v>
      </c>
      <c r="C379" s="2" t="s">
        <v>73</v>
      </c>
      <c r="D379" s="2"/>
      <c r="E379" s="2" t="str">
        <f>"FES1162541675"</f>
        <v>FES1162541675</v>
      </c>
      <c r="F379" s="3">
        <v>42830</v>
      </c>
      <c r="G379" s="2">
        <v>201710</v>
      </c>
      <c r="H379" s="2" t="s">
        <v>74</v>
      </c>
      <c r="I379" s="2" t="s">
        <v>75</v>
      </c>
      <c r="J379" s="2" t="s">
        <v>76</v>
      </c>
      <c r="K379" s="2" t="s">
        <v>77</v>
      </c>
      <c r="L379" s="2" t="s">
        <v>176</v>
      </c>
      <c r="M379" s="2" t="s">
        <v>176</v>
      </c>
      <c r="N379" s="2" t="s">
        <v>339</v>
      </c>
      <c r="O379" s="2" t="s">
        <v>115</v>
      </c>
      <c r="P379" s="2" t="str">
        <f>"2170559775                    "</f>
        <v xml:space="preserve">2170559775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4.29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1</v>
      </c>
      <c r="BJ379" s="2">
        <v>0.2</v>
      </c>
      <c r="BK379" s="2">
        <v>1</v>
      </c>
      <c r="BL379" s="2">
        <v>41.73</v>
      </c>
      <c r="BM379" s="2">
        <v>5.84</v>
      </c>
      <c r="BN379" s="2">
        <v>47.57</v>
      </c>
      <c r="BO379" s="2">
        <v>47.57</v>
      </c>
      <c r="BP379" s="2"/>
      <c r="BQ379" s="2" t="s">
        <v>340</v>
      </c>
      <c r="BR379" s="2" t="s">
        <v>123</v>
      </c>
      <c r="BS379" s="3">
        <v>42831</v>
      </c>
      <c r="BT379" s="4">
        <v>0.53819444444444442</v>
      </c>
      <c r="BU379" s="2" t="s">
        <v>899</v>
      </c>
      <c r="BV379" s="2" t="s">
        <v>111</v>
      </c>
      <c r="BW379" s="2"/>
      <c r="BX379" s="2"/>
      <c r="BY379" s="2">
        <v>1200</v>
      </c>
      <c r="BZ379" s="2" t="s">
        <v>27</v>
      </c>
      <c r="CA379" s="2"/>
      <c r="CB379" s="2"/>
      <c r="CC379" s="2" t="s">
        <v>176</v>
      </c>
      <c r="CD379" s="2">
        <v>7646</v>
      </c>
      <c r="CE379" s="2" t="s">
        <v>118</v>
      </c>
      <c r="CF379" s="5">
        <v>42832</v>
      </c>
      <c r="CG379" s="2"/>
      <c r="CH379" s="2"/>
      <c r="CI379" s="2">
        <v>1</v>
      </c>
      <c r="CJ379" s="2">
        <v>1</v>
      </c>
      <c r="CK379" s="2">
        <v>21</v>
      </c>
      <c r="CL379" s="2" t="s">
        <v>86</v>
      </c>
      <c r="CM379" s="2"/>
    </row>
    <row r="380" spans="1:91">
      <c r="A380" s="2" t="s">
        <v>71</v>
      </c>
      <c r="B380" s="2" t="s">
        <v>72</v>
      </c>
      <c r="C380" s="2" t="s">
        <v>73</v>
      </c>
      <c r="D380" s="2"/>
      <c r="E380" s="2" t="str">
        <f>"FES1162541687"</f>
        <v>FES1162541687</v>
      </c>
      <c r="F380" s="3">
        <v>42830</v>
      </c>
      <c r="G380" s="2">
        <v>201710</v>
      </c>
      <c r="H380" s="2" t="s">
        <v>74</v>
      </c>
      <c r="I380" s="2" t="s">
        <v>75</v>
      </c>
      <c r="J380" s="2" t="s">
        <v>76</v>
      </c>
      <c r="K380" s="2" t="s">
        <v>77</v>
      </c>
      <c r="L380" s="2" t="s">
        <v>900</v>
      </c>
      <c r="M380" s="2" t="s">
        <v>901</v>
      </c>
      <c r="N380" s="2" t="s">
        <v>902</v>
      </c>
      <c r="O380" s="2" t="s">
        <v>115</v>
      </c>
      <c r="P380" s="2" t="str">
        <f>"2170560385                    "</f>
        <v xml:space="preserve">2170560385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4.29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1.1000000000000001</v>
      </c>
      <c r="BJ380" s="2">
        <v>1.6</v>
      </c>
      <c r="BK380" s="2">
        <v>2</v>
      </c>
      <c r="BL380" s="2">
        <v>41.73</v>
      </c>
      <c r="BM380" s="2">
        <v>5.84</v>
      </c>
      <c r="BN380" s="2">
        <v>47.57</v>
      </c>
      <c r="BO380" s="2">
        <v>47.57</v>
      </c>
      <c r="BP380" s="2"/>
      <c r="BQ380" s="2" t="s">
        <v>903</v>
      </c>
      <c r="BR380" s="2" t="s">
        <v>123</v>
      </c>
      <c r="BS380" s="3">
        <v>42831</v>
      </c>
      <c r="BT380" s="4">
        <v>0.4375</v>
      </c>
      <c r="BU380" s="2" t="s">
        <v>904</v>
      </c>
      <c r="BV380" s="2" t="s">
        <v>111</v>
      </c>
      <c r="BW380" s="2"/>
      <c r="BX380" s="2"/>
      <c r="BY380" s="2">
        <v>8154.68</v>
      </c>
      <c r="BZ380" s="2" t="s">
        <v>27</v>
      </c>
      <c r="CA380" s="2" t="s">
        <v>159</v>
      </c>
      <c r="CB380" s="2"/>
      <c r="CC380" s="2" t="s">
        <v>901</v>
      </c>
      <c r="CD380" s="2">
        <v>4026</v>
      </c>
      <c r="CE380" s="2" t="s">
        <v>144</v>
      </c>
      <c r="CF380" s="5">
        <v>42832</v>
      </c>
      <c r="CG380" s="2"/>
      <c r="CH380" s="2"/>
      <c r="CI380" s="2">
        <v>1</v>
      </c>
      <c r="CJ380" s="2">
        <v>1</v>
      </c>
      <c r="CK380" s="2">
        <v>21</v>
      </c>
      <c r="CL380" s="2" t="s">
        <v>86</v>
      </c>
      <c r="CM380" s="2"/>
    </row>
    <row r="381" spans="1:91">
      <c r="A381" s="2" t="s">
        <v>71</v>
      </c>
      <c r="B381" s="2" t="s">
        <v>72</v>
      </c>
      <c r="C381" s="2" t="s">
        <v>73</v>
      </c>
      <c r="D381" s="2"/>
      <c r="E381" s="2" t="str">
        <f>"FES1162543212"</f>
        <v>FES1162543212</v>
      </c>
      <c r="F381" s="3">
        <v>42837</v>
      </c>
      <c r="G381" s="2">
        <v>201710</v>
      </c>
      <c r="H381" s="2" t="s">
        <v>74</v>
      </c>
      <c r="I381" s="2" t="s">
        <v>75</v>
      </c>
      <c r="J381" s="2" t="s">
        <v>76</v>
      </c>
      <c r="K381" s="2" t="s">
        <v>77</v>
      </c>
      <c r="L381" s="2" t="s">
        <v>99</v>
      </c>
      <c r="M381" s="2" t="s">
        <v>100</v>
      </c>
      <c r="N381" s="2" t="s">
        <v>905</v>
      </c>
      <c r="O381" s="2" t="s">
        <v>115</v>
      </c>
      <c r="P381" s="2" t="str">
        <f>"2170561973                    "</f>
        <v xml:space="preserve">2170561973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15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3.8</v>
      </c>
      <c r="BJ381" s="2">
        <v>6.7</v>
      </c>
      <c r="BK381" s="2">
        <v>7</v>
      </c>
      <c r="BL381" s="2">
        <v>146.04</v>
      </c>
      <c r="BM381" s="2">
        <v>20.45</v>
      </c>
      <c r="BN381" s="2">
        <v>166.49</v>
      </c>
      <c r="BO381" s="2">
        <v>166.49</v>
      </c>
      <c r="BP381" s="2"/>
      <c r="BQ381" s="2"/>
      <c r="BR381" s="2" t="s">
        <v>84</v>
      </c>
      <c r="BS381" s="3">
        <v>42838</v>
      </c>
      <c r="BT381" s="4">
        <v>0.41666666666666669</v>
      </c>
      <c r="BU381" s="2" t="s">
        <v>906</v>
      </c>
      <c r="BV381" s="2" t="s">
        <v>111</v>
      </c>
      <c r="BW381" s="2"/>
      <c r="BX381" s="2"/>
      <c r="BY381" s="2">
        <v>33268.800000000003</v>
      </c>
      <c r="BZ381" s="2" t="s">
        <v>27</v>
      </c>
      <c r="CA381" s="2" t="s">
        <v>106</v>
      </c>
      <c r="CB381" s="2"/>
      <c r="CC381" s="2" t="s">
        <v>100</v>
      </c>
      <c r="CD381" s="2">
        <v>6001</v>
      </c>
      <c r="CE381" s="2" t="s">
        <v>172</v>
      </c>
      <c r="CF381" s="5">
        <v>42838</v>
      </c>
      <c r="CG381" s="2"/>
      <c r="CH381" s="2"/>
      <c r="CI381" s="2">
        <v>1</v>
      </c>
      <c r="CJ381" s="2">
        <v>1</v>
      </c>
      <c r="CK381" s="2">
        <v>21</v>
      </c>
      <c r="CL381" s="2" t="s">
        <v>86</v>
      </c>
      <c r="CM381" s="2"/>
    </row>
    <row r="382" spans="1:91">
      <c r="A382" s="2" t="s">
        <v>71</v>
      </c>
      <c r="B382" s="2" t="s">
        <v>72</v>
      </c>
      <c r="C382" s="2" t="s">
        <v>73</v>
      </c>
      <c r="D382" s="2"/>
      <c r="E382" s="2" t="str">
        <f>"FES1162542097"</f>
        <v>FES1162542097</v>
      </c>
      <c r="F382" s="3">
        <v>42831</v>
      </c>
      <c r="G382" s="2">
        <v>201710</v>
      </c>
      <c r="H382" s="2" t="s">
        <v>74</v>
      </c>
      <c r="I382" s="2" t="s">
        <v>75</v>
      </c>
      <c r="J382" s="2" t="s">
        <v>76</v>
      </c>
      <c r="K382" s="2" t="s">
        <v>77</v>
      </c>
      <c r="L382" s="2" t="s">
        <v>443</v>
      </c>
      <c r="M382" s="2" t="s">
        <v>444</v>
      </c>
      <c r="N382" s="2" t="s">
        <v>627</v>
      </c>
      <c r="O382" s="2" t="s">
        <v>115</v>
      </c>
      <c r="P382" s="2" t="str">
        <f>"2170558700                    "</f>
        <v xml:space="preserve">2170558700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4.29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1</v>
      </c>
      <c r="BJ382" s="2">
        <v>0.2</v>
      </c>
      <c r="BK382" s="2">
        <v>1</v>
      </c>
      <c r="BL382" s="2">
        <v>41.73</v>
      </c>
      <c r="BM382" s="2">
        <v>5.84</v>
      </c>
      <c r="BN382" s="2">
        <v>47.57</v>
      </c>
      <c r="BO382" s="2">
        <v>47.57</v>
      </c>
      <c r="BP382" s="2"/>
      <c r="BQ382" s="2" t="s">
        <v>628</v>
      </c>
      <c r="BR382" s="2" t="s">
        <v>123</v>
      </c>
      <c r="BS382" s="3">
        <v>42832</v>
      </c>
      <c r="BT382" s="4">
        <v>0.41666666666666669</v>
      </c>
      <c r="BU382" s="2" t="s">
        <v>238</v>
      </c>
      <c r="BV382" s="2" t="s">
        <v>111</v>
      </c>
      <c r="BW382" s="2"/>
      <c r="BX382" s="2"/>
      <c r="BY382" s="2">
        <v>1200</v>
      </c>
      <c r="BZ382" s="2" t="s">
        <v>27</v>
      </c>
      <c r="CA382" s="2"/>
      <c r="CB382" s="2"/>
      <c r="CC382" s="2" t="s">
        <v>444</v>
      </c>
      <c r="CD382" s="2">
        <v>7130</v>
      </c>
      <c r="CE382" s="2" t="s">
        <v>144</v>
      </c>
      <c r="CF382" s="5">
        <v>42835</v>
      </c>
      <c r="CG382" s="2"/>
      <c r="CH382" s="2"/>
      <c r="CI382" s="2">
        <v>1</v>
      </c>
      <c r="CJ382" s="2">
        <v>1</v>
      </c>
      <c r="CK382" s="2">
        <v>21</v>
      </c>
      <c r="CL382" s="2" t="s">
        <v>86</v>
      </c>
      <c r="CM382" s="2"/>
    </row>
    <row r="383" spans="1:91">
      <c r="A383" s="2" t="s">
        <v>71</v>
      </c>
      <c r="B383" s="2" t="s">
        <v>72</v>
      </c>
      <c r="C383" s="2" t="s">
        <v>73</v>
      </c>
      <c r="D383" s="2"/>
      <c r="E383" s="2" t="str">
        <f>"FES1162541432"</f>
        <v>FES1162541432</v>
      </c>
      <c r="F383" s="3">
        <v>42829</v>
      </c>
      <c r="G383" s="2">
        <v>201710</v>
      </c>
      <c r="H383" s="2" t="s">
        <v>74</v>
      </c>
      <c r="I383" s="2" t="s">
        <v>75</v>
      </c>
      <c r="J383" s="2" t="s">
        <v>76</v>
      </c>
      <c r="K383" s="2" t="s">
        <v>77</v>
      </c>
      <c r="L383" s="2" t="s">
        <v>160</v>
      </c>
      <c r="M383" s="2" t="s">
        <v>161</v>
      </c>
      <c r="N383" s="2" t="s">
        <v>907</v>
      </c>
      <c r="O383" s="2" t="s">
        <v>115</v>
      </c>
      <c r="P383" s="2" t="str">
        <f>"2170560524                    "</f>
        <v xml:space="preserve">2170560524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6.63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2</v>
      </c>
      <c r="BJ383" s="2">
        <v>2.7</v>
      </c>
      <c r="BK383" s="2">
        <v>3</v>
      </c>
      <c r="BL383" s="2">
        <v>62.79</v>
      </c>
      <c r="BM383" s="2">
        <v>8.7899999999999991</v>
      </c>
      <c r="BN383" s="2">
        <v>71.58</v>
      </c>
      <c r="BO383" s="2">
        <v>71.58</v>
      </c>
      <c r="BP383" s="2"/>
      <c r="BQ383" s="2" t="s">
        <v>908</v>
      </c>
      <c r="BR383" s="2" t="s">
        <v>123</v>
      </c>
      <c r="BS383" s="3">
        <v>42830</v>
      </c>
      <c r="BT383" s="4">
        <v>0.41666666666666669</v>
      </c>
      <c r="BU383" s="2" t="s">
        <v>909</v>
      </c>
      <c r="BV383" s="2" t="s">
        <v>111</v>
      </c>
      <c r="BW383" s="2"/>
      <c r="BX383" s="2"/>
      <c r="BY383" s="2">
        <v>13519.26</v>
      </c>
      <c r="BZ383" s="2" t="s">
        <v>27</v>
      </c>
      <c r="CA383" s="2"/>
      <c r="CB383" s="2"/>
      <c r="CC383" s="2" t="s">
        <v>161</v>
      </c>
      <c r="CD383" s="2">
        <v>5200</v>
      </c>
      <c r="CE383" s="2" t="s">
        <v>172</v>
      </c>
      <c r="CF383" s="5">
        <v>42832</v>
      </c>
      <c r="CG383" s="2"/>
      <c r="CH383" s="2"/>
      <c r="CI383" s="2">
        <v>1</v>
      </c>
      <c r="CJ383" s="2">
        <v>1</v>
      </c>
      <c r="CK383" s="2">
        <v>21</v>
      </c>
      <c r="CL383" s="2" t="s">
        <v>86</v>
      </c>
      <c r="CM383" s="2"/>
    </row>
    <row r="384" spans="1:91">
      <c r="A384" s="2" t="s">
        <v>71</v>
      </c>
      <c r="B384" s="2" t="s">
        <v>72</v>
      </c>
      <c r="C384" s="2" t="s">
        <v>73</v>
      </c>
      <c r="D384" s="2"/>
      <c r="E384" s="2" t="str">
        <f>"FES1162542873"</f>
        <v>FES1162542873</v>
      </c>
      <c r="F384" s="3">
        <v>42836</v>
      </c>
      <c r="G384" s="2">
        <v>201710</v>
      </c>
      <c r="H384" s="2" t="s">
        <v>74</v>
      </c>
      <c r="I384" s="2" t="s">
        <v>75</v>
      </c>
      <c r="J384" s="2" t="s">
        <v>76</v>
      </c>
      <c r="K384" s="2" t="s">
        <v>77</v>
      </c>
      <c r="L384" s="2" t="s">
        <v>99</v>
      </c>
      <c r="M384" s="2" t="s">
        <v>100</v>
      </c>
      <c r="N384" s="2" t="s">
        <v>910</v>
      </c>
      <c r="O384" s="2" t="s">
        <v>115</v>
      </c>
      <c r="P384" s="2" t="str">
        <f>"2170561712                    "</f>
        <v xml:space="preserve">2170561712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4.29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1</v>
      </c>
      <c r="BJ384" s="2">
        <v>0.2</v>
      </c>
      <c r="BK384" s="2">
        <v>1</v>
      </c>
      <c r="BL384" s="2">
        <v>41.73</v>
      </c>
      <c r="BM384" s="2">
        <v>5.84</v>
      </c>
      <c r="BN384" s="2">
        <v>47.57</v>
      </c>
      <c r="BO384" s="2">
        <v>47.57</v>
      </c>
      <c r="BP384" s="2"/>
      <c r="BQ384" s="2" t="s">
        <v>911</v>
      </c>
      <c r="BR384" s="2" t="s">
        <v>123</v>
      </c>
      <c r="BS384" s="3">
        <v>42837</v>
      </c>
      <c r="BT384" s="4">
        <v>0.375</v>
      </c>
      <c r="BU384" s="2" t="s">
        <v>912</v>
      </c>
      <c r="BV384" s="2" t="s">
        <v>111</v>
      </c>
      <c r="BW384" s="2"/>
      <c r="BX384" s="2"/>
      <c r="BY384" s="2">
        <v>1200</v>
      </c>
      <c r="BZ384" s="2" t="s">
        <v>27</v>
      </c>
      <c r="CA384" s="2" t="s">
        <v>913</v>
      </c>
      <c r="CB384" s="2"/>
      <c r="CC384" s="2" t="s">
        <v>100</v>
      </c>
      <c r="CD384" s="2">
        <v>6065</v>
      </c>
      <c r="CE384" s="2" t="s">
        <v>144</v>
      </c>
      <c r="CF384" s="5">
        <v>42837</v>
      </c>
      <c r="CG384" s="2"/>
      <c r="CH384" s="2"/>
      <c r="CI384" s="2">
        <v>1</v>
      </c>
      <c r="CJ384" s="2">
        <v>1</v>
      </c>
      <c r="CK384" s="2">
        <v>21</v>
      </c>
      <c r="CL384" s="2" t="s">
        <v>86</v>
      </c>
      <c r="CM384" s="2"/>
    </row>
    <row r="385" spans="1:91">
      <c r="A385" s="2" t="s">
        <v>71</v>
      </c>
      <c r="B385" s="2" t="s">
        <v>72</v>
      </c>
      <c r="C385" s="2" t="s">
        <v>73</v>
      </c>
      <c r="D385" s="2"/>
      <c r="E385" s="2" t="str">
        <f>"FES1162541615"</f>
        <v>FES1162541615</v>
      </c>
      <c r="F385" s="3">
        <v>42830</v>
      </c>
      <c r="G385" s="2">
        <v>201710</v>
      </c>
      <c r="H385" s="2" t="s">
        <v>74</v>
      </c>
      <c r="I385" s="2" t="s">
        <v>75</v>
      </c>
      <c r="J385" s="2" t="s">
        <v>76</v>
      </c>
      <c r="K385" s="2" t="s">
        <v>77</v>
      </c>
      <c r="L385" s="2" t="s">
        <v>99</v>
      </c>
      <c r="M385" s="2" t="s">
        <v>100</v>
      </c>
      <c r="N385" s="2" t="s">
        <v>914</v>
      </c>
      <c r="O385" s="2" t="s">
        <v>115</v>
      </c>
      <c r="P385" s="2" t="str">
        <f>"2170557894                    "</f>
        <v xml:space="preserve">2170557894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4.29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1</v>
      </c>
      <c r="BJ385" s="2">
        <v>0.2</v>
      </c>
      <c r="BK385" s="2">
        <v>1</v>
      </c>
      <c r="BL385" s="2">
        <v>41.73</v>
      </c>
      <c r="BM385" s="2">
        <v>5.84</v>
      </c>
      <c r="BN385" s="2">
        <v>47.57</v>
      </c>
      <c r="BO385" s="2">
        <v>47.57</v>
      </c>
      <c r="BP385" s="2"/>
      <c r="BQ385" s="2" t="s">
        <v>915</v>
      </c>
      <c r="BR385" s="2" t="s">
        <v>123</v>
      </c>
      <c r="BS385" s="3">
        <v>42831</v>
      </c>
      <c r="BT385" s="4">
        <v>0.40486111111111112</v>
      </c>
      <c r="BU385" s="2" t="s">
        <v>727</v>
      </c>
      <c r="BV385" s="2" t="s">
        <v>111</v>
      </c>
      <c r="BW385" s="2"/>
      <c r="BX385" s="2"/>
      <c r="BY385" s="2">
        <v>1200</v>
      </c>
      <c r="BZ385" s="2" t="s">
        <v>27</v>
      </c>
      <c r="CA385" s="2" t="s">
        <v>106</v>
      </c>
      <c r="CB385" s="2"/>
      <c r="CC385" s="2" t="s">
        <v>100</v>
      </c>
      <c r="CD385" s="2">
        <v>6001</v>
      </c>
      <c r="CE385" s="2" t="s">
        <v>144</v>
      </c>
      <c r="CF385" s="5">
        <v>42831</v>
      </c>
      <c r="CG385" s="2"/>
      <c r="CH385" s="2"/>
      <c r="CI385" s="2">
        <v>1</v>
      </c>
      <c r="CJ385" s="2">
        <v>1</v>
      </c>
      <c r="CK385" s="2">
        <v>21</v>
      </c>
      <c r="CL385" s="2" t="s">
        <v>86</v>
      </c>
      <c r="CM385" s="2"/>
    </row>
    <row r="386" spans="1:91">
      <c r="A386" s="2" t="s">
        <v>71</v>
      </c>
      <c r="B386" s="2" t="s">
        <v>72</v>
      </c>
      <c r="C386" s="2" t="s">
        <v>73</v>
      </c>
      <c r="D386" s="2"/>
      <c r="E386" s="2" t="str">
        <f>"FES1162543328"</f>
        <v>FES1162543328</v>
      </c>
      <c r="F386" s="3">
        <v>42837</v>
      </c>
      <c r="G386" s="2">
        <v>201710</v>
      </c>
      <c r="H386" s="2" t="s">
        <v>74</v>
      </c>
      <c r="I386" s="2" t="s">
        <v>75</v>
      </c>
      <c r="J386" s="2" t="s">
        <v>76</v>
      </c>
      <c r="K386" s="2" t="s">
        <v>77</v>
      </c>
      <c r="L386" s="2" t="s">
        <v>187</v>
      </c>
      <c r="M386" s="2" t="s">
        <v>146</v>
      </c>
      <c r="N386" s="2" t="s">
        <v>768</v>
      </c>
      <c r="O386" s="2" t="s">
        <v>115</v>
      </c>
      <c r="P386" s="2" t="str">
        <f>"2170561998                    "</f>
        <v xml:space="preserve">2170561998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4.29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1</v>
      </c>
      <c r="BJ386" s="2">
        <v>0.2</v>
      </c>
      <c r="BK386" s="2">
        <v>1</v>
      </c>
      <c r="BL386" s="2">
        <v>41.73</v>
      </c>
      <c r="BM386" s="2">
        <v>5.84</v>
      </c>
      <c r="BN386" s="2">
        <v>47.57</v>
      </c>
      <c r="BO386" s="2">
        <v>47.57</v>
      </c>
      <c r="BP386" s="2"/>
      <c r="BQ386" s="2" t="s">
        <v>769</v>
      </c>
      <c r="BR386" s="2" t="s">
        <v>84</v>
      </c>
      <c r="BS386" s="3">
        <v>42838</v>
      </c>
      <c r="BT386" s="4">
        <v>0.35416666666666669</v>
      </c>
      <c r="BU386" s="2" t="s">
        <v>130</v>
      </c>
      <c r="BV386" s="2" t="s">
        <v>111</v>
      </c>
      <c r="BW386" s="2"/>
      <c r="BX386" s="2"/>
      <c r="BY386" s="2">
        <v>1200</v>
      </c>
      <c r="BZ386" s="2" t="s">
        <v>27</v>
      </c>
      <c r="CA386" s="2"/>
      <c r="CB386" s="2"/>
      <c r="CC386" s="2" t="s">
        <v>146</v>
      </c>
      <c r="CD386" s="2">
        <v>182</v>
      </c>
      <c r="CE386" s="2" t="s">
        <v>118</v>
      </c>
      <c r="CF386" s="5">
        <v>42844</v>
      </c>
      <c r="CG386" s="2"/>
      <c r="CH386" s="2"/>
      <c r="CI386" s="2">
        <v>0</v>
      </c>
      <c r="CJ386" s="2">
        <v>0</v>
      </c>
      <c r="CK386" s="2">
        <v>21</v>
      </c>
      <c r="CL386" s="2" t="s">
        <v>86</v>
      </c>
      <c r="CM386" s="2"/>
    </row>
    <row r="387" spans="1:91">
      <c r="A387" s="2" t="s">
        <v>71</v>
      </c>
      <c r="B387" s="2" t="s">
        <v>72</v>
      </c>
      <c r="C387" s="2" t="s">
        <v>73</v>
      </c>
      <c r="D387" s="2"/>
      <c r="E387" s="2" t="str">
        <f>"FES1162542154"</f>
        <v>FES1162542154</v>
      </c>
      <c r="F387" s="3">
        <v>42831</v>
      </c>
      <c r="G387" s="2">
        <v>201710</v>
      </c>
      <c r="H387" s="2" t="s">
        <v>74</v>
      </c>
      <c r="I387" s="2" t="s">
        <v>75</v>
      </c>
      <c r="J387" s="2" t="s">
        <v>76</v>
      </c>
      <c r="K387" s="2" t="s">
        <v>77</v>
      </c>
      <c r="L387" s="2" t="s">
        <v>180</v>
      </c>
      <c r="M387" s="2" t="s">
        <v>181</v>
      </c>
      <c r="N387" s="2" t="s">
        <v>605</v>
      </c>
      <c r="O387" s="2" t="s">
        <v>115</v>
      </c>
      <c r="P387" s="2" t="str">
        <f>"2170561051                    "</f>
        <v xml:space="preserve">2170561051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8.57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4</v>
      </c>
      <c r="BJ387" s="2">
        <v>2.8</v>
      </c>
      <c r="BK387" s="2">
        <v>4</v>
      </c>
      <c r="BL387" s="2">
        <v>83.45</v>
      </c>
      <c r="BM387" s="2">
        <v>11.68</v>
      </c>
      <c r="BN387" s="2">
        <v>95.13</v>
      </c>
      <c r="BO387" s="2">
        <v>95.13</v>
      </c>
      <c r="BP387" s="2"/>
      <c r="BQ387" s="2" t="s">
        <v>606</v>
      </c>
      <c r="BR387" s="2" t="s">
        <v>123</v>
      </c>
      <c r="BS387" s="3">
        <v>42835</v>
      </c>
      <c r="BT387" s="4">
        <v>0.4375</v>
      </c>
      <c r="BU387" s="2" t="s">
        <v>916</v>
      </c>
      <c r="BV387" s="2" t="s">
        <v>86</v>
      </c>
      <c r="BW387" s="2" t="s">
        <v>164</v>
      </c>
      <c r="BX387" s="2" t="s">
        <v>88</v>
      </c>
      <c r="BY387" s="2">
        <v>14040</v>
      </c>
      <c r="BZ387" s="2" t="s">
        <v>27</v>
      </c>
      <c r="CA387" s="2"/>
      <c r="CB387" s="2"/>
      <c r="CC387" s="2" t="s">
        <v>181</v>
      </c>
      <c r="CD387" s="2">
        <v>4001</v>
      </c>
      <c r="CE387" s="2" t="s">
        <v>287</v>
      </c>
      <c r="CF387" s="5">
        <v>42836</v>
      </c>
      <c r="CG387" s="2"/>
      <c r="CH387" s="2"/>
      <c r="CI387" s="2">
        <v>1</v>
      </c>
      <c r="CJ387" s="2">
        <v>2</v>
      </c>
      <c r="CK387" s="2">
        <v>21</v>
      </c>
      <c r="CL387" s="2" t="s">
        <v>86</v>
      </c>
      <c r="CM387" s="2"/>
    </row>
    <row r="388" spans="1:91">
      <c r="A388" s="2" t="s">
        <v>71</v>
      </c>
      <c r="B388" s="2" t="s">
        <v>72</v>
      </c>
      <c r="C388" s="2" t="s">
        <v>73</v>
      </c>
      <c r="D388" s="2"/>
      <c r="E388" s="2" t="str">
        <f>"FES1162541454"</f>
        <v>FES1162541454</v>
      </c>
      <c r="F388" s="3">
        <v>42829</v>
      </c>
      <c r="G388" s="2">
        <v>201710</v>
      </c>
      <c r="H388" s="2" t="s">
        <v>74</v>
      </c>
      <c r="I388" s="2" t="s">
        <v>75</v>
      </c>
      <c r="J388" s="2" t="s">
        <v>76</v>
      </c>
      <c r="K388" s="2" t="s">
        <v>77</v>
      </c>
      <c r="L388" s="2" t="s">
        <v>99</v>
      </c>
      <c r="M388" s="2" t="s">
        <v>100</v>
      </c>
      <c r="N388" s="2" t="s">
        <v>876</v>
      </c>
      <c r="O388" s="2" t="s">
        <v>115</v>
      </c>
      <c r="P388" s="2" t="str">
        <f>"2170560533                    "</f>
        <v xml:space="preserve">2170560533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4.42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0.2</v>
      </c>
      <c r="BK388" s="2">
        <v>1</v>
      </c>
      <c r="BL388" s="2">
        <v>41.86</v>
      </c>
      <c r="BM388" s="2">
        <v>5.86</v>
      </c>
      <c r="BN388" s="2">
        <v>47.72</v>
      </c>
      <c r="BO388" s="2">
        <v>47.72</v>
      </c>
      <c r="BP388" s="2"/>
      <c r="BQ388" s="2" t="s">
        <v>877</v>
      </c>
      <c r="BR388" s="2" t="s">
        <v>123</v>
      </c>
      <c r="BS388" s="3">
        <v>42830</v>
      </c>
      <c r="BT388" s="4">
        <v>0.29305555555555557</v>
      </c>
      <c r="BU388" s="2" t="s">
        <v>898</v>
      </c>
      <c r="BV388" s="2" t="s">
        <v>111</v>
      </c>
      <c r="BW388" s="2"/>
      <c r="BX388" s="2"/>
      <c r="BY388" s="2">
        <v>1200</v>
      </c>
      <c r="BZ388" s="2" t="s">
        <v>27</v>
      </c>
      <c r="CA388" s="2" t="s">
        <v>106</v>
      </c>
      <c r="CB388" s="2"/>
      <c r="CC388" s="2" t="s">
        <v>100</v>
      </c>
      <c r="CD388" s="2">
        <v>6012</v>
      </c>
      <c r="CE388" s="2" t="s">
        <v>118</v>
      </c>
      <c r="CF388" s="5">
        <v>42830</v>
      </c>
      <c r="CG388" s="2"/>
      <c r="CH388" s="2"/>
      <c r="CI388" s="2">
        <v>1</v>
      </c>
      <c r="CJ388" s="2">
        <v>1</v>
      </c>
      <c r="CK388" s="2">
        <v>21</v>
      </c>
      <c r="CL388" s="2" t="s">
        <v>86</v>
      </c>
      <c r="CM388" s="2"/>
    </row>
    <row r="389" spans="1:91">
      <c r="A389" s="2" t="s">
        <v>71</v>
      </c>
      <c r="B389" s="2" t="s">
        <v>72</v>
      </c>
      <c r="C389" s="2" t="s">
        <v>73</v>
      </c>
      <c r="D389" s="2"/>
      <c r="E389" s="2" t="str">
        <f>"FES1162542897"</f>
        <v>FES1162542897</v>
      </c>
      <c r="F389" s="3">
        <v>42836</v>
      </c>
      <c r="G389" s="2">
        <v>201710</v>
      </c>
      <c r="H389" s="2" t="s">
        <v>74</v>
      </c>
      <c r="I389" s="2" t="s">
        <v>75</v>
      </c>
      <c r="J389" s="2" t="s">
        <v>76</v>
      </c>
      <c r="K389" s="2" t="s">
        <v>77</v>
      </c>
      <c r="L389" s="2" t="s">
        <v>119</v>
      </c>
      <c r="M389" s="2" t="s">
        <v>120</v>
      </c>
      <c r="N389" s="2" t="s">
        <v>725</v>
      </c>
      <c r="O389" s="2" t="s">
        <v>115</v>
      </c>
      <c r="P389" s="2" t="str">
        <f>"2170558870                    "</f>
        <v xml:space="preserve">2170558870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3.35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1.3</v>
      </c>
      <c r="BJ389" s="2">
        <v>1.8</v>
      </c>
      <c r="BK389" s="2">
        <v>2</v>
      </c>
      <c r="BL389" s="2">
        <v>32.6</v>
      </c>
      <c r="BM389" s="2">
        <v>4.5599999999999996</v>
      </c>
      <c r="BN389" s="2">
        <v>37.159999999999997</v>
      </c>
      <c r="BO389" s="2">
        <v>37.159999999999997</v>
      </c>
      <c r="BP389" s="2"/>
      <c r="BQ389" s="2" t="s">
        <v>726</v>
      </c>
      <c r="BR389" s="2" t="s">
        <v>123</v>
      </c>
      <c r="BS389" s="3">
        <v>42837</v>
      </c>
      <c r="BT389" s="4">
        <v>0.41319444444444442</v>
      </c>
      <c r="BU389" s="2" t="s">
        <v>917</v>
      </c>
      <c r="BV389" s="2" t="s">
        <v>111</v>
      </c>
      <c r="BW389" s="2"/>
      <c r="BX389" s="2"/>
      <c r="BY389" s="2">
        <v>9136.0499999999993</v>
      </c>
      <c r="BZ389" s="2" t="s">
        <v>27</v>
      </c>
      <c r="CA389" s="2" t="s">
        <v>125</v>
      </c>
      <c r="CB389" s="2"/>
      <c r="CC389" s="2" t="s">
        <v>120</v>
      </c>
      <c r="CD389" s="2">
        <v>2162</v>
      </c>
      <c r="CE389" s="2" t="s">
        <v>118</v>
      </c>
      <c r="CF389" s="5">
        <v>42838</v>
      </c>
      <c r="CG389" s="2"/>
      <c r="CH389" s="2"/>
      <c r="CI389" s="2">
        <v>1</v>
      </c>
      <c r="CJ389" s="2">
        <v>1</v>
      </c>
      <c r="CK389" s="2">
        <v>22</v>
      </c>
      <c r="CL389" s="2" t="s">
        <v>86</v>
      </c>
      <c r="CM389" s="2"/>
    </row>
    <row r="390" spans="1:91">
      <c r="A390" s="2" t="s">
        <v>71</v>
      </c>
      <c r="B390" s="2" t="s">
        <v>72</v>
      </c>
      <c r="C390" s="2" t="s">
        <v>73</v>
      </c>
      <c r="D390" s="2"/>
      <c r="E390" s="2" t="str">
        <f>"FES1162541625"</f>
        <v>FES1162541625</v>
      </c>
      <c r="F390" s="3">
        <v>42830</v>
      </c>
      <c r="G390" s="2">
        <v>201710</v>
      </c>
      <c r="H390" s="2" t="s">
        <v>74</v>
      </c>
      <c r="I390" s="2" t="s">
        <v>75</v>
      </c>
      <c r="J390" s="2" t="s">
        <v>76</v>
      </c>
      <c r="K390" s="2" t="s">
        <v>77</v>
      </c>
      <c r="L390" s="2" t="s">
        <v>131</v>
      </c>
      <c r="M390" s="2" t="s">
        <v>132</v>
      </c>
      <c r="N390" s="2" t="s">
        <v>384</v>
      </c>
      <c r="O390" s="2" t="s">
        <v>115</v>
      </c>
      <c r="P390" s="2" t="str">
        <f>"2170558057                    "</f>
        <v xml:space="preserve">2170558057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4.29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1.7</v>
      </c>
      <c r="BJ390" s="2">
        <v>1.8</v>
      </c>
      <c r="BK390" s="2">
        <v>2</v>
      </c>
      <c r="BL390" s="2">
        <v>41.73</v>
      </c>
      <c r="BM390" s="2">
        <v>5.84</v>
      </c>
      <c r="BN390" s="2">
        <v>47.57</v>
      </c>
      <c r="BO390" s="2">
        <v>47.57</v>
      </c>
      <c r="BP390" s="2"/>
      <c r="BQ390" s="2" t="s">
        <v>468</v>
      </c>
      <c r="BR390" s="2" t="s">
        <v>123</v>
      </c>
      <c r="BS390" s="3">
        <v>42831</v>
      </c>
      <c r="BT390" s="4">
        <v>0.41666666666666669</v>
      </c>
      <c r="BU390" s="2" t="s">
        <v>469</v>
      </c>
      <c r="BV390" s="2" t="s">
        <v>111</v>
      </c>
      <c r="BW390" s="2"/>
      <c r="BX390" s="2"/>
      <c r="BY390" s="2">
        <v>9055.7999999999993</v>
      </c>
      <c r="BZ390" s="2" t="s">
        <v>27</v>
      </c>
      <c r="CA390" s="2"/>
      <c r="CB390" s="2"/>
      <c r="CC390" s="2" t="s">
        <v>132</v>
      </c>
      <c r="CD390" s="2">
        <v>7405</v>
      </c>
      <c r="CE390" s="2" t="s">
        <v>172</v>
      </c>
      <c r="CF390" s="5">
        <v>42833</v>
      </c>
      <c r="CG390" s="2"/>
      <c r="CH390" s="2"/>
      <c r="CI390" s="2">
        <v>1</v>
      </c>
      <c r="CJ390" s="2">
        <v>1</v>
      </c>
      <c r="CK390" s="2">
        <v>21</v>
      </c>
      <c r="CL390" s="2" t="s">
        <v>86</v>
      </c>
      <c r="CM390" s="2"/>
    </row>
    <row r="391" spans="1:91">
      <c r="A391" s="2" t="s">
        <v>71</v>
      </c>
      <c r="B391" s="2" t="s">
        <v>72</v>
      </c>
      <c r="C391" s="2" t="s">
        <v>73</v>
      </c>
      <c r="D391" s="2"/>
      <c r="E391" s="2" t="str">
        <f>"FES1162541619"</f>
        <v>FES1162541619</v>
      </c>
      <c r="F391" s="3">
        <v>42830</v>
      </c>
      <c r="G391" s="2">
        <v>201710</v>
      </c>
      <c r="H391" s="2" t="s">
        <v>74</v>
      </c>
      <c r="I391" s="2" t="s">
        <v>75</v>
      </c>
      <c r="J391" s="2" t="s">
        <v>76</v>
      </c>
      <c r="K391" s="2" t="s">
        <v>77</v>
      </c>
      <c r="L391" s="2" t="s">
        <v>358</v>
      </c>
      <c r="M391" s="2" t="s">
        <v>359</v>
      </c>
      <c r="N391" s="2" t="s">
        <v>800</v>
      </c>
      <c r="O391" s="2" t="s">
        <v>115</v>
      </c>
      <c r="P391" s="2" t="str">
        <f>"2170557950                    "</f>
        <v xml:space="preserve">2170557950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4.29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1</v>
      </c>
      <c r="BJ391" s="2">
        <v>0.2</v>
      </c>
      <c r="BK391" s="2">
        <v>1</v>
      </c>
      <c r="BL391" s="2">
        <v>41.73</v>
      </c>
      <c r="BM391" s="2">
        <v>5.84</v>
      </c>
      <c r="BN391" s="2">
        <v>47.57</v>
      </c>
      <c r="BO391" s="2">
        <v>47.57</v>
      </c>
      <c r="BP391" s="2"/>
      <c r="BQ391" s="2" t="s">
        <v>801</v>
      </c>
      <c r="BR391" s="2" t="s">
        <v>123</v>
      </c>
      <c r="BS391" s="3">
        <v>42831</v>
      </c>
      <c r="BT391" s="4">
        <v>0.3125</v>
      </c>
      <c r="BU391" s="2" t="s">
        <v>918</v>
      </c>
      <c r="BV391" s="2" t="s">
        <v>111</v>
      </c>
      <c r="BW391" s="2"/>
      <c r="BX391" s="2"/>
      <c r="BY391" s="2">
        <v>1200</v>
      </c>
      <c r="BZ391" s="2" t="s">
        <v>27</v>
      </c>
      <c r="CA391" s="2"/>
      <c r="CB391" s="2"/>
      <c r="CC391" s="2" t="s">
        <v>359</v>
      </c>
      <c r="CD391" s="2">
        <v>6230</v>
      </c>
      <c r="CE391" s="2" t="s">
        <v>144</v>
      </c>
      <c r="CF391" s="5">
        <v>42832</v>
      </c>
      <c r="CG391" s="2"/>
      <c r="CH391" s="2"/>
      <c r="CI391" s="2">
        <v>1</v>
      </c>
      <c r="CJ391" s="2">
        <v>1</v>
      </c>
      <c r="CK391" s="2">
        <v>21</v>
      </c>
      <c r="CL391" s="2" t="s">
        <v>86</v>
      </c>
      <c r="CM391" s="2"/>
    </row>
    <row r="392" spans="1:91">
      <c r="A392" s="2" t="s">
        <v>71</v>
      </c>
      <c r="B392" s="2" t="s">
        <v>72</v>
      </c>
      <c r="C392" s="2" t="s">
        <v>73</v>
      </c>
      <c r="D392" s="2"/>
      <c r="E392" s="2" t="str">
        <f>"FES1162542089"</f>
        <v>FES1162542089</v>
      </c>
      <c r="F392" s="3">
        <v>42831</v>
      </c>
      <c r="G392" s="2">
        <v>201710</v>
      </c>
      <c r="H392" s="2" t="s">
        <v>74</v>
      </c>
      <c r="I392" s="2" t="s">
        <v>75</v>
      </c>
      <c r="J392" s="2" t="s">
        <v>76</v>
      </c>
      <c r="K392" s="2" t="s">
        <v>77</v>
      </c>
      <c r="L392" s="2" t="s">
        <v>131</v>
      </c>
      <c r="M392" s="2" t="s">
        <v>132</v>
      </c>
      <c r="N392" s="2" t="s">
        <v>919</v>
      </c>
      <c r="O392" s="2" t="s">
        <v>115</v>
      </c>
      <c r="P392" s="2" t="str">
        <f>"2170558586                    "</f>
        <v xml:space="preserve">2170558586 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4.29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</v>
      </c>
      <c r="BJ392" s="2">
        <v>0.2</v>
      </c>
      <c r="BK392" s="2">
        <v>1</v>
      </c>
      <c r="BL392" s="2">
        <v>41.73</v>
      </c>
      <c r="BM392" s="2">
        <v>5.84</v>
      </c>
      <c r="BN392" s="2">
        <v>47.57</v>
      </c>
      <c r="BO392" s="2">
        <v>47.57</v>
      </c>
      <c r="BP392" s="2"/>
      <c r="BQ392" s="2" t="s">
        <v>920</v>
      </c>
      <c r="BR392" s="2" t="s">
        <v>123</v>
      </c>
      <c r="BS392" s="3">
        <v>42835</v>
      </c>
      <c r="BT392" s="4">
        <v>0.41666666666666669</v>
      </c>
      <c r="BU392" s="2" t="s">
        <v>130</v>
      </c>
      <c r="BV392" s="2" t="s">
        <v>86</v>
      </c>
      <c r="BW392" s="2" t="s">
        <v>157</v>
      </c>
      <c r="BX392" s="2" t="s">
        <v>158</v>
      </c>
      <c r="BY392" s="2">
        <v>1200</v>
      </c>
      <c r="BZ392" s="2" t="s">
        <v>27</v>
      </c>
      <c r="CA392" s="2"/>
      <c r="CB392" s="2"/>
      <c r="CC392" s="2" t="s">
        <v>132</v>
      </c>
      <c r="CD392" s="2">
        <v>7405</v>
      </c>
      <c r="CE392" s="2" t="s">
        <v>144</v>
      </c>
      <c r="CF392" s="5">
        <v>42836</v>
      </c>
      <c r="CG392" s="2"/>
      <c r="CH392" s="2"/>
      <c r="CI392" s="2">
        <v>1</v>
      </c>
      <c r="CJ392" s="2">
        <v>2</v>
      </c>
      <c r="CK392" s="2">
        <v>21</v>
      </c>
      <c r="CL392" s="2" t="s">
        <v>86</v>
      </c>
      <c r="CM392" s="2"/>
    </row>
    <row r="393" spans="1:91">
      <c r="A393" s="2" t="s">
        <v>71</v>
      </c>
      <c r="B393" s="2" t="s">
        <v>72</v>
      </c>
      <c r="C393" s="2" t="s">
        <v>73</v>
      </c>
      <c r="D393" s="2"/>
      <c r="E393" s="2" t="str">
        <f>"FES1162541349"</f>
        <v>FES1162541349</v>
      </c>
      <c r="F393" s="3">
        <v>42829</v>
      </c>
      <c r="G393" s="2">
        <v>201710</v>
      </c>
      <c r="H393" s="2" t="s">
        <v>74</v>
      </c>
      <c r="I393" s="2" t="s">
        <v>75</v>
      </c>
      <c r="J393" s="2" t="s">
        <v>76</v>
      </c>
      <c r="K393" s="2" t="s">
        <v>77</v>
      </c>
      <c r="L393" s="2" t="s">
        <v>921</v>
      </c>
      <c r="M393" s="2" t="s">
        <v>922</v>
      </c>
      <c r="N393" s="2" t="s">
        <v>923</v>
      </c>
      <c r="O393" s="2" t="s">
        <v>115</v>
      </c>
      <c r="P393" s="2" t="str">
        <f>"2170557474                    "</f>
        <v xml:space="preserve">2170557474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8.57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1</v>
      </c>
      <c r="BJ393" s="2">
        <v>0.2</v>
      </c>
      <c r="BK393" s="2">
        <v>1</v>
      </c>
      <c r="BL393" s="2">
        <v>81.11</v>
      </c>
      <c r="BM393" s="2">
        <v>11.36</v>
      </c>
      <c r="BN393" s="2">
        <v>92.47</v>
      </c>
      <c r="BO393" s="2">
        <v>92.47</v>
      </c>
      <c r="BP393" s="2"/>
      <c r="BQ393" s="2"/>
      <c r="BR393" s="2" t="s">
        <v>123</v>
      </c>
      <c r="BS393" s="3">
        <v>42835</v>
      </c>
      <c r="BT393" s="4">
        <v>0.39583333333333331</v>
      </c>
      <c r="BU393" s="2" t="s">
        <v>924</v>
      </c>
      <c r="BV393" s="2" t="s">
        <v>86</v>
      </c>
      <c r="BW393" s="2" t="s">
        <v>96</v>
      </c>
      <c r="BX393" s="2" t="s">
        <v>925</v>
      </c>
      <c r="BY393" s="2">
        <v>1200</v>
      </c>
      <c r="BZ393" s="2" t="s">
        <v>27</v>
      </c>
      <c r="CA393" s="2"/>
      <c r="CB393" s="2"/>
      <c r="CC393" s="2" t="s">
        <v>922</v>
      </c>
      <c r="CD393" s="2">
        <v>9630</v>
      </c>
      <c r="CE393" s="2" t="s">
        <v>118</v>
      </c>
      <c r="CF393" s="5">
        <v>42837</v>
      </c>
      <c r="CG393" s="2"/>
      <c r="CH393" s="2"/>
      <c r="CI393" s="2">
        <v>1</v>
      </c>
      <c r="CJ393" s="2">
        <v>4</v>
      </c>
      <c r="CK393" s="2">
        <v>23</v>
      </c>
      <c r="CL393" s="2" t="s">
        <v>86</v>
      </c>
      <c r="CM393" s="2"/>
    </row>
    <row r="394" spans="1:91">
      <c r="A394" s="2" t="s">
        <v>71</v>
      </c>
      <c r="B394" s="2" t="s">
        <v>72</v>
      </c>
      <c r="C394" s="2" t="s">
        <v>73</v>
      </c>
      <c r="D394" s="2"/>
      <c r="E394" s="2" t="str">
        <f>"FES1162542878"</f>
        <v>FES1162542878</v>
      </c>
      <c r="F394" s="3">
        <v>42836</v>
      </c>
      <c r="G394" s="2">
        <v>201710</v>
      </c>
      <c r="H394" s="2" t="s">
        <v>74</v>
      </c>
      <c r="I394" s="2" t="s">
        <v>75</v>
      </c>
      <c r="J394" s="2" t="s">
        <v>76</v>
      </c>
      <c r="K394" s="2" t="s">
        <v>77</v>
      </c>
      <c r="L394" s="2" t="s">
        <v>99</v>
      </c>
      <c r="M394" s="2" t="s">
        <v>100</v>
      </c>
      <c r="N394" s="2" t="s">
        <v>926</v>
      </c>
      <c r="O394" s="2" t="s">
        <v>115</v>
      </c>
      <c r="P394" s="2" t="str">
        <f>"2170561721                    "</f>
        <v xml:space="preserve">2170561721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4.29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1</v>
      </c>
      <c r="BJ394" s="2">
        <v>0.2</v>
      </c>
      <c r="BK394" s="2">
        <v>1</v>
      </c>
      <c r="BL394" s="2">
        <v>41.73</v>
      </c>
      <c r="BM394" s="2">
        <v>5.84</v>
      </c>
      <c r="BN394" s="2">
        <v>47.57</v>
      </c>
      <c r="BO394" s="2">
        <v>47.57</v>
      </c>
      <c r="BP394" s="2"/>
      <c r="BQ394" s="2" t="s">
        <v>927</v>
      </c>
      <c r="BR394" s="2" t="s">
        <v>123</v>
      </c>
      <c r="BS394" s="3">
        <v>42837</v>
      </c>
      <c r="BT394" s="4">
        <v>0.55902777777777779</v>
      </c>
      <c r="BU394" s="2" t="s">
        <v>928</v>
      </c>
      <c r="BV394" s="2" t="s">
        <v>111</v>
      </c>
      <c r="BW394" s="2"/>
      <c r="BX394" s="2"/>
      <c r="BY394" s="2">
        <v>1200</v>
      </c>
      <c r="BZ394" s="2" t="s">
        <v>27</v>
      </c>
      <c r="CA394" s="2"/>
      <c r="CB394" s="2"/>
      <c r="CC394" s="2" t="s">
        <v>100</v>
      </c>
      <c r="CD394" s="2">
        <v>6100</v>
      </c>
      <c r="CE394" s="2" t="s">
        <v>144</v>
      </c>
      <c r="CF394" s="5">
        <v>42838</v>
      </c>
      <c r="CG394" s="2"/>
      <c r="CH394" s="2"/>
      <c r="CI394" s="2">
        <v>1</v>
      </c>
      <c r="CJ394" s="2">
        <v>1</v>
      </c>
      <c r="CK394" s="2">
        <v>21</v>
      </c>
      <c r="CL394" s="2" t="s">
        <v>86</v>
      </c>
      <c r="CM394" s="2"/>
    </row>
    <row r="395" spans="1:91">
      <c r="A395" s="2" t="s">
        <v>71</v>
      </c>
      <c r="B395" s="2" t="s">
        <v>72</v>
      </c>
      <c r="C395" s="2" t="s">
        <v>73</v>
      </c>
      <c r="D395" s="2"/>
      <c r="E395" s="2" t="str">
        <f>"FES1162541539"</f>
        <v>FES1162541539</v>
      </c>
      <c r="F395" s="3">
        <v>42830</v>
      </c>
      <c r="G395" s="2">
        <v>201710</v>
      </c>
      <c r="H395" s="2" t="s">
        <v>74</v>
      </c>
      <c r="I395" s="2" t="s">
        <v>75</v>
      </c>
      <c r="J395" s="2" t="s">
        <v>76</v>
      </c>
      <c r="K395" s="2" t="s">
        <v>77</v>
      </c>
      <c r="L395" s="2" t="s">
        <v>131</v>
      </c>
      <c r="M395" s="2" t="s">
        <v>132</v>
      </c>
      <c r="N395" s="2" t="s">
        <v>929</v>
      </c>
      <c r="O395" s="2" t="s">
        <v>115</v>
      </c>
      <c r="P395" s="2" t="str">
        <f>"2170560620                    "</f>
        <v xml:space="preserve">2170560620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10.72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4.7</v>
      </c>
      <c r="BJ395" s="2">
        <v>1.7</v>
      </c>
      <c r="BK395" s="2">
        <v>5</v>
      </c>
      <c r="BL395" s="2">
        <v>104.32</v>
      </c>
      <c r="BM395" s="2">
        <v>14.6</v>
      </c>
      <c r="BN395" s="2">
        <v>118.92</v>
      </c>
      <c r="BO395" s="2">
        <v>118.92</v>
      </c>
      <c r="BP395" s="2"/>
      <c r="BQ395" s="2"/>
      <c r="BR395" s="2" t="s">
        <v>123</v>
      </c>
      <c r="BS395" s="3">
        <v>42831</v>
      </c>
      <c r="BT395" s="4">
        <v>0.3576388888888889</v>
      </c>
      <c r="BU395" s="2" t="s">
        <v>930</v>
      </c>
      <c r="BV395" s="2" t="s">
        <v>111</v>
      </c>
      <c r="BW395" s="2"/>
      <c r="BX395" s="2"/>
      <c r="BY395" s="2">
        <v>8634.3799999999992</v>
      </c>
      <c r="BZ395" s="2" t="s">
        <v>27</v>
      </c>
      <c r="CA395" s="2"/>
      <c r="CB395" s="2"/>
      <c r="CC395" s="2" t="s">
        <v>132</v>
      </c>
      <c r="CD395" s="2">
        <v>7500</v>
      </c>
      <c r="CE395" s="2" t="s">
        <v>89</v>
      </c>
      <c r="CF395" s="2"/>
      <c r="CG395" s="2"/>
      <c r="CH395" s="2"/>
      <c r="CI395" s="2">
        <v>1</v>
      </c>
      <c r="CJ395" s="2">
        <v>1</v>
      </c>
      <c r="CK395" s="2">
        <v>21</v>
      </c>
      <c r="CL395" s="2" t="s">
        <v>86</v>
      </c>
      <c r="CM395" s="2"/>
    </row>
    <row r="396" spans="1:91">
      <c r="A396" s="2" t="s">
        <v>71</v>
      </c>
      <c r="B396" s="2" t="s">
        <v>72</v>
      </c>
      <c r="C396" s="2" t="s">
        <v>73</v>
      </c>
      <c r="D396" s="2"/>
      <c r="E396" s="2" t="str">
        <f>"FES1162541603"</f>
        <v>FES1162541603</v>
      </c>
      <c r="F396" s="3">
        <v>42830</v>
      </c>
      <c r="G396" s="2">
        <v>201710</v>
      </c>
      <c r="H396" s="2" t="s">
        <v>74</v>
      </c>
      <c r="I396" s="2" t="s">
        <v>75</v>
      </c>
      <c r="J396" s="2" t="s">
        <v>76</v>
      </c>
      <c r="K396" s="2" t="s">
        <v>77</v>
      </c>
      <c r="L396" s="2" t="s">
        <v>180</v>
      </c>
      <c r="M396" s="2" t="s">
        <v>181</v>
      </c>
      <c r="N396" s="2" t="s">
        <v>931</v>
      </c>
      <c r="O396" s="2" t="s">
        <v>115</v>
      </c>
      <c r="P396" s="2" t="str">
        <f>"2170556153                    "</f>
        <v xml:space="preserve">2170556153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4.29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1</v>
      </c>
      <c r="BJ396" s="2">
        <v>0.2</v>
      </c>
      <c r="BK396" s="2">
        <v>1</v>
      </c>
      <c r="BL396" s="2">
        <v>41.73</v>
      </c>
      <c r="BM396" s="2">
        <v>5.84</v>
      </c>
      <c r="BN396" s="2">
        <v>47.57</v>
      </c>
      <c r="BO396" s="2">
        <v>47.57</v>
      </c>
      <c r="BP396" s="2"/>
      <c r="BQ396" s="2" t="s">
        <v>932</v>
      </c>
      <c r="BR396" s="2" t="s">
        <v>123</v>
      </c>
      <c r="BS396" s="3">
        <v>42831</v>
      </c>
      <c r="BT396" s="4">
        <v>0.375</v>
      </c>
      <c r="BU396" s="2" t="s">
        <v>933</v>
      </c>
      <c r="BV396" s="2" t="s">
        <v>111</v>
      </c>
      <c r="BW396" s="2"/>
      <c r="BX396" s="2"/>
      <c r="BY396" s="2">
        <v>1200</v>
      </c>
      <c r="BZ396" s="2" t="s">
        <v>27</v>
      </c>
      <c r="CA396" s="2"/>
      <c r="CB396" s="2"/>
      <c r="CC396" s="2" t="s">
        <v>181</v>
      </c>
      <c r="CD396" s="2">
        <v>4072</v>
      </c>
      <c r="CE396" s="2" t="s">
        <v>144</v>
      </c>
      <c r="CF396" s="5">
        <v>42832</v>
      </c>
      <c r="CG396" s="2"/>
      <c r="CH396" s="2"/>
      <c r="CI396" s="2">
        <v>1</v>
      </c>
      <c r="CJ396" s="2">
        <v>1</v>
      </c>
      <c r="CK396" s="2">
        <v>21</v>
      </c>
      <c r="CL396" s="2" t="s">
        <v>86</v>
      </c>
      <c r="CM396" s="2"/>
    </row>
    <row r="397" spans="1:91">
      <c r="A397" s="2" t="s">
        <v>71</v>
      </c>
      <c r="B397" s="2" t="s">
        <v>72</v>
      </c>
      <c r="C397" s="2" t="s">
        <v>73</v>
      </c>
      <c r="D397" s="2"/>
      <c r="E397" s="2" t="str">
        <f>"FES1162543192"</f>
        <v>FES1162543192</v>
      </c>
      <c r="F397" s="3">
        <v>42837</v>
      </c>
      <c r="G397" s="2">
        <v>201710</v>
      </c>
      <c r="H397" s="2" t="s">
        <v>74</v>
      </c>
      <c r="I397" s="2" t="s">
        <v>75</v>
      </c>
      <c r="J397" s="2" t="s">
        <v>76</v>
      </c>
      <c r="K397" s="2" t="s">
        <v>77</v>
      </c>
      <c r="L397" s="2" t="s">
        <v>934</v>
      </c>
      <c r="M397" s="2" t="s">
        <v>935</v>
      </c>
      <c r="N397" s="2" t="s">
        <v>936</v>
      </c>
      <c r="O397" s="2" t="s">
        <v>115</v>
      </c>
      <c r="P397" s="2" t="str">
        <f>"2170561861                    "</f>
        <v xml:space="preserve">2170561861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4.29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1</v>
      </c>
      <c r="BJ397" s="2">
        <v>0.2</v>
      </c>
      <c r="BK397" s="2">
        <v>1</v>
      </c>
      <c r="BL397" s="2">
        <v>41.73</v>
      </c>
      <c r="BM397" s="2">
        <v>5.84</v>
      </c>
      <c r="BN397" s="2">
        <v>47.57</v>
      </c>
      <c r="BO397" s="2">
        <v>47.57</v>
      </c>
      <c r="BP397" s="2"/>
      <c r="BQ397" s="2" t="s">
        <v>937</v>
      </c>
      <c r="BR397" s="2" t="s">
        <v>84</v>
      </c>
      <c r="BS397" s="3">
        <v>42838</v>
      </c>
      <c r="BT397" s="4">
        <v>0.4993055555555555</v>
      </c>
      <c r="BU397" s="2" t="s">
        <v>938</v>
      </c>
      <c r="BV397" s="2" t="s">
        <v>86</v>
      </c>
      <c r="BW397" s="2" t="s">
        <v>96</v>
      </c>
      <c r="BX397" s="2" t="s">
        <v>939</v>
      </c>
      <c r="BY397" s="2">
        <v>1200</v>
      </c>
      <c r="BZ397" s="2" t="s">
        <v>27</v>
      </c>
      <c r="CA397" s="2"/>
      <c r="CB397" s="2"/>
      <c r="CC397" s="2" t="s">
        <v>935</v>
      </c>
      <c r="CD397" s="2">
        <v>1871</v>
      </c>
      <c r="CE397" s="2" t="s">
        <v>118</v>
      </c>
      <c r="CF397" s="5">
        <v>42844</v>
      </c>
      <c r="CG397" s="2"/>
      <c r="CH397" s="2"/>
      <c r="CI397" s="2">
        <v>1</v>
      </c>
      <c r="CJ397" s="2">
        <v>1</v>
      </c>
      <c r="CK397" s="2">
        <v>21</v>
      </c>
      <c r="CL397" s="2" t="s">
        <v>86</v>
      </c>
      <c r="CM397" s="2"/>
    </row>
    <row r="398" spans="1:91">
      <c r="A398" s="2" t="s">
        <v>71</v>
      </c>
      <c r="B398" s="2" t="s">
        <v>72</v>
      </c>
      <c r="C398" s="2" t="s">
        <v>73</v>
      </c>
      <c r="D398" s="2"/>
      <c r="E398" s="2" t="str">
        <f>"FES1162542083"</f>
        <v>FES1162542083</v>
      </c>
      <c r="F398" s="3">
        <v>42831</v>
      </c>
      <c r="G398" s="2">
        <v>201710</v>
      </c>
      <c r="H398" s="2" t="s">
        <v>74</v>
      </c>
      <c r="I398" s="2" t="s">
        <v>75</v>
      </c>
      <c r="J398" s="2" t="s">
        <v>76</v>
      </c>
      <c r="K398" s="2" t="s">
        <v>77</v>
      </c>
      <c r="L398" s="2" t="s">
        <v>516</v>
      </c>
      <c r="M398" s="2" t="s">
        <v>517</v>
      </c>
      <c r="N398" s="2" t="s">
        <v>940</v>
      </c>
      <c r="O398" s="2" t="s">
        <v>115</v>
      </c>
      <c r="P398" s="2" t="str">
        <f>"2170558478                    "</f>
        <v xml:space="preserve">2170558478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3.35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1</v>
      </c>
      <c r="BJ398" s="2">
        <v>0.2</v>
      </c>
      <c r="BK398" s="2">
        <v>1</v>
      </c>
      <c r="BL398" s="2">
        <v>32.6</v>
      </c>
      <c r="BM398" s="2">
        <v>4.5599999999999996</v>
      </c>
      <c r="BN398" s="2">
        <v>37.159999999999997</v>
      </c>
      <c r="BO398" s="2">
        <v>37.159999999999997</v>
      </c>
      <c r="BP398" s="2"/>
      <c r="BQ398" s="2"/>
      <c r="BR398" s="2" t="s">
        <v>123</v>
      </c>
      <c r="BS398" s="3">
        <v>42832</v>
      </c>
      <c r="BT398" s="4">
        <v>0.35902777777777778</v>
      </c>
      <c r="BU398" s="2" t="s">
        <v>941</v>
      </c>
      <c r="BV398" s="2" t="s">
        <v>111</v>
      </c>
      <c r="BW398" s="2"/>
      <c r="BX398" s="2"/>
      <c r="BY398" s="2">
        <v>1200</v>
      </c>
      <c r="BZ398" s="2" t="s">
        <v>27</v>
      </c>
      <c r="CA398" s="2"/>
      <c r="CB398" s="2"/>
      <c r="CC398" s="2" t="s">
        <v>517</v>
      </c>
      <c r="CD398" s="2">
        <v>1459</v>
      </c>
      <c r="CE398" s="2" t="s">
        <v>118</v>
      </c>
      <c r="CF398" s="5">
        <v>42835</v>
      </c>
      <c r="CG398" s="2"/>
      <c r="CH398" s="2"/>
      <c r="CI398" s="2">
        <v>1</v>
      </c>
      <c r="CJ398" s="2">
        <v>1</v>
      </c>
      <c r="CK398" s="2">
        <v>22</v>
      </c>
      <c r="CL398" s="2" t="s">
        <v>86</v>
      </c>
      <c r="CM398" s="2"/>
    </row>
    <row r="399" spans="1:91">
      <c r="A399" s="2" t="s">
        <v>71</v>
      </c>
      <c r="B399" s="2" t="s">
        <v>72</v>
      </c>
      <c r="C399" s="2" t="s">
        <v>73</v>
      </c>
      <c r="D399" s="2"/>
      <c r="E399" s="2" t="str">
        <f>"FES1162541377"</f>
        <v>FES1162541377</v>
      </c>
      <c r="F399" s="3">
        <v>42829</v>
      </c>
      <c r="G399" s="2">
        <v>201710</v>
      </c>
      <c r="H399" s="2" t="s">
        <v>74</v>
      </c>
      <c r="I399" s="2" t="s">
        <v>75</v>
      </c>
      <c r="J399" s="2" t="s">
        <v>76</v>
      </c>
      <c r="K399" s="2" t="s">
        <v>77</v>
      </c>
      <c r="L399" s="2" t="s">
        <v>166</v>
      </c>
      <c r="M399" s="2" t="s">
        <v>167</v>
      </c>
      <c r="N399" s="2" t="s">
        <v>168</v>
      </c>
      <c r="O399" s="2" t="s">
        <v>115</v>
      </c>
      <c r="P399" s="2" t="str">
        <f>"2170559206                    "</f>
        <v xml:space="preserve">2170559206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3.45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2</v>
      </c>
      <c r="BJ399" s="2">
        <v>0.1</v>
      </c>
      <c r="BK399" s="2">
        <v>2</v>
      </c>
      <c r="BL399" s="2">
        <v>32.700000000000003</v>
      </c>
      <c r="BM399" s="2">
        <v>4.58</v>
      </c>
      <c r="BN399" s="2">
        <v>37.28</v>
      </c>
      <c r="BO399" s="2">
        <v>37.28</v>
      </c>
      <c r="BP399" s="2"/>
      <c r="BQ399" s="2" t="s">
        <v>169</v>
      </c>
      <c r="BR399" s="2" t="s">
        <v>123</v>
      </c>
      <c r="BS399" s="3">
        <v>42830</v>
      </c>
      <c r="BT399" s="4">
        <v>0.42777777777777781</v>
      </c>
      <c r="BU399" s="2" t="s">
        <v>198</v>
      </c>
      <c r="BV399" s="2" t="s">
        <v>111</v>
      </c>
      <c r="BW399" s="2"/>
      <c r="BX399" s="2"/>
      <c r="BY399" s="2">
        <v>720</v>
      </c>
      <c r="BZ399" s="2" t="s">
        <v>27</v>
      </c>
      <c r="CA399" s="2" t="s">
        <v>171</v>
      </c>
      <c r="CB399" s="2"/>
      <c r="CC399" s="2" t="s">
        <v>167</v>
      </c>
      <c r="CD399" s="2">
        <v>2094</v>
      </c>
      <c r="CE399" s="2" t="s">
        <v>89</v>
      </c>
      <c r="CF399" s="5">
        <v>42830</v>
      </c>
      <c r="CG399" s="2"/>
      <c r="CH399" s="2"/>
      <c r="CI399" s="2">
        <v>1</v>
      </c>
      <c r="CJ399" s="2">
        <v>1</v>
      </c>
      <c r="CK399" s="2">
        <v>22</v>
      </c>
      <c r="CL399" s="2" t="s">
        <v>86</v>
      </c>
      <c r="CM399" s="2"/>
    </row>
    <row r="400" spans="1:91">
      <c r="A400" s="2" t="s">
        <v>71</v>
      </c>
      <c r="B400" s="2" t="s">
        <v>72</v>
      </c>
      <c r="C400" s="2" t="s">
        <v>73</v>
      </c>
      <c r="D400" s="2"/>
      <c r="E400" s="2" t="str">
        <f>"FES1162542868"</f>
        <v>FES1162542868</v>
      </c>
      <c r="F400" s="3">
        <v>42836</v>
      </c>
      <c r="G400" s="2">
        <v>201710</v>
      </c>
      <c r="H400" s="2" t="s">
        <v>74</v>
      </c>
      <c r="I400" s="2" t="s">
        <v>75</v>
      </c>
      <c r="J400" s="2" t="s">
        <v>76</v>
      </c>
      <c r="K400" s="2" t="s">
        <v>77</v>
      </c>
      <c r="L400" s="2" t="s">
        <v>166</v>
      </c>
      <c r="M400" s="2" t="s">
        <v>167</v>
      </c>
      <c r="N400" s="2" t="s">
        <v>942</v>
      </c>
      <c r="O400" s="2" t="s">
        <v>115</v>
      </c>
      <c r="P400" s="2" t="str">
        <f>"2170560821                    "</f>
        <v xml:space="preserve">2170560821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3.35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1</v>
      </c>
      <c r="BJ400" s="2">
        <v>0.8</v>
      </c>
      <c r="BK400" s="2">
        <v>1</v>
      </c>
      <c r="BL400" s="2">
        <v>32.6</v>
      </c>
      <c r="BM400" s="2">
        <v>4.5599999999999996</v>
      </c>
      <c r="BN400" s="2">
        <v>37.159999999999997</v>
      </c>
      <c r="BO400" s="2">
        <v>37.159999999999997</v>
      </c>
      <c r="BP400" s="2"/>
      <c r="BQ400" s="2" t="s">
        <v>943</v>
      </c>
      <c r="BR400" s="2" t="s">
        <v>123</v>
      </c>
      <c r="BS400" s="3">
        <v>42837</v>
      </c>
      <c r="BT400" s="4">
        <v>0.4152777777777778</v>
      </c>
      <c r="BU400" s="2" t="s">
        <v>944</v>
      </c>
      <c r="BV400" s="2" t="s">
        <v>111</v>
      </c>
      <c r="BW400" s="2"/>
      <c r="BX400" s="2"/>
      <c r="BY400" s="2">
        <v>3856.9</v>
      </c>
      <c r="BZ400" s="2" t="s">
        <v>27</v>
      </c>
      <c r="CA400" s="2"/>
      <c r="CB400" s="2"/>
      <c r="CC400" s="2" t="s">
        <v>167</v>
      </c>
      <c r="CD400" s="2">
        <v>2065</v>
      </c>
      <c r="CE400" s="2" t="s">
        <v>118</v>
      </c>
      <c r="CF400" s="2"/>
      <c r="CG400" s="2"/>
      <c r="CH400" s="2"/>
      <c r="CI400" s="2">
        <v>1</v>
      </c>
      <c r="CJ400" s="2">
        <v>1</v>
      </c>
      <c r="CK400" s="2">
        <v>22</v>
      </c>
      <c r="CL400" s="2" t="s">
        <v>86</v>
      </c>
      <c r="CM400" s="2"/>
    </row>
    <row r="401" spans="1:91">
      <c r="A401" s="2" t="s">
        <v>71</v>
      </c>
      <c r="B401" s="2" t="s">
        <v>72</v>
      </c>
      <c r="C401" s="2" t="s">
        <v>73</v>
      </c>
      <c r="D401" s="2"/>
      <c r="E401" s="2" t="str">
        <f>"FES1162541607"</f>
        <v>FES1162541607</v>
      </c>
      <c r="F401" s="3">
        <v>42830</v>
      </c>
      <c r="G401" s="2">
        <v>201710</v>
      </c>
      <c r="H401" s="2" t="s">
        <v>74</v>
      </c>
      <c r="I401" s="2" t="s">
        <v>75</v>
      </c>
      <c r="J401" s="2" t="s">
        <v>76</v>
      </c>
      <c r="K401" s="2" t="s">
        <v>77</v>
      </c>
      <c r="L401" s="2" t="s">
        <v>176</v>
      </c>
      <c r="M401" s="2" t="s">
        <v>176</v>
      </c>
      <c r="N401" s="2" t="s">
        <v>945</v>
      </c>
      <c r="O401" s="2" t="s">
        <v>115</v>
      </c>
      <c r="P401" s="2" t="str">
        <f>"2170557594                    "</f>
        <v xml:space="preserve">2170557594 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4.29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1</v>
      </c>
      <c r="BJ401" s="2">
        <v>0.2</v>
      </c>
      <c r="BK401" s="2">
        <v>1</v>
      </c>
      <c r="BL401" s="2">
        <v>41.73</v>
      </c>
      <c r="BM401" s="2">
        <v>5.84</v>
      </c>
      <c r="BN401" s="2">
        <v>47.57</v>
      </c>
      <c r="BO401" s="2">
        <v>47.57</v>
      </c>
      <c r="BP401" s="2"/>
      <c r="BQ401" s="2" t="s">
        <v>129</v>
      </c>
      <c r="BR401" s="2" t="s">
        <v>123</v>
      </c>
      <c r="BS401" s="3">
        <v>42831</v>
      </c>
      <c r="BT401" s="4">
        <v>0.41666666666666669</v>
      </c>
      <c r="BU401" s="2" t="s">
        <v>946</v>
      </c>
      <c r="BV401" s="2" t="s">
        <v>111</v>
      </c>
      <c r="BW401" s="2"/>
      <c r="BX401" s="2"/>
      <c r="BY401" s="2">
        <v>1200</v>
      </c>
      <c r="BZ401" s="2" t="s">
        <v>27</v>
      </c>
      <c r="CA401" s="2"/>
      <c r="CB401" s="2"/>
      <c r="CC401" s="2" t="s">
        <v>176</v>
      </c>
      <c r="CD401" s="2">
        <v>7646</v>
      </c>
      <c r="CE401" s="2" t="s">
        <v>118</v>
      </c>
      <c r="CF401" s="5">
        <v>42832</v>
      </c>
      <c r="CG401" s="2"/>
      <c r="CH401" s="2"/>
      <c r="CI401" s="2">
        <v>1</v>
      </c>
      <c r="CJ401" s="2">
        <v>1</v>
      </c>
      <c r="CK401" s="2">
        <v>21</v>
      </c>
      <c r="CL401" s="2" t="s">
        <v>86</v>
      </c>
      <c r="CM401" s="2"/>
    </row>
    <row r="402" spans="1:91">
      <c r="A402" s="2" t="s">
        <v>71</v>
      </c>
      <c r="B402" s="2" t="s">
        <v>72</v>
      </c>
      <c r="C402" s="2" t="s">
        <v>73</v>
      </c>
      <c r="D402" s="2"/>
      <c r="E402" s="2" t="str">
        <f>"FES1162541504"</f>
        <v>FES1162541504</v>
      </c>
      <c r="F402" s="3">
        <v>42830</v>
      </c>
      <c r="G402" s="2">
        <v>201710</v>
      </c>
      <c r="H402" s="2" t="s">
        <v>74</v>
      </c>
      <c r="I402" s="2" t="s">
        <v>75</v>
      </c>
      <c r="J402" s="2" t="s">
        <v>76</v>
      </c>
      <c r="K402" s="2" t="s">
        <v>77</v>
      </c>
      <c r="L402" s="2" t="s">
        <v>322</v>
      </c>
      <c r="M402" s="2" t="s">
        <v>323</v>
      </c>
      <c r="N402" s="2" t="s">
        <v>947</v>
      </c>
      <c r="O402" s="2" t="s">
        <v>115</v>
      </c>
      <c r="P402" s="2" t="str">
        <f>"2170560602                    "</f>
        <v xml:space="preserve">2170560602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3.35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1</v>
      </c>
      <c r="BJ402" s="2">
        <v>0.2</v>
      </c>
      <c r="BK402" s="2">
        <v>1</v>
      </c>
      <c r="BL402" s="2">
        <v>32.6</v>
      </c>
      <c r="BM402" s="2">
        <v>4.5599999999999996</v>
      </c>
      <c r="BN402" s="2">
        <v>37.159999999999997</v>
      </c>
      <c r="BO402" s="2">
        <v>37.159999999999997</v>
      </c>
      <c r="BP402" s="2"/>
      <c r="BQ402" s="2" t="s">
        <v>948</v>
      </c>
      <c r="BR402" s="2" t="s">
        <v>123</v>
      </c>
      <c r="BS402" s="3">
        <v>42831</v>
      </c>
      <c r="BT402" s="4">
        <v>0.3125</v>
      </c>
      <c r="BU402" s="2" t="s">
        <v>949</v>
      </c>
      <c r="BV402" s="2" t="s">
        <v>111</v>
      </c>
      <c r="BW402" s="2"/>
      <c r="BX402" s="2"/>
      <c r="BY402" s="2">
        <v>1200</v>
      </c>
      <c r="BZ402" s="2" t="s">
        <v>27</v>
      </c>
      <c r="CA402" s="2" t="s">
        <v>159</v>
      </c>
      <c r="CB402" s="2"/>
      <c r="CC402" s="2" t="s">
        <v>323</v>
      </c>
      <c r="CD402" s="2">
        <v>1682</v>
      </c>
      <c r="CE402" s="2" t="s">
        <v>118</v>
      </c>
      <c r="CF402" s="5">
        <v>42832</v>
      </c>
      <c r="CG402" s="2"/>
      <c r="CH402" s="2"/>
      <c r="CI402" s="2">
        <v>1</v>
      </c>
      <c r="CJ402" s="2">
        <v>1</v>
      </c>
      <c r="CK402" s="2">
        <v>22</v>
      </c>
      <c r="CL402" s="2" t="s">
        <v>86</v>
      </c>
      <c r="CM402" s="2"/>
    </row>
    <row r="403" spans="1:91">
      <c r="A403" s="2" t="s">
        <v>71</v>
      </c>
      <c r="B403" s="2" t="s">
        <v>72</v>
      </c>
      <c r="C403" s="2" t="s">
        <v>73</v>
      </c>
      <c r="D403" s="2"/>
      <c r="E403" s="2" t="str">
        <f>"FES1162543332"</f>
        <v>FES1162543332</v>
      </c>
      <c r="F403" s="3">
        <v>42837</v>
      </c>
      <c r="G403" s="2">
        <v>201710</v>
      </c>
      <c r="H403" s="2" t="s">
        <v>74</v>
      </c>
      <c r="I403" s="2" t="s">
        <v>75</v>
      </c>
      <c r="J403" s="2" t="s">
        <v>76</v>
      </c>
      <c r="K403" s="2" t="s">
        <v>77</v>
      </c>
      <c r="L403" s="2" t="s">
        <v>260</v>
      </c>
      <c r="M403" s="2" t="s">
        <v>261</v>
      </c>
      <c r="N403" s="2" t="s">
        <v>326</v>
      </c>
      <c r="O403" s="2" t="s">
        <v>115</v>
      </c>
      <c r="P403" s="2" t="str">
        <f>"2170562007                    "</f>
        <v xml:space="preserve">2170562007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3.35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1</v>
      </c>
      <c r="BJ403" s="2">
        <v>0.2</v>
      </c>
      <c r="BK403" s="2">
        <v>1</v>
      </c>
      <c r="BL403" s="2">
        <v>32.6</v>
      </c>
      <c r="BM403" s="2">
        <v>4.5599999999999996</v>
      </c>
      <c r="BN403" s="2">
        <v>37.159999999999997</v>
      </c>
      <c r="BO403" s="2">
        <v>37.159999999999997</v>
      </c>
      <c r="BP403" s="2"/>
      <c r="BQ403" s="2"/>
      <c r="BR403" s="2" t="s">
        <v>84</v>
      </c>
      <c r="BS403" s="3">
        <v>42838</v>
      </c>
      <c r="BT403" s="4">
        <v>0.4375</v>
      </c>
      <c r="BU403" s="2" t="s">
        <v>950</v>
      </c>
      <c r="BV403" s="2" t="s">
        <v>111</v>
      </c>
      <c r="BW403" s="2"/>
      <c r="BX403" s="2"/>
      <c r="BY403" s="2">
        <v>1200</v>
      </c>
      <c r="BZ403" s="2" t="s">
        <v>27</v>
      </c>
      <c r="CA403" s="2"/>
      <c r="CB403" s="2"/>
      <c r="CC403" s="2" t="s">
        <v>261</v>
      </c>
      <c r="CD403" s="2">
        <v>1451</v>
      </c>
      <c r="CE403" s="2" t="s">
        <v>118</v>
      </c>
      <c r="CF403" s="5">
        <v>42843</v>
      </c>
      <c r="CG403" s="2"/>
      <c r="CH403" s="2"/>
      <c r="CI403" s="2">
        <v>1</v>
      </c>
      <c r="CJ403" s="2">
        <v>1</v>
      </c>
      <c r="CK403" s="2">
        <v>22</v>
      </c>
      <c r="CL403" s="2" t="s">
        <v>86</v>
      </c>
      <c r="CM403" s="2"/>
    </row>
    <row r="404" spans="1:91">
      <c r="A404" s="2" t="s">
        <v>71</v>
      </c>
      <c r="B404" s="2" t="s">
        <v>72</v>
      </c>
      <c r="C404" s="2" t="s">
        <v>73</v>
      </c>
      <c r="D404" s="2"/>
      <c r="E404" s="2" t="str">
        <f>"FES1162541870"</f>
        <v>FES1162541870</v>
      </c>
      <c r="F404" s="3">
        <v>42831</v>
      </c>
      <c r="G404" s="2">
        <v>201710</v>
      </c>
      <c r="H404" s="2" t="s">
        <v>74</v>
      </c>
      <c r="I404" s="2" t="s">
        <v>75</v>
      </c>
      <c r="J404" s="2" t="s">
        <v>76</v>
      </c>
      <c r="K404" s="2" t="s">
        <v>77</v>
      </c>
      <c r="L404" s="2" t="s">
        <v>99</v>
      </c>
      <c r="M404" s="2" t="s">
        <v>100</v>
      </c>
      <c r="N404" s="2" t="s">
        <v>108</v>
      </c>
      <c r="O404" s="2" t="s">
        <v>115</v>
      </c>
      <c r="P404" s="2" t="str">
        <f>"2170557070                    "</f>
        <v xml:space="preserve">2170557070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5.36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1.4</v>
      </c>
      <c r="BJ404" s="2">
        <v>2.2000000000000002</v>
      </c>
      <c r="BK404" s="2">
        <v>2.5</v>
      </c>
      <c r="BL404" s="2">
        <v>52.16</v>
      </c>
      <c r="BM404" s="2">
        <v>7.3</v>
      </c>
      <c r="BN404" s="2">
        <v>59.46</v>
      </c>
      <c r="BO404" s="2">
        <v>59.46</v>
      </c>
      <c r="BP404" s="2"/>
      <c r="BQ404" s="2" t="s">
        <v>109</v>
      </c>
      <c r="BR404" s="2" t="s">
        <v>123</v>
      </c>
      <c r="BS404" s="3">
        <v>42832</v>
      </c>
      <c r="BT404" s="4">
        <v>0.39583333333333331</v>
      </c>
      <c r="BU404" s="2" t="s">
        <v>110</v>
      </c>
      <c r="BV404" s="2" t="s">
        <v>111</v>
      </c>
      <c r="BW404" s="2"/>
      <c r="BX404" s="2"/>
      <c r="BY404" s="2">
        <v>11074.54</v>
      </c>
      <c r="BZ404" s="2" t="s">
        <v>27</v>
      </c>
      <c r="CA404" s="2" t="s">
        <v>106</v>
      </c>
      <c r="CB404" s="2"/>
      <c r="CC404" s="2" t="s">
        <v>100</v>
      </c>
      <c r="CD404" s="2">
        <v>6001</v>
      </c>
      <c r="CE404" s="2" t="s">
        <v>144</v>
      </c>
      <c r="CF404" s="5">
        <v>42832</v>
      </c>
      <c r="CG404" s="2"/>
      <c r="CH404" s="2"/>
      <c r="CI404" s="2">
        <v>1</v>
      </c>
      <c r="CJ404" s="2">
        <v>1</v>
      </c>
      <c r="CK404" s="2">
        <v>21</v>
      </c>
      <c r="CL404" s="2" t="s">
        <v>86</v>
      </c>
      <c r="CM404" s="2"/>
    </row>
    <row r="405" spans="1:91">
      <c r="A405" s="2" t="s">
        <v>71</v>
      </c>
      <c r="B405" s="2" t="s">
        <v>72</v>
      </c>
      <c r="C405" s="2" t="s">
        <v>73</v>
      </c>
      <c r="D405" s="2"/>
      <c r="E405" s="2" t="str">
        <f>"FES1162541383"</f>
        <v>FES1162541383</v>
      </c>
      <c r="F405" s="3">
        <v>42829</v>
      </c>
      <c r="G405" s="2">
        <v>201710</v>
      </c>
      <c r="H405" s="2" t="s">
        <v>74</v>
      </c>
      <c r="I405" s="2" t="s">
        <v>75</v>
      </c>
      <c r="J405" s="2" t="s">
        <v>76</v>
      </c>
      <c r="K405" s="2" t="s">
        <v>77</v>
      </c>
      <c r="L405" s="2" t="s">
        <v>99</v>
      </c>
      <c r="M405" s="2" t="s">
        <v>100</v>
      </c>
      <c r="N405" s="2" t="s">
        <v>671</v>
      </c>
      <c r="O405" s="2" t="s">
        <v>115</v>
      </c>
      <c r="P405" s="2" t="str">
        <f>"2170560181                    "</f>
        <v xml:space="preserve">2170560181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7.74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2</v>
      </c>
      <c r="BJ405" s="2">
        <v>3.5</v>
      </c>
      <c r="BK405" s="2">
        <v>3.5</v>
      </c>
      <c r="BL405" s="2">
        <v>73.260000000000005</v>
      </c>
      <c r="BM405" s="2">
        <v>10.26</v>
      </c>
      <c r="BN405" s="2">
        <v>83.52</v>
      </c>
      <c r="BO405" s="2">
        <v>83.52</v>
      </c>
      <c r="BP405" s="2"/>
      <c r="BQ405" s="2" t="s">
        <v>672</v>
      </c>
      <c r="BR405" s="2" t="s">
        <v>123</v>
      </c>
      <c r="BS405" s="3">
        <v>42830</v>
      </c>
      <c r="BT405" s="4">
        <v>0.375</v>
      </c>
      <c r="BU405" s="2" t="s">
        <v>672</v>
      </c>
      <c r="BV405" s="2" t="s">
        <v>111</v>
      </c>
      <c r="BW405" s="2"/>
      <c r="BX405" s="2"/>
      <c r="BY405" s="2">
        <v>17309.599999999999</v>
      </c>
      <c r="BZ405" s="2" t="s">
        <v>27</v>
      </c>
      <c r="CA405" s="2" t="s">
        <v>106</v>
      </c>
      <c r="CB405" s="2"/>
      <c r="CC405" s="2" t="s">
        <v>100</v>
      </c>
      <c r="CD405" s="2">
        <v>6001</v>
      </c>
      <c r="CE405" s="2" t="s">
        <v>89</v>
      </c>
      <c r="CF405" s="5">
        <v>42830</v>
      </c>
      <c r="CG405" s="2"/>
      <c r="CH405" s="2"/>
      <c r="CI405" s="2">
        <v>1</v>
      </c>
      <c r="CJ405" s="2">
        <v>1</v>
      </c>
      <c r="CK405" s="2">
        <v>21</v>
      </c>
      <c r="CL405" s="2" t="s">
        <v>86</v>
      </c>
      <c r="CM405" s="2"/>
    </row>
    <row r="406" spans="1:91">
      <c r="A406" s="2" t="s">
        <v>71</v>
      </c>
      <c r="B406" s="2" t="s">
        <v>72</v>
      </c>
      <c r="C406" s="2" t="s">
        <v>73</v>
      </c>
      <c r="D406" s="2"/>
      <c r="E406" s="2" t="str">
        <f>"FES1162542893"</f>
        <v>FES1162542893</v>
      </c>
      <c r="F406" s="3">
        <v>42836</v>
      </c>
      <c r="G406" s="2">
        <v>201710</v>
      </c>
      <c r="H406" s="2" t="s">
        <v>74</v>
      </c>
      <c r="I406" s="2" t="s">
        <v>75</v>
      </c>
      <c r="J406" s="2" t="s">
        <v>76</v>
      </c>
      <c r="K406" s="2" t="s">
        <v>77</v>
      </c>
      <c r="L406" s="2" t="s">
        <v>401</v>
      </c>
      <c r="M406" s="2" t="s">
        <v>402</v>
      </c>
      <c r="N406" s="2" t="s">
        <v>951</v>
      </c>
      <c r="O406" s="2" t="s">
        <v>115</v>
      </c>
      <c r="P406" s="2" t="str">
        <f>"2170558651                    "</f>
        <v xml:space="preserve">2170558651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4.29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1</v>
      </c>
      <c r="BJ406" s="2">
        <v>0.2</v>
      </c>
      <c r="BK406" s="2">
        <v>1</v>
      </c>
      <c r="BL406" s="2">
        <v>41.73</v>
      </c>
      <c r="BM406" s="2">
        <v>5.84</v>
      </c>
      <c r="BN406" s="2">
        <v>47.57</v>
      </c>
      <c r="BO406" s="2">
        <v>47.57</v>
      </c>
      <c r="BP406" s="2"/>
      <c r="BQ406" s="2" t="s">
        <v>952</v>
      </c>
      <c r="BR406" s="2" t="s">
        <v>123</v>
      </c>
      <c r="BS406" s="3">
        <v>42837</v>
      </c>
      <c r="BT406" s="4">
        <v>0.4375</v>
      </c>
      <c r="BU406" s="2" t="s">
        <v>245</v>
      </c>
      <c r="BV406" s="2" t="s">
        <v>111</v>
      </c>
      <c r="BW406" s="2"/>
      <c r="BX406" s="2"/>
      <c r="BY406" s="2">
        <v>1200</v>
      </c>
      <c r="BZ406" s="2" t="s">
        <v>27</v>
      </c>
      <c r="CA406" s="2"/>
      <c r="CB406" s="2"/>
      <c r="CC406" s="2" t="s">
        <v>402</v>
      </c>
      <c r="CD406" s="2">
        <v>4113</v>
      </c>
      <c r="CE406" s="2" t="s">
        <v>144</v>
      </c>
      <c r="CF406" s="5">
        <v>42843</v>
      </c>
      <c r="CG406" s="2"/>
      <c r="CH406" s="2"/>
      <c r="CI406" s="2">
        <v>1</v>
      </c>
      <c r="CJ406" s="2">
        <v>1</v>
      </c>
      <c r="CK406" s="2">
        <v>21</v>
      </c>
      <c r="CL406" s="2" t="s">
        <v>86</v>
      </c>
      <c r="CM406" s="2"/>
    </row>
    <row r="407" spans="1:91">
      <c r="A407" s="2" t="s">
        <v>71</v>
      </c>
      <c r="B407" s="2" t="s">
        <v>72</v>
      </c>
      <c r="C407" s="2" t="s">
        <v>73</v>
      </c>
      <c r="D407" s="2"/>
      <c r="E407" s="2" t="str">
        <f>"FES1162541620"</f>
        <v>FES1162541620</v>
      </c>
      <c r="F407" s="3">
        <v>42830</v>
      </c>
      <c r="G407" s="2">
        <v>201710</v>
      </c>
      <c r="H407" s="2" t="s">
        <v>74</v>
      </c>
      <c r="I407" s="2" t="s">
        <v>75</v>
      </c>
      <c r="J407" s="2" t="s">
        <v>76</v>
      </c>
      <c r="K407" s="2" t="s">
        <v>77</v>
      </c>
      <c r="L407" s="2" t="s">
        <v>74</v>
      </c>
      <c r="M407" s="2" t="s">
        <v>75</v>
      </c>
      <c r="N407" s="2" t="s">
        <v>953</v>
      </c>
      <c r="O407" s="2" t="s">
        <v>115</v>
      </c>
      <c r="P407" s="2" t="str">
        <f>"2170557954                    "</f>
        <v xml:space="preserve">2170557954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3.35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1</v>
      </c>
      <c r="BJ407" s="2">
        <v>0.2</v>
      </c>
      <c r="BK407" s="2">
        <v>1</v>
      </c>
      <c r="BL407" s="2">
        <v>32.6</v>
      </c>
      <c r="BM407" s="2">
        <v>4.5599999999999996</v>
      </c>
      <c r="BN407" s="2">
        <v>37.159999999999997</v>
      </c>
      <c r="BO407" s="2">
        <v>37.159999999999997</v>
      </c>
      <c r="BP407" s="2"/>
      <c r="BQ407" s="2" t="s">
        <v>954</v>
      </c>
      <c r="BR407" s="2" t="s">
        <v>123</v>
      </c>
      <c r="BS407" s="3">
        <v>42831</v>
      </c>
      <c r="BT407" s="4">
        <v>0.41666666666666669</v>
      </c>
      <c r="BU407" s="2" t="s">
        <v>955</v>
      </c>
      <c r="BV407" s="2" t="s">
        <v>111</v>
      </c>
      <c r="BW407" s="2"/>
      <c r="BX407" s="2"/>
      <c r="BY407" s="2">
        <v>1200</v>
      </c>
      <c r="BZ407" s="2" t="s">
        <v>27</v>
      </c>
      <c r="CA407" s="2"/>
      <c r="CB407" s="2"/>
      <c r="CC407" s="2" t="s">
        <v>75</v>
      </c>
      <c r="CD407" s="2">
        <v>1600</v>
      </c>
      <c r="CE407" s="2" t="s">
        <v>118</v>
      </c>
      <c r="CF407" s="5">
        <v>42831</v>
      </c>
      <c r="CG407" s="2"/>
      <c r="CH407" s="2"/>
      <c r="CI407" s="2">
        <v>1</v>
      </c>
      <c r="CJ407" s="2">
        <v>1</v>
      </c>
      <c r="CK407" s="2">
        <v>22</v>
      </c>
      <c r="CL407" s="2" t="s">
        <v>86</v>
      </c>
      <c r="CM407" s="2"/>
    </row>
    <row r="408" spans="1:91">
      <c r="A408" s="2" t="s">
        <v>71</v>
      </c>
      <c r="B408" s="2" t="s">
        <v>72</v>
      </c>
      <c r="C408" s="2" t="s">
        <v>73</v>
      </c>
      <c r="D408" s="2"/>
      <c r="E408" s="2" t="str">
        <f>"FES1162541673"</f>
        <v>FES1162541673</v>
      </c>
      <c r="F408" s="3">
        <v>42830</v>
      </c>
      <c r="G408" s="2">
        <v>201710</v>
      </c>
      <c r="H408" s="2" t="s">
        <v>74</v>
      </c>
      <c r="I408" s="2" t="s">
        <v>75</v>
      </c>
      <c r="J408" s="2" t="s">
        <v>76</v>
      </c>
      <c r="K408" s="2" t="s">
        <v>77</v>
      </c>
      <c r="L408" s="2" t="s">
        <v>99</v>
      </c>
      <c r="M408" s="2" t="s">
        <v>100</v>
      </c>
      <c r="N408" s="2" t="s">
        <v>384</v>
      </c>
      <c r="O408" s="2" t="s">
        <v>115</v>
      </c>
      <c r="P408" s="2" t="str">
        <f>"2170559395                    "</f>
        <v xml:space="preserve">2170559395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4.29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1</v>
      </c>
      <c r="BJ408" s="2">
        <v>0.2</v>
      </c>
      <c r="BK408" s="2">
        <v>1</v>
      </c>
      <c r="BL408" s="2">
        <v>41.73</v>
      </c>
      <c r="BM408" s="2">
        <v>5.84</v>
      </c>
      <c r="BN408" s="2">
        <v>47.57</v>
      </c>
      <c r="BO408" s="2">
        <v>47.57</v>
      </c>
      <c r="BP408" s="2"/>
      <c r="BQ408" s="2" t="s">
        <v>129</v>
      </c>
      <c r="BR408" s="2" t="s">
        <v>123</v>
      </c>
      <c r="BS408" s="3">
        <v>42831</v>
      </c>
      <c r="BT408" s="4">
        <v>0.2986111111111111</v>
      </c>
      <c r="BU408" s="2" t="s">
        <v>130</v>
      </c>
      <c r="BV408" s="2" t="s">
        <v>111</v>
      </c>
      <c r="BW408" s="2"/>
      <c r="BX408" s="2"/>
      <c r="BY408" s="2">
        <v>1200</v>
      </c>
      <c r="BZ408" s="2" t="s">
        <v>27</v>
      </c>
      <c r="CA408" s="2"/>
      <c r="CB408" s="2"/>
      <c r="CC408" s="2" t="s">
        <v>100</v>
      </c>
      <c r="CD408" s="2">
        <v>6020</v>
      </c>
      <c r="CE408" s="2" t="s">
        <v>144</v>
      </c>
      <c r="CF408" s="5">
        <v>42832</v>
      </c>
      <c r="CG408" s="2"/>
      <c r="CH408" s="2"/>
      <c r="CI408" s="2">
        <v>1</v>
      </c>
      <c r="CJ408" s="2">
        <v>1</v>
      </c>
      <c r="CK408" s="2">
        <v>21</v>
      </c>
      <c r="CL408" s="2" t="s">
        <v>86</v>
      </c>
      <c r="CM408" s="2"/>
    </row>
    <row r="409" spans="1:91">
      <c r="A409" s="2" t="s">
        <v>71</v>
      </c>
      <c r="B409" s="2" t="s">
        <v>72</v>
      </c>
      <c r="C409" s="2" t="s">
        <v>73</v>
      </c>
      <c r="D409" s="2"/>
      <c r="E409" s="2" t="str">
        <f>"FES1162543160"</f>
        <v>FES1162543160</v>
      </c>
      <c r="F409" s="3">
        <v>42837</v>
      </c>
      <c r="G409" s="2">
        <v>201710</v>
      </c>
      <c r="H409" s="2" t="s">
        <v>74</v>
      </c>
      <c r="I409" s="2" t="s">
        <v>75</v>
      </c>
      <c r="J409" s="2" t="s">
        <v>76</v>
      </c>
      <c r="K409" s="2" t="s">
        <v>77</v>
      </c>
      <c r="L409" s="2" t="s">
        <v>160</v>
      </c>
      <c r="M409" s="2" t="s">
        <v>161</v>
      </c>
      <c r="N409" s="2" t="s">
        <v>623</v>
      </c>
      <c r="O409" s="2" t="s">
        <v>115</v>
      </c>
      <c r="P409" s="2" t="str">
        <f>"2170559883                    "</f>
        <v xml:space="preserve">2170559883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4.29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1</v>
      </c>
      <c r="BJ409" s="2">
        <v>0.2</v>
      </c>
      <c r="BK409" s="2">
        <v>1</v>
      </c>
      <c r="BL409" s="2">
        <v>41.73</v>
      </c>
      <c r="BM409" s="2">
        <v>5.84</v>
      </c>
      <c r="BN409" s="2">
        <v>47.57</v>
      </c>
      <c r="BO409" s="2">
        <v>47.57</v>
      </c>
      <c r="BP409" s="2"/>
      <c r="BQ409" s="2" t="s">
        <v>116</v>
      </c>
      <c r="BR409" s="2" t="s">
        <v>84</v>
      </c>
      <c r="BS409" s="3">
        <v>42838</v>
      </c>
      <c r="BT409" s="4">
        <v>0.41666666666666669</v>
      </c>
      <c r="BU409" s="2" t="s">
        <v>624</v>
      </c>
      <c r="BV409" s="2" t="s">
        <v>111</v>
      </c>
      <c r="BW409" s="2"/>
      <c r="BX409" s="2"/>
      <c r="BY409" s="2">
        <v>1200</v>
      </c>
      <c r="BZ409" s="2" t="s">
        <v>27</v>
      </c>
      <c r="CA409" s="2"/>
      <c r="CB409" s="2"/>
      <c r="CC409" s="2" t="s">
        <v>161</v>
      </c>
      <c r="CD409" s="2">
        <v>5201</v>
      </c>
      <c r="CE409" s="2" t="s">
        <v>118</v>
      </c>
      <c r="CF409" s="5">
        <v>42843</v>
      </c>
      <c r="CG409" s="2"/>
      <c r="CH409" s="2"/>
      <c r="CI409" s="2">
        <v>1</v>
      </c>
      <c r="CJ409" s="2">
        <v>1</v>
      </c>
      <c r="CK409" s="2">
        <v>21</v>
      </c>
      <c r="CL409" s="2" t="s">
        <v>86</v>
      </c>
      <c r="CM409" s="2"/>
    </row>
    <row r="410" spans="1:91">
      <c r="A410" s="2" t="s">
        <v>71</v>
      </c>
      <c r="B410" s="2" t="s">
        <v>72</v>
      </c>
      <c r="C410" s="2" t="s">
        <v>73</v>
      </c>
      <c r="D410" s="2"/>
      <c r="E410" s="2" t="str">
        <f>"FES1162542123"</f>
        <v>FES1162542123</v>
      </c>
      <c r="F410" s="3">
        <v>42831</v>
      </c>
      <c r="G410" s="2">
        <v>201710</v>
      </c>
      <c r="H410" s="2" t="s">
        <v>74</v>
      </c>
      <c r="I410" s="2" t="s">
        <v>75</v>
      </c>
      <c r="J410" s="2" t="s">
        <v>76</v>
      </c>
      <c r="K410" s="2" t="s">
        <v>77</v>
      </c>
      <c r="L410" s="2" t="s">
        <v>160</v>
      </c>
      <c r="M410" s="2" t="s">
        <v>161</v>
      </c>
      <c r="N410" s="2" t="s">
        <v>463</v>
      </c>
      <c r="O410" s="2" t="s">
        <v>115</v>
      </c>
      <c r="P410" s="2" t="str">
        <f>"2170560983                    "</f>
        <v xml:space="preserve">2170560983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4.29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1</v>
      </c>
      <c r="BI410" s="2">
        <v>1</v>
      </c>
      <c r="BJ410" s="2">
        <v>0.2</v>
      </c>
      <c r="BK410" s="2">
        <v>1</v>
      </c>
      <c r="BL410" s="2">
        <v>41.73</v>
      </c>
      <c r="BM410" s="2">
        <v>5.84</v>
      </c>
      <c r="BN410" s="2">
        <v>47.57</v>
      </c>
      <c r="BO410" s="2">
        <v>47.57</v>
      </c>
      <c r="BP410" s="2"/>
      <c r="BQ410" s="2" t="s">
        <v>129</v>
      </c>
      <c r="BR410" s="2" t="s">
        <v>123</v>
      </c>
      <c r="BS410" s="3">
        <v>42832</v>
      </c>
      <c r="BT410" s="4">
        <v>0.41666666666666669</v>
      </c>
      <c r="BU410" s="2" t="s">
        <v>803</v>
      </c>
      <c r="BV410" s="2" t="s">
        <v>111</v>
      </c>
      <c r="BW410" s="2"/>
      <c r="BX410" s="2"/>
      <c r="BY410" s="2">
        <v>1200</v>
      </c>
      <c r="BZ410" s="2" t="s">
        <v>27</v>
      </c>
      <c r="CA410" s="2"/>
      <c r="CB410" s="2"/>
      <c r="CC410" s="2" t="s">
        <v>161</v>
      </c>
      <c r="CD410" s="2">
        <v>5201</v>
      </c>
      <c r="CE410" s="2" t="s">
        <v>144</v>
      </c>
      <c r="CF410" s="5">
        <v>42835</v>
      </c>
      <c r="CG410" s="2"/>
      <c r="CH410" s="2"/>
      <c r="CI410" s="2">
        <v>1</v>
      </c>
      <c r="CJ410" s="2">
        <v>1</v>
      </c>
      <c r="CK410" s="2">
        <v>21</v>
      </c>
      <c r="CL410" s="2" t="s">
        <v>86</v>
      </c>
      <c r="CM410" s="2"/>
    </row>
    <row r="411" spans="1:91">
      <c r="A411" s="2" t="s">
        <v>71</v>
      </c>
      <c r="B411" s="2" t="s">
        <v>72</v>
      </c>
      <c r="C411" s="2" t="s">
        <v>73</v>
      </c>
      <c r="D411" s="2"/>
      <c r="E411" s="2" t="str">
        <f>"FES1162541375"</f>
        <v>FES1162541375</v>
      </c>
      <c r="F411" s="3">
        <v>42829</v>
      </c>
      <c r="G411" s="2">
        <v>201710</v>
      </c>
      <c r="H411" s="2" t="s">
        <v>74</v>
      </c>
      <c r="I411" s="2" t="s">
        <v>75</v>
      </c>
      <c r="J411" s="2" t="s">
        <v>76</v>
      </c>
      <c r="K411" s="2" t="s">
        <v>77</v>
      </c>
      <c r="L411" s="2" t="s">
        <v>131</v>
      </c>
      <c r="M411" s="2" t="s">
        <v>132</v>
      </c>
      <c r="N411" s="2" t="s">
        <v>956</v>
      </c>
      <c r="O411" s="2" t="s">
        <v>115</v>
      </c>
      <c r="P411" s="2" t="str">
        <f>"2170558788                    "</f>
        <v xml:space="preserve">2170558788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4.42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1.7</v>
      </c>
      <c r="BJ411" s="2">
        <v>0.6</v>
      </c>
      <c r="BK411" s="2">
        <v>2</v>
      </c>
      <c r="BL411" s="2">
        <v>41.86</v>
      </c>
      <c r="BM411" s="2">
        <v>5.86</v>
      </c>
      <c r="BN411" s="2">
        <v>47.72</v>
      </c>
      <c r="BO411" s="2">
        <v>47.72</v>
      </c>
      <c r="BP411" s="2"/>
      <c r="BQ411" s="2" t="s">
        <v>957</v>
      </c>
      <c r="BR411" s="2" t="s">
        <v>123</v>
      </c>
      <c r="BS411" s="3">
        <v>42830</v>
      </c>
      <c r="BT411" s="4">
        <v>0.35069444444444442</v>
      </c>
      <c r="BU411" s="2" t="s">
        <v>958</v>
      </c>
      <c r="BV411" s="2" t="s">
        <v>111</v>
      </c>
      <c r="BW411" s="2"/>
      <c r="BX411" s="2"/>
      <c r="BY411" s="2">
        <v>3079.34</v>
      </c>
      <c r="BZ411" s="2" t="s">
        <v>27</v>
      </c>
      <c r="CA411" s="2"/>
      <c r="CB411" s="2"/>
      <c r="CC411" s="2" t="s">
        <v>132</v>
      </c>
      <c r="CD411" s="2">
        <v>7500</v>
      </c>
      <c r="CE411" s="2" t="s">
        <v>172</v>
      </c>
      <c r="CF411" s="5">
        <v>42831</v>
      </c>
      <c r="CG411" s="2"/>
      <c r="CH411" s="2"/>
      <c r="CI411" s="2">
        <v>1</v>
      </c>
      <c r="CJ411" s="2">
        <v>1</v>
      </c>
      <c r="CK411" s="2">
        <v>21</v>
      </c>
      <c r="CL411" s="2" t="s">
        <v>86</v>
      </c>
      <c r="CM411" s="2"/>
    </row>
    <row r="412" spans="1:91">
      <c r="A412" s="2" t="s">
        <v>71</v>
      </c>
      <c r="B412" s="2" t="s">
        <v>72</v>
      </c>
      <c r="C412" s="2" t="s">
        <v>73</v>
      </c>
      <c r="D412" s="2"/>
      <c r="E412" s="2" t="str">
        <f>"FES1162542847"</f>
        <v>FES1162542847</v>
      </c>
      <c r="F412" s="3">
        <v>42836</v>
      </c>
      <c r="G412" s="2">
        <v>201710</v>
      </c>
      <c r="H412" s="2" t="s">
        <v>74</v>
      </c>
      <c r="I412" s="2" t="s">
        <v>75</v>
      </c>
      <c r="J412" s="2" t="s">
        <v>76</v>
      </c>
      <c r="K412" s="2" t="s">
        <v>77</v>
      </c>
      <c r="L412" s="2" t="s">
        <v>74</v>
      </c>
      <c r="M412" s="2" t="s">
        <v>75</v>
      </c>
      <c r="N412" s="2" t="s">
        <v>959</v>
      </c>
      <c r="O412" s="2" t="s">
        <v>115</v>
      </c>
      <c r="P412" s="2" t="str">
        <f>"2170528557                    "</f>
        <v xml:space="preserve">2170528557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3.35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1</v>
      </c>
      <c r="BJ412" s="2">
        <v>0.2</v>
      </c>
      <c r="BK412" s="2">
        <v>1</v>
      </c>
      <c r="BL412" s="2">
        <v>32.6</v>
      </c>
      <c r="BM412" s="2">
        <v>4.5599999999999996</v>
      </c>
      <c r="BN412" s="2">
        <v>37.159999999999997</v>
      </c>
      <c r="BO412" s="2">
        <v>37.159999999999997</v>
      </c>
      <c r="BP412" s="2"/>
      <c r="BQ412" s="2"/>
      <c r="BR412" s="2" t="s">
        <v>123</v>
      </c>
      <c r="BS412" s="3">
        <v>42837</v>
      </c>
      <c r="BT412" s="4">
        <v>0.31944444444444448</v>
      </c>
      <c r="BU412" s="2" t="s">
        <v>960</v>
      </c>
      <c r="BV412" s="2" t="s">
        <v>111</v>
      </c>
      <c r="BW412" s="2"/>
      <c r="BX412" s="2"/>
      <c r="BY412" s="2">
        <v>1200</v>
      </c>
      <c r="BZ412" s="2" t="s">
        <v>27</v>
      </c>
      <c r="CA412" s="2" t="s">
        <v>159</v>
      </c>
      <c r="CB412" s="2"/>
      <c r="CC412" s="2" t="s">
        <v>75</v>
      </c>
      <c r="CD412" s="2">
        <v>1619</v>
      </c>
      <c r="CE412" s="2" t="s">
        <v>118</v>
      </c>
      <c r="CF412" s="5">
        <v>42838</v>
      </c>
      <c r="CG412" s="2"/>
      <c r="CH412" s="2"/>
      <c r="CI412" s="2">
        <v>1</v>
      </c>
      <c r="CJ412" s="2">
        <v>1</v>
      </c>
      <c r="CK412" s="2">
        <v>22</v>
      </c>
      <c r="CL412" s="2" t="s">
        <v>86</v>
      </c>
      <c r="CM412" s="2"/>
    </row>
    <row r="413" spans="1:91">
      <c r="A413" s="2" t="s">
        <v>71</v>
      </c>
      <c r="B413" s="2" t="s">
        <v>72</v>
      </c>
      <c r="C413" s="2" t="s">
        <v>73</v>
      </c>
      <c r="D413" s="2"/>
      <c r="E413" s="2" t="str">
        <f>"FES1162541612"</f>
        <v>FES1162541612</v>
      </c>
      <c r="F413" s="3">
        <v>42830</v>
      </c>
      <c r="G413" s="2">
        <v>201710</v>
      </c>
      <c r="H413" s="2" t="s">
        <v>74</v>
      </c>
      <c r="I413" s="2" t="s">
        <v>75</v>
      </c>
      <c r="J413" s="2" t="s">
        <v>76</v>
      </c>
      <c r="K413" s="2" t="s">
        <v>77</v>
      </c>
      <c r="L413" s="2" t="s">
        <v>166</v>
      </c>
      <c r="M413" s="2" t="s">
        <v>167</v>
      </c>
      <c r="N413" s="2" t="s">
        <v>168</v>
      </c>
      <c r="O413" s="2" t="s">
        <v>115</v>
      </c>
      <c r="P413" s="2" t="str">
        <f>"2170557851                    "</f>
        <v xml:space="preserve">2170557851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3.35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</v>
      </c>
      <c r="BJ413" s="2">
        <v>0.2</v>
      </c>
      <c r="BK413" s="2">
        <v>1</v>
      </c>
      <c r="BL413" s="2">
        <v>32.6</v>
      </c>
      <c r="BM413" s="2">
        <v>4.5599999999999996</v>
      </c>
      <c r="BN413" s="2">
        <v>37.159999999999997</v>
      </c>
      <c r="BO413" s="2">
        <v>37.159999999999997</v>
      </c>
      <c r="BP413" s="2"/>
      <c r="BQ413" s="2" t="s">
        <v>169</v>
      </c>
      <c r="BR413" s="2" t="s">
        <v>123</v>
      </c>
      <c r="BS413" s="3">
        <v>42831</v>
      </c>
      <c r="BT413" s="4">
        <v>0.38194444444444442</v>
      </c>
      <c r="BU413" s="2" t="s">
        <v>170</v>
      </c>
      <c r="BV413" s="2" t="s">
        <v>111</v>
      </c>
      <c r="BW413" s="2"/>
      <c r="BX413" s="2"/>
      <c r="BY413" s="2">
        <v>1200</v>
      </c>
      <c r="BZ413" s="2" t="s">
        <v>27</v>
      </c>
      <c r="CA413" s="2"/>
      <c r="CB413" s="2"/>
      <c r="CC413" s="2" t="s">
        <v>167</v>
      </c>
      <c r="CD413" s="2">
        <v>2094</v>
      </c>
      <c r="CE413" s="2" t="s">
        <v>118</v>
      </c>
      <c r="CF413" s="5">
        <v>42832</v>
      </c>
      <c r="CG413" s="2"/>
      <c r="CH413" s="2"/>
      <c r="CI413" s="2">
        <v>1</v>
      </c>
      <c r="CJ413" s="2">
        <v>1</v>
      </c>
      <c r="CK413" s="2">
        <v>22</v>
      </c>
      <c r="CL413" s="2" t="s">
        <v>86</v>
      </c>
      <c r="CM413" s="2"/>
    </row>
    <row r="414" spans="1:91">
      <c r="A414" s="2" t="s">
        <v>71</v>
      </c>
      <c r="B414" s="2" t="s">
        <v>72</v>
      </c>
      <c r="C414" s="2" t="s">
        <v>73</v>
      </c>
      <c r="D414" s="2"/>
      <c r="E414" s="2" t="str">
        <f>"FES1162541658"</f>
        <v>FES1162541658</v>
      </c>
      <c r="F414" s="3">
        <v>42830</v>
      </c>
      <c r="G414" s="2">
        <v>201710</v>
      </c>
      <c r="H414" s="2" t="s">
        <v>74</v>
      </c>
      <c r="I414" s="2" t="s">
        <v>75</v>
      </c>
      <c r="J414" s="2" t="s">
        <v>76</v>
      </c>
      <c r="K414" s="2" t="s">
        <v>77</v>
      </c>
      <c r="L414" s="2" t="s">
        <v>99</v>
      </c>
      <c r="M414" s="2" t="s">
        <v>100</v>
      </c>
      <c r="N414" s="2" t="s">
        <v>581</v>
      </c>
      <c r="O414" s="2" t="s">
        <v>115</v>
      </c>
      <c r="P414" s="2" t="str">
        <f>"2170558513                    "</f>
        <v xml:space="preserve">2170558513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4.29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1</v>
      </c>
      <c r="BJ414" s="2">
        <v>0.2</v>
      </c>
      <c r="BK414" s="2">
        <v>1</v>
      </c>
      <c r="BL414" s="2">
        <v>41.73</v>
      </c>
      <c r="BM414" s="2">
        <v>5.84</v>
      </c>
      <c r="BN414" s="2">
        <v>47.57</v>
      </c>
      <c r="BO414" s="2">
        <v>47.57</v>
      </c>
      <c r="BP414" s="2"/>
      <c r="BQ414" s="2" t="s">
        <v>129</v>
      </c>
      <c r="BR414" s="2" t="s">
        <v>123</v>
      </c>
      <c r="BS414" s="3">
        <v>42831</v>
      </c>
      <c r="BT414" s="4">
        <v>0.41666666666666669</v>
      </c>
      <c r="BU414" s="2" t="s">
        <v>582</v>
      </c>
      <c r="BV414" s="2" t="s">
        <v>111</v>
      </c>
      <c r="BW414" s="2"/>
      <c r="BX414" s="2"/>
      <c r="BY414" s="2">
        <v>1200</v>
      </c>
      <c r="BZ414" s="2" t="s">
        <v>27</v>
      </c>
      <c r="CA414" s="2" t="s">
        <v>378</v>
      </c>
      <c r="CB414" s="2"/>
      <c r="CC414" s="2" t="s">
        <v>100</v>
      </c>
      <c r="CD414" s="2">
        <v>6045</v>
      </c>
      <c r="CE414" s="2" t="s">
        <v>144</v>
      </c>
      <c r="CF414" s="5">
        <v>42832</v>
      </c>
      <c r="CG414" s="2"/>
      <c r="CH414" s="2"/>
      <c r="CI414" s="2">
        <v>1</v>
      </c>
      <c r="CJ414" s="2">
        <v>1</v>
      </c>
      <c r="CK414" s="2">
        <v>21</v>
      </c>
      <c r="CL414" s="2" t="s">
        <v>86</v>
      </c>
      <c r="CM414" s="2"/>
    </row>
    <row r="415" spans="1:91">
      <c r="A415" s="2" t="s">
        <v>71</v>
      </c>
      <c r="B415" s="2" t="s">
        <v>72</v>
      </c>
      <c r="C415" s="2" t="s">
        <v>73</v>
      </c>
      <c r="D415" s="2"/>
      <c r="E415" s="2" t="str">
        <f>"FES1162543175"</f>
        <v>FES1162543175</v>
      </c>
      <c r="F415" s="3">
        <v>42837</v>
      </c>
      <c r="G415" s="2">
        <v>201710</v>
      </c>
      <c r="H415" s="2" t="s">
        <v>74</v>
      </c>
      <c r="I415" s="2" t="s">
        <v>75</v>
      </c>
      <c r="J415" s="2" t="s">
        <v>76</v>
      </c>
      <c r="K415" s="2" t="s">
        <v>77</v>
      </c>
      <c r="L415" s="2" t="s">
        <v>358</v>
      </c>
      <c r="M415" s="2" t="s">
        <v>359</v>
      </c>
      <c r="N415" s="2" t="s">
        <v>360</v>
      </c>
      <c r="O415" s="2" t="s">
        <v>115</v>
      </c>
      <c r="P415" s="2" t="str">
        <f>"2170557981                    "</f>
        <v xml:space="preserve">2170557981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4.29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0.2</v>
      </c>
      <c r="BK415" s="2">
        <v>1</v>
      </c>
      <c r="BL415" s="2">
        <v>41.73</v>
      </c>
      <c r="BM415" s="2">
        <v>5.84</v>
      </c>
      <c r="BN415" s="2">
        <v>47.57</v>
      </c>
      <c r="BO415" s="2">
        <v>47.57</v>
      </c>
      <c r="BP415" s="2"/>
      <c r="BQ415" s="2" t="s">
        <v>361</v>
      </c>
      <c r="BR415" s="2" t="s">
        <v>84</v>
      </c>
      <c r="BS415" s="3">
        <v>42838</v>
      </c>
      <c r="BT415" s="4">
        <v>0.33333333333333331</v>
      </c>
      <c r="BU415" s="2" t="s">
        <v>362</v>
      </c>
      <c r="BV415" s="2" t="s">
        <v>111</v>
      </c>
      <c r="BW415" s="2"/>
      <c r="BX415" s="2"/>
      <c r="BY415" s="2">
        <v>1200</v>
      </c>
      <c r="BZ415" s="2" t="s">
        <v>27</v>
      </c>
      <c r="CA415" s="2" t="s">
        <v>159</v>
      </c>
      <c r="CB415" s="2"/>
      <c r="CC415" s="2" t="s">
        <v>359</v>
      </c>
      <c r="CD415" s="2">
        <v>6229</v>
      </c>
      <c r="CE415" s="2" t="s">
        <v>118</v>
      </c>
      <c r="CF415" s="5">
        <v>42843</v>
      </c>
      <c r="CG415" s="2"/>
      <c r="CH415" s="2"/>
      <c r="CI415" s="2">
        <v>1</v>
      </c>
      <c r="CJ415" s="2">
        <v>1</v>
      </c>
      <c r="CK415" s="2">
        <v>21</v>
      </c>
      <c r="CL415" s="2" t="s">
        <v>86</v>
      </c>
      <c r="CM415" s="2"/>
    </row>
    <row r="416" spans="1:91">
      <c r="A416" s="2" t="s">
        <v>71</v>
      </c>
      <c r="B416" s="2" t="s">
        <v>72</v>
      </c>
      <c r="C416" s="2" t="s">
        <v>73</v>
      </c>
      <c r="D416" s="2"/>
      <c r="E416" s="2" t="str">
        <f>"FES1162542085"</f>
        <v>FES1162542085</v>
      </c>
      <c r="F416" s="3">
        <v>42831</v>
      </c>
      <c r="G416" s="2">
        <v>201710</v>
      </c>
      <c r="H416" s="2" t="s">
        <v>74</v>
      </c>
      <c r="I416" s="2" t="s">
        <v>75</v>
      </c>
      <c r="J416" s="2" t="s">
        <v>76</v>
      </c>
      <c r="K416" s="2" t="s">
        <v>77</v>
      </c>
      <c r="L416" s="2" t="s">
        <v>591</v>
      </c>
      <c r="M416" s="2" t="s">
        <v>592</v>
      </c>
      <c r="N416" s="2" t="s">
        <v>675</v>
      </c>
      <c r="O416" s="2" t="s">
        <v>115</v>
      </c>
      <c r="P416" s="2" t="str">
        <f>"2170558521                    "</f>
        <v xml:space="preserve">2170558521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4.29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1</v>
      </c>
      <c r="BJ416" s="2">
        <v>0.2</v>
      </c>
      <c r="BK416" s="2">
        <v>1</v>
      </c>
      <c r="BL416" s="2">
        <v>41.73</v>
      </c>
      <c r="BM416" s="2">
        <v>5.84</v>
      </c>
      <c r="BN416" s="2">
        <v>47.57</v>
      </c>
      <c r="BO416" s="2">
        <v>47.57</v>
      </c>
      <c r="BP416" s="2"/>
      <c r="BQ416" s="2" t="s">
        <v>129</v>
      </c>
      <c r="BR416" s="2" t="s">
        <v>123</v>
      </c>
      <c r="BS416" s="3">
        <v>42832</v>
      </c>
      <c r="BT416" s="4">
        <v>0.41666666666666669</v>
      </c>
      <c r="BU416" s="2" t="s">
        <v>676</v>
      </c>
      <c r="BV416" s="2" t="s">
        <v>111</v>
      </c>
      <c r="BW416" s="2"/>
      <c r="BX416" s="2"/>
      <c r="BY416" s="2">
        <v>1200</v>
      </c>
      <c r="BZ416" s="2" t="s">
        <v>27</v>
      </c>
      <c r="CA416" s="2"/>
      <c r="CB416" s="2"/>
      <c r="CC416" s="2" t="s">
        <v>592</v>
      </c>
      <c r="CD416" s="2">
        <v>7600</v>
      </c>
      <c r="CE416" s="2" t="s">
        <v>144</v>
      </c>
      <c r="CF416" s="5">
        <v>42835</v>
      </c>
      <c r="CG416" s="2"/>
      <c r="CH416" s="2"/>
      <c r="CI416" s="2">
        <v>1</v>
      </c>
      <c r="CJ416" s="2">
        <v>1</v>
      </c>
      <c r="CK416" s="2">
        <v>21</v>
      </c>
      <c r="CL416" s="2" t="s">
        <v>86</v>
      </c>
      <c r="CM416" s="2"/>
    </row>
    <row r="417" spans="1:91">
      <c r="A417" s="2" t="s">
        <v>71</v>
      </c>
      <c r="B417" s="2" t="s">
        <v>72</v>
      </c>
      <c r="C417" s="2" t="s">
        <v>73</v>
      </c>
      <c r="D417" s="2"/>
      <c r="E417" s="2" t="str">
        <f>"FES1162541437"</f>
        <v>FES1162541437</v>
      </c>
      <c r="F417" s="3">
        <v>42829</v>
      </c>
      <c r="G417" s="2">
        <v>201710</v>
      </c>
      <c r="H417" s="2" t="s">
        <v>74</v>
      </c>
      <c r="I417" s="2" t="s">
        <v>75</v>
      </c>
      <c r="J417" s="2" t="s">
        <v>76</v>
      </c>
      <c r="K417" s="2" t="s">
        <v>77</v>
      </c>
      <c r="L417" s="2" t="s">
        <v>131</v>
      </c>
      <c r="M417" s="2" t="s">
        <v>132</v>
      </c>
      <c r="N417" s="2" t="s">
        <v>961</v>
      </c>
      <c r="O417" s="2" t="s">
        <v>115</v>
      </c>
      <c r="P417" s="2" t="str">
        <f>"2170547859                    "</f>
        <v xml:space="preserve">2170547859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12.16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5.5</v>
      </c>
      <c r="BJ417" s="2">
        <v>3.6</v>
      </c>
      <c r="BK417" s="2">
        <v>5.5</v>
      </c>
      <c r="BL417" s="2">
        <v>115.12</v>
      </c>
      <c r="BM417" s="2">
        <v>16.12</v>
      </c>
      <c r="BN417" s="2">
        <v>131.24</v>
      </c>
      <c r="BO417" s="2">
        <v>131.24</v>
      </c>
      <c r="BP417" s="2"/>
      <c r="BQ417" s="2" t="s">
        <v>962</v>
      </c>
      <c r="BR417" s="2" t="s">
        <v>123</v>
      </c>
      <c r="BS417" s="3">
        <v>42830</v>
      </c>
      <c r="BT417" s="4">
        <v>0.34722222222222227</v>
      </c>
      <c r="BU417" s="2" t="s">
        <v>963</v>
      </c>
      <c r="BV417" s="2" t="s">
        <v>111</v>
      </c>
      <c r="BW417" s="2"/>
      <c r="BX417" s="2"/>
      <c r="BY417" s="2">
        <v>18018</v>
      </c>
      <c r="BZ417" s="2" t="s">
        <v>27</v>
      </c>
      <c r="CA417" s="2"/>
      <c r="CB417" s="2"/>
      <c r="CC417" s="2" t="s">
        <v>132</v>
      </c>
      <c r="CD417" s="2">
        <v>7945</v>
      </c>
      <c r="CE417" s="2" t="s">
        <v>172</v>
      </c>
      <c r="CF417" s="5">
        <v>42831</v>
      </c>
      <c r="CG417" s="2"/>
      <c r="CH417" s="2"/>
      <c r="CI417" s="2">
        <v>1</v>
      </c>
      <c r="CJ417" s="2">
        <v>1</v>
      </c>
      <c r="CK417" s="2">
        <v>21</v>
      </c>
      <c r="CL417" s="2" t="s">
        <v>86</v>
      </c>
      <c r="CM417" s="2"/>
    </row>
    <row r="418" spans="1:91">
      <c r="A418" s="2" t="s">
        <v>71</v>
      </c>
      <c r="B418" s="2" t="s">
        <v>72</v>
      </c>
      <c r="C418" s="2" t="s">
        <v>73</v>
      </c>
      <c r="D418" s="2"/>
      <c r="E418" s="2" t="str">
        <f>"FES1162542955"</f>
        <v>FES1162542955</v>
      </c>
      <c r="F418" s="3">
        <v>42836</v>
      </c>
      <c r="G418" s="2">
        <v>201710</v>
      </c>
      <c r="H418" s="2" t="s">
        <v>74</v>
      </c>
      <c r="I418" s="2" t="s">
        <v>75</v>
      </c>
      <c r="J418" s="2" t="s">
        <v>76</v>
      </c>
      <c r="K418" s="2" t="s">
        <v>77</v>
      </c>
      <c r="L418" s="2" t="s">
        <v>131</v>
      </c>
      <c r="M418" s="2" t="s">
        <v>132</v>
      </c>
      <c r="N418" s="2" t="s">
        <v>744</v>
      </c>
      <c r="O418" s="2" t="s">
        <v>115</v>
      </c>
      <c r="P418" s="2" t="str">
        <f>"2170561742                    "</f>
        <v xml:space="preserve">2170561742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11.79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5.3</v>
      </c>
      <c r="BJ418" s="2">
        <v>4.0999999999999996</v>
      </c>
      <c r="BK418" s="2">
        <v>5.5</v>
      </c>
      <c r="BL418" s="2">
        <v>114.75</v>
      </c>
      <c r="BM418" s="2">
        <v>16.07</v>
      </c>
      <c r="BN418" s="2">
        <v>130.82</v>
      </c>
      <c r="BO418" s="2">
        <v>130.82</v>
      </c>
      <c r="BP418" s="2"/>
      <c r="BQ418" s="2" t="s">
        <v>138</v>
      </c>
      <c r="BR418" s="2" t="s">
        <v>123</v>
      </c>
      <c r="BS418" s="3">
        <v>42837</v>
      </c>
      <c r="BT418" s="4">
        <v>0.41666666666666669</v>
      </c>
      <c r="BU418" s="2" t="s">
        <v>964</v>
      </c>
      <c r="BV418" s="2" t="s">
        <v>111</v>
      </c>
      <c r="BW418" s="2"/>
      <c r="BX418" s="2"/>
      <c r="BY418" s="2">
        <v>20358</v>
      </c>
      <c r="BZ418" s="2" t="s">
        <v>27</v>
      </c>
      <c r="CA418" s="2"/>
      <c r="CB418" s="2"/>
      <c r="CC418" s="2" t="s">
        <v>132</v>
      </c>
      <c r="CD418" s="2">
        <v>7405</v>
      </c>
      <c r="CE418" s="2" t="s">
        <v>135</v>
      </c>
      <c r="CF418" s="5">
        <v>42838</v>
      </c>
      <c r="CG418" s="2"/>
      <c r="CH418" s="2"/>
      <c r="CI418" s="2">
        <v>1</v>
      </c>
      <c r="CJ418" s="2">
        <v>1</v>
      </c>
      <c r="CK418" s="2">
        <v>21</v>
      </c>
      <c r="CL418" s="2" t="s">
        <v>86</v>
      </c>
      <c r="CM418" s="2"/>
    </row>
    <row r="419" spans="1:91">
      <c r="A419" s="2" t="s">
        <v>71</v>
      </c>
      <c r="B419" s="2" t="s">
        <v>72</v>
      </c>
      <c r="C419" s="2" t="s">
        <v>73</v>
      </c>
      <c r="D419" s="2"/>
      <c r="E419" s="2" t="str">
        <f>"FES1162541668"</f>
        <v>FES1162541668</v>
      </c>
      <c r="F419" s="3">
        <v>42830</v>
      </c>
      <c r="G419" s="2">
        <v>201710</v>
      </c>
      <c r="H419" s="2" t="s">
        <v>74</v>
      </c>
      <c r="I419" s="2" t="s">
        <v>75</v>
      </c>
      <c r="J419" s="2" t="s">
        <v>76</v>
      </c>
      <c r="K419" s="2" t="s">
        <v>77</v>
      </c>
      <c r="L419" s="2" t="s">
        <v>131</v>
      </c>
      <c r="M419" s="2" t="s">
        <v>132</v>
      </c>
      <c r="N419" s="2" t="s">
        <v>744</v>
      </c>
      <c r="O419" s="2" t="s">
        <v>115</v>
      </c>
      <c r="P419" s="2" t="str">
        <f>"2170558921                    "</f>
        <v xml:space="preserve">2170558921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4.29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1</v>
      </c>
      <c r="BJ419" s="2">
        <v>0.2</v>
      </c>
      <c r="BK419" s="2">
        <v>1</v>
      </c>
      <c r="BL419" s="2">
        <v>41.73</v>
      </c>
      <c r="BM419" s="2">
        <v>5.84</v>
      </c>
      <c r="BN419" s="2">
        <v>47.57</v>
      </c>
      <c r="BO419" s="2">
        <v>47.57</v>
      </c>
      <c r="BP419" s="2"/>
      <c r="BQ419" s="2" t="s">
        <v>138</v>
      </c>
      <c r="BR419" s="2" t="s">
        <v>123</v>
      </c>
      <c r="BS419" s="3">
        <v>42831</v>
      </c>
      <c r="BT419" s="4">
        <v>0.41666666666666669</v>
      </c>
      <c r="BU419" s="2" t="s">
        <v>130</v>
      </c>
      <c r="BV419" s="2" t="s">
        <v>111</v>
      </c>
      <c r="BW419" s="2"/>
      <c r="BX419" s="2"/>
      <c r="BY419" s="2">
        <v>1200</v>
      </c>
      <c r="BZ419" s="2" t="s">
        <v>27</v>
      </c>
      <c r="CA419" s="2"/>
      <c r="CB419" s="2"/>
      <c r="CC419" s="2" t="s">
        <v>132</v>
      </c>
      <c r="CD419" s="2">
        <v>7405</v>
      </c>
      <c r="CE419" s="2" t="s">
        <v>118</v>
      </c>
      <c r="CF419" s="5">
        <v>42833</v>
      </c>
      <c r="CG419" s="2"/>
      <c r="CH419" s="2"/>
      <c r="CI419" s="2">
        <v>1</v>
      </c>
      <c r="CJ419" s="2">
        <v>1</v>
      </c>
      <c r="CK419" s="2">
        <v>21</v>
      </c>
      <c r="CL419" s="2" t="s">
        <v>86</v>
      </c>
      <c r="CM419" s="2"/>
    </row>
    <row r="420" spans="1:91">
      <c r="A420" s="2" t="s">
        <v>71</v>
      </c>
      <c r="B420" s="2" t="s">
        <v>72</v>
      </c>
      <c r="C420" s="2" t="s">
        <v>73</v>
      </c>
      <c r="D420" s="2"/>
      <c r="E420" s="2" t="str">
        <f>"FES1162541706"</f>
        <v>FES1162541706</v>
      </c>
      <c r="F420" s="3">
        <v>42830</v>
      </c>
      <c r="G420" s="2">
        <v>201710</v>
      </c>
      <c r="H420" s="2" t="s">
        <v>74</v>
      </c>
      <c r="I420" s="2" t="s">
        <v>75</v>
      </c>
      <c r="J420" s="2" t="s">
        <v>76</v>
      </c>
      <c r="K420" s="2" t="s">
        <v>77</v>
      </c>
      <c r="L420" s="2" t="s">
        <v>396</v>
      </c>
      <c r="M420" s="2" t="s">
        <v>397</v>
      </c>
      <c r="N420" s="2" t="s">
        <v>398</v>
      </c>
      <c r="O420" s="2" t="s">
        <v>115</v>
      </c>
      <c r="P420" s="2" t="str">
        <f>"2170559976                    "</f>
        <v xml:space="preserve">2170559976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4.29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1</v>
      </c>
      <c r="BJ420" s="2">
        <v>0.2</v>
      </c>
      <c r="BK420" s="2">
        <v>1</v>
      </c>
      <c r="BL420" s="2">
        <v>41.73</v>
      </c>
      <c r="BM420" s="2">
        <v>5.84</v>
      </c>
      <c r="BN420" s="2">
        <v>47.57</v>
      </c>
      <c r="BO420" s="2">
        <v>47.57</v>
      </c>
      <c r="BP420" s="2"/>
      <c r="BQ420" s="2" t="s">
        <v>399</v>
      </c>
      <c r="BR420" s="2" t="s">
        <v>123</v>
      </c>
      <c r="BS420" s="3">
        <v>42831</v>
      </c>
      <c r="BT420" s="4">
        <v>0.4375</v>
      </c>
      <c r="BU420" s="2" t="s">
        <v>632</v>
      </c>
      <c r="BV420" s="2" t="s">
        <v>111</v>
      </c>
      <c r="BW420" s="2"/>
      <c r="BX420" s="2"/>
      <c r="BY420" s="2">
        <v>1200</v>
      </c>
      <c r="BZ420" s="2" t="s">
        <v>27</v>
      </c>
      <c r="CA420" s="2" t="s">
        <v>159</v>
      </c>
      <c r="CB420" s="2"/>
      <c r="CC420" s="2" t="s">
        <v>397</v>
      </c>
      <c r="CD420" s="2">
        <v>4300</v>
      </c>
      <c r="CE420" s="2" t="s">
        <v>144</v>
      </c>
      <c r="CF420" s="5">
        <v>42832</v>
      </c>
      <c r="CG420" s="2"/>
      <c r="CH420" s="2"/>
      <c r="CI420" s="2">
        <v>1</v>
      </c>
      <c r="CJ420" s="2">
        <v>1</v>
      </c>
      <c r="CK420" s="2">
        <v>21</v>
      </c>
      <c r="CL420" s="2" t="s">
        <v>86</v>
      </c>
      <c r="CM420" s="2"/>
    </row>
    <row r="421" spans="1:91">
      <c r="A421" s="2" t="s">
        <v>71</v>
      </c>
      <c r="B421" s="2" t="s">
        <v>72</v>
      </c>
      <c r="C421" s="2" t="s">
        <v>73</v>
      </c>
      <c r="D421" s="2"/>
      <c r="E421" s="2" t="str">
        <f>"FES1162543330"</f>
        <v>FES1162543330</v>
      </c>
      <c r="F421" s="3">
        <v>42837</v>
      </c>
      <c r="G421" s="2">
        <v>201710</v>
      </c>
      <c r="H421" s="2" t="s">
        <v>74</v>
      </c>
      <c r="I421" s="2" t="s">
        <v>75</v>
      </c>
      <c r="J421" s="2" t="s">
        <v>76</v>
      </c>
      <c r="K421" s="2" t="s">
        <v>77</v>
      </c>
      <c r="L421" s="2" t="s">
        <v>74</v>
      </c>
      <c r="M421" s="2" t="s">
        <v>75</v>
      </c>
      <c r="N421" s="2" t="s">
        <v>488</v>
      </c>
      <c r="O421" s="2" t="s">
        <v>115</v>
      </c>
      <c r="P421" s="2" t="str">
        <f>"2170562001                    "</f>
        <v xml:space="preserve">2170562001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3.35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1</v>
      </c>
      <c r="BJ421" s="2">
        <v>0.2</v>
      </c>
      <c r="BK421" s="2">
        <v>1</v>
      </c>
      <c r="BL421" s="2">
        <v>32.6</v>
      </c>
      <c r="BM421" s="2">
        <v>4.5599999999999996</v>
      </c>
      <c r="BN421" s="2">
        <v>37.159999999999997</v>
      </c>
      <c r="BO421" s="2">
        <v>37.159999999999997</v>
      </c>
      <c r="BP421" s="2"/>
      <c r="BQ421" s="2" t="s">
        <v>489</v>
      </c>
      <c r="BR421" s="2" t="s">
        <v>84</v>
      </c>
      <c r="BS421" s="3">
        <v>42838</v>
      </c>
      <c r="BT421" s="4">
        <v>0.3125</v>
      </c>
      <c r="BU421" s="2" t="s">
        <v>290</v>
      </c>
      <c r="BV421" s="2" t="s">
        <v>111</v>
      </c>
      <c r="BW421" s="2"/>
      <c r="BX421" s="2"/>
      <c r="BY421" s="2">
        <v>1200</v>
      </c>
      <c r="BZ421" s="2" t="s">
        <v>27</v>
      </c>
      <c r="CA421" s="2"/>
      <c r="CB421" s="2"/>
      <c r="CC421" s="2" t="s">
        <v>75</v>
      </c>
      <c r="CD421" s="2">
        <v>1645</v>
      </c>
      <c r="CE421" s="2" t="s">
        <v>118</v>
      </c>
      <c r="CF421" s="5">
        <v>42843</v>
      </c>
      <c r="CG421" s="2"/>
      <c r="CH421" s="2"/>
      <c r="CI421" s="2">
        <v>1</v>
      </c>
      <c r="CJ421" s="2">
        <v>1</v>
      </c>
      <c r="CK421" s="2">
        <v>22</v>
      </c>
      <c r="CL421" s="2" t="s">
        <v>86</v>
      </c>
      <c r="CM421" s="2"/>
    </row>
    <row r="422" spans="1:91">
      <c r="A422" s="2" t="s">
        <v>71</v>
      </c>
      <c r="B422" s="2" t="s">
        <v>72</v>
      </c>
      <c r="C422" s="2" t="s">
        <v>73</v>
      </c>
      <c r="D422" s="2"/>
      <c r="E422" s="2" t="str">
        <f>"FES1162541932"</f>
        <v>FES1162541932</v>
      </c>
      <c r="F422" s="3">
        <v>42831</v>
      </c>
      <c r="G422" s="2">
        <v>201710</v>
      </c>
      <c r="H422" s="2" t="s">
        <v>74</v>
      </c>
      <c r="I422" s="2" t="s">
        <v>75</v>
      </c>
      <c r="J422" s="2" t="s">
        <v>76</v>
      </c>
      <c r="K422" s="2" t="s">
        <v>77</v>
      </c>
      <c r="L422" s="2" t="s">
        <v>166</v>
      </c>
      <c r="M422" s="2" t="s">
        <v>167</v>
      </c>
      <c r="N422" s="2" t="s">
        <v>168</v>
      </c>
      <c r="O422" s="2" t="s">
        <v>115</v>
      </c>
      <c r="P422" s="2" t="str">
        <f>"2170560921                    "</f>
        <v xml:space="preserve">2170560921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3.35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</v>
      </c>
      <c r="BJ422" s="2">
        <v>0.2</v>
      </c>
      <c r="BK422" s="2">
        <v>1</v>
      </c>
      <c r="BL422" s="2">
        <v>32.6</v>
      </c>
      <c r="BM422" s="2">
        <v>4.5599999999999996</v>
      </c>
      <c r="BN422" s="2">
        <v>37.159999999999997</v>
      </c>
      <c r="BO422" s="2">
        <v>37.159999999999997</v>
      </c>
      <c r="BP422" s="2"/>
      <c r="BQ422" s="2" t="s">
        <v>169</v>
      </c>
      <c r="BR422" s="2" t="s">
        <v>123</v>
      </c>
      <c r="BS422" s="3">
        <v>42832</v>
      </c>
      <c r="BT422" s="4">
        <v>0.41666666666666669</v>
      </c>
      <c r="BU422" s="2" t="s">
        <v>823</v>
      </c>
      <c r="BV422" s="2" t="s">
        <v>111</v>
      </c>
      <c r="BW422" s="2"/>
      <c r="BX422" s="2"/>
      <c r="BY422" s="2">
        <v>1200</v>
      </c>
      <c r="BZ422" s="2" t="s">
        <v>27</v>
      </c>
      <c r="CA422" s="2" t="s">
        <v>171</v>
      </c>
      <c r="CB422" s="2"/>
      <c r="CC422" s="2" t="s">
        <v>167</v>
      </c>
      <c r="CD422" s="2">
        <v>2094</v>
      </c>
      <c r="CE422" s="2" t="s">
        <v>118</v>
      </c>
      <c r="CF422" s="5">
        <v>42835</v>
      </c>
      <c r="CG422" s="2"/>
      <c r="CH422" s="2"/>
      <c r="CI422" s="2">
        <v>1</v>
      </c>
      <c r="CJ422" s="2">
        <v>1</v>
      </c>
      <c r="CK422" s="2">
        <v>22</v>
      </c>
      <c r="CL422" s="2" t="s">
        <v>86</v>
      </c>
      <c r="CM422" s="2"/>
    </row>
    <row r="423" spans="1:91">
      <c r="A423" s="2" t="s">
        <v>71</v>
      </c>
      <c r="B423" s="2" t="s">
        <v>72</v>
      </c>
      <c r="C423" s="2" t="s">
        <v>73</v>
      </c>
      <c r="D423" s="2"/>
      <c r="E423" s="2" t="str">
        <f>"FES1162541457"</f>
        <v>FES1162541457</v>
      </c>
      <c r="F423" s="3">
        <v>42829</v>
      </c>
      <c r="G423" s="2">
        <v>201710</v>
      </c>
      <c r="H423" s="2" t="s">
        <v>74</v>
      </c>
      <c r="I423" s="2" t="s">
        <v>75</v>
      </c>
      <c r="J423" s="2" t="s">
        <v>76</v>
      </c>
      <c r="K423" s="2" t="s">
        <v>77</v>
      </c>
      <c r="L423" s="2" t="s">
        <v>99</v>
      </c>
      <c r="M423" s="2" t="s">
        <v>100</v>
      </c>
      <c r="N423" s="2" t="s">
        <v>910</v>
      </c>
      <c r="O423" s="2" t="s">
        <v>115</v>
      </c>
      <c r="P423" s="2" t="str">
        <f>"2170560536                    "</f>
        <v xml:space="preserve">2170560536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7.74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2</v>
      </c>
      <c r="BJ423" s="2">
        <v>3.4</v>
      </c>
      <c r="BK423" s="2">
        <v>3.5</v>
      </c>
      <c r="BL423" s="2">
        <v>73.260000000000005</v>
      </c>
      <c r="BM423" s="2">
        <v>10.26</v>
      </c>
      <c r="BN423" s="2">
        <v>83.52</v>
      </c>
      <c r="BO423" s="2">
        <v>83.52</v>
      </c>
      <c r="BP423" s="2"/>
      <c r="BQ423" s="2" t="s">
        <v>911</v>
      </c>
      <c r="BR423" s="2" t="s">
        <v>123</v>
      </c>
      <c r="BS423" s="3">
        <v>42830</v>
      </c>
      <c r="BT423" s="4">
        <v>0.3263888888888889</v>
      </c>
      <c r="BU423" s="2" t="s">
        <v>965</v>
      </c>
      <c r="BV423" s="2" t="s">
        <v>111</v>
      </c>
      <c r="BW423" s="2"/>
      <c r="BX423" s="2"/>
      <c r="BY423" s="2">
        <v>16996.73</v>
      </c>
      <c r="BZ423" s="2" t="s">
        <v>27</v>
      </c>
      <c r="CA423" s="2" t="s">
        <v>913</v>
      </c>
      <c r="CB423" s="2"/>
      <c r="CC423" s="2" t="s">
        <v>100</v>
      </c>
      <c r="CD423" s="2">
        <v>6065</v>
      </c>
      <c r="CE423" s="2" t="s">
        <v>89</v>
      </c>
      <c r="CF423" s="5">
        <v>42830</v>
      </c>
      <c r="CG423" s="2"/>
      <c r="CH423" s="2"/>
      <c r="CI423" s="2">
        <v>1</v>
      </c>
      <c r="CJ423" s="2">
        <v>1</v>
      </c>
      <c r="CK423" s="2">
        <v>21</v>
      </c>
      <c r="CL423" s="2" t="s">
        <v>86</v>
      </c>
      <c r="CM423" s="2"/>
    </row>
    <row r="424" spans="1:91">
      <c r="A424" s="2" t="s">
        <v>71</v>
      </c>
      <c r="B424" s="2" t="s">
        <v>72</v>
      </c>
      <c r="C424" s="2" t="s">
        <v>73</v>
      </c>
      <c r="D424" s="2"/>
      <c r="E424" s="2" t="str">
        <f>"FES1162542855"</f>
        <v>FES1162542855</v>
      </c>
      <c r="F424" s="3">
        <v>42836</v>
      </c>
      <c r="G424" s="2">
        <v>201710</v>
      </c>
      <c r="H424" s="2" t="s">
        <v>74</v>
      </c>
      <c r="I424" s="2" t="s">
        <v>75</v>
      </c>
      <c r="J424" s="2" t="s">
        <v>76</v>
      </c>
      <c r="K424" s="2" t="s">
        <v>77</v>
      </c>
      <c r="L424" s="2" t="s">
        <v>131</v>
      </c>
      <c r="M424" s="2" t="s">
        <v>132</v>
      </c>
      <c r="N424" s="2" t="s">
        <v>966</v>
      </c>
      <c r="O424" s="2" t="s">
        <v>115</v>
      </c>
      <c r="P424" s="2" t="str">
        <f>"2170558857                    "</f>
        <v xml:space="preserve">2170558857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4.29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1</v>
      </c>
      <c r="BJ424" s="2">
        <v>0.2</v>
      </c>
      <c r="BK424" s="2">
        <v>1</v>
      </c>
      <c r="BL424" s="2">
        <v>41.73</v>
      </c>
      <c r="BM424" s="2">
        <v>5.84</v>
      </c>
      <c r="BN424" s="2">
        <v>47.57</v>
      </c>
      <c r="BO424" s="2">
        <v>47.57</v>
      </c>
      <c r="BP424" s="2"/>
      <c r="BQ424" s="2" t="s">
        <v>967</v>
      </c>
      <c r="BR424" s="2" t="s">
        <v>123</v>
      </c>
      <c r="BS424" s="3">
        <v>42837</v>
      </c>
      <c r="BT424" s="4">
        <v>0.47916666666666669</v>
      </c>
      <c r="BU424" s="2" t="s">
        <v>968</v>
      </c>
      <c r="BV424" s="2" t="s">
        <v>111</v>
      </c>
      <c r="BW424" s="2"/>
      <c r="BX424" s="2"/>
      <c r="BY424" s="2">
        <v>1200</v>
      </c>
      <c r="BZ424" s="2" t="s">
        <v>27</v>
      </c>
      <c r="CA424" s="2"/>
      <c r="CB424" s="2"/>
      <c r="CC424" s="2" t="s">
        <v>132</v>
      </c>
      <c r="CD424" s="2">
        <v>7945</v>
      </c>
      <c r="CE424" s="2" t="s">
        <v>144</v>
      </c>
      <c r="CF424" s="5">
        <v>42838</v>
      </c>
      <c r="CG424" s="2"/>
      <c r="CH424" s="2"/>
      <c r="CI424" s="2">
        <v>1</v>
      </c>
      <c r="CJ424" s="2">
        <v>1</v>
      </c>
      <c r="CK424" s="2">
        <v>21</v>
      </c>
      <c r="CL424" s="2" t="s">
        <v>86</v>
      </c>
      <c r="CM424" s="2"/>
    </row>
    <row r="425" spans="1:91">
      <c r="A425" s="2" t="s">
        <v>71</v>
      </c>
      <c r="B425" s="2" t="s">
        <v>72</v>
      </c>
      <c r="C425" s="2" t="s">
        <v>73</v>
      </c>
      <c r="D425" s="2"/>
      <c r="E425" s="2" t="str">
        <f>"FES1162541624"</f>
        <v>FES1162541624</v>
      </c>
      <c r="F425" s="3">
        <v>42830</v>
      </c>
      <c r="G425" s="2">
        <v>201710</v>
      </c>
      <c r="H425" s="2" t="s">
        <v>74</v>
      </c>
      <c r="I425" s="2" t="s">
        <v>75</v>
      </c>
      <c r="J425" s="2" t="s">
        <v>76</v>
      </c>
      <c r="K425" s="2" t="s">
        <v>77</v>
      </c>
      <c r="L425" s="2" t="s">
        <v>516</v>
      </c>
      <c r="M425" s="2" t="s">
        <v>517</v>
      </c>
      <c r="N425" s="2" t="s">
        <v>969</v>
      </c>
      <c r="O425" s="2" t="s">
        <v>115</v>
      </c>
      <c r="P425" s="2" t="str">
        <f>"2170558052                    "</f>
        <v xml:space="preserve">2170558052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3.35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</v>
      </c>
      <c r="BJ425" s="2">
        <v>0.2</v>
      </c>
      <c r="BK425" s="2">
        <v>1</v>
      </c>
      <c r="BL425" s="2">
        <v>32.6</v>
      </c>
      <c r="BM425" s="2">
        <v>4.5599999999999996</v>
      </c>
      <c r="BN425" s="2">
        <v>37.159999999999997</v>
      </c>
      <c r="BO425" s="2">
        <v>37.159999999999997</v>
      </c>
      <c r="BP425" s="2"/>
      <c r="BQ425" s="2" t="s">
        <v>970</v>
      </c>
      <c r="BR425" s="2" t="s">
        <v>123</v>
      </c>
      <c r="BS425" s="3">
        <v>42831</v>
      </c>
      <c r="BT425" s="4">
        <v>0.45624999999999999</v>
      </c>
      <c r="BU425" s="2" t="s">
        <v>971</v>
      </c>
      <c r="BV425" s="2" t="s">
        <v>111</v>
      </c>
      <c r="BW425" s="2"/>
      <c r="BX425" s="2"/>
      <c r="BY425" s="2">
        <v>1200</v>
      </c>
      <c r="BZ425" s="2" t="s">
        <v>27</v>
      </c>
      <c r="CA425" s="2" t="s">
        <v>159</v>
      </c>
      <c r="CB425" s="2"/>
      <c r="CC425" s="2" t="s">
        <v>517</v>
      </c>
      <c r="CD425" s="2">
        <v>1459</v>
      </c>
      <c r="CE425" s="2" t="s">
        <v>118</v>
      </c>
      <c r="CF425" s="5">
        <v>42832</v>
      </c>
      <c r="CG425" s="2"/>
      <c r="CH425" s="2"/>
      <c r="CI425" s="2">
        <v>1</v>
      </c>
      <c r="CJ425" s="2">
        <v>1</v>
      </c>
      <c r="CK425" s="2">
        <v>22</v>
      </c>
      <c r="CL425" s="2" t="s">
        <v>86</v>
      </c>
      <c r="CM425" s="2"/>
    </row>
    <row r="426" spans="1:91">
      <c r="A426" s="2" t="s">
        <v>71</v>
      </c>
      <c r="B426" s="2" t="s">
        <v>72</v>
      </c>
      <c r="C426" s="2" t="s">
        <v>73</v>
      </c>
      <c r="D426" s="2"/>
      <c r="E426" s="2" t="str">
        <f>"FES1162541632"</f>
        <v>FES1162541632</v>
      </c>
      <c r="F426" s="3">
        <v>42830</v>
      </c>
      <c r="G426" s="2">
        <v>201710</v>
      </c>
      <c r="H426" s="2" t="s">
        <v>74</v>
      </c>
      <c r="I426" s="2" t="s">
        <v>75</v>
      </c>
      <c r="J426" s="2" t="s">
        <v>76</v>
      </c>
      <c r="K426" s="2" t="s">
        <v>77</v>
      </c>
      <c r="L426" s="2" t="s">
        <v>275</v>
      </c>
      <c r="M426" s="2" t="s">
        <v>276</v>
      </c>
      <c r="N426" s="2" t="s">
        <v>972</v>
      </c>
      <c r="O426" s="2" t="s">
        <v>115</v>
      </c>
      <c r="P426" s="2" t="str">
        <f>"2170558174                    "</f>
        <v xml:space="preserve">2170558174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4.29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</v>
      </c>
      <c r="BJ426" s="2">
        <v>0.2</v>
      </c>
      <c r="BK426" s="2">
        <v>1</v>
      </c>
      <c r="BL426" s="2">
        <v>41.73</v>
      </c>
      <c r="BM426" s="2">
        <v>5.84</v>
      </c>
      <c r="BN426" s="2">
        <v>47.57</v>
      </c>
      <c r="BO426" s="2">
        <v>47.57</v>
      </c>
      <c r="BP426" s="2"/>
      <c r="BQ426" s="2" t="s">
        <v>278</v>
      </c>
      <c r="BR426" s="2" t="s">
        <v>123</v>
      </c>
      <c r="BS426" s="3">
        <v>42831</v>
      </c>
      <c r="BT426" s="4">
        <v>0.34722222222222227</v>
      </c>
      <c r="BU426" s="2" t="s">
        <v>973</v>
      </c>
      <c r="BV426" s="2" t="s">
        <v>111</v>
      </c>
      <c r="BW426" s="2"/>
      <c r="BX426" s="2"/>
      <c r="BY426" s="2">
        <v>1200</v>
      </c>
      <c r="BZ426" s="2" t="s">
        <v>27</v>
      </c>
      <c r="CA426" s="2" t="s">
        <v>159</v>
      </c>
      <c r="CB426" s="2"/>
      <c r="CC426" s="2" t="s">
        <v>276</v>
      </c>
      <c r="CD426" s="2">
        <v>4126</v>
      </c>
      <c r="CE426" s="2" t="s">
        <v>144</v>
      </c>
      <c r="CF426" s="5">
        <v>42832</v>
      </c>
      <c r="CG426" s="2"/>
      <c r="CH426" s="2"/>
      <c r="CI426" s="2">
        <v>1</v>
      </c>
      <c r="CJ426" s="2">
        <v>1</v>
      </c>
      <c r="CK426" s="2">
        <v>21</v>
      </c>
      <c r="CL426" s="2" t="s">
        <v>86</v>
      </c>
      <c r="CM426" s="2"/>
    </row>
    <row r="427" spans="1:91">
      <c r="A427" s="2" t="s">
        <v>71</v>
      </c>
      <c r="B427" s="2" t="s">
        <v>72</v>
      </c>
      <c r="C427" s="2" t="s">
        <v>73</v>
      </c>
      <c r="D427" s="2"/>
      <c r="E427" s="2" t="str">
        <f>"FES1162543360"</f>
        <v>FES1162543360</v>
      </c>
      <c r="F427" s="3">
        <v>42837</v>
      </c>
      <c r="G427" s="2">
        <v>201710</v>
      </c>
      <c r="H427" s="2" t="s">
        <v>74</v>
      </c>
      <c r="I427" s="2" t="s">
        <v>75</v>
      </c>
      <c r="J427" s="2" t="s">
        <v>76</v>
      </c>
      <c r="K427" s="2" t="s">
        <v>77</v>
      </c>
      <c r="L427" s="2" t="s">
        <v>74</v>
      </c>
      <c r="M427" s="2" t="s">
        <v>75</v>
      </c>
      <c r="N427" s="2" t="s">
        <v>974</v>
      </c>
      <c r="O427" s="2" t="s">
        <v>115</v>
      </c>
      <c r="P427" s="2" t="str">
        <f>"2170562044                    "</f>
        <v xml:space="preserve">2170562044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3.35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1</v>
      </c>
      <c r="BJ427" s="2">
        <v>0.2</v>
      </c>
      <c r="BK427" s="2">
        <v>1</v>
      </c>
      <c r="BL427" s="2">
        <v>32.6</v>
      </c>
      <c r="BM427" s="2">
        <v>4.5599999999999996</v>
      </c>
      <c r="BN427" s="2">
        <v>37.159999999999997</v>
      </c>
      <c r="BO427" s="2">
        <v>37.159999999999997</v>
      </c>
      <c r="BP427" s="2"/>
      <c r="BQ427" s="2"/>
      <c r="BR427" s="2" t="s">
        <v>84</v>
      </c>
      <c r="BS427" s="3">
        <v>42838</v>
      </c>
      <c r="BT427" s="4">
        <v>0.3298611111111111</v>
      </c>
      <c r="BU427" s="2" t="s">
        <v>975</v>
      </c>
      <c r="BV427" s="2" t="s">
        <v>111</v>
      </c>
      <c r="BW427" s="2"/>
      <c r="BX427" s="2"/>
      <c r="BY427" s="2">
        <v>1200</v>
      </c>
      <c r="BZ427" s="2" t="s">
        <v>27</v>
      </c>
      <c r="CA427" s="2"/>
      <c r="CB427" s="2"/>
      <c r="CC427" s="2" t="s">
        <v>75</v>
      </c>
      <c r="CD427" s="2">
        <v>1600</v>
      </c>
      <c r="CE427" s="2" t="s">
        <v>118</v>
      </c>
      <c r="CF427" s="5">
        <v>42843</v>
      </c>
      <c r="CG427" s="2"/>
      <c r="CH427" s="2"/>
      <c r="CI427" s="2">
        <v>1</v>
      </c>
      <c r="CJ427" s="2">
        <v>1</v>
      </c>
      <c r="CK427" s="2">
        <v>22</v>
      </c>
      <c r="CL427" s="2" t="s">
        <v>86</v>
      </c>
      <c r="CM427" s="2"/>
    </row>
    <row r="428" spans="1:91">
      <c r="A428" s="2" t="s">
        <v>71</v>
      </c>
      <c r="B428" s="2" t="s">
        <v>72</v>
      </c>
      <c r="C428" s="2" t="s">
        <v>73</v>
      </c>
      <c r="D428" s="2"/>
      <c r="E428" s="2" t="str">
        <f>"FES1162541880"</f>
        <v>FES1162541880</v>
      </c>
      <c r="F428" s="3">
        <v>42831</v>
      </c>
      <c r="G428" s="2">
        <v>201710</v>
      </c>
      <c r="H428" s="2" t="s">
        <v>74</v>
      </c>
      <c r="I428" s="2" t="s">
        <v>75</v>
      </c>
      <c r="J428" s="2" t="s">
        <v>76</v>
      </c>
      <c r="K428" s="2" t="s">
        <v>77</v>
      </c>
      <c r="L428" s="2" t="s">
        <v>234</v>
      </c>
      <c r="M428" s="2" t="s">
        <v>235</v>
      </c>
      <c r="N428" s="2" t="s">
        <v>236</v>
      </c>
      <c r="O428" s="2" t="s">
        <v>115</v>
      </c>
      <c r="P428" s="2" t="str">
        <f>"2170560880                    "</f>
        <v xml:space="preserve">2170560880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4.29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</v>
      </c>
      <c r="BJ428" s="2">
        <v>0.2</v>
      </c>
      <c r="BK428" s="2">
        <v>1</v>
      </c>
      <c r="BL428" s="2">
        <v>41.73</v>
      </c>
      <c r="BM428" s="2">
        <v>5.84</v>
      </c>
      <c r="BN428" s="2">
        <v>47.57</v>
      </c>
      <c r="BO428" s="2">
        <v>47.57</v>
      </c>
      <c r="BP428" s="2"/>
      <c r="BQ428" s="2" t="s">
        <v>285</v>
      </c>
      <c r="BR428" s="2" t="s">
        <v>123</v>
      </c>
      <c r="BS428" s="3">
        <v>42832</v>
      </c>
      <c r="BT428" s="4">
        <v>0.36805555555555558</v>
      </c>
      <c r="BU428" s="2" t="s">
        <v>245</v>
      </c>
      <c r="BV428" s="2" t="s">
        <v>111</v>
      </c>
      <c r="BW428" s="2"/>
      <c r="BX428" s="2"/>
      <c r="BY428" s="2">
        <v>1200</v>
      </c>
      <c r="BZ428" s="2" t="s">
        <v>27</v>
      </c>
      <c r="CA428" s="2"/>
      <c r="CB428" s="2"/>
      <c r="CC428" s="2" t="s">
        <v>235</v>
      </c>
      <c r="CD428" s="2">
        <v>6220</v>
      </c>
      <c r="CE428" s="2" t="s">
        <v>144</v>
      </c>
      <c r="CF428" s="5">
        <v>42835</v>
      </c>
      <c r="CG428" s="2"/>
      <c r="CH428" s="2"/>
      <c r="CI428" s="2">
        <v>1</v>
      </c>
      <c r="CJ428" s="2">
        <v>1</v>
      </c>
      <c r="CK428" s="2">
        <v>21</v>
      </c>
      <c r="CL428" s="2" t="s">
        <v>86</v>
      </c>
      <c r="CM428" s="2"/>
    </row>
    <row r="429" spans="1:91">
      <c r="A429" s="2" t="s">
        <v>71</v>
      </c>
      <c r="B429" s="2" t="s">
        <v>72</v>
      </c>
      <c r="C429" s="2" t="s">
        <v>73</v>
      </c>
      <c r="D429" s="2"/>
      <c r="E429" s="2" t="str">
        <f>"FES1162541455"</f>
        <v>FES1162541455</v>
      </c>
      <c r="F429" s="3">
        <v>42829</v>
      </c>
      <c r="G429" s="2">
        <v>201710</v>
      </c>
      <c r="H429" s="2" t="s">
        <v>74</v>
      </c>
      <c r="I429" s="2" t="s">
        <v>75</v>
      </c>
      <c r="J429" s="2" t="s">
        <v>76</v>
      </c>
      <c r="K429" s="2" t="s">
        <v>77</v>
      </c>
      <c r="L429" s="2" t="s">
        <v>131</v>
      </c>
      <c r="M429" s="2" t="s">
        <v>132</v>
      </c>
      <c r="N429" s="2" t="s">
        <v>384</v>
      </c>
      <c r="O429" s="2" t="s">
        <v>115</v>
      </c>
      <c r="P429" s="2" t="str">
        <f>"2170560534                    "</f>
        <v xml:space="preserve">2170560534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4.42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1.6</v>
      </c>
      <c r="BJ429" s="2">
        <v>0.2</v>
      </c>
      <c r="BK429" s="2">
        <v>2</v>
      </c>
      <c r="BL429" s="2">
        <v>41.86</v>
      </c>
      <c r="BM429" s="2">
        <v>5.86</v>
      </c>
      <c r="BN429" s="2">
        <v>47.72</v>
      </c>
      <c r="BO429" s="2">
        <v>47.72</v>
      </c>
      <c r="BP429" s="2"/>
      <c r="BQ429" s="2" t="s">
        <v>468</v>
      </c>
      <c r="BR429" s="2" t="s">
        <v>123</v>
      </c>
      <c r="BS429" s="3">
        <v>42830</v>
      </c>
      <c r="BT429" s="4">
        <v>0.41666666666666669</v>
      </c>
      <c r="BU429" s="2" t="s">
        <v>469</v>
      </c>
      <c r="BV429" s="2" t="s">
        <v>111</v>
      </c>
      <c r="BW429" s="2"/>
      <c r="BX429" s="2"/>
      <c r="BY429" s="2">
        <v>1200</v>
      </c>
      <c r="BZ429" s="2" t="s">
        <v>27</v>
      </c>
      <c r="CA429" s="2"/>
      <c r="CB429" s="2"/>
      <c r="CC429" s="2" t="s">
        <v>132</v>
      </c>
      <c r="CD429" s="2">
        <v>7405</v>
      </c>
      <c r="CE429" s="2" t="s">
        <v>118</v>
      </c>
      <c r="CF429" s="5">
        <v>42831</v>
      </c>
      <c r="CG429" s="2"/>
      <c r="CH429" s="2"/>
      <c r="CI429" s="2">
        <v>1</v>
      </c>
      <c r="CJ429" s="2">
        <v>1</v>
      </c>
      <c r="CK429" s="2">
        <v>21</v>
      </c>
      <c r="CL429" s="2" t="s">
        <v>86</v>
      </c>
      <c r="CM429" s="2"/>
    </row>
    <row r="430" spans="1:91">
      <c r="A430" s="2" t="s">
        <v>71</v>
      </c>
      <c r="B430" s="2" t="s">
        <v>72</v>
      </c>
      <c r="C430" s="2" t="s">
        <v>73</v>
      </c>
      <c r="D430" s="2"/>
      <c r="E430" s="2" t="str">
        <f>"FES1162542896"</f>
        <v>FES1162542896</v>
      </c>
      <c r="F430" s="3">
        <v>42836</v>
      </c>
      <c r="G430" s="2">
        <v>201710</v>
      </c>
      <c r="H430" s="2" t="s">
        <v>74</v>
      </c>
      <c r="I430" s="2" t="s">
        <v>75</v>
      </c>
      <c r="J430" s="2" t="s">
        <v>76</v>
      </c>
      <c r="K430" s="2" t="s">
        <v>77</v>
      </c>
      <c r="L430" s="2" t="s">
        <v>294</v>
      </c>
      <c r="M430" s="2" t="s">
        <v>295</v>
      </c>
      <c r="N430" s="2" t="s">
        <v>813</v>
      </c>
      <c r="O430" s="2" t="s">
        <v>115</v>
      </c>
      <c r="P430" s="2" t="str">
        <f>"2170568861                    "</f>
        <v xml:space="preserve">2170568861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4.29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1</v>
      </c>
      <c r="BJ430" s="2">
        <v>1.1000000000000001</v>
      </c>
      <c r="BK430" s="2">
        <v>1.5</v>
      </c>
      <c r="BL430" s="2">
        <v>41.73</v>
      </c>
      <c r="BM430" s="2">
        <v>5.84</v>
      </c>
      <c r="BN430" s="2">
        <v>47.57</v>
      </c>
      <c r="BO430" s="2">
        <v>47.57</v>
      </c>
      <c r="BP430" s="2"/>
      <c r="BQ430" s="2" t="s">
        <v>116</v>
      </c>
      <c r="BR430" s="2" t="s">
        <v>123</v>
      </c>
      <c r="BS430" s="3">
        <v>42837</v>
      </c>
      <c r="BT430" s="4">
        <v>0.4375</v>
      </c>
      <c r="BU430" s="2" t="s">
        <v>814</v>
      </c>
      <c r="BV430" s="2" t="s">
        <v>111</v>
      </c>
      <c r="BW430" s="2"/>
      <c r="BX430" s="2"/>
      <c r="BY430" s="2">
        <v>5499.84</v>
      </c>
      <c r="BZ430" s="2" t="s">
        <v>27</v>
      </c>
      <c r="CA430" s="2"/>
      <c r="CB430" s="2"/>
      <c r="CC430" s="2" t="s">
        <v>295</v>
      </c>
      <c r="CD430" s="2">
        <v>3610</v>
      </c>
      <c r="CE430" s="2" t="s">
        <v>144</v>
      </c>
      <c r="CF430" s="5">
        <v>42843</v>
      </c>
      <c r="CG430" s="2"/>
      <c r="CH430" s="2"/>
      <c r="CI430" s="2">
        <v>1</v>
      </c>
      <c r="CJ430" s="2">
        <v>1</v>
      </c>
      <c r="CK430" s="2">
        <v>21</v>
      </c>
      <c r="CL430" s="2" t="s">
        <v>86</v>
      </c>
      <c r="CM430" s="2"/>
    </row>
    <row r="431" spans="1:91">
      <c r="A431" s="2" t="s">
        <v>71</v>
      </c>
      <c r="B431" s="2" t="s">
        <v>72</v>
      </c>
      <c r="C431" s="2" t="s">
        <v>73</v>
      </c>
      <c r="D431" s="2"/>
      <c r="E431" s="2" t="str">
        <f>"FES1162541622"</f>
        <v>FES1162541622</v>
      </c>
      <c r="F431" s="3">
        <v>42830</v>
      </c>
      <c r="G431" s="2">
        <v>201710</v>
      </c>
      <c r="H431" s="2" t="s">
        <v>74</v>
      </c>
      <c r="I431" s="2" t="s">
        <v>75</v>
      </c>
      <c r="J431" s="2" t="s">
        <v>76</v>
      </c>
      <c r="K431" s="2" t="s">
        <v>77</v>
      </c>
      <c r="L431" s="2" t="s">
        <v>74</v>
      </c>
      <c r="M431" s="2" t="s">
        <v>75</v>
      </c>
      <c r="N431" s="2" t="s">
        <v>976</v>
      </c>
      <c r="O431" s="2" t="s">
        <v>115</v>
      </c>
      <c r="P431" s="2" t="str">
        <f>"2170558006                    "</f>
        <v xml:space="preserve">2170558006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3.35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1</v>
      </c>
      <c r="BJ431" s="2">
        <v>0.2</v>
      </c>
      <c r="BK431" s="2">
        <v>1</v>
      </c>
      <c r="BL431" s="2">
        <v>32.6</v>
      </c>
      <c r="BM431" s="2">
        <v>4.5599999999999996</v>
      </c>
      <c r="BN431" s="2">
        <v>37.159999999999997</v>
      </c>
      <c r="BO431" s="2">
        <v>37.159999999999997</v>
      </c>
      <c r="BP431" s="2"/>
      <c r="BQ431" s="2" t="s">
        <v>122</v>
      </c>
      <c r="BR431" s="2" t="s">
        <v>123</v>
      </c>
      <c r="BS431" s="3">
        <v>42831</v>
      </c>
      <c r="BT431" s="4">
        <v>0.41666666666666669</v>
      </c>
      <c r="BU431" s="2" t="s">
        <v>977</v>
      </c>
      <c r="BV431" s="2" t="s">
        <v>111</v>
      </c>
      <c r="BW431" s="2"/>
      <c r="BX431" s="2"/>
      <c r="BY431" s="2">
        <v>1200</v>
      </c>
      <c r="BZ431" s="2" t="s">
        <v>27</v>
      </c>
      <c r="CA431" s="2"/>
      <c r="CB431" s="2"/>
      <c r="CC431" s="2" t="s">
        <v>75</v>
      </c>
      <c r="CD431" s="2">
        <v>1666</v>
      </c>
      <c r="CE431" s="2" t="s">
        <v>118</v>
      </c>
      <c r="CF431" s="5">
        <v>42832</v>
      </c>
      <c r="CG431" s="2"/>
      <c r="CH431" s="2"/>
      <c r="CI431" s="2">
        <v>1</v>
      </c>
      <c r="CJ431" s="2">
        <v>1</v>
      </c>
      <c r="CK431" s="2">
        <v>22</v>
      </c>
      <c r="CL431" s="2" t="s">
        <v>86</v>
      </c>
      <c r="CM431" s="2"/>
    </row>
    <row r="432" spans="1:91">
      <c r="A432" s="2" t="s">
        <v>71</v>
      </c>
      <c r="B432" s="2" t="s">
        <v>72</v>
      </c>
      <c r="C432" s="2" t="s">
        <v>73</v>
      </c>
      <c r="D432" s="2"/>
      <c r="E432" s="2" t="str">
        <f>"FES1162541672"</f>
        <v>FES1162541672</v>
      </c>
      <c r="F432" s="3">
        <v>42830</v>
      </c>
      <c r="G432" s="2">
        <v>201710</v>
      </c>
      <c r="H432" s="2" t="s">
        <v>74</v>
      </c>
      <c r="I432" s="2" t="s">
        <v>75</v>
      </c>
      <c r="J432" s="2" t="s">
        <v>76</v>
      </c>
      <c r="K432" s="2" t="s">
        <v>77</v>
      </c>
      <c r="L432" s="2" t="s">
        <v>294</v>
      </c>
      <c r="M432" s="2" t="s">
        <v>295</v>
      </c>
      <c r="N432" s="2" t="s">
        <v>978</v>
      </c>
      <c r="O432" s="2" t="s">
        <v>115</v>
      </c>
      <c r="P432" s="2" t="str">
        <f>"2170559351                    "</f>
        <v xml:space="preserve">2170559351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4.29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1</v>
      </c>
      <c r="BJ432" s="2">
        <v>0.2</v>
      </c>
      <c r="BK432" s="2">
        <v>1</v>
      </c>
      <c r="BL432" s="2">
        <v>41.73</v>
      </c>
      <c r="BM432" s="2">
        <v>5.84</v>
      </c>
      <c r="BN432" s="2">
        <v>47.57</v>
      </c>
      <c r="BO432" s="2">
        <v>47.57</v>
      </c>
      <c r="BP432" s="2"/>
      <c r="BQ432" s="2" t="s">
        <v>129</v>
      </c>
      <c r="BR432" s="2" t="s">
        <v>123</v>
      </c>
      <c r="BS432" s="3">
        <v>42831</v>
      </c>
      <c r="BT432" s="4">
        <v>0.4375</v>
      </c>
      <c r="BU432" s="2" t="s">
        <v>130</v>
      </c>
      <c r="BV432" s="2" t="s">
        <v>111</v>
      </c>
      <c r="BW432" s="2"/>
      <c r="BX432" s="2"/>
      <c r="BY432" s="2">
        <v>1200</v>
      </c>
      <c r="BZ432" s="2" t="s">
        <v>27</v>
      </c>
      <c r="CA432" s="2"/>
      <c r="CB432" s="2"/>
      <c r="CC432" s="2" t="s">
        <v>295</v>
      </c>
      <c r="CD432" s="2">
        <v>3610</v>
      </c>
      <c r="CE432" s="2" t="s">
        <v>144</v>
      </c>
      <c r="CF432" s="5">
        <v>42832</v>
      </c>
      <c r="CG432" s="2"/>
      <c r="CH432" s="2"/>
      <c r="CI432" s="2">
        <v>1</v>
      </c>
      <c r="CJ432" s="2">
        <v>1</v>
      </c>
      <c r="CK432" s="2">
        <v>21</v>
      </c>
      <c r="CL432" s="2" t="s">
        <v>86</v>
      </c>
      <c r="CM432" s="2"/>
    </row>
    <row r="433" spans="1:91">
      <c r="A433" s="2" t="s">
        <v>71</v>
      </c>
      <c r="B433" s="2" t="s">
        <v>72</v>
      </c>
      <c r="C433" s="2" t="s">
        <v>73</v>
      </c>
      <c r="D433" s="2"/>
      <c r="E433" s="2" t="str">
        <f>"FES1162543180"</f>
        <v>FES1162543180</v>
      </c>
      <c r="F433" s="3">
        <v>42837</v>
      </c>
      <c r="G433" s="2">
        <v>201710</v>
      </c>
      <c r="H433" s="2" t="s">
        <v>74</v>
      </c>
      <c r="I433" s="2" t="s">
        <v>75</v>
      </c>
      <c r="J433" s="2" t="s">
        <v>76</v>
      </c>
      <c r="K433" s="2" t="s">
        <v>77</v>
      </c>
      <c r="L433" s="2" t="s">
        <v>180</v>
      </c>
      <c r="M433" s="2" t="s">
        <v>181</v>
      </c>
      <c r="N433" s="2" t="s">
        <v>839</v>
      </c>
      <c r="O433" s="2" t="s">
        <v>115</v>
      </c>
      <c r="P433" s="2" t="str">
        <f>"2170559850                    "</f>
        <v xml:space="preserve">2170559850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4.29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1</v>
      </c>
      <c r="BJ433" s="2">
        <v>0.2</v>
      </c>
      <c r="BK433" s="2">
        <v>1</v>
      </c>
      <c r="BL433" s="2">
        <v>41.73</v>
      </c>
      <c r="BM433" s="2">
        <v>5.84</v>
      </c>
      <c r="BN433" s="2">
        <v>47.57</v>
      </c>
      <c r="BO433" s="2">
        <v>47.57</v>
      </c>
      <c r="BP433" s="2"/>
      <c r="BQ433" s="2" t="s">
        <v>840</v>
      </c>
      <c r="BR433" s="2" t="s">
        <v>84</v>
      </c>
      <c r="BS433" s="3">
        <v>42838</v>
      </c>
      <c r="BT433" s="4">
        <v>0.40277777777777773</v>
      </c>
      <c r="BU433" s="2" t="s">
        <v>186</v>
      </c>
      <c r="BV433" s="2" t="s">
        <v>111</v>
      </c>
      <c r="BW433" s="2"/>
      <c r="BX433" s="2"/>
      <c r="BY433" s="2">
        <v>1200</v>
      </c>
      <c r="BZ433" s="2" t="s">
        <v>27</v>
      </c>
      <c r="CA433" s="2" t="s">
        <v>159</v>
      </c>
      <c r="CB433" s="2"/>
      <c r="CC433" s="2" t="s">
        <v>181</v>
      </c>
      <c r="CD433" s="2">
        <v>4052</v>
      </c>
      <c r="CE433" s="2" t="s">
        <v>118</v>
      </c>
      <c r="CF433" s="5">
        <v>42843</v>
      </c>
      <c r="CG433" s="2"/>
      <c r="CH433" s="2"/>
      <c r="CI433" s="2">
        <v>1</v>
      </c>
      <c r="CJ433" s="2">
        <v>1</v>
      </c>
      <c r="CK433" s="2">
        <v>21</v>
      </c>
      <c r="CL433" s="2" t="s">
        <v>86</v>
      </c>
      <c r="CM433" s="2"/>
    </row>
    <row r="434" spans="1:91">
      <c r="A434" s="2" t="s">
        <v>71</v>
      </c>
      <c r="B434" s="2" t="s">
        <v>72</v>
      </c>
      <c r="C434" s="2" t="s">
        <v>73</v>
      </c>
      <c r="D434" s="2"/>
      <c r="E434" s="2" t="str">
        <f>"FES1162542024"</f>
        <v>FES1162542024</v>
      </c>
      <c r="F434" s="3">
        <v>42831</v>
      </c>
      <c r="G434" s="2">
        <v>201710</v>
      </c>
      <c r="H434" s="2" t="s">
        <v>74</v>
      </c>
      <c r="I434" s="2" t="s">
        <v>75</v>
      </c>
      <c r="J434" s="2" t="s">
        <v>76</v>
      </c>
      <c r="K434" s="2" t="s">
        <v>77</v>
      </c>
      <c r="L434" s="2" t="s">
        <v>187</v>
      </c>
      <c r="M434" s="2" t="s">
        <v>146</v>
      </c>
      <c r="N434" s="2" t="s">
        <v>979</v>
      </c>
      <c r="O434" s="2" t="s">
        <v>115</v>
      </c>
      <c r="P434" s="2" t="str">
        <f>"2170559996                    "</f>
        <v xml:space="preserve">2170559996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5.36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1</v>
      </c>
      <c r="BJ434" s="2">
        <v>2.2000000000000002</v>
      </c>
      <c r="BK434" s="2">
        <v>2.5</v>
      </c>
      <c r="BL434" s="2">
        <v>52.16</v>
      </c>
      <c r="BM434" s="2">
        <v>7.3</v>
      </c>
      <c r="BN434" s="2">
        <v>59.46</v>
      </c>
      <c r="BO434" s="2">
        <v>59.46</v>
      </c>
      <c r="BP434" s="2"/>
      <c r="BQ434" s="2" t="s">
        <v>980</v>
      </c>
      <c r="BR434" s="2" t="s">
        <v>123</v>
      </c>
      <c r="BS434" s="3">
        <v>42832</v>
      </c>
      <c r="BT434" s="4">
        <v>0.4236111111111111</v>
      </c>
      <c r="BU434" s="2" t="s">
        <v>981</v>
      </c>
      <c r="BV434" s="2" t="s">
        <v>111</v>
      </c>
      <c r="BW434" s="2"/>
      <c r="BX434" s="2"/>
      <c r="BY434" s="2">
        <v>10986.68</v>
      </c>
      <c r="BZ434" s="2" t="s">
        <v>27</v>
      </c>
      <c r="CA434" s="2"/>
      <c r="CB434" s="2"/>
      <c r="CC434" s="2" t="s">
        <v>146</v>
      </c>
      <c r="CD434" s="2">
        <v>200</v>
      </c>
      <c r="CE434" s="2" t="s">
        <v>144</v>
      </c>
      <c r="CF434" s="5">
        <v>42836</v>
      </c>
      <c r="CG434" s="2"/>
      <c r="CH434" s="2"/>
      <c r="CI434" s="2">
        <v>0</v>
      </c>
      <c r="CJ434" s="2">
        <v>0</v>
      </c>
      <c r="CK434" s="2">
        <v>21</v>
      </c>
      <c r="CL434" s="2" t="s">
        <v>86</v>
      </c>
      <c r="CM434" s="2"/>
    </row>
    <row r="435" spans="1:91">
      <c r="A435" s="2" t="s">
        <v>71</v>
      </c>
      <c r="B435" s="2" t="s">
        <v>72</v>
      </c>
      <c r="C435" s="2" t="s">
        <v>73</v>
      </c>
      <c r="D435" s="2"/>
      <c r="E435" s="2" t="str">
        <f>"FES1162541446"</f>
        <v>FES1162541446</v>
      </c>
      <c r="F435" s="3">
        <v>42829</v>
      </c>
      <c r="G435" s="2">
        <v>201710</v>
      </c>
      <c r="H435" s="2" t="s">
        <v>74</v>
      </c>
      <c r="I435" s="2" t="s">
        <v>75</v>
      </c>
      <c r="J435" s="2" t="s">
        <v>76</v>
      </c>
      <c r="K435" s="2" t="s">
        <v>77</v>
      </c>
      <c r="L435" s="2" t="s">
        <v>609</v>
      </c>
      <c r="M435" s="2" t="s">
        <v>610</v>
      </c>
      <c r="N435" s="2" t="s">
        <v>982</v>
      </c>
      <c r="O435" s="2" t="s">
        <v>115</v>
      </c>
      <c r="P435" s="2" t="str">
        <f>"2170556516                    "</f>
        <v xml:space="preserve">2170556516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4.42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</v>
      </c>
      <c r="BJ435" s="2">
        <v>0.2</v>
      </c>
      <c r="BK435" s="2">
        <v>1</v>
      </c>
      <c r="BL435" s="2">
        <v>41.86</v>
      </c>
      <c r="BM435" s="2">
        <v>5.86</v>
      </c>
      <c r="BN435" s="2">
        <v>47.72</v>
      </c>
      <c r="BO435" s="2">
        <v>47.72</v>
      </c>
      <c r="BP435" s="2"/>
      <c r="BQ435" s="2" t="s">
        <v>129</v>
      </c>
      <c r="BR435" s="2" t="s">
        <v>123</v>
      </c>
      <c r="BS435" s="3">
        <v>42830</v>
      </c>
      <c r="BT435" s="4">
        <v>0.5</v>
      </c>
      <c r="BU435" s="2" t="s">
        <v>983</v>
      </c>
      <c r="BV435" s="2" t="s">
        <v>86</v>
      </c>
      <c r="BW435" s="2"/>
      <c r="BX435" s="2"/>
      <c r="BY435" s="2">
        <v>1200</v>
      </c>
      <c r="BZ435" s="2" t="s">
        <v>27</v>
      </c>
      <c r="CA435" s="2"/>
      <c r="CB435" s="2"/>
      <c r="CC435" s="2" t="s">
        <v>610</v>
      </c>
      <c r="CD435" s="2">
        <v>1911</v>
      </c>
      <c r="CE435" s="2" t="s">
        <v>118</v>
      </c>
      <c r="CF435" s="5">
        <v>42832</v>
      </c>
      <c r="CG435" s="2"/>
      <c r="CH435" s="2"/>
      <c r="CI435" s="2">
        <v>1</v>
      </c>
      <c r="CJ435" s="2">
        <v>1</v>
      </c>
      <c r="CK435" s="2">
        <v>21</v>
      </c>
      <c r="CL435" s="2" t="s">
        <v>86</v>
      </c>
      <c r="CM435" s="2"/>
    </row>
    <row r="436" spans="1:91">
      <c r="A436" s="2" t="s">
        <v>71</v>
      </c>
      <c r="B436" s="2" t="s">
        <v>72</v>
      </c>
      <c r="C436" s="2" t="s">
        <v>73</v>
      </c>
      <c r="D436" s="2"/>
      <c r="E436" s="2" t="str">
        <f>"FES1162542790"</f>
        <v>FES1162542790</v>
      </c>
      <c r="F436" s="3">
        <v>42836</v>
      </c>
      <c r="G436" s="2">
        <v>201710</v>
      </c>
      <c r="H436" s="2" t="s">
        <v>74</v>
      </c>
      <c r="I436" s="2" t="s">
        <v>75</v>
      </c>
      <c r="J436" s="2" t="s">
        <v>76</v>
      </c>
      <c r="K436" s="2" t="s">
        <v>77</v>
      </c>
      <c r="L436" s="2" t="s">
        <v>503</v>
      </c>
      <c r="M436" s="2" t="s">
        <v>504</v>
      </c>
      <c r="N436" s="2" t="s">
        <v>984</v>
      </c>
      <c r="O436" s="2" t="s">
        <v>115</v>
      </c>
      <c r="P436" s="2" t="str">
        <f>"2170561669                    "</f>
        <v xml:space="preserve">2170561669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3.35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1</v>
      </c>
      <c r="BJ436" s="2">
        <v>0.2</v>
      </c>
      <c r="BK436" s="2">
        <v>1</v>
      </c>
      <c r="BL436" s="2">
        <v>32.6</v>
      </c>
      <c r="BM436" s="2">
        <v>4.5599999999999996</v>
      </c>
      <c r="BN436" s="2">
        <v>37.159999999999997</v>
      </c>
      <c r="BO436" s="2">
        <v>37.159999999999997</v>
      </c>
      <c r="BP436" s="2"/>
      <c r="BQ436" s="2" t="s">
        <v>985</v>
      </c>
      <c r="BR436" s="2" t="s">
        <v>123</v>
      </c>
      <c r="BS436" s="3">
        <v>42837</v>
      </c>
      <c r="BT436" s="4">
        <v>0.4201388888888889</v>
      </c>
      <c r="BU436" s="2" t="s">
        <v>986</v>
      </c>
      <c r="BV436" s="2" t="s">
        <v>111</v>
      </c>
      <c r="BW436" s="2"/>
      <c r="BX436" s="2"/>
      <c r="BY436" s="2">
        <v>1200</v>
      </c>
      <c r="BZ436" s="2" t="s">
        <v>27</v>
      </c>
      <c r="CA436" s="2"/>
      <c r="CB436" s="2"/>
      <c r="CC436" s="2" t="s">
        <v>504</v>
      </c>
      <c r="CD436" s="2">
        <v>1501</v>
      </c>
      <c r="CE436" s="2" t="s">
        <v>118</v>
      </c>
      <c r="CF436" s="5">
        <v>42838</v>
      </c>
      <c r="CG436" s="2"/>
      <c r="CH436" s="2"/>
      <c r="CI436" s="2">
        <v>1</v>
      </c>
      <c r="CJ436" s="2">
        <v>1</v>
      </c>
      <c r="CK436" s="2">
        <v>22</v>
      </c>
      <c r="CL436" s="2" t="s">
        <v>86</v>
      </c>
      <c r="CM436" s="2"/>
    </row>
    <row r="437" spans="1:91">
      <c r="A437" s="2" t="s">
        <v>71</v>
      </c>
      <c r="B437" s="2" t="s">
        <v>72</v>
      </c>
      <c r="C437" s="2" t="s">
        <v>73</v>
      </c>
      <c r="D437" s="2"/>
      <c r="E437" s="2" t="str">
        <f>"FES1162541694"</f>
        <v>FES1162541694</v>
      </c>
      <c r="F437" s="3">
        <v>42830</v>
      </c>
      <c r="G437" s="2">
        <v>201710</v>
      </c>
      <c r="H437" s="2" t="s">
        <v>74</v>
      </c>
      <c r="I437" s="2" t="s">
        <v>75</v>
      </c>
      <c r="J437" s="2" t="s">
        <v>76</v>
      </c>
      <c r="K437" s="2" t="s">
        <v>77</v>
      </c>
      <c r="L437" s="2" t="s">
        <v>131</v>
      </c>
      <c r="M437" s="2" t="s">
        <v>132</v>
      </c>
      <c r="N437" s="2" t="s">
        <v>564</v>
      </c>
      <c r="O437" s="2" t="s">
        <v>115</v>
      </c>
      <c r="P437" s="2" t="str">
        <f>"2170560528                    "</f>
        <v xml:space="preserve">2170560528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4.29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</v>
      </c>
      <c r="BJ437" s="2">
        <v>0.2</v>
      </c>
      <c r="BK437" s="2">
        <v>1</v>
      </c>
      <c r="BL437" s="2">
        <v>41.73</v>
      </c>
      <c r="BM437" s="2">
        <v>5.84</v>
      </c>
      <c r="BN437" s="2">
        <v>47.57</v>
      </c>
      <c r="BO437" s="2">
        <v>47.57</v>
      </c>
      <c r="BP437" s="2"/>
      <c r="BQ437" s="2" t="s">
        <v>565</v>
      </c>
      <c r="BR437" s="2" t="s">
        <v>123</v>
      </c>
      <c r="BS437" s="3">
        <v>42831</v>
      </c>
      <c r="BT437" s="4">
        <v>0.35069444444444442</v>
      </c>
      <c r="BU437" s="2" t="s">
        <v>987</v>
      </c>
      <c r="BV437" s="2" t="s">
        <v>111</v>
      </c>
      <c r="BW437" s="2"/>
      <c r="BX437" s="2"/>
      <c r="BY437" s="2">
        <v>1200</v>
      </c>
      <c r="BZ437" s="2" t="s">
        <v>27</v>
      </c>
      <c r="CA437" s="2"/>
      <c r="CB437" s="2"/>
      <c r="CC437" s="2" t="s">
        <v>132</v>
      </c>
      <c r="CD437" s="2">
        <v>7500</v>
      </c>
      <c r="CE437" s="2" t="s">
        <v>118</v>
      </c>
      <c r="CF437" s="2"/>
      <c r="CG437" s="2"/>
      <c r="CH437" s="2"/>
      <c r="CI437" s="2">
        <v>1</v>
      </c>
      <c r="CJ437" s="2">
        <v>1</v>
      </c>
      <c r="CK437" s="2">
        <v>21</v>
      </c>
      <c r="CL437" s="2" t="s">
        <v>86</v>
      </c>
      <c r="CM437" s="2"/>
    </row>
    <row r="438" spans="1:91">
      <c r="A438" s="2" t="s">
        <v>71</v>
      </c>
      <c r="B438" s="2" t="s">
        <v>72</v>
      </c>
      <c r="C438" s="2" t="s">
        <v>73</v>
      </c>
      <c r="D438" s="2"/>
      <c r="E438" s="2" t="str">
        <f>"FES1162541655"</f>
        <v>FES1162541655</v>
      </c>
      <c r="F438" s="3">
        <v>42830</v>
      </c>
      <c r="G438" s="2">
        <v>201710</v>
      </c>
      <c r="H438" s="2" t="s">
        <v>74</v>
      </c>
      <c r="I438" s="2" t="s">
        <v>75</v>
      </c>
      <c r="J438" s="2" t="s">
        <v>76</v>
      </c>
      <c r="K438" s="2" t="s">
        <v>77</v>
      </c>
      <c r="L438" s="2" t="s">
        <v>180</v>
      </c>
      <c r="M438" s="2" t="s">
        <v>181</v>
      </c>
      <c r="N438" s="2" t="s">
        <v>988</v>
      </c>
      <c r="O438" s="2" t="s">
        <v>115</v>
      </c>
      <c r="P438" s="2" t="str">
        <f>"2170558497                    "</f>
        <v xml:space="preserve">2170558497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4.29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0.2</v>
      </c>
      <c r="BK438" s="2">
        <v>1</v>
      </c>
      <c r="BL438" s="2">
        <v>41.73</v>
      </c>
      <c r="BM438" s="2">
        <v>5.84</v>
      </c>
      <c r="BN438" s="2">
        <v>47.57</v>
      </c>
      <c r="BO438" s="2">
        <v>47.57</v>
      </c>
      <c r="BP438" s="2"/>
      <c r="BQ438" s="2" t="s">
        <v>83</v>
      </c>
      <c r="BR438" s="2" t="s">
        <v>123</v>
      </c>
      <c r="BS438" s="3">
        <v>42831</v>
      </c>
      <c r="BT438" s="4">
        <v>0.4375</v>
      </c>
      <c r="BU438" s="2" t="s">
        <v>989</v>
      </c>
      <c r="BV438" s="2" t="s">
        <v>111</v>
      </c>
      <c r="BW438" s="2"/>
      <c r="BX438" s="2"/>
      <c r="BY438" s="2">
        <v>1200</v>
      </c>
      <c r="BZ438" s="2" t="s">
        <v>27</v>
      </c>
      <c r="CA438" s="2"/>
      <c r="CB438" s="2"/>
      <c r="CC438" s="2" t="s">
        <v>181</v>
      </c>
      <c r="CD438" s="2">
        <v>4068</v>
      </c>
      <c r="CE438" s="2" t="s">
        <v>144</v>
      </c>
      <c r="CF438" s="5">
        <v>42832</v>
      </c>
      <c r="CG438" s="2"/>
      <c r="CH438" s="2"/>
      <c r="CI438" s="2">
        <v>1</v>
      </c>
      <c r="CJ438" s="2">
        <v>1</v>
      </c>
      <c r="CK438" s="2">
        <v>21</v>
      </c>
      <c r="CL438" s="2" t="s">
        <v>86</v>
      </c>
      <c r="CM438" s="2"/>
    </row>
    <row r="439" spans="1:91">
      <c r="A439" s="2" t="s">
        <v>71</v>
      </c>
      <c r="B439" s="2" t="s">
        <v>72</v>
      </c>
      <c r="C439" s="2" t="s">
        <v>73</v>
      </c>
      <c r="D439" s="2"/>
      <c r="E439" s="2" t="str">
        <f>"FES1162543240"</f>
        <v>FES1162543240</v>
      </c>
      <c r="F439" s="3">
        <v>42837</v>
      </c>
      <c r="G439" s="2">
        <v>201710</v>
      </c>
      <c r="H439" s="2" t="s">
        <v>74</v>
      </c>
      <c r="I439" s="2" t="s">
        <v>75</v>
      </c>
      <c r="J439" s="2" t="s">
        <v>76</v>
      </c>
      <c r="K439" s="2" t="s">
        <v>77</v>
      </c>
      <c r="L439" s="2" t="s">
        <v>275</v>
      </c>
      <c r="M439" s="2" t="s">
        <v>276</v>
      </c>
      <c r="N439" s="2" t="s">
        <v>277</v>
      </c>
      <c r="O439" s="2" t="s">
        <v>115</v>
      </c>
      <c r="P439" s="2" t="str">
        <f>"2170558907                    "</f>
        <v xml:space="preserve">2170558907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4.29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1.9</v>
      </c>
      <c r="BJ439" s="2">
        <v>0.2</v>
      </c>
      <c r="BK439" s="2">
        <v>2</v>
      </c>
      <c r="BL439" s="2">
        <v>41.73</v>
      </c>
      <c r="BM439" s="2">
        <v>5.84</v>
      </c>
      <c r="BN439" s="2">
        <v>47.57</v>
      </c>
      <c r="BO439" s="2">
        <v>47.57</v>
      </c>
      <c r="BP439" s="2"/>
      <c r="BQ439" s="2" t="s">
        <v>278</v>
      </c>
      <c r="BR439" s="2" t="s">
        <v>84</v>
      </c>
      <c r="BS439" s="3">
        <v>42838</v>
      </c>
      <c r="BT439" s="4">
        <v>0.39583333333333331</v>
      </c>
      <c r="BU439" s="2" t="s">
        <v>279</v>
      </c>
      <c r="BV439" s="2" t="s">
        <v>111</v>
      </c>
      <c r="BW439" s="2"/>
      <c r="BX439" s="2"/>
      <c r="BY439" s="2">
        <v>1200</v>
      </c>
      <c r="BZ439" s="2" t="s">
        <v>27</v>
      </c>
      <c r="CA439" s="2"/>
      <c r="CB439" s="2"/>
      <c r="CC439" s="2" t="s">
        <v>276</v>
      </c>
      <c r="CD439" s="2">
        <v>4126</v>
      </c>
      <c r="CE439" s="2" t="s">
        <v>118</v>
      </c>
      <c r="CF439" s="5">
        <v>42843</v>
      </c>
      <c r="CG439" s="2"/>
      <c r="CH439" s="2"/>
      <c r="CI439" s="2">
        <v>1</v>
      </c>
      <c r="CJ439" s="2">
        <v>1</v>
      </c>
      <c r="CK439" s="2">
        <v>21</v>
      </c>
      <c r="CL439" s="2" t="s">
        <v>86</v>
      </c>
      <c r="CM439" s="2"/>
    </row>
    <row r="440" spans="1:91">
      <c r="A440" s="2" t="s">
        <v>71</v>
      </c>
      <c r="B440" s="2" t="s">
        <v>72</v>
      </c>
      <c r="C440" s="2" t="s">
        <v>73</v>
      </c>
      <c r="D440" s="2"/>
      <c r="E440" s="2" t="str">
        <f>"FES1162541869"</f>
        <v>FES1162541869</v>
      </c>
      <c r="F440" s="3">
        <v>42831</v>
      </c>
      <c r="G440" s="2">
        <v>201710</v>
      </c>
      <c r="H440" s="2" t="s">
        <v>74</v>
      </c>
      <c r="I440" s="2" t="s">
        <v>75</v>
      </c>
      <c r="J440" s="2" t="s">
        <v>76</v>
      </c>
      <c r="K440" s="2" t="s">
        <v>77</v>
      </c>
      <c r="L440" s="2" t="s">
        <v>99</v>
      </c>
      <c r="M440" s="2" t="s">
        <v>100</v>
      </c>
      <c r="N440" s="2" t="s">
        <v>108</v>
      </c>
      <c r="O440" s="2" t="s">
        <v>115</v>
      </c>
      <c r="P440" s="2" t="str">
        <f>"2170556342                    "</f>
        <v xml:space="preserve">2170556342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5.36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2</v>
      </c>
      <c r="BJ440" s="2">
        <v>2.4</v>
      </c>
      <c r="BK440" s="2">
        <v>2.5</v>
      </c>
      <c r="BL440" s="2">
        <v>52.16</v>
      </c>
      <c r="BM440" s="2">
        <v>7.3</v>
      </c>
      <c r="BN440" s="2">
        <v>59.46</v>
      </c>
      <c r="BO440" s="2">
        <v>59.46</v>
      </c>
      <c r="BP440" s="2"/>
      <c r="BQ440" s="2" t="s">
        <v>109</v>
      </c>
      <c r="BR440" s="2" t="s">
        <v>123</v>
      </c>
      <c r="BS440" s="3">
        <v>42832</v>
      </c>
      <c r="BT440" s="4">
        <v>0.39583333333333331</v>
      </c>
      <c r="BU440" s="2" t="s">
        <v>110</v>
      </c>
      <c r="BV440" s="2" t="s">
        <v>111</v>
      </c>
      <c r="BW440" s="2"/>
      <c r="BX440" s="2"/>
      <c r="BY440" s="2">
        <v>12048.61</v>
      </c>
      <c r="BZ440" s="2" t="s">
        <v>27</v>
      </c>
      <c r="CA440" s="2" t="s">
        <v>106</v>
      </c>
      <c r="CB440" s="2"/>
      <c r="CC440" s="2" t="s">
        <v>100</v>
      </c>
      <c r="CD440" s="2">
        <v>6001</v>
      </c>
      <c r="CE440" s="2" t="s">
        <v>144</v>
      </c>
      <c r="CF440" s="5">
        <v>42832</v>
      </c>
      <c r="CG440" s="2"/>
      <c r="CH440" s="2"/>
      <c r="CI440" s="2">
        <v>1</v>
      </c>
      <c r="CJ440" s="2">
        <v>1</v>
      </c>
      <c r="CK440" s="2">
        <v>21</v>
      </c>
      <c r="CL440" s="2" t="s">
        <v>86</v>
      </c>
      <c r="CM440" s="2"/>
    </row>
    <row r="441" spans="1:91">
      <c r="A441" s="2" t="s">
        <v>71</v>
      </c>
      <c r="B441" s="2" t="s">
        <v>72</v>
      </c>
      <c r="C441" s="2" t="s">
        <v>73</v>
      </c>
      <c r="D441" s="2"/>
      <c r="E441" s="2" t="str">
        <f>"FES1162542803"</f>
        <v>FES1162542803</v>
      </c>
      <c r="F441" s="3">
        <v>42836</v>
      </c>
      <c r="G441" s="2">
        <v>201710</v>
      </c>
      <c r="H441" s="2" t="s">
        <v>74</v>
      </c>
      <c r="I441" s="2" t="s">
        <v>75</v>
      </c>
      <c r="J441" s="2" t="s">
        <v>76</v>
      </c>
      <c r="K441" s="2" t="s">
        <v>77</v>
      </c>
      <c r="L441" s="2" t="s">
        <v>180</v>
      </c>
      <c r="M441" s="2" t="s">
        <v>181</v>
      </c>
      <c r="N441" s="2" t="s">
        <v>185</v>
      </c>
      <c r="O441" s="2" t="s">
        <v>115</v>
      </c>
      <c r="P441" s="2" t="str">
        <f>"2170561152                    "</f>
        <v xml:space="preserve">2170561152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4.29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1.7</v>
      </c>
      <c r="BJ441" s="2">
        <v>0.2</v>
      </c>
      <c r="BK441" s="2">
        <v>2</v>
      </c>
      <c r="BL441" s="2">
        <v>41.73</v>
      </c>
      <c r="BM441" s="2">
        <v>5.84</v>
      </c>
      <c r="BN441" s="2">
        <v>47.57</v>
      </c>
      <c r="BO441" s="2">
        <v>47.57</v>
      </c>
      <c r="BP441" s="2"/>
      <c r="BQ441" s="2" t="s">
        <v>129</v>
      </c>
      <c r="BR441" s="2" t="s">
        <v>123</v>
      </c>
      <c r="BS441" s="3">
        <v>42837</v>
      </c>
      <c r="BT441" s="4">
        <v>0.4375</v>
      </c>
      <c r="BU441" s="2" t="s">
        <v>990</v>
      </c>
      <c r="BV441" s="2" t="s">
        <v>111</v>
      </c>
      <c r="BW441" s="2"/>
      <c r="BX441" s="2"/>
      <c r="BY441" s="2">
        <v>1200</v>
      </c>
      <c r="BZ441" s="2" t="s">
        <v>27</v>
      </c>
      <c r="CA441" s="2" t="s">
        <v>159</v>
      </c>
      <c r="CB441" s="2"/>
      <c r="CC441" s="2" t="s">
        <v>181</v>
      </c>
      <c r="CD441" s="2">
        <v>4052</v>
      </c>
      <c r="CE441" s="2" t="s">
        <v>144</v>
      </c>
      <c r="CF441" s="5">
        <v>42843</v>
      </c>
      <c r="CG441" s="2"/>
      <c r="CH441" s="2"/>
      <c r="CI441" s="2">
        <v>1</v>
      </c>
      <c r="CJ441" s="2">
        <v>1</v>
      </c>
      <c r="CK441" s="2">
        <v>21</v>
      </c>
      <c r="CL441" s="2" t="s">
        <v>86</v>
      </c>
      <c r="CM441" s="2"/>
    </row>
    <row r="442" spans="1:91">
      <c r="A442" s="2" t="s">
        <v>71</v>
      </c>
      <c r="B442" s="2" t="s">
        <v>72</v>
      </c>
      <c r="C442" s="2" t="s">
        <v>73</v>
      </c>
      <c r="D442" s="2"/>
      <c r="E442" s="2" t="str">
        <f>"FES1162541674"</f>
        <v>FES1162541674</v>
      </c>
      <c r="F442" s="3">
        <v>42830</v>
      </c>
      <c r="G442" s="2">
        <v>201710</v>
      </c>
      <c r="H442" s="2" t="s">
        <v>74</v>
      </c>
      <c r="I442" s="2" t="s">
        <v>75</v>
      </c>
      <c r="J442" s="2" t="s">
        <v>76</v>
      </c>
      <c r="K442" s="2" t="s">
        <v>77</v>
      </c>
      <c r="L442" s="2" t="s">
        <v>991</v>
      </c>
      <c r="M442" s="2" t="s">
        <v>992</v>
      </c>
      <c r="N442" s="2" t="s">
        <v>993</v>
      </c>
      <c r="O442" s="2" t="s">
        <v>115</v>
      </c>
      <c r="P442" s="2" t="str">
        <f>"2170559654                    "</f>
        <v xml:space="preserve">2170559654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4.29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</v>
      </c>
      <c r="BJ442" s="2">
        <v>0.2</v>
      </c>
      <c r="BK442" s="2">
        <v>1</v>
      </c>
      <c r="BL442" s="2">
        <v>41.73</v>
      </c>
      <c r="BM442" s="2">
        <v>5.84</v>
      </c>
      <c r="BN442" s="2">
        <v>47.57</v>
      </c>
      <c r="BO442" s="2">
        <v>47.57</v>
      </c>
      <c r="BP442" s="2"/>
      <c r="BQ442" s="2" t="s">
        <v>994</v>
      </c>
      <c r="BR442" s="2" t="s">
        <v>123</v>
      </c>
      <c r="BS442" s="3">
        <v>42831</v>
      </c>
      <c r="BT442" s="4">
        <v>0.56597222222222221</v>
      </c>
      <c r="BU442" s="2" t="s">
        <v>995</v>
      </c>
      <c r="BV442" s="2" t="s">
        <v>111</v>
      </c>
      <c r="BW442" s="2"/>
      <c r="BX442" s="2"/>
      <c r="BY442" s="2">
        <v>1200</v>
      </c>
      <c r="BZ442" s="2" t="s">
        <v>27</v>
      </c>
      <c r="CA442" s="2"/>
      <c r="CB442" s="2"/>
      <c r="CC442" s="2" t="s">
        <v>992</v>
      </c>
      <c r="CD442" s="2">
        <v>7655</v>
      </c>
      <c r="CE442" s="2" t="s">
        <v>118</v>
      </c>
      <c r="CF442" s="5">
        <v>42832</v>
      </c>
      <c r="CG442" s="2"/>
      <c r="CH442" s="2"/>
      <c r="CI442" s="2">
        <v>1</v>
      </c>
      <c r="CJ442" s="2">
        <v>1</v>
      </c>
      <c r="CK442" s="2">
        <v>21</v>
      </c>
      <c r="CL442" s="2" t="s">
        <v>86</v>
      </c>
      <c r="CM442" s="2"/>
    </row>
    <row r="443" spans="1:91">
      <c r="A443" s="2" t="s">
        <v>71</v>
      </c>
      <c r="B443" s="2" t="s">
        <v>72</v>
      </c>
      <c r="C443" s="2" t="s">
        <v>73</v>
      </c>
      <c r="D443" s="2"/>
      <c r="E443" s="2" t="str">
        <f>"FES1162541667"</f>
        <v>FES1162541667</v>
      </c>
      <c r="F443" s="3">
        <v>42830</v>
      </c>
      <c r="G443" s="2">
        <v>201710</v>
      </c>
      <c r="H443" s="2" t="s">
        <v>74</v>
      </c>
      <c r="I443" s="2" t="s">
        <v>75</v>
      </c>
      <c r="J443" s="2" t="s">
        <v>76</v>
      </c>
      <c r="K443" s="2" t="s">
        <v>77</v>
      </c>
      <c r="L443" s="2" t="s">
        <v>180</v>
      </c>
      <c r="M443" s="2" t="s">
        <v>181</v>
      </c>
      <c r="N443" s="2" t="s">
        <v>996</v>
      </c>
      <c r="O443" s="2" t="s">
        <v>115</v>
      </c>
      <c r="P443" s="2" t="str">
        <f>"2170558732                    "</f>
        <v xml:space="preserve">2170558732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4.29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1</v>
      </c>
      <c r="BJ443" s="2">
        <v>0.2</v>
      </c>
      <c r="BK443" s="2">
        <v>1</v>
      </c>
      <c r="BL443" s="2">
        <v>41.73</v>
      </c>
      <c r="BM443" s="2">
        <v>5.84</v>
      </c>
      <c r="BN443" s="2">
        <v>47.57</v>
      </c>
      <c r="BO443" s="2">
        <v>47.57</v>
      </c>
      <c r="BP443" s="2"/>
      <c r="BQ443" s="2" t="s">
        <v>129</v>
      </c>
      <c r="BR443" s="2" t="s">
        <v>123</v>
      </c>
      <c r="BS443" s="3">
        <v>42831</v>
      </c>
      <c r="BT443" s="4">
        <v>0.4375</v>
      </c>
      <c r="BU443" s="2" t="s">
        <v>130</v>
      </c>
      <c r="BV443" s="2" t="s">
        <v>111</v>
      </c>
      <c r="BW443" s="2"/>
      <c r="BX443" s="2"/>
      <c r="BY443" s="2">
        <v>1200</v>
      </c>
      <c r="BZ443" s="2" t="s">
        <v>27</v>
      </c>
      <c r="CA443" s="2"/>
      <c r="CB443" s="2"/>
      <c r="CC443" s="2" t="s">
        <v>181</v>
      </c>
      <c r="CD443" s="2">
        <v>4091</v>
      </c>
      <c r="CE443" s="2" t="s">
        <v>144</v>
      </c>
      <c r="CF443" s="5">
        <v>42832</v>
      </c>
      <c r="CG443" s="2"/>
      <c r="CH443" s="2"/>
      <c r="CI443" s="2">
        <v>1</v>
      </c>
      <c r="CJ443" s="2">
        <v>1</v>
      </c>
      <c r="CK443" s="2">
        <v>21</v>
      </c>
      <c r="CL443" s="2" t="s">
        <v>86</v>
      </c>
      <c r="CM443" s="2"/>
    </row>
    <row r="444" spans="1:91">
      <c r="A444" s="2" t="s">
        <v>71</v>
      </c>
      <c r="B444" s="2" t="s">
        <v>72</v>
      </c>
      <c r="C444" s="2" t="s">
        <v>73</v>
      </c>
      <c r="D444" s="2"/>
      <c r="E444" s="2" t="str">
        <f>"FES1162543152"</f>
        <v>FES1162543152</v>
      </c>
      <c r="F444" s="3">
        <v>42837</v>
      </c>
      <c r="G444" s="2">
        <v>201710</v>
      </c>
      <c r="H444" s="2" t="s">
        <v>74</v>
      </c>
      <c r="I444" s="2" t="s">
        <v>75</v>
      </c>
      <c r="J444" s="2" t="s">
        <v>76</v>
      </c>
      <c r="K444" s="2" t="s">
        <v>77</v>
      </c>
      <c r="L444" s="2" t="s">
        <v>139</v>
      </c>
      <c r="M444" s="2" t="s">
        <v>140</v>
      </c>
      <c r="N444" s="2" t="s">
        <v>997</v>
      </c>
      <c r="O444" s="2" t="s">
        <v>115</v>
      </c>
      <c r="P444" s="2" t="str">
        <f>"2170561938                    "</f>
        <v xml:space="preserve">2170561938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4.29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1</v>
      </c>
      <c r="BJ444" s="2">
        <v>0.2</v>
      </c>
      <c r="BK444" s="2">
        <v>1</v>
      </c>
      <c r="BL444" s="2">
        <v>41.73</v>
      </c>
      <c r="BM444" s="2">
        <v>5.84</v>
      </c>
      <c r="BN444" s="2">
        <v>47.57</v>
      </c>
      <c r="BO444" s="2">
        <v>47.57</v>
      </c>
      <c r="BP444" s="2"/>
      <c r="BQ444" s="2"/>
      <c r="BR444" s="2" t="s">
        <v>84</v>
      </c>
      <c r="BS444" s="3">
        <v>42838</v>
      </c>
      <c r="BT444" s="4">
        <v>0.41666666666666669</v>
      </c>
      <c r="BU444" s="2" t="s">
        <v>998</v>
      </c>
      <c r="BV444" s="2" t="s">
        <v>111</v>
      </c>
      <c r="BW444" s="2"/>
      <c r="BX444" s="2"/>
      <c r="BY444" s="2">
        <v>1200</v>
      </c>
      <c r="BZ444" s="2" t="s">
        <v>27</v>
      </c>
      <c r="CA444" s="2"/>
      <c r="CB444" s="2"/>
      <c r="CC444" s="2" t="s">
        <v>140</v>
      </c>
      <c r="CD444" s="2">
        <v>157</v>
      </c>
      <c r="CE444" s="2" t="s">
        <v>118</v>
      </c>
      <c r="CF444" s="5">
        <v>42845</v>
      </c>
      <c r="CG444" s="2"/>
      <c r="CH444" s="2"/>
      <c r="CI444" s="2">
        <v>0</v>
      </c>
      <c r="CJ444" s="2">
        <v>0</v>
      </c>
      <c r="CK444" s="2">
        <v>21</v>
      </c>
      <c r="CL444" s="2" t="s">
        <v>86</v>
      </c>
      <c r="CM444" s="2"/>
    </row>
    <row r="445" spans="1:91">
      <c r="A445" s="2" t="s">
        <v>71</v>
      </c>
      <c r="B445" s="2" t="s">
        <v>72</v>
      </c>
      <c r="C445" s="2" t="s">
        <v>73</v>
      </c>
      <c r="D445" s="2"/>
      <c r="E445" s="2" t="str">
        <f>"FES1162541440"</f>
        <v>FES1162541440</v>
      </c>
      <c r="F445" s="3">
        <v>42829</v>
      </c>
      <c r="G445" s="2">
        <v>201710</v>
      </c>
      <c r="H445" s="2" t="s">
        <v>74</v>
      </c>
      <c r="I445" s="2" t="s">
        <v>75</v>
      </c>
      <c r="J445" s="2" t="s">
        <v>76</v>
      </c>
      <c r="K445" s="2" t="s">
        <v>77</v>
      </c>
      <c r="L445" s="2" t="s">
        <v>358</v>
      </c>
      <c r="M445" s="2" t="s">
        <v>359</v>
      </c>
      <c r="N445" s="2" t="s">
        <v>776</v>
      </c>
      <c r="O445" s="2" t="s">
        <v>115</v>
      </c>
      <c r="P445" s="2" t="str">
        <f>"2170553215                    "</f>
        <v xml:space="preserve">2170553215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6.63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3</v>
      </c>
      <c r="BJ445" s="2">
        <v>2.9</v>
      </c>
      <c r="BK445" s="2">
        <v>3</v>
      </c>
      <c r="BL445" s="2">
        <v>62.79</v>
      </c>
      <c r="BM445" s="2">
        <v>8.7899999999999991</v>
      </c>
      <c r="BN445" s="2">
        <v>71.58</v>
      </c>
      <c r="BO445" s="2">
        <v>71.58</v>
      </c>
      <c r="BP445" s="2"/>
      <c r="BQ445" s="2" t="s">
        <v>999</v>
      </c>
      <c r="BR445" s="2" t="s">
        <v>123</v>
      </c>
      <c r="BS445" s="3">
        <v>42830</v>
      </c>
      <c r="BT445" s="4">
        <v>0.40763888888888888</v>
      </c>
      <c r="BU445" s="2" t="s">
        <v>1000</v>
      </c>
      <c r="BV445" s="2" t="s">
        <v>111</v>
      </c>
      <c r="BW445" s="2"/>
      <c r="BX445" s="2"/>
      <c r="BY445" s="2">
        <v>14493.74</v>
      </c>
      <c r="BZ445" s="2" t="s">
        <v>27</v>
      </c>
      <c r="CA445" s="2" t="s">
        <v>159</v>
      </c>
      <c r="CB445" s="2"/>
      <c r="CC445" s="2" t="s">
        <v>359</v>
      </c>
      <c r="CD445" s="2">
        <v>6229</v>
      </c>
      <c r="CE445" s="2" t="s">
        <v>172</v>
      </c>
      <c r="CF445" s="5">
        <v>42832</v>
      </c>
      <c r="CG445" s="2"/>
      <c r="CH445" s="2"/>
      <c r="CI445" s="2">
        <v>1</v>
      </c>
      <c r="CJ445" s="2">
        <v>1</v>
      </c>
      <c r="CK445" s="2">
        <v>21</v>
      </c>
      <c r="CL445" s="2" t="s">
        <v>86</v>
      </c>
      <c r="CM445" s="2"/>
    </row>
    <row r="446" spans="1:91">
      <c r="A446" s="2" t="s">
        <v>71</v>
      </c>
      <c r="B446" s="2" t="s">
        <v>72</v>
      </c>
      <c r="C446" s="2" t="s">
        <v>73</v>
      </c>
      <c r="D446" s="2"/>
      <c r="E446" s="2" t="str">
        <f>"FES1162542910"</f>
        <v>FES1162542910</v>
      </c>
      <c r="F446" s="3">
        <v>42836</v>
      </c>
      <c r="G446" s="2">
        <v>201710</v>
      </c>
      <c r="H446" s="2" t="s">
        <v>74</v>
      </c>
      <c r="I446" s="2" t="s">
        <v>75</v>
      </c>
      <c r="J446" s="2" t="s">
        <v>76</v>
      </c>
      <c r="K446" s="2" t="s">
        <v>77</v>
      </c>
      <c r="L446" s="2" t="s">
        <v>474</v>
      </c>
      <c r="M446" s="2" t="s">
        <v>475</v>
      </c>
      <c r="N446" s="2" t="s">
        <v>1001</v>
      </c>
      <c r="O446" s="2" t="s">
        <v>115</v>
      </c>
      <c r="P446" s="2" t="str">
        <f>"2170559141                    "</f>
        <v xml:space="preserve">2170559141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4.29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1</v>
      </c>
      <c r="BJ446" s="2">
        <v>0.2</v>
      </c>
      <c r="BK446" s="2">
        <v>1</v>
      </c>
      <c r="BL446" s="2">
        <v>41.73</v>
      </c>
      <c r="BM446" s="2">
        <v>5.84</v>
      </c>
      <c r="BN446" s="2">
        <v>47.57</v>
      </c>
      <c r="BO446" s="2">
        <v>47.57</v>
      </c>
      <c r="BP446" s="2"/>
      <c r="BQ446" s="2" t="s">
        <v>472</v>
      </c>
      <c r="BR446" s="2" t="s">
        <v>123</v>
      </c>
      <c r="BS446" s="3">
        <v>42837</v>
      </c>
      <c r="BT446" s="4">
        <v>0.45833333333333331</v>
      </c>
      <c r="BU446" s="2" t="s">
        <v>1002</v>
      </c>
      <c r="BV446" s="2" t="s">
        <v>111</v>
      </c>
      <c r="BW446" s="2"/>
      <c r="BX446" s="2"/>
      <c r="BY446" s="2">
        <v>1200</v>
      </c>
      <c r="BZ446" s="2" t="s">
        <v>27</v>
      </c>
      <c r="CA446" s="2"/>
      <c r="CB446" s="2"/>
      <c r="CC446" s="2" t="s">
        <v>475</v>
      </c>
      <c r="CD446" s="2">
        <v>3290</v>
      </c>
      <c r="CE446" s="2" t="s">
        <v>144</v>
      </c>
      <c r="CF446" s="5">
        <v>42843</v>
      </c>
      <c r="CG446" s="2"/>
      <c r="CH446" s="2"/>
      <c r="CI446" s="2">
        <v>1</v>
      </c>
      <c r="CJ446" s="2">
        <v>1</v>
      </c>
      <c r="CK446" s="2">
        <v>21</v>
      </c>
      <c r="CL446" s="2" t="s">
        <v>86</v>
      </c>
      <c r="CM446" s="2"/>
    </row>
    <row r="447" spans="1:91">
      <c r="A447" s="2" t="s">
        <v>71</v>
      </c>
      <c r="B447" s="2" t="s">
        <v>72</v>
      </c>
      <c r="C447" s="2" t="s">
        <v>73</v>
      </c>
      <c r="D447" s="2"/>
      <c r="E447" s="2" t="str">
        <f>"FES1162541771"</f>
        <v>FES1162541771</v>
      </c>
      <c r="F447" s="3">
        <v>42830</v>
      </c>
      <c r="G447" s="2">
        <v>201710</v>
      </c>
      <c r="H447" s="2" t="s">
        <v>74</v>
      </c>
      <c r="I447" s="2" t="s">
        <v>75</v>
      </c>
      <c r="J447" s="2" t="s">
        <v>76</v>
      </c>
      <c r="K447" s="2" t="s">
        <v>77</v>
      </c>
      <c r="L447" s="2" t="s">
        <v>187</v>
      </c>
      <c r="M447" s="2" t="s">
        <v>146</v>
      </c>
      <c r="N447" s="2" t="s">
        <v>1003</v>
      </c>
      <c r="O447" s="2" t="s">
        <v>115</v>
      </c>
      <c r="P447" s="2" t="str">
        <f>"2170560773                    "</f>
        <v xml:space="preserve">2170560773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4.29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</v>
      </c>
      <c r="BJ447" s="2">
        <v>0.2</v>
      </c>
      <c r="BK447" s="2">
        <v>1</v>
      </c>
      <c r="BL447" s="2">
        <v>41.73</v>
      </c>
      <c r="BM447" s="2">
        <v>5.84</v>
      </c>
      <c r="BN447" s="2">
        <v>47.57</v>
      </c>
      <c r="BO447" s="2">
        <v>47.57</v>
      </c>
      <c r="BP447" s="2"/>
      <c r="BQ447" s="2"/>
      <c r="BR447" s="2" t="s">
        <v>123</v>
      </c>
      <c r="BS447" s="3">
        <v>42831</v>
      </c>
      <c r="BT447" s="4">
        <v>0.41319444444444442</v>
      </c>
      <c r="BU447" s="2" t="s">
        <v>1004</v>
      </c>
      <c r="BV447" s="2" t="s">
        <v>111</v>
      </c>
      <c r="BW447" s="2"/>
      <c r="BX447" s="2"/>
      <c r="BY447" s="2">
        <v>1200</v>
      </c>
      <c r="BZ447" s="2" t="s">
        <v>27</v>
      </c>
      <c r="CA447" s="2"/>
      <c r="CB447" s="2"/>
      <c r="CC447" s="2" t="s">
        <v>146</v>
      </c>
      <c r="CD447" s="2">
        <v>200</v>
      </c>
      <c r="CE447" s="2" t="s">
        <v>118</v>
      </c>
      <c r="CF447" s="5">
        <v>42835</v>
      </c>
      <c r="CG447" s="2"/>
      <c r="CH447" s="2"/>
      <c r="CI447" s="2">
        <v>0</v>
      </c>
      <c r="CJ447" s="2">
        <v>0</v>
      </c>
      <c r="CK447" s="2">
        <v>21</v>
      </c>
      <c r="CL447" s="2" t="s">
        <v>86</v>
      </c>
      <c r="CM447" s="2"/>
    </row>
    <row r="448" spans="1:91">
      <c r="A448" s="2" t="s">
        <v>71</v>
      </c>
      <c r="B448" s="2" t="s">
        <v>72</v>
      </c>
      <c r="C448" s="2" t="s">
        <v>73</v>
      </c>
      <c r="D448" s="2"/>
      <c r="E448" s="2" t="str">
        <f>"FES1162541714"</f>
        <v>FES1162541714</v>
      </c>
      <c r="F448" s="3">
        <v>42830</v>
      </c>
      <c r="G448" s="2">
        <v>201710</v>
      </c>
      <c r="H448" s="2" t="s">
        <v>74</v>
      </c>
      <c r="I448" s="2" t="s">
        <v>75</v>
      </c>
      <c r="J448" s="2" t="s">
        <v>76</v>
      </c>
      <c r="K448" s="2" t="s">
        <v>77</v>
      </c>
      <c r="L448" s="2" t="s">
        <v>537</v>
      </c>
      <c r="M448" s="2" t="s">
        <v>538</v>
      </c>
      <c r="N448" s="2" t="s">
        <v>1005</v>
      </c>
      <c r="O448" s="2" t="s">
        <v>115</v>
      </c>
      <c r="P448" s="2" t="str">
        <f>"2170560712                    "</f>
        <v xml:space="preserve">2170560712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8.31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1</v>
      </c>
      <c r="BJ448" s="2">
        <v>0.2</v>
      </c>
      <c r="BK448" s="2">
        <v>1</v>
      </c>
      <c r="BL448" s="2">
        <v>80.849999999999994</v>
      </c>
      <c r="BM448" s="2">
        <v>11.32</v>
      </c>
      <c r="BN448" s="2">
        <v>92.17</v>
      </c>
      <c r="BO448" s="2">
        <v>92.17</v>
      </c>
      <c r="BP448" s="2"/>
      <c r="BQ448" s="2" t="s">
        <v>129</v>
      </c>
      <c r="BR448" s="2" t="s">
        <v>123</v>
      </c>
      <c r="BS448" s="3">
        <v>42831</v>
      </c>
      <c r="BT448" s="4">
        <v>0.54166666666666663</v>
      </c>
      <c r="BU448" s="2" t="s">
        <v>1006</v>
      </c>
      <c r="BV448" s="2" t="s">
        <v>111</v>
      </c>
      <c r="BW448" s="2"/>
      <c r="BX448" s="2"/>
      <c r="BY448" s="2">
        <v>1200</v>
      </c>
      <c r="BZ448" s="2" t="s">
        <v>27</v>
      </c>
      <c r="CA448" s="2"/>
      <c r="CB448" s="2"/>
      <c r="CC448" s="2" t="s">
        <v>538</v>
      </c>
      <c r="CD448" s="2">
        <v>4339</v>
      </c>
      <c r="CE448" s="2" t="s">
        <v>144</v>
      </c>
      <c r="CF448" s="5">
        <v>42833</v>
      </c>
      <c r="CG448" s="2"/>
      <c r="CH448" s="2"/>
      <c r="CI448" s="2">
        <v>1</v>
      </c>
      <c r="CJ448" s="2">
        <v>1</v>
      </c>
      <c r="CK448" s="2">
        <v>23</v>
      </c>
      <c r="CL448" s="2" t="s">
        <v>86</v>
      </c>
      <c r="CM448" s="2"/>
    </row>
    <row r="449" spans="1:91">
      <c r="A449" s="2" t="s">
        <v>71</v>
      </c>
      <c r="B449" s="2" t="s">
        <v>72</v>
      </c>
      <c r="C449" s="2" t="s">
        <v>73</v>
      </c>
      <c r="D449" s="2"/>
      <c r="E449" s="2" t="str">
        <f>"FES1162543342"</f>
        <v>FES1162543342</v>
      </c>
      <c r="F449" s="3">
        <v>42837</v>
      </c>
      <c r="G449" s="2">
        <v>201710</v>
      </c>
      <c r="H449" s="2" t="s">
        <v>74</v>
      </c>
      <c r="I449" s="2" t="s">
        <v>75</v>
      </c>
      <c r="J449" s="2" t="s">
        <v>76</v>
      </c>
      <c r="K449" s="2" t="s">
        <v>77</v>
      </c>
      <c r="L449" s="2" t="s">
        <v>99</v>
      </c>
      <c r="M449" s="2" t="s">
        <v>100</v>
      </c>
      <c r="N449" s="2" t="s">
        <v>375</v>
      </c>
      <c r="O449" s="2" t="s">
        <v>115</v>
      </c>
      <c r="P449" s="2" t="str">
        <f>"2170562019                    "</f>
        <v xml:space="preserve">2170562019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4.29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1</v>
      </c>
      <c r="BJ449" s="2">
        <v>0.2</v>
      </c>
      <c r="BK449" s="2">
        <v>1</v>
      </c>
      <c r="BL449" s="2">
        <v>41.73</v>
      </c>
      <c r="BM449" s="2">
        <v>5.84</v>
      </c>
      <c r="BN449" s="2">
        <v>47.57</v>
      </c>
      <c r="BO449" s="2">
        <v>47.57</v>
      </c>
      <c r="BP449" s="2"/>
      <c r="BQ449" s="2" t="s">
        <v>376</v>
      </c>
      <c r="BR449" s="2" t="s">
        <v>84</v>
      </c>
      <c r="BS449" s="3">
        <v>42838</v>
      </c>
      <c r="BT449" s="4">
        <v>0.43402777777777773</v>
      </c>
      <c r="BU449" s="2" t="s">
        <v>1007</v>
      </c>
      <c r="BV449" s="2" t="s">
        <v>111</v>
      </c>
      <c r="BW449" s="2"/>
      <c r="BX449" s="2"/>
      <c r="BY449" s="2">
        <v>1200</v>
      </c>
      <c r="BZ449" s="2" t="s">
        <v>27</v>
      </c>
      <c r="CA449" s="2" t="s">
        <v>1008</v>
      </c>
      <c r="CB449" s="2"/>
      <c r="CC449" s="2" t="s">
        <v>100</v>
      </c>
      <c r="CD449" s="2">
        <v>6070</v>
      </c>
      <c r="CE449" s="2" t="s">
        <v>118</v>
      </c>
      <c r="CF449" s="5">
        <v>42843</v>
      </c>
      <c r="CG449" s="2"/>
      <c r="CH449" s="2"/>
      <c r="CI449" s="2">
        <v>1</v>
      </c>
      <c r="CJ449" s="2">
        <v>1</v>
      </c>
      <c r="CK449" s="2">
        <v>21</v>
      </c>
      <c r="CL449" s="2" t="s">
        <v>86</v>
      </c>
      <c r="CM449" s="2"/>
    </row>
    <row r="450" spans="1:91">
      <c r="A450" s="2" t="s">
        <v>71</v>
      </c>
      <c r="B450" s="2" t="s">
        <v>72</v>
      </c>
      <c r="C450" s="2" t="s">
        <v>73</v>
      </c>
      <c r="D450" s="2"/>
      <c r="E450" s="2" t="str">
        <f>"FES1162542120"</f>
        <v>FES1162542120</v>
      </c>
      <c r="F450" s="3">
        <v>42831</v>
      </c>
      <c r="G450" s="2">
        <v>201710</v>
      </c>
      <c r="H450" s="2" t="s">
        <v>74</v>
      </c>
      <c r="I450" s="2" t="s">
        <v>75</v>
      </c>
      <c r="J450" s="2" t="s">
        <v>76</v>
      </c>
      <c r="K450" s="2" t="s">
        <v>77</v>
      </c>
      <c r="L450" s="2" t="s">
        <v>180</v>
      </c>
      <c r="M450" s="2" t="s">
        <v>181</v>
      </c>
      <c r="N450" s="2" t="s">
        <v>605</v>
      </c>
      <c r="O450" s="2" t="s">
        <v>115</v>
      </c>
      <c r="P450" s="2" t="str">
        <f>"2170561008                    "</f>
        <v xml:space="preserve">2170561008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5.36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1.4</v>
      </c>
      <c r="BJ450" s="2">
        <v>2.2000000000000002</v>
      </c>
      <c r="BK450" s="2">
        <v>2.5</v>
      </c>
      <c r="BL450" s="2">
        <v>52.16</v>
      </c>
      <c r="BM450" s="2">
        <v>7.3</v>
      </c>
      <c r="BN450" s="2">
        <v>59.46</v>
      </c>
      <c r="BO450" s="2">
        <v>59.46</v>
      </c>
      <c r="BP450" s="2"/>
      <c r="BQ450" s="2" t="s">
        <v>606</v>
      </c>
      <c r="BR450" s="2" t="s">
        <v>123</v>
      </c>
      <c r="BS450" s="3">
        <v>42835</v>
      </c>
      <c r="BT450" s="4">
        <v>0.4375</v>
      </c>
      <c r="BU450" s="2" t="s">
        <v>607</v>
      </c>
      <c r="BV450" s="2" t="s">
        <v>86</v>
      </c>
      <c r="BW450" s="2" t="s">
        <v>164</v>
      </c>
      <c r="BX450" s="2" t="s">
        <v>88</v>
      </c>
      <c r="BY450" s="2">
        <v>11049.64</v>
      </c>
      <c r="BZ450" s="2" t="s">
        <v>27</v>
      </c>
      <c r="CA450" s="2"/>
      <c r="CB450" s="2"/>
      <c r="CC450" s="2" t="s">
        <v>181</v>
      </c>
      <c r="CD450" s="2">
        <v>4001</v>
      </c>
      <c r="CE450" s="2" t="s">
        <v>144</v>
      </c>
      <c r="CF450" s="5">
        <v>42836</v>
      </c>
      <c r="CG450" s="2"/>
      <c r="CH450" s="2"/>
      <c r="CI450" s="2">
        <v>1</v>
      </c>
      <c r="CJ450" s="2">
        <v>2</v>
      </c>
      <c r="CK450" s="2">
        <v>21</v>
      </c>
      <c r="CL450" s="2" t="s">
        <v>86</v>
      </c>
      <c r="CM450" s="2"/>
    </row>
    <row r="451" spans="1:91">
      <c r="A451" s="2" t="s">
        <v>71</v>
      </c>
      <c r="B451" s="2" t="s">
        <v>72</v>
      </c>
      <c r="C451" s="2" t="s">
        <v>73</v>
      </c>
      <c r="D451" s="2"/>
      <c r="E451" s="2" t="str">
        <f>"FES1162541438"</f>
        <v>FES1162541438</v>
      </c>
      <c r="F451" s="3">
        <v>42829</v>
      </c>
      <c r="G451" s="2">
        <v>201710</v>
      </c>
      <c r="H451" s="2" t="s">
        <v>74</v>
      </c>
      <c r="I451" s="2" t="s">
        <v>75</v>
      </c>
      <c r="J451" s="2" t="s">
        <v>76</v>
      </c>
      <c r="K451" s="2" t="s">
        <v>77</v>
      </c>
      <c r="L451" s="2" t="s">
        <v>99</v>
      </c>
      <c r="M451" s="2" t="s">
        <v>100</v>
      </c>
      <c r="N451" s="2" t="s">
        <v>1009</v>
      </c>
      <c r="O451" s="2" t="s">
        <v>115</v>
      </c>
      <c r="P451" s="2" t="str">
        <f>"2170551032                    "</f>
        <v xml:space="preserve">2170551032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11.05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4</v>
      </c>
      <c r="BJ451" s="2">
        <v>4.7</v>
      </c>
      <c r="BK451" s="2">
        <v>5</v>
      </c>
      <c r="BL451" s="2">
        <v>104.65</v>
      </c>
      <c r="BM451" s="2">
        <v>14.65</v>
      </c>
      <c r="BN451" s="2">
        <v>119.3</v>
      </c>
      <c r="BO451" s="2">
        <v>119.3</v>
      </c>
      <c r="BP451" s="2"/>
      <c r="BQ451" s="2" t="s">
        <v>1010</v>
      </c>
      <c r="BR451" s="2" t="s">
        <v>123</v>
      </c>
      <c r="BS451" s="3">
        <v>42830</v>
      </c>
      <c r="BT451" s="4">
        <v>0.4201388888888889</v>
      </c>
      <c r="BU451" s="2" t="s">
        <v>245</v>
      </c>
      <c r="BV451" s="2" t="s">
        <v>111</v>
      </c>
      <c r="BW451" s="2"/>
      <c r="BX451" s="2"/>
      <c r="BY451" s="2">
        <v>23514.35</v>
      </c>
      <c r="BZ451" s="2" t="s">
        <v>27</v>
      </c>
      <c r="CA451" s="2"/>
      <c r="CB451" s="2"/>
      <c r="CC451" s="2" t="s">
        <v>100</v>
      </c>
      <c r="CD451" s="2">
        <v>6001</v>
      </c>
      <c r="CE451" s="2" t="s">
        <v>89</v>
      </c>
      <c r="CF451" s="5">
        <v>42832</v>
      </c>
      <c r="CG451" s="2"/>
      <c r="CH451" s="2"/>
      <c r="CI451" s="2">
        <v>1</v>
      </c>
      <c r="CJ451" s="2">
        <v>1</v>
      </c>
      <c r="CK451" s="2">
        <v>21</v>
      </c>
      <c r="CL451" s="2" t="s">
        <v>86</v>
      </c>
      <c r="CM451" s="2"/>
    </row>
    <row r="452" spans="1:91">
      <c r="A452" s="2" t="s">
        <v>71</v>
      </c>
      <c r="B452" s="2" t="s">
        <v>72</v>
      </c>
      <c r="C452" s="2" t="s">
        <v>73</v>
      </c>
      <c r="D452" s="2"/>
      <c r="E452" s="2" t="str">
        <f>"FES1162542828"</f>
        <v>FES1162542828</v>
      </c>
      <c r="F452" s="3">
        <v>42836</v>
      </c>
      <c r="G452" s="2">
        <v>201710</v>
      </c>
      <c r="H452" s="2" t="s">
        <v>74</v>
      </c>
      <c r="I452" s="2" t="s">
        <v>75</v>
      </c>
      <c r="J452" s="2" t="s">
        <v>76</v>
      </c>
      <c r="K452" s="2" t="s">
        <v>77</v>
      </c>
      <c r="L452" s="2" t="s">
        <v>900</v>
      </c>
      <c r="M452" s="2" t="s">
        <v>901</v>
      </c>
      <c r="N452" s="2" t="s">
        <v>1011</v>
      </c>
      <c r="O452" s="2" t="s">
        <v>115</v>
      </c>
      <c r="P452" s="2" t="str">
        <f>"2170561689                    "</f>
        <v xml:space="preserve">2170561689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4.29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1</v>
      </c>
      <c r="BJ452" s="2">
        <v>0.2</v>
      </c>
      <c r="BK452" s="2">
        <v>1</v>
      </c>
      <c r="BL452" s="2">
        <v>41.73</v>
      </c>
      <c r="BM452" s="2">
        <v>5.84</v>
      </c>
      <c r="BN452" s="2">
        <v>47.57</v>
      </c>
      <c r="BO452" s="2">
        <v>47.57</v>
      </c>
      <c r="BP452" s="2"/>
      <c r="BQ452" s="2" t="s">
        <v>122</v>
      </c>
      <c r="BR452" s="2" t="s">
        <v>123</v>
      </c>
      <c r="BS452" s="3">
        <v>42837</v>
      </c>
      <c r="BT452" s="4">
        <v>0.4375</v>
      </c>
      <c r="BU452" s="2" t="s">
        <v>1012</v>
      </c>
      <c r="BV452" s="2" t="s">
        <v>111</v>
      </c>
      <c r="BW452" s="2"/>
      <c r="BX452" s="2"/>
      <c r="BY452" s="2">
        <v>1200</v>
      </c>
      <c r="BZ452" s="2" t="s">
        <v>27</v>
      </c>
      <c r="CA452" s="2" t="s">
        <v>159</v>
      </c>
      <c r="CB452" s="2"/>
      <c r="CC452" s="2" t="s">
        <v>901</v>
      </c>
      <c r="CD452" s="2">
        <v>4026</v>
      </c>
      <c r="CE452" s="2" t="s">
        <v>144</v>
      </c>
      <c r="CF452" s="5">
        <v>42843</v>
      </c>
      <c r="CG452" s="2"/>
      <c r="CH452" s="2"/>
      <c r="CI452" s="2">
        <v>1</v>
      </c>
      <c r="CJ452" s="2">
        <v>1</v>
      </c>
      <c r="CK452" s="2">
        <v>21</v>
      </c>
      <c r="CL452" s="2" t="s">
        <v>86</v>
      </c>
      <c r="CM452" s="2"/>
    </row>
    <row r="453" spans="1:91">
      <c r="A453" s="2" t="s">
        <v>71</v>
      </c>
      <c r="B453" s="2" t="s">
        <v>72</v>
      </c>
      <c r="C453" s="2" t="s">
        <v>73</v>
      </c>
      <c r="D453" s="2"/>
      <c r="E453" s="2" t="str">
        <f>"FES1162541711"</f>
        <v>FES1162541711</v>
      </c>
      <c r="F453" s="3">
        <v>42830</v>
      </c>
      <c r="G453" s="2">
        <v>201710</v>
      </c>
      <c r="H453" s="2" t="s">
        <v>74</v>
      </c>
      <c r="I453" s="2" t="s">
        <v>75</v>
      </c>
      <c r="J453" s="2" t="s">
        <v>76</v>
      </c>
      <c r="K453" s="2" t="s">
        <v>77</v>
      </c>
      <c r="L453" s="2" t="s">
        <v>787</v>
      </c>
      <c r="M453" s="2" t="s">
        <v>788</v>
      </c>
      <c r="N453" s="2" t="s">
        <v>789</v>
      </c>
      <c r="O453" s="2" t="s">
        <v>115</v>
      </c>
      <c r="P453" s="2" t="str">
        <f>"2170560656                    "</f>
        <v xml:space="preserve">2170560656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8.31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1</v>
      </c>
      <c r="BJ453" s="2">
        <v>0.2</v>
      </c>
      <c r="BK453" s="2">
        <v>1</v>
      </c>
      <c r="BL453" s="2">
        <v>80.849999999999994</v>
      </c>
      <c r="BM453" s="2">
        <v>11.32</v>
      </c>
      <c r="BN453" s="2">
        <v>92.17</v>
      </c>
      <c r="BO453" s="2">
        <v>92.17</v>
      </c>
      <c r="BP453" s="2"/>
      <c r="BQ453" s="2" t="s">
        <v>790</v>
      </c>
      <c r="BR453" s="2" t="s">
        <v>123</v>
      </c>
      <c r="BS453" s="3">
        <v>42831</v>
      </c>
      <c r="BT453" s="4">
        <v>0.49652777777777773</v>
      </c>
      <c r="BU453" s="2" t="s">
        <v>1013</v>
      </c>
      <c r="BV453" s="2" t="s">
        <v>111</v>
      </c>
      <c r="BW453" s="2"/>
      <c r="BX453" s="2"/>
      <c r="BY453" s="2">
        <v>1200</v>
      </c>
      <c r="BZ453" s="2" t="s">
        <v>27</v>
      </c>
      <c r="CA453" s="2"/>
      <c r="CB453" s="2"/>
      <c r="CC453" s="2" t="s">
        <v>788</v>
      </c>
      <c r="CD453" s="2">
        <v>9650</v>
      </c>
      <c r="CE453" s="2" t="s">
        <v>118</v>
      </c>
      <c r="CF453" s="5">
        <v>42836</v>
      </c>
      <c r="CG453" s="2"/>
      <c r="CH453" s="2"/>
      <c r="CI453" s="2">
        <v>1</v>
      </c>
      <c r="CJ453" s="2">
        <v>1</v>
      </c>
      <c r="CK453" s="2">
        <v>23</v>
      </c>
      <c r="CL453" s="2" t="s">
        <v>86</v>
      </c>
      <c r="CM453" s="2"/>
    </row>
    <row r="454" spans="1:91">
      <c r="A454" s="2" t="s">
        <v>71</v>
      </c>
      <c r="B454" s="2" t="s">
        <v>72</v>
      </c>
      <c r="C454" s="2" t="s">
        <v>73</v>
      </c>
      <c r="D454" s="2"/>
      <c r="E454" s="2" t="str">
        <f>"FES1162541493"</f>
        <v>FES1162541493</v>
      </c>
      <c r="F454" s="3">
        <v>42830</v>
      </c>
      <c r="G454" s="2">
        <v>201710</v>
      </c>
      <c r="H454" s="2" t="s">
        <v>74</v>
      </c>
      <c r="I454" s="2" t="s">
        <v>75</v>
      </c>
      <c r="J454" s="2" t="s">
        <v>76</v>
      </c>
      <c r="K454" s="2" t="s">
        <v>77</v>
      </c>
      <c r="L454" s="2" t="s">
        <v>119</v>
      </c>
      <c r="M454" s="2" t="s">
        <v>120</v>
      </c>
      <c r="N454" s="2" t="s">
        <v>121</v>
      </c>
      <c r="O454" s="2" t="s">
        <v>1014</v>
      </c>
      <c r="P454" s="2" t="str">
        <f>"2170560581                    "</f>
        <v xml:space="preserve">2170560581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5.6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14</v>
      </c>
      <c r="BJ454" s="2">
        <v>3.3</v>
      </c>
      <c r="BK454" s="2">
        <v>14</v>
      </c>
      <c r="BL454" s="2">
        <v>54.53</v>
      </c>
      <c r="BM454" s="2">
        <v>7.63</v>
      </c>
      <c r="BN454" s="2">
        <v>62.16</v>
      </c>
      <c r="BO454" s="2">
        <v>62.16</v>
      </c>
      <c r="BP454" s="2"/>
      <c r="BQ454" s="2" t="s">
        <v>122</v>
      </c>
      <c r="BR454" s="2" t="s">
        <v>123</v>
      </c>
      <c r="BS454" s="3">
        <v>42831</v>
      </c>
      <c r="BT454" s="4">
        <v>0.38541666666666669</v>
      </c>
      <c r="BU454" s="2" t="s">
        <v>394</v>
      </c>
      <c r="BV454" s="2" t="s">
        <v>111</v>
      </c>
      <c r="BW454" s="2"/>
      <c r="BX454" s="2"/>
      <c r="BY454" s="2">
        <v>16663.560000000001</v>
      </c>
      <c r="BZ454" s="2" t="s">
        <v>27</v>
      </c>
      <c r="CA454" s="2" t="s">
        <v>395</v>
      </c>
      <c r="CB454" s="2"/>
      <c r="CC454" s="2" t="s">
        <v>120</v>
      </c>
      <c r="CD454" s="2">
        <v>2163</v>
      </c>
      <c r="CE454" s="2" t="s">
        <v>89</v>
      </c>
      <c r="CF454" s="5">
        <v>42832</v>
      </c>
      <c r="CG454" s="2"/>
      <c r="CH454" s="2"/>
      <c r="CI454" s="2">
        <v>1</v>
      </c>
      <c r="CJ454" s="2">
        <v>1</v>
      </c>
      <c r="CK454" s="2">
        <v>32</v>
      </c>
      <c r="CL454" s="2" t="s">
        <v>86</v>
      </c>
      <c r="CM454" s="2"/>
    </row>
    <row r="455" spans="1:91">
      <c r="A455" s="2" t="s">
        <v>71</v>
      </c>
      <c r="B455" s="2" t="s">
        <v>72</v>
      </c>
      <c r="C455" s="2" t="s">
        <v>73</v>
      </c>
      <c r="D455" s="2"/>
      <c r="E455" s="2" t="str">
        <f>"FES1162543341"</f>
        <v>FES1162543341</v>
      </c>
      <c r="F455" s="3">
        <v>42837</v>
      </c>
      <c r="G455" s="2">
        <v>201710</v>
      </c>
      <c r="H455" s="2" t="s">
        <v>74</v>
      </c>
      <c r="I455" s="2" t="s">
        <v>75</v>
      </c>
      <c r="J455" s="2" t="s">
        <v>76</v>
      </c>
      <c r="K455" s="2" t="s">
        <v>77</v>
      </c>
      <c r="L455" s="2" t="s">
        <v>294</v>
      </c>
      <c r="M455" s="2" t="s">
        <v>295</v>
      </c>
      <c r="N455" s="2" t="s">
        <v>1015</v>
      </c>
      <c r="O455" s="2" t="s">
        <v>115</v>
      </c>
      <c r="P455" s="2" t="str">
        <f>"2170562018                    "</f>
        <v xml:space="preserve">2170562018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4.29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</v>
      </c>
      <c r="BJ455" s="2">
        <v>0.2</v>
      </c>
      <c r="BK455" s="2">
        <v>1</v>
      </c>
      <c r="BL455" s="2">
        <v>41.73</v>
      </c>
      <c r="BM455" s="2">
        <v>5.84</v>
      </c>
      <c r="BN455" s="2">
        <v>47.57</v>
      </c>
      <c r="BO455" s="2">
        <v>47.57</v>
      </c>
      <c r="BP455" s="2"/>
      <c r="BQ455" s="2" t="s">
        <v>129</v>
      </c>
      <c r="BR455" s="2" t="s">
        <v>84</v>
      </c>
      <c r="BS455" s="3">
        <v>42838</v>
      </c>
      <c r="BT455" s="4">
        <v>0.4375</v>
      </c>
      <c r="BU455" s="2" t="s">
        <v>1016</v>
      </c>
      <c r="BV455" s="2" t="s">
        <v>111</v>
      </c>
      <c r="BW455" s="2"/>
      <c r="BX455" s="2"/>
      <c r="BY455" s="2">
        <v>1200</v>
      </c>
      <c r="BZ455" s="2" t="s">
        <v>27</v>
      </c>
      <c r="CA455" s="2"/>
      <c r="CB455" s="2"/>
      <c r="CC455" s="2" t="s">
        <v>295</v>
      </c>
      <c r="CD455" s="2">
        <v>3610</v>
      </c>
      <c r="CE455" s="2" t="s">
        <v>118</v>
      </c>
      <c r="CF455" s="5">
        <v>42843</v>
      </c>
      <c r="CG455" s="2"/>
      <c r="CH455" s="2"/>
      <c r="CI455" s="2">
        <v>1</v>
      </c>
      <c r="CJ455" s="2">
        <v>1</v>
      </c>
      <c r="CK455" s="2">
        <v>21</v>
      </c>
      <c r="CL455" s="2" t="s">
        <v>86</v>
      </c>
      <c r="CM455" s="2"/>
    </row>
    <row r="456" spans="1:91">
      <c r="A456" s="2" t="s">
        <v>71</v>
      </c>
      <c r="B456" s="2" t="s">
        <v>72</v>
      </c>
      <c r="C456" s="2" t="s">
        <v>73</v>
      </c>
      <c r="D456" s="2"/>
      <c r="E456" s="2" t="str">
        <f>"FES1162542116"</f>
        <v>FES1162542116</v>
      </c>
      <c r="F456" s="3">
        <v>42831</v>
      </c>
      <c r="G456" s="2">
        <v>201710</v>
      </c>
      <c r="H456" s="2" t="s">
        <v>74</v>
      </c>
      <c r="I456" s="2" t="s">
        <v>75</v>
      </c>
      <c r="J456" s="2" t="s">
        <v>76</v>
      </c>
      <c r="K456" s="2" t="s">
        <v>77</v>
      </c>
      <c r="L456" s="2" t="s">
        <v>516</v>
      </c>
      <c r="M456" s="2" t="s">
        <v>517</v>
      </c>
      <c r="N456" s="2" t="s">
        <v>1017</v>
      </c>
      <c r="O456" s="2" t="s">
        <v>115</v>
      </c>
      <c r="P456" s="2" t="str">
        <f>"2170561009                    "</f>
        <v xml:space="preserve">2170561009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3.35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1</v>
      </c>
      <c r="BJ456" s="2">
        <v>0.2</v>
      </c>
      <c r="BK456" s="2">
        <v>1</v>
      </c>
      <c r="BL456" s="2">
        <v>32.6</v>
      </c>
      <c r="BM456" s="2">
        <v>4.5599999999999996</v>
      </c>
      <c r="BN456" s="2">
        <v>37.159999999999997</v>
      </c>
      <c r="BO456" s="2">
        <v>37.159999999999997</v>
      </c>
      <c r="BP456" s="2"/>
      <c r="BQ456" s="2" t="s">
        <v>1018</v>
      </c>
      <c r="BR456" s="2" t="s">
        <v>123</v>
      </c>
      <c r="BS456" s="3">
        <v>42832</v>
      </c>
      <c r="BT456" s="4">
        <v>0.29444444444444445</v>
      </c>
      <c r="BU456" s="2" t="s">
        <v>290</v>
      </c>
      <c r="BV456" s="2" t="s">
        <v>111</v>
      </c>
      <c r="BW456" s="2"/>
      <c r="BX456" s="2"/>
      <c r="BY456" s="2">
        <v>1200</v>
      </c>
      <c r="BZ456" s="2" t="s">
        <v>27</v>
      </c>
      <c r="CA456" s="2"/>
      <c r="CB456" s="2"/>
      <c r="CC456" s="2" t="s">
        <v>517</v>
      </c>
      <c r="CD456" s="2">
        <v>1459</v>
      </c>
      <c r="CE456" s="2" t="s">
        <v>118</v>
      </c>
      <c r="CF456" s="5">
        <v>42835</v>
      </c>
      <c r="CG456" s="2"/>
      <c r="CH456" s="2"/>
      <c r="CI456" s="2">
        <v>1</v>
      </c>
      <c r="CJ456" s="2">
        <v>1</v>
      </c>
      <c r="CK456" s="2">
        <v>22</v>
      </c>
      <c r="CL456" s="2" t="s">
        <v>86</v>
      </c>
      <c r="CM456" s="2"/>
    </row>
    <row r="457" spans="1:91">
      <c r="A457" s="2" t="s">
        <v>71</v>
      </c>
      <c r="B457" s="2" t="s">
        <v>72</v>
      </c>
      <c r="C457" s="2" t="s">
        <v>73</v>
      </c>
      <c r="D457" s="2"/>
      <c r="E457" s="2" t="str">
        <f>"FES1162541470"</f>
        <v>FES1162541470</v>
      </c>
      <c r="F457" s="3">
        <v>42829</v>
      </c>
      <c r="G457" s="2">
        <v>201710</v>
      </c>
      <c r="H457" s="2" t="s">
        <v>74</v>
      </c>
      <c r="I457" s="2" t="s">
        <v>75</v>
      </c>
      <c r="J457" s="2" t="s">
        <v>76</v>
      </c>
      <c r="K457" s="2" t="s">
        <v>77</v>
      </c>
      <c r="L457" s="2" t="s">
        <v>131</v>
      </c>
      <c r="M457" s="2" t="s">
        <v>132</v>
      </c>
      <c r="N457" s="2" t="s">
        <v>1019</v>
      </c>
      <c r="O457" s="2" t="s">
        <v>115</v>
      </c>
      <c r="P457" s="2" t="str">
        <f>"2170560549                    "</f>
        <v xml:space="preserve">2170560549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4.42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</v>
      </c>
      <c r="BJ457" s="2">
        <v>0.2</v>
      </c>
      <c r="BK457" s="2">
        <v>1</v>
      </c>
      <c r="BL457" s="2">
        <v>41.86</v>
      </c>
      <c r="BM457" s="2">
        <v>5.86</v>
      </c>
      <c r="BN457" s="2">
        <v>47.72</v>
      </c>
      <c r="BO457" s="2">
        <v>47.72</v>
      </c>
      <c r="BP457" s="2"/>
      <c r="BQ457" s="2" t="s">
        <v>129</v>
      </c>
      <c r="BR457" s="2" t="s">
        <v>123</v>
      </c>
      <c r="BS457" s="3">
        <v>42830</v>
      </c>
      <c r="BT457" s="4">
        <v>0.38194444444444442</v>
      </c>
      <c r="BU457" s="2" t="s">
        <v>1020</v>
      </c>
      <c r="BV457" s="2" t="s">
        <v>111</v>
      </c>
      <c r="BW457" s="2"/>
      <c r="BX457" s="2"/>
      <c r="BY457" s="2">
        <v>1200</v>
      </c>
      <c r="BZ457" s="2" t="s">
        <v>27</v>
      </c>
      <c r="CA457" s="2"/>
      <c r="CB457" s="2"/>
      <c r="CC457" s="2" t="s">
        <v>132</v>
      </c>
      <c r="CD457" s="2">
        <v>7405</v>
      </c>
      <c r="CE457" s="2" t="s">
        <v>118</v>
      </c>
      <c r="CF457" s="5">
        <v>42831</v>
      </c>
      <c r="CG457" s="2"/>
      <c r="CH457" s="2"/>
      <c r="CI457" s="2">
        <v>1</v>
      </c>
      <c r="CJ457" s="2">
        <v>1</v>
      </c>
      <c r="CK457" s="2">
        <v>21</v>
      </c>
      <c r="CL457" s="2" t="s">
        <v>86</v>
      </c>
      <c r="CM457" s="2"/>
    </row>
    <row r="458" spans="1:91">
      <c r="A458" s="2" t="s">
        <v>71</v>
      </c>
      <c r="B458" s="2" t="s">
        <v>72</v>
      </c>
      <c r="C458" s="2" t="s">
        <v>73</v>
      </c>
      <c r="D458" s="2"/>
      <c r="E458" s="2" t="str">
        <f>"FES1162542819"</f>
        <v>FES1162542819</v>
      </c>
      <c r="F458" s="3">
        <v>42836</v>
      </c>
      <c r="G458" s="2">
        <v>201710</v>
      </c>
      <c r="H458" s="2" t="s">
        <v>74</v>
      </c>
      <c r="I458" s="2" t="s">
        <v>75</v>
      </c>
      <c r="J458" s="2" t="s">
        <v>76</v>
      </c>
      <c r="K458" s="2" t="s">
        <v>77</v>
      </c>
      <c r="L458" s="2" t="s">
        <v>443</v>
      </c>
      <c r="M458" s="2" t="s">
        <v>444</v>
      </c>
      <c r="N458" s="2" t="s">
        <v>1021</v>
      </c>
      <c r="O458" s="2" t="s">
        <v>115</v>
      </c>
      <c r="P458" s="2" t="str">
        <f>"2170559573                    "</f>
        <v xml:space="preserve">2170559573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4.29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1</v>
      </c>
      <c r="BJ458" s="2">
        <v>0.2</v>
      </c>
      <c r="BK458" s="2">
        <v>1</v>
      </c>
      <c r="BL458" s="2">
        <v>41.73</v>
      </c>
      <c r="BM458" s="2">
        <v>5.84</v>
      </c>
      <c r="BN458" s="2">
        <v>47.57</v>
      </c>
      <c r="BO458" s="2">
        <v>47.57</v>
      </c>
      <c r="BP458" s="2"/>
      <c r="BQ458" s="2" t="s">
        <v>952</v>
      </c>
      <c r="BR458" s="2" t="s">
        <v>123</v>
      </c>
      <c r="BS458" s="3">
        <v>42837</v>
      </c>
      <c r="BT458" s="4">
        <v>0.41666666666666669</v>
      </c>
      <c r="BU458" s="2" t="s">
        <v>1022</v>
      </c>
      <c r="BV458" s="2" t="s">
        <v>111</v>
      </c>
      <c r="BW458" s="2"/>
      <c r="BX458" s="2"/>
      <c r="BY458" s="2">
        <v>1200</v>
      </c>
      <c r="BZ458" s="2" t="s">
        <v>27</v>
      </c>
      <c r="CA458" s="2"/>
      <c r="CB458" s="2"/>
      <c r="CC458" s="2" t="s">
        <v>444</v>
      </c>
      <c r="CD458" s="2">
        <v>7130</v>
      </c>
      <c r="CE458" s="2" t="s">
        <v>144</v>
      </c>
      <c r="CF458" s="5">
        <v>42838</v>
      </c>
      <c r="CG458" s="2"/>
      <c r="CH458" s="2"/>
      <c r="CI458" s="2">
        <v>1</v>
      </c>
      <c r="CJ458" s="2">
        <v>1</v>
      </c>
      <c r="CK458" s="2">
        <v>21</v>
      </c>
      <c r="CL458" s="2" t="s">
        <v>86</v>
      </c>
      <c r="CM458" s="2"/>
    </row>
    <row r="459" spans="1:91">
      <c r="A459" s="2" t="s">
        <v>71</v>
      </c>
      <c r="B459" s="2" t="s">
        <v>72</v>
      </c>
      <c r="C459" s="2" t="s">
        <v>73</v>
      </c>
      <c r="D459" s="2"/>
      <c r="E459" s="2" t="str">
        <f>"FES1162541698"</f>
        <v>FES1162541698</v>
      </c>
      <c r="F459" s="3">
        <v>42830</v>
      </c>
      <c r="G459" s="2">
        <v>201710</v>
      </c>
      <c r="H459" s="2" t="s">
        <v>74</v>
      </c>
      <c r="I459" s="2" t="s">
        <v>75</v>
      </c>
      <c r="J459" s="2" t="s">
        <v>76</v>
      </c>
      <c r="K459" s="2" t="s">
        <v>77</v>
      </c>
      <c r="L459" s="2" t="s">
        <v>176</v>
      </c>
      <c r="M459" s="2" t="s">
        <v>176</v>
      </c>
      <c r="N459" s="2" t="s">
        <v>177</v>
      </c>
      <c r="O459" s="2" t="s">
        <v>115</v>
      </c>
      <c r="P459" s="2" t="str">
        <f>"2170560704                    "</f>
        <v xml:space="preserve">2170560704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4.29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1</v>
      </c>
      <c r="BJ459" s="2">
        <v>0.2</v>
      </c>
      <c r="BK459" s="2">
        <v>1</v>
      </c>
      <c r="BL459" s="2">
        <v>41.73</v>
      </c>
      <c r="BM459" s="2">
        <v>5.84</v>
      </c>
      <c r="BN459" s="2">
        <v>47.57</v>
      </c>
      <c r="BO459" s="2">
        <v>47.57</v>
      </c>
      <c r="BP459" s="2"/>
      <c r="BQ459" s="2" t="s">
        <v>178</v>
      </c>
      <c r="BR459" s="2" t="s">
        <v>123</v>
      </c>
      <c r="BS459" s="3">
        <v>42831</v>
      </c>
      <c r="BT459" s="4">
        <v>0.4861111111111111</v>
      </c>
      <c r="BU459" s="2" t="s">
        <v>179</v>
      </c>
      <c r="BV459" s="2" t="s">
        <v>111</v>
      </c>
      <c r="BW459" s="2"/>
      <c r="BX459" s="2"/>
      <c r="BY459" s="2">
        <v>1200</v>
      </c>
      <c r="BZ459" s="2" t="s">
        <v>27</v>
      </c>
      <c r="CA459" s="2"/>
      <c r="CB459" s="2"/>
      <c r="CC459" s="2" t="s">
        <v>176</v>
      </c>
      <c r="CD459" s="2">
        <v>7646</v>
      </c>
      <c r="CE459" s="2" t="s">
        <v>118</v>
      </c>
      <c r="CF459" s="5">
        <v>42832</v>
      </c>
      <c r="CG459" s="2"/>
      <c r="CH459" s="2"/>
      <c r="CI459" s="2">
        <v>1</v>
      </c>
      <c r="CJ459" s="2">
        <v>1</v>
      </c>
      <c r="CK459" s="2">
        <v>21</v>
      </c>
      <c r="CL459" s="2" t="s">
        <v>86</v>
      </c>
      <c r="CM459" s="2"/>
    </row>
    <row r="460" spans="1:91">
      <c r="A460" s="2" t="s">
        <v>71</v>
      </c>
      <c r="B460" s="2" t="s">
        <v>72</v>
      </c>
      <c r="C460" s="2" t="s">
        <v>73</v>
      </c>
      <c r="D460" s="2"/>
      <c r="E460" s="2" t="str">
        <f>"FES1162541609"</f>
        <v>FES1162541609</v>
      </c>
      <c r="F460" s="3">
        <v>42830</v>
      </c>
      <c r="G460" s="2">
        <v>201710</v>
      </c>
      <c r="H460" s="2" t="s">
        <v>74</v>
      </c>
      <c r="I460" s="2" t="s">
        <v>75</v>
      </c>
      <c r="J460" s="2" t="s">
        <v>76</v>
      </c>
      <c r="K460" s="2" t="s">
        <v>77</v>
      </c>
      <c r="L460" s="2" t="s">
        <v>99</v>
      </c>
      <c r="M460" s="2" t="s">
        <v>100</v>
      </c>
      <c r="N460" s="2" t="s">
        <v>583</v>
      </c>
      <c r="O460" s="2" t="s">
        <v>115</v>
      </c>
      <c r="P460" s="2" t="str">
        <f>"2170557713                    "</f>
        <v xml:space="preserve">2170557713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8.57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4</v>
      </c>
      <c r="BJ460" s="2">
        <v>0.8</v>
      </c>
      <c r="BK460" s="2">
        <v>4</v>
      </c>
      <c r="BL460" s="2">
        <v>83.45</v>
      </c>
      <c r="BM460" s="2">
        <v>11.68</v>
      </c>
      <c r="BN460" s="2">
        <v>95.13</v>
      </c>
      <c r="BO460" s="2">
        <v>95.13</v>
      </c>
      <c r="BP460" s="2"/>
      <c r="BQ460" s="2" t="s">
        <v>584</v>
      </c>
      <c r="BR460" s="2" t="s">
        <v>123</v>
      </c>
      <c r="BS460" s="3">
        <v>42831</v>
      </c>
      <c r="BT460" s="4">
        <v>0.30902777777777779</v>
      </c>
      <c r="BU460" s="2" t="s">
        <v>130</v>
      </c>
      <c r="BV460" s="2" t="s">
        <v>111</v>
      </c>
      <c r="BW460" s="2"/>
      <c r="BX460" s="2"/>
      <c r="BY460" s="2">
        <v>3920</v>
      </c>
      <c r="BZ460" s="2" t="s">
        <v>27</v>
      </c>
      <c r="CA460" s="2"/>
      <c r="CB460" s="2"/>
      <c r="CC460" s="2" t="s">
        <v>100</v>
      </c>
      <c r="CD460" s="2">
        <v>6001</v>
      </c>
      <c r="CE460" s="2" t="s">
        <v>135</v>
      </c>
      <c r="CF460" s="5">
        <v>42832</v>
      </c>
      <c r="CG460" s="2"/>
      <c r="CH460" s="2"/>
      <c r="CI460" s="2">
        <v>1</v>
      </c>
      <c r="CJ460" s="2">
        <v>1</v>
      </c>
      <c r="CK460" s="2">
        <v>21</v>
      </c>
      <c r="CL460" s="2" t="s">
        <v>86</v>
      </c>
      <c r="CM460" s="2"/>
    </row>
    <row r="461" spans="1:91">
      <c r="A461" s="2" t="s">
        <v>71</v>
      </c>
      <c r="B461" s="2" t="s">
        <v>72</v>
      </c>
      <c r="C461" s="2" t="s">
        <v>73</v>
      </c>
      <c r="D461" s="2"/>
      <c r="E461" s="2" t="str">
        <f>"FES1162543243"</f>
        <v>FES1162543243</v>
      </c>
      <c r="F461" s="3">
        <v>42837</v>
      </c>
      <c r="G461" s="2">
        <v>201710</v>
      </c>
      <c r="H461" s="2" t="s">
        <v>74</v>
      </c>
      <c r="I461" s="2" t="s">
        <v>75</v>
      </c>
      <c r="J461" s="2" t="s">
        <v>76</v>
      </c>
      <c r="K461" s="2" t="s">
        <v>77</v>
      </c>
      <c r="L461" s="2" t="s">
        <v>641</v>
      </c>
      <c r="M461" s="2" t="s">
        <v>642</v>
      </c>
      <c r="N461" s="2" t="s">
        <v>643</v>
      </c>
      <c r="O461" s="2" t="s">
        <v>115</v>
      </c>
      <c r="P461" s="2" t="str">
        <f>"2170559182                    "</f>
        <v xml:space="preserve">2170559182 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8.31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1</v>
      </c>
      <c r="BJ461" s="2">
        <v>0.2</v>
      </c>
      <c r="BK461" s="2">
        <v>1</v>
      </c>
      <c r="BL461" s="2">
        <v>80.849999999999994</v>
      </c>
      <c r="BM461" s="2">
        <v>11.32</v>
      </c>
      <c r="BN461" s="2">
        <v>92.17</v>
      </c>
      <c r="BO461" s="2">
        <v>92.17</v>
      </c>
      <c r="BP461" s="2"/>
      <c r="BQ461" s="2" t="s">
        <v>83</v>
      </c>
      <c r="BR461" s="2" t="s">
        <v>84</v>
      </c>
      <c r="BS461" s="3">
        <v>42838</v>
      </c>
      <c r="BT461" s="4">
        <v>0.57916666666666672</v>
      </c>
      <c r="BU461" s="2" t="s">
        <v>644</v>
      </c>
      <c r="BV461" s="2" t="s">
        <v>111</v>
      </c>
      <c r="BW461" s="2"/>
      <c r="BX461" s="2"/>
      <c r="BY461" s="2">
        <v>1200</v>
      </c>
      <c r="BZ461" s="2" t="s">
        <v>27</v>
      </c>
      <c r="CA461" s="2"/>
      <c r="CB461" s="2"/>
      <c r="CC461" s="2" t="s">
        <v>642</v>
      </c>
      <c r="CD461" s="2">
        <v>6300</v>
      </c>
      <c r="CE461" s="2" t="s">
        <v>118</v>
      </c>
      <c r="CF461" s="5">
        <v>42843</v>
      </c>
      <c r="CG461" s="2"/>
      <c r="CH461" s="2"/>
      <c r="CI461" s="2">
        <v>3</v>
      </c>
      <c r="CJ461" s="2">
        <v>1</v>
      </c>
      <c r="CK461" s="2">
        <v>23</v>
      </c>
      <c r="CL461" s="2" t="s">
        <v>86</v>
      </c>
      <c r="CM461" s="2"/>
    </row>
    <row r="462" spans="1:91">
      <c r="A462" s="2" t="s">
        <v>71</v>
      </c>
      <c r="B462" s="2" t="s">
        <v>72</v>
      </c>
      <c r="C462" s="2" t="s">
        <v>73</v>
      </c>
      <c r="D462" s="2"/>
      <c r="E462" s="2" t="str">
        <f>"FES1162541994"</f>
        <v>FES1162541994</v>
      </c>
      <c r="F462" s="3">
        <v>42831</v>
      </c>
      <c r="G462" s="2">
        <v>201710</v>
      </c>
      <c r="H462" s="2" t="s">
        <v>74</v>
      </c>
      <c r="I462" s="2" t="s">
        <v>75</v>
      </c>
      <c r="J462" s="2" t="s">
        <v>76</v>
      </c>
      <c r="K462" s="2" t="s">
        <v>77</v>
      </c>
      <c r="L462" s="2" t="s">
        <v>180</v>
      </c>
      <c r="M462" s="2" t="s">
        <v>181</v>
      </c>
      <c r="N462" s="2" t="s">
        <v>320</v>
      </c>
      <c r="O462" s="2" t="s">
        <v>115</v>
      </c>
      <c r="P462" s="2" t="str">
        <f>"2170558200                    "</f>
        <v xml:space="preserve">2170558200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4.29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1</v>
      </c>
      <c r="BJ462" s="2">
        <v>0.2</v>
      </c>
      <c r="BK462" s="2">
        <v>1</v>
      </c>
      <c r="BL462" s="2">
        <v>41.73</v>
      </c>
      <c r="BM462" s="2">
        <v>5.84</v>
      </c>
      <c r="BN462" s="2">
        <v>47.57</v>
      </c>
      <c r="BO462" s="2">
        <v>47.57</v>
      </c>
      <c r="BP462" s="2"/>
      <c r="BQ462" s="2" t="s">
        <v>129</v>
      </c>
      <c r="BR462" s="2" t="s">
        <v>123</v>
      </c>
      <c r="BS462" s="3">
        <v>42832</v>
      </c>
      <c r="BT462" s="4">
        <v>0.43611111111111112</v>
      </c>
      <c r="BU462" s="2" t="s">
        <v>266</v>
      </c>
      <c r="BV462" s="2" t="s">
        <v>111</v>
      </c>
      <c r="BW462" s="2"/>
      <c r="BX462" s="2"/>
      <c r="BY462" s="2">
        <v>1200</v>
      </c>
      <c r="BZ462" s="2" t="s">
        <v>27</v>
      </c>
      <c r="CA462" s="2"/>
      <c r="CB462" s="2"/>
      <c r="CC462" s="2" t="s">
        <v>181</v>
      </c>
      <c r="CD462" s="2">
        <v>4051</v>
      </c>
      <c r="CE462" s="2" t="s">
        <v>144</v>
      </c>
      <c r="CF462" s="5">
        <v>42835</v>
      </c>
      <c r="CG462" s="2"/>
      <c r="CH462" s="2"/>
      <c r="CI462" s="2">
        <v>1</v>
      </c>
      <c r="CJ462" s="2">
        <v>1</v>
      </c>
      <c r="CK462" s="2">
        <v>21</v>
      </c>
      <c r="CL462" s="2" t="s">
        <v>86</v>
      </c>
      <c r="CM462" s="2"/>
    </row>
    <row r="463" spans="1:91">
      <c r="A463" s="2" t="s">
        <v>71</v>
      </c>
      <c r="B463" s="2" t="s">
        <v>72</v>
      </c>
      <c r="C463" s="2" t="s">
        <v>73</v>
      </c>
      <c r="D463" s="2"/>
      <c r="E463" s="2" t="str">
        <f>"FES1162541436"</f>
        <v>FES1162541436</v>
      </c>
      <c r="F463" s="3">
        <v>42829</v>
      </c>
      <c r="G463" s="2">
        <v>201710</v>
      </c>
      <c r="H463" s="2" t="s">
        <v>74</v>
      </c>
      <c r="I463" s="2" t="s">
        <v>75</v>
      </c>
      <c r="J463" s="2" t="s">
        <v>76</v>
      </c>
      <c r="K463" s="2" t="s">
        <v>77</v>
      </c>
      <c r="L463" s="2" t="s">
        <v>99</v>
      </c>
      <c r="M463" s="2" t="s">
        <v>100</v>
      </c>
      <c r="N463" s="2" t="s">
        <v>108</v>
      </c>
      <c r="O463" s="2" t="s">
        <v>115</v>
      </c>
      <c r="P463" s="2" t="str">
        <f>"2170556519                    "</f>
        <v xml:space="preserve">2170556519 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39.79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6.1</v>
      </c>
      <c r="BJ463" s="2">
        <v>18</v>
      </c>
      <c r="BK463" s="2">
        <v>18</v>
      </c>
      <c r="BL463" s="2">
        <v>376.75</v>
      </c>
      <c r="BM463" s="2">
        <v>52.75</v>
      </c>
      <c r="BN463" s="2">
        <v>429.5</v>
      </c>
      <c r="BO463" s="2">
        <v>429.5</v>
      </c>
      <c r="BP463" s="2"/>
      <c r="BQ463" s="2" t="s">
        <v>109</v>
      </c>
      <c r="BR463" s="2" t="s">
        <v>123</v>
      </c>
      <c r="BS463" s="3">
        <v>42830</v>
      </c>
      <c r="BT463" s="4">
        <v>0.39583333333333331</v>
      </c>
      <c r="BU463" s="2" t="s">
        <v>110</v>
      </c>
      <c r="BV463" s="2" t="s">
        <v>111</v>
      </c>
      <c r="BW463" s="2"/>
      <c r="BX463" s="2"/>
      <c r="BY463" s="2">
        <v>89873.78</v>
      </c>
      <c r="BZ463" s="2" t="s">
        <v>27</v>
      </c>
      <c r="CA463" s="2" t="s">
        <v>106</v>
      </c>
      <c r="CB463" s="2"/>
      <c r="CC463" s="2" t="s">
        <v>100</v>
      </c>
      <c r="CD463" s="2">
        <v>6001</v>
      </c>
      <c r="CE463" s="2" t="s">
        <v>89</v>
      </c>
      <c r="CF463" s="5">
        <v>42830</v>
      </c>
      <c r="CG463" s="2"/>
      <c r="CH463" s="2"/>
      <c r="CI463" s="2">
        <v>1</v>
      </c>
      <c r="CJ463" s="2">
        <v>1</v>
      </c>
      <c r="CK463" s="2">
        <v>21</v>
      </c>
      <c r="CL463" s="2" t="s">
        <v>86</v>
      </c>
      <c r="CM463" s="2"/>
    </row>
    <row r="464" spans="1:91">
      <c r="A464" s="2" t="s">
        <v>71</v>
      </c>
      <c r="B464" s="2" t="s">
        <v>72</v>
      </c>
      <c r="C464" s="2" t="s">
        <v>73</v>
      </c>
      <c r="D464" s="2"/>
      <c r="E464" s="2" t="str">
        <f>"FES1162542848"</f>
        <v>FES1162542848</v>
      </c>
      <c r="F464" s="3">
        <v>42836</v>
      </c>
      <c r="G464" s="2">
        <v>201710</v>
      </c>
      <c r="H464" s="2" t="s">
        <v>74</v>
      </c>
      <c r="I464" s="2" t="s">
        <v>75</v>
      </c>
      <c r="J464" s="2" t="s">
        <v>76</v>
      </c>
      <c r="K464" s="2" t="s">
        <v>77</v>
      </c>
      <c r="L464" s="2" t="s">
        <v>401</v>
      </c>
      <c r="M464" s="2" t="s">
        <v>402</v>
      </c>
      <c r="N464" s="2" t="s">
        <v>1023</v>
      </c>
      <c r="O464" s="2" t="s">
        <v>115</v>
      </c>
      <c r="P464" s="2" t="str">
        <f>"2170552591                    "</f>
        <v xml:space="preserve">2170552591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4.29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1</v>
      </c>
      <c r="BJ464" s="2">
        <v>1</v>
      </c>
      <c r="BK464" s="2">
        <v>1</v>
      </c>
      <c r="BL464" s="2">
        <v>41.73</v>
      </c>
      <c r="BM464" s="2">
        <v>5.84</v>
      </c>
      <c r="BN464" s="2">
        <v>47.57</v>
      </c>
      <c r="BO464" s="2">
        <v>47.57</v>
      </c>
      <c r="BP464" s="2"/>
      <c r="BQ464" s="2" t="s">
        <v>1024</v>
      </c>
      <c r="BR464" s="2" t="s">
        <v>123</v>
      </c>
      <c r="BS464" s="3">
        <v>42837</v>
      </c>
      <c r="BT464" s="4">
        <v>0.4375</v>
      </c>
      <c r="BU464" s="2" t="s">
        <v>1025</v>
      </c>
      <c r="BV464" s="2" t="s">
        <v>111</v>
      </c>
      <c r="BW464" s="2"/>
      <c r="BX464" s="2"/>
      <c r="BY464" s="2">
        <v>4862.78</v>
      </c>
      <c r="BZ464" s="2" t="s">
        <v>27</v>
      </c>
      <c r="CA464" s="2"/>
      <c r="CB464" s="2"/>
      <c r="CC464" s="2" t="s">
        <v>402</v>
      </c>
      <c r="CD464" s="2">
        <v>4110</v>
      </c>
      <c r="CE464" s="2" t="s">
        <v>144</v>
      </c>
      <c r="CF464" s="5">
        <v>42843</v>
      </c>
      <c r="CG464" s="2"/>
      <c r="CH464" s="2"/>
      <c r="CI464" s="2">
        <v>1</v>
      </c>
      <c r="CJ464" s="2">
        <v>1</v>
      </c>
      <c r="CK464" s="2">
        <v>21</v>
      </c>
      <c r="CL464" s="2" t="s">
        <v>86</v>
      </c>
      <c r="CM464" s="2"/>
    </row>
    <row r="465" spans="1:91">
      <c r="A465" s="2" t="s">
        <v>71</v>
      </c>
      <c r="B465" s="2" t="s">
        <v>72</v>
      </c>
      <c r="C465" s="2" t="s">
        <v>73</v>
      </c>
      <c r="D465" s="2"/>
      <c r="E465" s="2" t="str">
        <f>"FES1162541669"</f>
        <v>FES1162541669</v>
      </c>
      <c r="F465" s="3">
        <v>42830</v>
      </c>
      <c r="G465" s="2">
        <v>201710</v>
      </c>
      <c r="H465" s="2" t="s">
        <v>74</v>
      </c>
      <c r="I465" s="2" t="s">
        <v>75</v>
      </c>
      <c r="J465" s="2" t="s">
        <v>76</v>
      </c>
      <c r="K465" s="2" t="s">
        <v>77</v>
      </c>
      <c r="L465" s="2" t="s">
        <v>1026</v>
      </c>
      <c r="M465" s="2" t="s">
        <v>1027</v>
      </c>
      <c r="N465" s="2" t="s">
        <v>1028</v>
      </c>
      <c r="O465" s="2" t="s">
        <v>115</v>
      </c>
      <c r="P465" s="2" t="str">
        <f>"2170558944                    "</f>
        <v xml:space="preserve">2170558944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8.31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1</v>
      </c>
      <c r="BJ465" s="2">
        <v>0.2</v>
      </c>
      <c r="BK465" s="2">
        <v>1</v>
      </c>
      <c r="BL465" s="2">
        <v>80.849999999999994</v>
      </c>
      <c r="BM465" s="2">
        <v>11.32</v>
      </c>
      <c r="BN465" s="2">
        <v>92.17</v>
      </c>
      <c r="BO465" s="2">
        <v>92.17</v>
      </c>
      <c r="BP465" s="2"/>
      <c r="BQ465" s="2" t="s">
        <v>129</v>
      </c>
      <c r="BR465" s="2" t="s">
        <v>123</v>
      </c>
      <c r="BS465" s="3">
        <v>42831</v>
      </c>
      <c r="BT465" s="4">
        <v>0.41666666666666669</v>
      </c>
      <c r="BU465" s="2" t="s">
        <v>1029</v>
      </c>
      <c r="BV465" s="2" t="s">
        <v>111</v>
      </c>
      <c r="BW465" s="2"/>
      <c r="BX465" s="2"/>
      <c r="BY465" s="2">
        <v>1200</v>
      </c>
      <c r="BZ465" s="2" t="s">
        <v>27</v>
      </c>
      <c r="CA465" s="2" t="s">
        <v>159</v>
      </c>
      <c r="CB465" s="2"/>
      <c r="CC465" s="2" t="s">
        <v>1027</v>
      </c>
      <c r="CD465" s="2">
        <v>7349</v>
      </c>
      <c r="CE465" s="2" t="s">
        <v>118</v>
      </c>
      <c r="CF465" s="5">
        <v>42832</v>
      </c>
      <c r="CG465" s="2"/>
      <c r="CH465" s="2"/>
      <c r="CI465" s="2">
        <v>1</v>
      </c>
      <c r="CJ465" s="2">
        <v>1</v>
      </c>
      <c r="CK465" s="2">
        <v>23</v>
      </c>
      <c r="CL465" s="2" t="s">
        <v>86</v>
      </c>
      <c r="CM465" s="2"/>
    </row>
    <row r="466" spans="1:91">
      <c r="A466" s="2" t="s">
        <v>71</v>
      </c>
      <c r="B466" s="2" t="s">
        <v>72</v>
      </c>
      <c r="C466" s="2" t="s">
        <v>73</v>
      </c>
      <c r="D466" s="2"/>
      <c r="E466" s="2" t="str">
        <f>"FES1162541574"</f>
        <v>FES1162541574</v>
      </c>
      <c r="F466" s="3">
        <v>42830</v>
      </c>
      <c r="G466" s="2">
        <v>201710</v>
      </c>
      <c r="H466" s="2" t="s">
        <v>74</v>
      </c>
      <c r="I466" s="2" t="s">
        <v>75</v>
      </c>
      <c r="J466" s="2" t="s">
        <v>76</v>
      </c>
      <c r="K466" s="2" t="s">
        <v>77</v>
      </c>
      <c r="L466" s="2" t="s">
        <v>260</v>
      </c>
      <c r="M466" s="2" t="s">
        <v>261</v>
      </c>
      <c r="N466" s="2" t="s">
        <v>1030</v>
      </c>
      <c r="O466" s="2" t="s">
        <v>115</v>
      </c>
      <c r="P466" s="2" t="str">
        <f>"2170555982                    "</f>
        <v xml:space="preserve">2170555982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3.35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6</v>
      </c>
      <c r="BJ466" s="2">
        <v>1.2</v>
      </c>
      <c r="BK466" s="2">
        <v>6</v>
      </c>
      <c r="BL466" s="2">
        <v>32.6</v>
      </c>
      <c r="BM466" s="2">
        <v>4.5599999999999996</v>
      </c>
      <c r="BN466" s="2">
        <v>37.159999999999997</v>
      </c>
      <c r="BO466" s="2">
        <v>37.159999999999997</v>
      </c>
      <c r="BP466" s="2"/>
      <c r="BQ466" s="2" t="s">
        <v>1031</v>
      </c>
      <c r="BR466" s="2" t="s">
        <v>123</v>
      </c>
      <c r="BS466" s="3">
        <v>42831</v>
      </c>
      <c r="BT466" s="4">
        <v>0.33333333333333331</v>
      </c>
      <c r="BU466" s="2" t="s">
        <v>198</v>
      </c>
      <c r="BV466" s="2" t="s">
        <v>111</v>
      </c>
      <c r="BW466" s="2"/>
      <c r="BX466" s="2"/>
      <c r="BY466" s="2">
        <v>6216</v>
      </c>
      <c r="BZ466" s="2" t="s">
        <v>27</v>
      </c>
      <c r="CA466" s="2"/>
      <c r="CB466" s="2"/>
      <c r="CC466" s="2" t="s">
        <v>261</v>
      </c>
      <c r="CD466" s="2">
        <v>1451</v>
      </c>
      <c r="CE466" s="2" t="s">
        <v>89</v>
      </c>
      <c r="CF466" s="5">
        <v>42832</v>
      </c>
      <c r="CG466" s="2"/>
      <c r="CH466" s="2"/>
      <c r="CI466" s="2">
        <v>1</v>
      </c>
      <c r="CJ466" s="2">
        <v>1</v>
      </c>
      <c r="CK466" s="2">
        <v>22</v>
      </c>
      <c r="CL466" s="2" t="s">
        <v>86</v>
      </c>
      <c r="CM466" s="2"/>
    </row>
    <row r="467" spans="1:91">
      <c r="A467" s="2" t="s">
        <v>71</v>
      </c>
      <c r="B467" s="2" t="s">
        <v>72</v>
      </c>
      <c r="C467" s="2" t="s">
        <v>73</v>
      </c>
      <c r="D467" s="2"/>
      <c r="E467" s="2" t="str">
        <f>"FES1162543292"</f>
        <v>FES1162543292</v>
      </c>
      <c r="F467" s="3">
        <v>42837</v>
      </c>
      <c r="G467" s="2">
        <v>201710</v>
      </c>
      <c r="H467" s="2" t="s">
        <v>74</v>
      </c>
      <c r="I467" s="2" t="s">
        <v>75</v>
      </c>
      <c r="J467" s="2" t="s">
        <v>76</v>
      </c>
      <c r="K467" s="2" t="s">
        <v>77</v>
      </c>
      <c r="L467" s="2" t="s">
        <v>234</v>
      </c>
      <c r="M467" s="2" t="s">
        <v>235</v>
      </c>
      <c r="N467" s="2" t="s">
        <v>236</v>
      </c>
      <c r="O467" s="2" t="s">
        <v>115</v>
      </c>
      <c r="P467" s="2" t="str">
        <f>"2170559925                    "</f>
        <v xml:space="preserve">2170559925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4.29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1</v>
      </c>
      <c r="BJ467" s="2">
        <v>0.2</v>
      </c>
      <c r="BK467" s="2">
        <v>1</v>
      </c>
      <c r="BL467" s="2">
        <v>41.73</v>
      </c>
      <c r="BM467" s="2">
        <v>5.84</v>
      </c>
      <c r="BN467" s="2">
        <v>47.57</v>
      </c>
      <c r="BO467" s="2">
        <v>47.57</v>
      </c>
      <c r="BP467" s="2"/>
      <c r="BQ467" s="2" t="s">
        <v>285</v>
      </c>
      <c r="BR467" s="2" t="s">
        <v>84</v>
      </c>
      <c r="BS467" s="3">
        <v>42838</v>
      </c>
      <c r="BT467" s="4">
        <v>0.3527777777777778</v>
      </c>
      <c r="BU467" s="2" t="s">
        <v>245</v>
      </c>
      <c r="BV467" s="2" t="s">
        <v>111</v>
      </c>
      <c r="BW467" s="2"/>
      <c r="BX467" s="2"/>
      <c r="BY467" s="2">
        <v>1200</v>
      </c>
      <c r="BZ467" s="2" t="s">
        <v>27</v>
      </c>
      <c r="CA467" s="2"/>
      <c r="CB467" s="2"/>
      <c r="CC467" s="2" t="s">
        <v>235</v>
      </c>
      <c r="CD467" s="2">
        <v>6220</v>
      </c>
      <c r="CE467" s="2" t="s">
        <v>118</v>
      </c>
      <c r="CF467" s="5">
        <v>42843</v>
      </c>
      <c r="CG467" s="2"/>
      <c r="CH467" s="2"/>
      <c r="CI467" s="2">
        <v>1</v>
      </c>
      <c r="CJ467" s="2">
        <v>1</v>
      </c>
      <c r="CK467" s="2">
        <v>21</v>
      </c>
      <c r="CL467" s="2" t="s">
        <v>86</v>
      </c>
      <c r="CM467" s="2"/>
    </row>
    <row r="468" spans="1:91">
      <c r="A468" s="2" t="s">
        <v>71</v>
      </c>
      <c r="B468" s="2" t="s">
        <v>72</v>
      </c>
      <c r="C468" s="2" t="s">
        <v>73</v>
      </c>
      <c r="D468" s="2"/>
      <c r="E468" s="2" t="str">
        <f>"FES1162541913"</f>
        <v>FES1162541913</v>
      </c>
      <c r="F468" s="3">
        <v>42831</v>
      </c>
      <c r="G468" s="2">
        <v>201710</v>
      </c>
      <c r="H468" s="2" t="s">
        <v>74</v>
      </c>
      <c r="I468" s="2" t="s">
        <v>75</v>
      </c>
      <c r="J468" s="2" t="s">
        <v>76</v>
      </c>
      <c r="K468" s="2" t="s">
        <v>77</v>
      </c>
      <c r="L468" s="2" t="s">
        <v>1032</v>
      </c>
      <c r="M468" s="2" t="s">
        <v>1033</v>
      </c>
      <c r="N468" s="2" t="s">
        <v>1034</v>
      </c>
      <c r="O468" s="2" t="s">
        <v>115</v>
      </c>
      <c r="P468" s="2" t="str">
        <f>"2170559400                    "</f>
        <v xml:space="preserve">2170559400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8.31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1</v>
      </c>
      <c r="BJ468" s="2">
        <v>0.2</v>
      </c>
      <c r="BK468" s="2">
        <v>1</v>
      </c>
      <c r="BL468" s="2">
        <v>80.849999999999994</v>
      </c>
      <c r="BM468" s="2">
        <v>11.32</v>
      </c>
      <c r="BN468" s="2">
        <v>92.17</v>
      </c>
      <c r="BO468" s="2">
        <v>92.17</v>
      </c>
      <c r="BP468" s="2"/>
      <c r="BQ468" s="2" t="s">
        <v>129</v>
      </c>
      <c r="BR468" s="2" t="s">
        <v>123</v>
      </c>
      <c r="BS468" s="3">
        <v>42835</v>
      </c>
      <c r="BT468" s="4">
        <v>0.41666666666666669</v>
      </c>
      <c r="BU468" s="2" t="s">
        <v>1035</v>
      </c>
      <c r="BV468" s="2" t="s">
        <v>111</v>
      </c>
      <c r="BW468" s="2"/>
      <c r="BX468" s="2"/>
      <c r="BY468" s="2">
        <v>1200</v>
      </c>
      <c r="BZ468" s="2" t="s">
        <v>27</v>
      </c>
      <c r="CA468" s="2"/>
      <c r="CB468" s="2"/>
      <c r="CC468" s="2" t="s">
        <v>1033</v>
      </c>
      <c r="CD468" s="2">
        <v>5605</v>
      </c>
      <c r="CE468" s="2" t="s">
        <v>144</v>
      </c>
      <c r="CF468" s="5">
        <v>42837</v>
      </c>
      <c r="CG468" s="2"/>
      <c r="CH468" s="2"/>
      <c r="CI468" s="2">
        <v>4</v>
      </c>
      <c r="CJ468" s="2">
        <v>2</v>
      </c>
      <c r="CK468" s="2">
        <v>23</v>
      </c>
      <c r="CL468" s="2" t="s">
        <v>86</v>
      </c>
      <c r="CM468" s="2"/>
    </row>
    <row r="469" spans="1:91">
      <c r="A469" s="2" t="s">
        <v>71</v>
      </c>
      <c r="B469" s="2" t="s">
        <v>72</v>
      </c>
      <c r="C469" s="2" t="s">
        <v>73</v>
      </c>
      <c r="D469" s="2"/>
      <c r="E469" s="2" t="str">
        <f>"FES1162541458"</f>
        <v>FES1162541458</v>
      </c>
      <c r="F469" s="3">
        <v>42829</v>
      </c>
      <c r="G469" s="2">
        <v>201710</v>
      </c>
      <c r="H469" s="2" t="s">
        <v>74</v>
      </c>
      <c r="I469" s="2" t="s">
        <v>75</v>
      </c>
      <c r="J469" s="2" t="s">
        <v>76</v>
      </c>
      <c r="K469" s="2" t="s">
        <v>77</v>
      </c>
      <c r="L469" s="2" t="s">
        <v>112</v>
      </c>
      <c r="M469" s="2" t="s">
        <v>113</v>
      </c>
      <c r="N469" s="2" t="s">
        <v>114</v>
      </c>
      <c r="O469" s="2" t="s">
        <v>115</v>
      </c>
      <c r="P469" s="2" t="str">
        <f>"2170552112                    "</f>
        <v xml:space="preserve">2170552112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48.64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22</v>
      </c>
      <c r="BJ469" s="2">
        <v>8.3000000000000007</v>
      </c>
      <c r="BK469" s="2">
        <v>22</v>
      </c>
      <c r="BL469" s="2">
        <v>460.48</v>
      </c>
      <c r="BM469" s="2">
        <v>64.47</v>
      </c>
      <c r="BN469" s="2">
        <v>524.95000000000005</v>
      </c>
      <c r="BO469" s="2">
        <v>524.95000000000005</v>
      </c>
      <c r="BP469" s="2"/>
      <c r="BQ469" s="2" t="s">
        <v>116</v>
      </c>
      <c r="BR469" s="2" t="s">
        <v>123</v>
      </c>
      <c r="BS469" s="3">
        <v>42830</v>
      </c>
      <c r="BT469" s="4">
        <v>0.39583333333333331</v>
      </c>
      <c r="BU469" s="2" t="s">
        <v>1036</v>
      </c>
      <c r="BV469" s="2" t="s">
        <v>111</v>
      </c>
      <c r="BW469" s="2"/>
      <c r="BX469" s="2"/>
      <c r="BY469" s="2">
        <v>41572.33</v>
      </c>
      <c r="BZ469" s="2" t="s">
        <v>27</v>
      </c>
      <c r="CA469" s="2" t="s">
        <v>159</v>
      </c>
      <c r="CB469" s="2"/>
      <c r="CC469" s="2" t="s">
        <v>113</v>
      </c>
      <c r="CD469" s="2">
        <v>3201</v>
      </c>
      <c r="CE469" s="2" t="s">
        <v>172</v>
      </c>
      <c r="CF469" s="5">
        <v>42832</v>
      </c>
      <c r="CG469" s="2"/>
      <c r="CH469" s="2"/>
      <c r="CI469" s="2">
        <v>1</v>
      </c>
      <c r="CJ469" s="2">
        <v>1</v>
      </c>
      <c r="CK469" s="2">
        <v>21</v>
      </c>
      <c r="CL469" s="2" t="s">
        <v>86</v>
      </c>
      <c r="CM469" s="2"/>
    </row>
    <row r="470" spans="1:91">
      <c r="A470" s="2" t="s">
        <v>71</v>
      </c>
      <c r="B470" s="2" t="s">
        <v>72</v>
      </c>
      <c r="C470" s="2" t="s">
        <v>73</v>
      </c>
      <c r="D470" s="2"/>
      <c r="E470" s="2" t="str">
        <f>"FES1162542785"</f>
        <v>FES1162542785</v>
      </c>
      <c r="F470" s="3">
        <v>42836</v>
      </c>
      <c r="G470" s="2">
        <v>201710</v>
      </c>
      <c r="H470" s="2" t="s">
        <v>74</v>
      </c>
      <c r="I470" s="2" t="s">
        <v>75</v>
      </c>
      <c r="J470" s="2" t="s">
        <v>76</v>
      </c>
      <c r="K470" s="2" t="s">
        <v>77</v>
      </c>
      <c r="L470" s="2" t="s">
        <v>496</v>
      </c>
      <c r="M470" s="2" t="s">
        <v>497</v>
      </c>
      <c r="N470" s="2" t="s">
        <v>498</v>
      </c>
      <c r="O470" s="2" t="s">
        <v>115</v>
      </c>
      <c r="P470" s="2" t="str">
        <f>"2170561416                    "</f>
        <v xml:space="preserve">2170561416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3.35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1</v>
      </c>
      <c r="BJ470" s="2">
        <v>0.2</v>
      </c>
      <c r="BK470" s="2">
        <v>1</v>
      </c>
      <c r="BL470" s="2">
        <v>32.6</v>
      </c>
      <c r="BM470" s="2">
        <v>4.5599999999999996</v>
      </c>
      <c r="BN470" s="2">
        <v>37.159999999999997</v>
      </c>
      <c r="BO470" s="2">
        <v>37.159999999999997</v>
      </c>
      <c r="BP470" s="2"/>
      <c r="BQ470" s="2" t="s">
        <v>122</v>
      </c>
      <c r="BR470" s="2" t="s">
        <v>123</v>
      </c>
      <c r="BS470" s="3">
        <v>42837</v>
      </c>
      <c r="BT470" s="4">
        <v>0.33333333333333331</v>
      </c>
      <c r="BU470" s="2" t="s">
        <v>1037</v>
      </c>
      <c r="BV470" s="2" t="s">
        <v>111</v>
      </c>
      <c r="BW470" s="2"/>
      <c r="BX470" s="2"/>
      <c r="BY470" s="2">
        <v>1200</v>
      </c>
      <c r="BZ470" s="2" t="s">
        <v>27</v>
      </c>
      <c r="CA470" s="2"/>
      <c r="CB470" s="2"/>
      <c r="CC470" s="2" t="s">
        <v>497</v>
      </c>
      <c r="CD470" s="2">
        <v>1559</v>
      </c>
      <c r="CE470" s="2" t="s">
        <v>118</v>
      </c>
      <c r="CF470" s="5">
        <v>42838</v>
      </c>
      <c r="CG470" s="2"/>
      <c r="CH470" s="2"/>
      <c r="CI470" s="2">
        <v>1</v>
      </c>
      <c r="CJ470" s="2">
        <v>1</v>
      </c>
      <c r="CK470" s="2">
        <v>22</v>
      </c>
      <c r="CL470" s="2" t="s">
        <v>86</v>
      </c>
      <c r="CM470" s="2"/>
    </row>
    <row r="471" spans="1:91">
      <c r="A471" s="2" t="s">
        <v>71</v>
      </c>
      <c r="B471" s="2" t="s">
        <v>72</v>
      </c>
      <c r="C471" s="2" t="s">
        <v>73</v>
      </c>
      <c r="D471" s="2"/>
      <c r="E471" s="2" t="str">
        <f>"FES1162541660"</f>
        <v>FES1162541660</v>
      </c>
      <c r="F471" s="3">
        <v>42830</v>
      </c>
      <c r="G471" s="2">
        <v>201710</v>
      </c>
      <c r="H471" s="2" t="s">
        <v>74</v>
      </c>
      <c r="I471" s="2" t="s">
        <v>75</v>
      </c>
      <c r="J471" s="2" t="s">
        <v>76</v>
      </c>
      <c r="K471" s="2" t="s">
        <v>77</v>
      </c>
      <c r="L471" s="2" t="s">
        <v>131</v>
      </c>
      <c r="M471" s="2" t="s">
        <v>132</v>
      </c>
      <c r="N471" s="2" t="s">
        <v>677</v>
      </c>
      <c r="O471" s="2" t="s">
        <v>115</v>
      </c>
      <c r="P471" s="2" t="str">
        <f>"2170558533                    "</f>
        <v xml:space="preserve">2170558533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4.29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1</v>
      </c>
      <c r="BJ471" s="2">
        <v>0.2</v>
      </c>
      <c r="BK471" s="2">
        <v>1</v>
      </c>
      <c r="BL471" s="2">
        <v>41.73</v>
      </c>
      <c r="BM471" s="2">
        <v>5.84</v>
      </c>
      <c r="BN471" s="2">
        <v>47.57</v>
      </c>
      <c r="BO471" s="2">
        <v>47.57</v>
      </c>
      <c r="BP471" s="2"/>
      <c r="BQ471" s="2" t="s">
        <v>678</v>
      </c>
      <c r="BR471" s="2" t="s">
        <v>123</v>
      </c>
      <c r="BS471" s="3">
        <v>42831</v>
      </c>
      <c r="BT471" s="4">
        <v>0.42708333333333331</v>
      </c>
      <c r="BU471" s="2" t="s">
        <v>1038</v>
      </c>
      <c r="BV471" s="2" t="s">
        <v>111</v>
      </c>
      <c r="BW471" s="2"/>
      <c r="BX471" s="2"/>
      <c r="BY471" s="2">
        <v>1200</v>
      </c>
      <c r="BZ471" s="2" t="s">
        <v>27</v>
      </c>
      <c r="CA471" s="2"/>
      <c r="CB471" s="2"/>
      <c r="CC471" s="2" t="s">
        <v>132</v>
      </c>
      <c r="CD471" s="2">
        <v>7800</v>
      </c>
      <c r="CE471" s="2" t="s">
        <v>118</v>
      </c>
      <c r="CF471" s="5">
        <v>42832</v>
      </c>
      <c r="CG471" s="2"/>
      <c r="CH471" s="2"/>
      <c r="CI471" s="2">
        <v>1</v>
      </c>
      <c r="CJ471" s="2">
        <v>1</v>
      </c>
      <c r="CK471" s="2">
        <v>21</v>
      </c>
      <c r="CL471" s="2" t="s">
        <v>86</v>
      </c>
      <c r="CM471" s="2"/>
    </row>
    <row r="472" spans="1:91">
      <c r="A472" s="2" t="s">
        <v>71</v>
      </c>
      <c r="B472" s="2" t="s">
        <v>72</v>
      </c>
      <c r="C472" s="2" t="s">
        <v>73</v>
      </c>
      <c r="D472" s="2"/>
      <c r="E472" s="2" t="str">
        <f>"FES1162541563"</f>
        <v>FES1162541563</v>
      </c>
      <c r="F472" s="3">
        <v>42830</v>
      </c>
      <c r="G472" s="2">
        <v>201710</v>
      </c>
      <c r="H472" s="2" t="s">
        <v>74</v>
      </c>
      <c r="I472" s="2" t="s">
        <v>75</v>
      </c>
      <c r="J472" s="2" t="s">
        <v>76</v>
      </c>
      <c r="K472" s="2" t="s">
        <v>77</v>
      </c>
      <c r="L472" s="2" t="s">
        <v>166</v>
      </c>
      <c r="M472" s="2" t="s">
        <v>167</v>
      </c>
      <c r="N472" s="2" t="s">
        <v>168</v>
      </c>
      <c r="O472" s="2" t="s">
        <v>115</v>
      </c>
      <c r="P472" s="2" t="str">
        <f>"2170560653                    "</f>
        <v xml:space="preserve">2170560653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3.35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4.0999999999999996</v>
      </c>
      <c r="BJ472" s="2">
        <v>1.7</v>
      </c>
      <c r="BK472" s="2">
        <v>5</v>
      </c>
      <c r="BL472" s="2">
        <v>32.6</v>
      </c>
      <c r="BM472" s="2">
        <v>4.5599999999999996</v>
      </c>
      <c r="BN472" s="2">
        <v>37.159999999999997</v>
      </c>
      <c r="BO472" s="2">
        <v>37.159999999999997</v>
      </c>
      <c r="BP472" s="2"/>
      <c r="BQ472" s="2" t="s">
        <v>169</v>
      </c>
      <c r="BR472" s="2" t="s">
        <v>123</v>
      </c>
      <c r="BS472" s="3">
        <v>42831</v>
      </c>
      <c r="BT472" s="4">
        <v>0.38194444444444442</v>
      </c>
      <c r="BU472" s="2" t="s">
        <v>170</v>
      </c>
      <c r="BV472" s="2" t="s">
        <v>111</v>
      </c>
      <c r="BW472" s="2"/>
      <c r="BX472" s="2"/>
      <c r="BY472" s="2">
        <v>8393.25</v>
      </c>
      <c r="BZ472" s="2" t="s">
        <v>27</v>
      </c>
      <c r="CA472" s="2"/>
      <c r="CB472" s="2"/>
      <c r="CC472" s="2" t="s">
        <v>167</v>
      </c>
      <c r="CD472" s="2">
        <v>2094</v>
      </c>
      <c r="CE472" s="2" t="s">
        <v>89</v>
      </c>
      <c r="CF472" s="5">
        <v>42832</v>
      </c>
      <c r="CG472" s="2"/>
      <c r="CH472" s="2"/>
      <c r="CI472" s="2">
        <v>1</v>
      </c>
      <c r="CJ472" s="2">
        <v>1</v>
      </c>
      <c r="CK472" s="2">
        <v>22</v>
      </c>
      <c r="CL472" s="2" t="s">
        <v>86</v>
      </c>
      <c r="CM472" s="2"/>
    </row>
    <row r="473" spans="1:91">
      <c r="A473" s="2" t="s">
        <v>71</v>
      </c>
      <c r="B473" s="2" t="s">
        <v>72</v>
      </c>
      <c r="C473" s="2" t="s">
        <v>73</v>
      </c>
      <c r="D473" s="2"/>
      <c r="E473" s="2" t="str">
        <f>"FES1162543315"</f>
        <v>FES1162543315</v>
      </c>
      <c r="F473" s="3">
        <v>42837</v>
      </c>
      <c r="G473" s="2">
        <v>201710</v>
      </c>
      <c r="H473" s="2" t="s">
        <v>74</v>
      </c>
      <c r="I473" s="2" t="s">
        <v>75</v>
      </c>
      <c r="J473" s="2" t="s">
        <v>76</v>
      </c>
      <c r="K473" s="2" t="s">
        <v>77</v>
      </c>
      <c r="L473" s="2" t="s">
        <v>633</v>
      </c>
      <c r="M473" s="2" t="s">
        <v>634</v>
      </c>
      <c r="N473" s="2" t="s">
        <v>635</v>
      </c>
      <c r="O473" s="2" t="s">
        <v>115</v>
      </c>
      <c r="P473" s="2" t="str">
        <f>"2170561842                    "</f>
        <v xml:space="preserve">2170561842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6.03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58.68</v>
      </c>
      <c r="BM473" s="2">
        <v>8.2200000000000006</v>
      </c>
      <c r="BN473" s="2">
        <v>66.900000000000006</v>
      </c>
      <c r="BO473" s="2">
        <v>66.900000000000006</v>
      </c>
      <c r="BP473" s="2"/>
      <c r="BQ473" s="2" t="s">
        <v>636</v>
      </c>
      <c r="BR473" s="2" t="s">
        <v>84</v>
      </c>
      <c r="BS473" s="3">
        <v>42838</v>
      </c>
      <c r="BT473" s="4">
        <v>0.41666666666666669</v>
      </c>
      <c r="BU473" s="2" t="s">
        <v>1039</v>
      </c>
      <c r="BV473" s="2" t="s">
        <v>111</v>
      </c>
      <c r="BW473" s="2"/>
      <c r="BX473" s="2"/>
      <c r="BY473" s="2">
        <v>1200</v>
      </c>
      <c r="BZ473" s="2" t="s">
        <v>27</v>
      </c>
      <c r="CA473" s="2"/>
      <c r="CB473" s="2"/>
      <c r="CC473" s="2" t="s">
        <v>634</v>
      </c>
      <c r="CD473" s="2">
        <v>1759</v>
      </c>
      <c r="CE473" s="2" t="s">
        <v>118</v>
      </c>
      <c r="CF473" s="5">
        <v>42843</v>
      </c>
      <c r="CG473" s="2"/>
      <c r="CH473" s="2"/>
      <c r="CI473" s="2">
        <v>1</v>
      </c>
      <c r="CJ473" s="2">
        <v>1</v>
      </c>
      <c r="CK473" s="2">
        <v>24</v>
      </c>
      <c r="CL473" s="2" t="s">
        <v>86</v>
      </c>
      <c r="CM473" s="2"/>
    </row>
    <row r="474" spans="1:91">
      <c r="A474" s="2" t="s">
        <v>71</v>
      </c>
      <c r="B474" s="2" t="s">
        <v>72</v>
      </c>
      <c r="C474" s="2" t="s">
        <v>73</v>
      </c>
      <c r="D474" s="2"/>
      <c r="E474" s="2" t="str">
        <f>"FES1162541989"</f>
        <v>FES1162541989</v>
      </c>
      <c r="F474" s="3">
        <v>42831</v>
      </c>
      <c r="G474" s="2">
        <v>201710</v>
      </c>
      <c r="H474" s="2" t="s">
        <v>74</v>
      </c>
      <c r="I474" s="2" t="s">
        <v>75</v>
      </c>
      <c r="J474" s="2" t="s">
        <v>76</v>
      </c>
      <c r="K474" s="2" t="s">
        <v>77</v>
      </c>
      <c r="L474" s="2" t="s">
        <v>180</v>
      </c>
      <c r="M474" s="2" t="s">
        <v>181</v>
      </c>
      <c r="N474" s="2" t="s">
        <v>320</v>
      </c>
      <c r="O474" s="2" t="s">
        <v>115</v>
      </c>
      <c r="P474" s="2" t="str">
        <f>"2170558192                    "</f>
        <v xml:space="preserve">2170558192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4.29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</v>
      </c>
      <c r="BJ474" s="2">
        <v>0.2</v>
      </c>
      <c r="BK474" s="2">
        <v>1</v>
      </c>
      <c r="BL474" s="2">
        <v>41.73</v>
      </c>
      <c r="BM474" s="2">
        <v>5.84</v>
      </c>
      <c r="BN474" s="2">
        <v>47.57</v>
      </c>
      <c r="BO474" s="2">
        <v>47.57</v>
      </c>
      <c r="BP474" s="2"/>
      <c r="BQ474" s="2" t="s">
        <v>129</v>
      </c>
      <c r="BR474" s="2" t="s">
        <v>123</v>
      </c>
      <c r="BS474" s="3">
        <v>42832</v>
      </c>
      <c r="BT474" s="4">
        <v>0.43611111111111112</v>
      </c>
      <c r="BU474" s="2" t="s">
        <v>321</v>
      </c>
      <c r="BV474" s="2" t="s">
        <v>111</v>
      </c>
      <c r="BW474" s="2"/>
      <c r="BX474" s="2"/>
      <c r="BY474" s="2">
        <v>1200</v>
      </c>
      <c r="BZ474" s="2" t="s">
        <v>27</v>
      </c>
      <c r="CA474" s="2"/>
      <c r="CB474" s="2"/>
      <c r="CC474" s="2" t="s">
        <v>181</v>
      </c>
      <c r="CD474" s="2">
        <v>4051</v>
      </c>
      <c r="CE474" s="2" t="s">
        <v>144</v>
      </c>
      <c r="CF474" s="5">
        <v>42835</v>
      </c>
      <c r="CG474" s="2"/>
      <c r="CH474" s="2"/>
      <c r="CI474" s="2">
        <v>1</v>
      </c>
      <c r="CJ474" s="2">
        <v>1</v>
      </c>
      <c r="CK474" s="2">
        <v>21</v>
      </c>
      <c r="CL474" s="2" t="s">
        <v>86</v>
      </c>
      <c r="CM474" s="2"/>
    </row>
    <row r="475" spans="1:91">
      <c r="A475" s="2" t="s">
        <v>71</v>
      </c>
      <c r="B475" s="2" t="s">
        <v>72</v>
      </c>
      <c r="C475" s="2" t="s">
        <v>73</v>
      </c>
      <c r="D475" s="2"/>
      <c r="E475" s="2" t="str">
        <f>"FES1162541356"</f>
        <v>FES1162541356</v>
      </c>
      <c r="F475" s="3">
        <v>42829</v>
      </c>
      <c r="G475" s="2">
        <v>201710</v>
      </c>
      <c r="H475" s="2" t="s">
        <v>74</v>
      </c>
      <c r="I475" s="2" t="s">
        <v>75</v>
      </c>
      <c r="J475" s="2" t="s">
        <v>76</v>
      </c>
      <c r="K475" s="2" t="s">
        <v>77</v>
      </c>
      <c r="L475" s="2" t="s">
        <v>99</v>
      </c>
      <c r="M475" s="2" t="s">
        <v>100</v>
      </c>
      <c r="N475" s="2" t="s">
        <v>671</v>
      </c>
      <c r="O475" s="2" t="s">
        <v>115</v>
      </c>
      <c r="P475" s="2" t="str">
        <f>"2170558457                    "</f>
        <v xml:space="preserve">2170558457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38.69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14</v>
      </c>
      <c r="BJ475" s="2">
        <v>17.399999999999999</v>
      </c>
      <c r="BK475" s="2">
        <v>17.5</v>
      </c>
      <c r="BL475" s="2">
        <v>366.29</v>
      </c>
      <c r="BM475" s="2">
        <v>51.28</v>
      </c>
      <c r="BN475" s="2">
        <v>417.57</v>
      </c>
      <c r="BO475" s="2">
        <v>417.57</v>
      </c>
      <c r="BP475" s="2"/>
      <c r="BQ475" s="2" t="s">
        <v>672</v>
      </c>
      <c r="BR475" s="2" t="s">
        <v>123</v>
      </c>
      <c r="BS475" s="3">
        <v>42830</v>
      </c>
      <c r="BT475" s="4">
        <v>0.375</v>
      </c>
      <c r="BU475" s="2" t="s">
        <v>672</v>
      </c>
      <c r="BV475" s="2" t="s">
        <v>111</v>
      </c>
      <c r="BW475" s="2"/>
      <c r="BX475" s="2"/>
      <c r="BY475" s="2">
        <v>87040</v>
      </c>
      <c r="BZ475" s="2" t="s">
        <v>27</v>
      </c>
      <c r="CA475" s="2" t="s">
        <v>106</v>
      </c>
      <c r="CB475" s="2"/>
      <c r="CC475" s="2" t="s">
        <v>100</v>
      </c>
      <c r="CD475" s="2">
        <v>6001</v>
      </c>
      <c r="CE475" s="2" t="s">
        <v>172</v>
      </c>
      <c r="CF475" s="5">
        <v>42830</v>
      </c>
      <c r="CG475" s="2"/>
      <c r="CH475" s="2"/>
      <c r="CI475" s="2">
        <v>1</v>
      </c>
      <c r="CJ475" s="2">
        <v>1</v>
      </c>
      <c r="CK475" s="2">
        <v>21</v>
      </c>
      <c r="CL475" s="2" t="s">
        <v>86</v>
      </c>
      <c r="CM475" s="2"/>
    </row>
    <row r="476" spans="1:91">
      <c r="A476" s="2" t="s">
        <v>71</v>
      </c>
      <c r="B476" s="2" t="s">
        <v>72</v>
      </c>
      <c r="C476" s="2" t="s">
        <v>73</v>
      </c>
      <c r="D476" s="2"/>
      <c r="E476" s="2" t="str">
        <f>"FES1162542779"</f>
        <v>FES1162542779</v>
      </c>
      <c r="F476" s="3">
        <v>42836</v>
      </c>
      <c r="G476" s="2">
        <v>201710</v>
      </c>
      <c r="H476" s="2" t="s">
        <v>74</v>
      </c>
      <c r="I476" s="2" t="s">
        <v>75</v>
      </c>
      <c r="J476" s="2" t="s">
        <v>76</v>
      </c>
      <c r="K476" s="2" t="s">
        <v>77</v>
      </c>
      <c r="L476" s="2" t="s">
        <v>496</v>
      </c>
      <c r="M476" s="2" t="s">
        <v>497</v>
      </c>
      <c r="N476" s="2" t="s">
        <v>498</v>
      </c>
      <c r="O476" s="2" t="s">
        <v>115</v>
      </c>
      <c r="P476" s="2" t="str">
        <f>"2170560188                    "</f>
        <v xml:space="preserve">2170560188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3.35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</v>
      </c>
      <c r="BJ476" s="2">
        <v>0.2</v>
      </c>
      <c r="BK476" s="2">
        <v>1</v>
      </c>
      <c r="BL476" s="2">
        <v>32.6</v>
      </c>
      <c r="BM476" s="2">
        <v>4.5599999999999996</v>
      </c>
      <c r="BN476" s="2">
        <v>37.159999999999997</v>
      </c>
      <c r="BO476" s="2">
        <v>37.159999999999997</v>
      </c>
      <c r="BP476" s="2"/>
      <c r="BQ476" s="2" t="s">
        <v>122</v>
      </c>
      <c r="BR476" s="2" t="s">
        <v>123</v>
      </c>
      <c r="BS476" s="3">
        <v>42837</v>
      </c>
      <c r="BT476" s="4">
        <v>0.33611111111111108</v>
      </c>
      <c r="BU476" s="2" t="s">
        <v>1040</v>
      </c>
      <c r="BV476" s="2" t="s">
        <v>111</v>
      </c>
      <c r="BW476" s="2"/>
      <c r="BX476" s="2"/>
      <c r="BY476" s="2">
        <v>1200</v>
      </c>
      <c r="BZ476" s="2" t="s">
        <v>27</v>
      </c>
      <c r="CA476" s="2" t="s">
        <v>1041</v>
      </c>
      <c r="CB476" s="2"/>
      <c r="CC476" s="2" t="s">
        <v>497</v>
      </c>
      <c r="CD476" s="2">
        <v>1559</v>
      </c>
      <c r="CE476" s="2" t="s">
        <v>118</v>
      </c>
      <c r="CF476" s="5">
        <v>42838</v>
      </c>
      <c r="CG476" s="2"/>
      <c r="CH476" s="2"/>
      <c r="CI476" s="2">
        <v>1</v>
      </c>
      <c r="CJ476" s="2">
        <v>1</v>
      </c>
      <c r="CK476" s="2">
        <v>22</v>
      </c>
      <c r="CL476" s="2" t="s">
        <v>86</v>
      </c>
      <c r="CM476" s="2"/>
    </row>
    <row r="477" spans="1:91">
      <c r="A477" s="2" t="s">
        <v>71</v>
      </c>
      <c r="B477" s="2" t="s">
        <v>72</v>
      </c>
      <c r="C477" s="2" t="s">
        <v>73</v>
      </c>
      <c r="D477" s="2"/>
      <c r="E477" s="2" t="str">
        <f>"FES1162541792"</f>
        <v>FES1162541792</v>
      </c>
      <c r="F477" s="3">
        <v>42830</v>
      </c>
      <c r="G477" s="2">
        <v>201710</v>
      </c>
      <c r="H477" s="2" t="s">
        <v>74</v>
      </c>
      <c r="I477" s="2" t="s">
        <v>75</v>
      </c>
      <c r="J477" s="2" t="s">
        <v>76</v>
      </c>
      <c r="K477" s="2" t="s">
        <v>77</v>
      </c>
      <c r="L477" s="2" t="s">
        <v>160</v>
      </c>
      <c r="M477" s="2" t="s">
        <v>161</v>
      </c>
      <c r="N477" s="2" t="s">
        <v>1042</v>
      </c>
      <c r="O477" s="2" t="s">
        <v>115</v>
      </c>
      <c r="P477" s="2" t="str">
        <f>"2170560802                    "</f>
        <v xml:space="preserve">2170560802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4.29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1</v>
      </c>
      <c r="BJ477" s="2">
        <v>0.2</v>
      </c>
      <c r="BK477" s="2">
        <v>1</v>
      </c>
      <c r="BL477" s="2">
        <v>41.73</v>
      </c>
      <c r="BM477" s="2">
        <v>5.84</v>
      </c>
      <c r="BN477" s="2">
        <v>47.57</v>
      </c>
      <c r="BO477" s="2">
        <v>47.57</v>
      </c>
      <c r="BP477" s="2"/>
      <c r="BQ477" s="2" t="s">
        <v>1043</v>
      </c>
      <c r="BR477" s="2" t="s">
        <v>123</v>
      </c>
      <c r="BS477" s="3">
        <v>42831</v>
      </c>
      <c r="BT477" s="4">
        <v>0.41666666666666669</v>
      </c>
      <c r="BU477" s="2" t="s">
        <v>1044</v>
      </c>
      <c r="BV477" s="2" t="s">
        <v>111</v>
      </c>
      <c r="BW477" s="2"/>
      <c r="BX477" s="2"/>
      <c r="BY477" s="2">
        <v>1200</v>
      </c>
      <c r="BZ477" s="2" t="s">
        <v>27</v>
      </c>
      <c r="CA477" s="2" t="s">
        <v>159</v>
      </c>
      <c r="CB477" s="2"/>
      <c r="CC477" s="2" t="s">
        <v>161</v>
      </c>
      <c r="CD477" s="2">
        <v>5201</v>
      </c>
      <c r="CE477" s="2" t="s">
        <v>118</v>
      </c>
      <c r="CF477" s="5">
        <v>42832</v>
      </c>
      <c r="CG477" s="2"/>
      <c r="CH477" s="2"/>
      <c r="CI477" s="2">
        <v>1</v>
      </c>
      <c r="CJ477" s="2">
        <v>1</v>
      </c>
      <c r="CK477" s="2">
        <v>21</v>
      </c>
      <c r="CL477" s="2" t="s">
        <v>86</v>
      </c>
      <c r="CM477" s="2"/>
    </row>
    <row r="478" spans="1:91">
      <c r="A478" s="2" t="s">
        <v>71</v>
      </c>
      <c r="B478" s="2" t="s">
        <v>72</v>
      </c>
      <c r="C478" s="2" t="s">
        <v>73</v>
      </c>
      <c r="D478" s="2"/>
      <c r="E478" s="2" t="str">
        <f>"FES1162541650"</f>
        <v>FES1162541650</v>
      </c>
      <c r="F478" s="3">
        <v>42830</v>
      </c>
      <c r="G478" s="2">
        <v>201710</v>
      </c>
      <c r="H478" s="2" t="s">
        <v>74</v>
      </c>
      <c r="I478" s="2" t="s">
        <v>75</v>
      </c>
      <c r="J478" s="2" t="s">
        <v>76</v>
      </c>
      <c r="K478" s="2" t="s">
        <v>77</v>
      </c>
      <c r="L478" s="2" t="s">
        <v>591</v>
      </c>
      <c r="M478" s="2" t="s">
        <v>592</v>
      </c>
      <c r="N478" s="2" t="s">
        <v>675</v>
      </c>
      <c r="O478" s="2" t="s">
        <v>115</v>
      </c>
      <c r="P478" s="2" t="str">
        <f>"2170558441                    "</f>
        <v xml:space="preserve">2170558441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4.29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1</v>
      </c>
      <c r="BJ478" s="2">
        <v>0.2</v>
      </c>
      <c r="BK478" s="2">
        <v>1</v>
      </c>
      <c r="BL478" s="2">
        <v>41.73</v>
      </c>
      <c r="BM478" s="2">
        <v>5.84</v>
      </c>
      <c r="BN478" s="2">
        <v>47.57</v>
      </c>
      <c r="BO478" s="2">
        <v>47.57</v>
      </c>
      <c r="BP478" s="2"/>
      <c r="BQ478" s="2" t="s">
        <v>129</v>
      </c>
      <c r="BR478" s="2" t="s">
        <v>123</v>
      </c>
      <c r="BS478" s="3">
        <v>42831</v>
      </c>
      <c r="BT478" s="4">
        <v>0.41666666666666669</v>
      </c>
      <c r="BU478" s="2" t="s">
        <v>676</v>
      </c>
      <c r="BV478" s="2" t="s">
        <v>111</v>
      </c>
      <c r="BW478" s="2"/>
      <c r="BX478" s="2"/>
      <c r="BY478" s="2">
        <v>1200</v>
      </c>
      <c r="BZ478" s="2" t="s">
        <v>27</v>
      </c>
      <c r="CA478" s="2"/>
      <c r="CB478" s="2"/>
      <c r="CC478" s="2" t="s">
        <v>592</v>
      </c>
      <c r="CD478" s="2">
        <v>7600</v>
      </c>
      <c r="CE478" s="2" t="s">
        <v>144</v>
      </c>
      <c r="CF478" s="5">
        <v>42832</v>
      </c>
      <c r="CG478" s="2"/>
      <c r="CH478" s="2"/>
      <c r="CI478" s="2">
        <v>1</v>
      </c>
      <c r="CJ478" s="2">
        <v>1</v>
      </c>
      <c r="CK478" s="2">
        <v>21</v>
      </c>
      <c r="CL478" s="2" t="s">
        <v>86</v>
      </c>
      <c r="CM478" s="2"/>
    </row>
    <row r="479" spans="1:91">
      <c r="A479" s="2" t="s">
        <v>71</v>
      </c>
      <c r="B479" s="2" t="s">
        <v>72</v>
      </c>
      <c r="C479" s="2" t="s">
        <v>73</v>
      </c>
      <c r="D479" s="2"/>
      <c r="E479" s="2" t="str">
        <f>"FES1162543333"</f>
        <v>FES1162543333</v>
      </c>
      <c r="F479" s="3">
        <v>42837</v>
      </c>
      <c r="G479" s="2">
        <v>201710</v>
      </c>
      <c r="H479" s="2" t="s">
        <v>74</v>
      </c>
      <c r="I479" s="2" t="s">
        <v>75</v>
      </c>
      <c r="J479" s="2" t="s">
        <v>76</v>
      </c>
      <c r="K479" s="2" t="s">
        <v>77</v>
      </c>
      <c r="L479" s="2" t="s">
        <v>112</v>
      </c>
      <c r="M479" s="2" t="s">
        <v>113</v>
      </c>
      <c r="N479" s="2" t="s">
        <v>1045</v>
      </c>
      <c r="O479" s="2" t="s">
        <v>115</v>
      </c>
      <c r="P479" s="2" t="str">
        <f>"2170562008                    "</f>
        <v xml:space="preserve">2170562008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4.29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1</v>
      </c>
      <c r="BJ479" s="2">
        <v>0.2</v>
      </c>
      <c r="BK479" s="2">
        <v>1</v>
      </c>
      <c r="BL479" s="2">
        <v>41.73</v>
      </c>
      <c r="BM479" s="2">
        <v>5.84</v>
      </c>
      <c r="BN479" s="2">
        <v>47.57</v>
      </c>
      <c r="BO479" s="2">
        <v>47.57</v>
      </c>
      <c r="BP479" s="2"/>
      <c r="BQ479" s="2" t="s">
        <v>83</v>
      </c>
      <c r="BR479" s="2" t="s">
        <v>84</v>
      </c>
      <c r="BS479" s="3">
        <v>42838</v>
      </c>
      <c r="BT479" s="4">
        <v>0.39583333333333331</v>
      </c>
      <c r="BU479" s="2" t="s">
        <v>1046</v>
      </c>
      <c r="BV479" s="2" t="s">
        <v>111</v>
      </c>
      <c r="BW479" s="2"/>
      <c r="BX479" s="2"/>
      <c r="BY479" s="2">
        <v>1200</v>
      </c>
      <c r="BZ479" s="2" t="s">
        <v>27</v>
      </c>
      <c r="CA479" s="2"/>
      <c r="CB479" s="2"/>
      <c r="CC479" s="2" t="s">
        <v>113</v>
      </c>
      <c r="CD479" s="2">
        <v>3201</v>
      </c>
      <c r="CE479" s="2" t="s">
        <v>118</v>
      </c>
      <c r="CF479" s="5">
        <v>42843</v>
      </c>
      <c r="CG479" s="2"/>
      <c r="CH479" s="2"/>
      <c r="CI479" s="2">
        <v>1</v>
      </c>
      <c r="CJ479" s="2">
        <v>1</v>
      </c>
      <c r="CK479" s="2">
        <v>21</v>
      </c>
      <c r="CL479" s="2" t="s">
        <v>86</v>
      </c>
      <c r="CM479" s="2"/>
    </row>
    <row r="480" spans="1:91">
      <c r="A480" s="2" t="s">
        <v>71</v>
      </c>
      <c r="B480" s="2" t="s">
        <v>72</v>
      </c>
      <c r="C480" s="2" t="s">
        <v>73</v>
      </c>
      <c r="D480" s="2"/>
      <c r="E480" s="2" t="str">
        <f>"FES1162541899"</f>
        <v>FES1162541899</v>
      </c>
      <c r="F480" s="3">
        <v>42831</v>
      </c>
      <c r="G480" s="2">
        <v>201710</v>
      </c>
      <c r="H480" s="2" t="s">
        <v>74</v>
      </c>
      <c r="I480" s="2" t="s">
        <v>75</v>
      </c>
      <c r="J480" s="2" t="s">
        <v>76</v>
      </c>
      <c r="K480" s="2" t="s">
        <v>77</v>
      </c>
      <c r="L480" s="2" t="s">
        <v>99</v>
      </c>
      <c r="M480" s="2" t="s">
        <v>100</v>
      </c>
      <c r="N480" s="2" t="s">
        <v>583</v>
      </c>
      <c r="O480" s="2" t="s">
        <v>115</v>
      </c>
      <c r="P480" s="2" t="str">
        <f>"2170558620                    "</f>
        <v xml:space="preserve">2170558620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4.29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1</v>
      </c>
      <c r="BJ480" s="2">
        <v>0.2</v>
      </c>
      <c r="BK480" s="2">
        <v>1</v>
      </c>
      <c r="BL480" s="2">
        <v>41.73</v>
      </c>
      <c r="BM480" s="2">
        <v>5.84</v>
      </c>
      <c r="BN480" s="2">
        <v>47.57</v>
      </c>
      <c r="BO480" s="2">
        <v>47.57</v>
      </c>
      <c r="BP480" s="2"/>
      <c r="BQ480" s="2" t="s">
        <v>584</v>
      </c>
      <c r="BR480" s="2" t="s">
        <v>123</v>
      </c>
      <c r="BS480" s="3">
        <v>42832</v>
      </c>
      <c r="BT480" s="4">
        <v>0.41319444444444442</v>
      </c>
      <c r="BU480" s="2" t="s">
        <v>544</v>
      </c>
      <c r="BV480" s="2" t="s">
        <v>111</v>
      </c>
      <c r="BW480" s="2"/>
      <c r="BX480" s="2"/>
      <c r="BY480" s="2">
        <v>1200</v>
      </c>
      <c r="BZ480" s="2" t="s">
        <v>27</v>
      </c>
      <c r="CA480" s="2"/>
      <c r="CB480" s="2"/>
      <c r="CC480" s="2" t="s">
        <v>100</v>
      </c>
      <c r="CD480" s="2">
        <v>6001</v>
      </c>
      <c r="CE480" s="2" t="s">
        <v>144</v>
      </c>
      <c r="CF480" s="5">
        <v>42835</v>
      </c>
      <c r="CG480" s="2"/>
      <c r="CH480" s="2"/>
      <c r="CI480" s="2">
        <v>1</v>
      </c>
      <c r="CJ480" s="2">
        <v>1</v>
      </c>
      <c r="CK480" s="2">
        <v>21</v>
      </c>
      <c r="CL480" s="2" t="s">
        <v>86</v>
      </c>
      <c r="CM480" s="2"/>
    </row>
    <row r="481" spans="1:91">
      <c r="A481" s="2" t="s">
        <v>71</v>
      </c>
      <c r="B481" s="2" t="s">
        <v>72</v>
      </c>
      <c r="C481" s="2" t="s">
        <v>73</v>
      </c>
      <c r="D481" s="2"/>
      <c r="E481" s="2" t="str">
        <f>"FES1162541466"</f>
        <v>FES1162541466</v>
      </c>
      <c r="F481" s="3">
        <v>42829</v>
      </c>
      <c r="G481" s="2">
        <v>201710</v>
      </c>
      <c r="H481" s="2" t="s">
        <v>74</v>
      </c>
      <c r="I481" s="2" t="s">
        <v>75</v>
      </c>
      <c r="J481" s="2" t="s">
        <v>76</v>
      </c>
      <c r="K481" s="2" t="s">
        <v>77</v>
      </c>
      <c r="L481" s="2" t="s">
        <v>231</v>
      </c>
      <c r="M481" s="2" t="s">
        <v>232</v>
      </c>
      <c r="N481" s="2" t="s">
        <v>316</v>
      </c>
      <c r="O481" s="2" t="s">
        <v>115</v>
      </c>
      <c r="P481" s="2" t="str">
        <f>"2170560541                    "</f>
        <v xml:space="preserve">2170560541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6.22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1</v>
      </c>
      <c r="BJ481" s="2">
        <v>0.2</v>
      </c>
      <c r="BK481" s="2">
        <v>1</v>
      </c>
      <c r="BL481" s="2">
        <v>58.87</v>
      </c>
      <c r="BM481" s="2">
        <v>8.24</v>
      </c>
      <c r="BN481" s="2">
        <v>67.11</v>
      </c>
      <c r="BO481" s="2">
        <v>67.11</v>
      </c>
      <c r="BP481" s="2"/>
      <c r="BQ481" s="2" t="s">
        <v>317</v>
      </c>
      <c r="BR481" s="2" t="s">
        <v>123</v>
      </c>
      <c r="BS481" s="3">
        <v>42830</v>
      </c>
      <c r="BT481" s="4">
        <v>0.58333333333333337</v>
      </c>
      <c r="BU481" s="2" t="s">
        <v>318</v>
      </c>
      <c r="BV481" s="2" t="s">
        <v>86</v>
      </c>
      <c r="BW481" s="2"/>
      <c r="BX481" s="2"/>
      <c r="BY481" s="2">
        <v>1200</v>
      </c>
      <c r="BZ481" s="2" t="s">
        <v>27</v>
      </c>
      <c r="CA481" s="2"/>
      <c r="CB481" s="2"/>
      <c r="CC481" s="2" t="s">
        <v>232</v>
      </c>
      <c r="CD481" s="2">
        <v>250</v>
      </c>
      <c r="CE481" s="2" t="s">
        <v>118</v>
      </c>
      <c r="CF481" s="5">
        <v>42832</v>
      </c>
      <c r="CG481" s="2"/>
      <c r="CH481" s="2"/>
      <c r="CI481" s="2">
        <v>1</v>
      </c>
      <c r="CJ481" s="2">
        <v>1</v>
      </c>
      <c r="CK481" s="2">
        <v>24</v>
      </c>
      <c r="CL481" s="2" t="s">
        <v>86</v>
      </c>
      <c r="CM481" s="2"/>
    </row>
    <row r="482" spans="1:91">
      <c r="A482" s="2" t="s">
        <v>71</v>
      </c>
      <c r="B482" s="2" t="s">
        <v>72</v>
      </c>
      <c r="C482" s="2" t="s">
        <v>73</v>
      </c>
      <c r="D482" s="2"/>
      <c r="E482" s="2" t="str">
        <f>"FES1162543010"</f>
        <v>FES1162543010</v>
      </c>
      <c r="F482" s="3">
        <v>42836</v>
      </c>
      <c r="G482" s="2">
        <v>201710</v>
      </c>
      <c r="H482" s="2" t="s">
        <v>74</v>
      </c>
      <c r="I482" s="2" t="s">
        <v>75</v>
      </c>
      <c r="J482" s="2" t="s">
        <v>76</v>
      </c>
      <c r="K482" s="2" t="s">
        <v>77</v>
      </c>
      <c r="L482" s="2" t="s">
        <v>492</v>
      </c>
      <c r="M482" s="2" t="s">
        <v>493</v>
      </c>
      <c r="N482" s="2" t="s">
        <v>1047</v>
      </c>
      <c r="O482" s="2" t="s">
        <v>115</v>
      </c>
      <c r="P482" s="2" t="str">
        <f>"2170561796                    "</f>
        <v xml:space="preserve">2170561796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6.43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1</v>
      </c>
      <c r="BJ482" s="2">
        <v>2.9</v>
      </c>
      <c r="BK482" s="2">
        <v>3</v>
      </c>
      <c r="BL482" s="2">
        <v>62.59</v>
      </c>
      <c r="BM482" s="2">
        <v>8.76</v>
      </c>
      <c r="BN482" s="2">
        <v>71.349999999999994</v>
      </c>
      <c r="BO482" s="2">
        <v>71.349999999999994</v>
      </c>
      <c r="BP482" s="2"/>
      <c r="BQ482" s="2" t="s">
        <v>679</v>
      </c>
      <c r="BR482" s="2" t="s">
        <v>123</v>
      </c>
      <c r="BS482" s="3">
        <v>42837</v>
      </c>
      <c r="BT482" s="4">
        <v>0.54513888888888895</v>
      </c>
      <c r="BU482" s="2" t="s">
        <v>1048</v>
      </c>
      <c r="BV482" s="2" t="s">
        <v>111</v>
      </c>
      <c r="BW482" s="2"/>
      <c r="BX482" s="2"/>
      <c r="BY482" s="2">
        <v>14542.75</v>
      </c>
      <c r="BZ482" s="2" t="s">
        <v>27</v>
      </c>
      <c r="CA482" s="2" t="s">
        <v>159</v>
      </c>
      <c r="CB482" s="2"/>
      <c r="CC482" s="2" t="s">
        <v>493</v>
      </c>
      <c r="CD482" s="2">
        <v>7140</v>
      </c>
      <c r="CE482" s="2" t="s">
        <v>144</v>
      </c>
      <c r="CF482" s="5">
        <v>42838</v>
      </c>
      <c r="CG482" s="2"/>
      <c r="CH482" s="2"/>
      <c r="CI482" s="2">
        <v>1</v>
      </c>
      <c r="CJ482" s="2">
        <v>1</v>
      </c>
      <c r="CK482" s="2">
        <v>21</v>
      </c>
      <c r="CL482" s="2" t="s">
        <v>86</v>
      </c>
      <c r="CM482" s="2"/>
    </row>
    <row r="483" spans="1:91">
      <c r="A483" s="2" t="s">
        <v>71</v>
      </c>
      <c r="B483" s="2" t="s">
        <v>72</v>
      </c>
      <c r="C483" s="2" t="s">
        <v>73</v>
      </c>
      <c r="D483" s="2"/>
      <c r="E483" s="2" t="str">
        <f>"FES1162541666"</f>
        <v>FES1162541666</v>
      </c>
      <c r="F483" s="3">
        <v>42830</v>
      </c>
      <c r="G483" s="2">
        <v>201710</v>
      </c>
      <c r="H483" s="2" t="s">
        <v>74</v>
      </c>
      <c r="I483" s="2" t="s">
        <v>75</v>
      </c>
      <c r="J483" s="2" t="s">
        <v>76</v>
      </c>
      <c r="K483" s="2" t="s">
        <v>77</v>
      </c>
      <c r="L483" s="2" t="s">
        <v>591</v>
      </c>
      <c r="M483" s="2" t="s">
        <v>592</v>
      </c>
      <c r="N483" s="2" t="s">
        <v>593</v>
      </c>
      <c r="O483" s="2" t="s">
        <v>115</v>
      </c>
      <c r="P483" s="2" t="str">
        <f>"2170558600                    "</f>
        <v xml:space="preserve">2170558600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4.29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1.4</v>
      </c>
      <c r="BJ483" s="2">
        <v>0.2</v>
      </c>
      <c r="BK483" s="2">
        <v>1.5</v>
      </c>
      <c r="BL483" s="2">
        <v>41.73</v>
      </c>
      <c r="BM483" s="2">
        <v>5.84</v>
      </c>
      <c r="BN483" s="2">
        <v>47.57</v>
      </c>
      <c r="BO483" s="2">
        <v>47.57</v>
      </c>
      <c r="BP483" s="2"/>
      <c r="BQ483" s="2" t="s">
        <v>1049</v>
      </c>
      <c r="BR483" s="2" t="s">
        <v>123</v>
      </c>
      <c r="BS483" s="3">
        <v>42831</v>
      </c>
      <c r="BT483" s="4">
        <v>0.41666666666666669</v>
      </c>
      <c r="BU483" s="2" t="s">
        <v>1050</v>
      </c>
      <c r="BV483" s="2" t="s">
        <v>111</v>
      </c>
      <c r="BW483" s="2"/>
      <c r="BX483" s="2"/>
      <c r="BY483" s="2">
        <v>1200</v>
      </c>
      <c r="BZ483" s="2" t="s">
        <v>27</v>
      </c>
      <c r="CA483" s="2" t="s">
        <v>159</v>
      </c>
      <c r="CB483" s="2"/>
      <c r="CC483" s="2" t="s">
        <v>592</v>
      </c>
      <c r="CD483" s="2">
        <v>7599</v>
      </c>
      <c r="CE483" s="2" t="s">
        <v>118</v>
      </c>
      <c r="CF483" s="5">
        <v>42832</v>
      </c>
      <c r="CG483" s="2"/>
      <c r="CH483" s="2"/>
      <c r="CI483" s="2">
        <v>1</v>
      </c>
      <c r="CJ483" s="2">
        <v>1</v>
      </c>
      <c r="CK483" s="2">
        <v>21</v>
      </c>
      <c r="CL483" s="2" t="s">
        <v>86</v>
      </c>
      <c r="CM483" s="2"/>
    </row>
    <row r="484" spans="1:91">
      <c r="A484" s="2" t="s">
        <v>71</v>
      </c>
      <c r="B484" s="2" t="s">
        <v>72</v>
      </c>
      <c r="C484" s="2" t="s">
        <v>73</v>
      </c>
      <c r="D484" s="2"/>
      <c r="E484" s="2" t="str">
        <f>"FES1162541525"</f>
        <v>FES1162541525</v>
      </c>
      <c r="F484" s="3">
        <v>42830</v>
      </c>
      <c r="G484" s="2">
        <v>201710</v>
      </c>
      <c r="H484" s="2" t="s">
        <v>74</v>
      </c>
      <c r="I484" s="2" t="s">
        <v>75</v>
      </c>
      <c r="J484" s="2" t="s">
        <v>76</v>
      </c>
      <c r="K484" s="2" t="s">
        <v>77</v>
      </c>
      <c r="L484" s="2" t="s">
        <v>131</v>
      </c>
      <c r="M484" s="2" t="s">
        <v>132</v>
      </c>
      <c r="N484" s="2" t="s">
        <v>384</v>
      </c>
      <c r="O484" s="2" t="s">
        <v>115</v>
      </c>
      <c r="P484" s="2" t="str">
        <f>"2170559328                    "</f>
        <v xml:space="preserve">2170559328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4.29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1</v>
      </c>
      <c r="BJ484" s="2">
        <v>0.2</v>
      </c>
      <c r="BK484" s="2">
        <v>1</v>
      </c>
      <c r="BL484" s="2">
        <v>41.73</v>
      </c>
      <c r="BM484" s="2">
        <v>5.84</v>
      </c>
      <c r="BN484" s="2">
        <v>47.57</v>
      </c>
      <c r="BO484" s="2">
        <v>47.57</v>
      </c>
      <c r="BP484" s="2"/>
      <c r="BQ484" s="2" t="s">
        <v>468</v>
      </c>
      <c r="BR484" s="2" t="s">
        <v>123</v>
      </c>
      <c r="BS484" s="3">
        <v>42831</v>
      </c>
      <c r="BT484" s="4">
        <v>0.41666666666666669</v>
      </c>
      <c r="BU484" s="2" t="s">
        <v>469</v>
      </c>
      <c r="BV484" s="2" t="s">
        <v>111</v>
      </c>
      <c r="BW484" s="2"/>
      <c r="BX484" s="2"/>
      <c r="BY484" s="2">
        <v>1200</v>
      </c>
      <c r="BZ484" s="2" t="s">
        <v>27</v>
      </c>
      <c r="CA484" s="2"/>
      <c r="CB484" s="2"/>
      <c r="CC484" s="2" t="s">
        <v>132</v>
      </c>
      <c r="CD484" s="2">
        <v>7405</v>
      </c>
      <c r="CE484" s="2" t="s">
        <v>144</v>
      </c>
      <c r="CF484" s="5">
        <v>42833</v>
      </c>
      <c r="CG484" s="2"/>
      <c r="CH484" s="2"/>
      <c r="CI484" s="2">
        <v>1</v>
      </c>
      <c r="CJ484" s="2">
        <v>1</v>
      </c>
      <c r="CK484" s="2">
        <v>21</v>
      </c>
      <c r="CL484" s="2" t="s">
        <v>86</v>
      </c>
      <c r="CM484" s="2"/>
    </row>
    <row r="485" spans="1:91">
      <c r="A485" s="2" t="s">
        <v>71</v>
      </c>
      <c r="B485" s="2" t="s">
        <v>72</v>
      </c>
      <c r="C485" s="2" t="s">
        <v>73</v>
      </c>
      <c r="D485" s="2"/>
      <c r="E485" s="2" t="str">
        <f>"FES1162543359"</f>
        <v>FES1162543359</v>
      </c>
      <c r="F485" s="3">
        <v>42837</v>
      </c>
      <c r="G485" s="2">
        <v>201710</v>
      </c>
      <c r="H485" s="2" t="s">
        <v>74</v>
      </c>
      <c r="I485" s="2" t="s">
        <v>75</v>
      </c>
      <c r="J485" s="2" t="s">
        <v>76</v>
      </c>
      <c r="K485" s="2" t="s">
        <v>77</v>
      </c>
      <c r="L485" s="2" t="s">
        <v>396</v>
      </c>
      <c r="M485" s="2" t="s">
        <v>397</v>
      </c>
      <c r="N485" s="2" t="s">
        <v>398</v>
      </c>
      <c r="O485" s="2" t="s">
        <v>115</v>
      </c>
      <c r="P485" s="2" t="str">
        <f>"2170562042                    "</f>
        <v xml:space="preserve">2170562042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4.29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</v>
      </c>
      <c r="BJ485" s="2">
        <v>0.2</v>
      </c>
      <c r="BK485" s="2">
        <v>1</v>
      </c>
      <c r="BL485" s="2">
        <v>41.73</v>
      </c>
      <c r="BM485" s="2">
        <v>5.84</v>
      </c>
      <c r="BN485" s="2">
        <v>47.57</v>
      </c>
      <c r="BO485" s="2">
        <v>47.57</v>
      </c>
      <c r="BP485" s="2"/>
      <c r="BQ485" s="2" t="s">
        <v>399</v>
      </c>
      <c r="BR485" s="2" t="s">
        <v>84</v>
      </c>
      <c r="BS485" s="3">
        <v>42838</v>
      </c>
      <c r="BT485" s="4">
        <v>0.4375</v>
      </c>
      <c r="BU485" s="2" t="s">
        <v>1051</v>
      </c>
      <c r="BV485" s="2" t="s">
        <v>111</v>
      </c>
      <c r="BW485" s="2"/>
      <c r="BX485" s="2"/>
      <c r="BY485" s="2">
        <v>1200</v>
      </c>
      <c r="BZ485" s="2" t="s">
        <v>27</v>
      </c>
      <c r="CA485" s="2"/>
      <c r="CB485" s="2"/>
      <c r="CC485" s="2" t="s">
        <v>397</v>
      </c>
      <c r="CD485" s="2">
        <v>4300</v>
      </c>
      <c r="CE485" s="2" t="s">
        <v>118</v>
      </c>
      <c r="CF485" s="5">
        <v>42843</v>
      </c>
      <c r="CG485" s="2"/>
      <c r="CH485" s="2"/>
      <c r="CI485" s="2">
        <v>1</v>
      </c>
      <c r="CJ485" s="2">
        <v>1</v>
      </c>
      <c r="CK485" s="2">
        <v>21</v>
      </c>
      <c r="CL485" s="2" t="s">
        <v>86</v>
      </c>
      <c r="CM485" s="2"/>
    </row>
    <row r="486" spans="1:91">
      <c r="A486" s="2" t="s">
        <v>71</v>
      </c>
      <c r="B486" s="2" t="s">
        <v>72</v>
      </c>
      <c r="C486" s="2" t="s">
        <v>73</v>
      </c>
      <c r="D486" s="2"/>
      <c r="E486" s="2" t="str">
        <f>"FES1162541991"</f>
        <v>FES1162541991</v>
      </c>
      <c r="F486" s="3">
        <v>42831</v>
      </c>
      <c r="G486" s="2">
        <v>201710</v>
      </c>
      <c r="H486" s="2" t="s">
        <v>74</v>
      </c>
      <c r="I486" s="2" t="s">
        <v>75</v>
      </c>
      <c r="J486" s="2" t="s">
        <v>76</v>
      </c>
      <c r="K486" s="2" t="s">
        <v>77</v>
      </c>
      <c r="L486" s="2" t="s">
        <v>180</v>
      </c>
      <c r="M486" s="2" t="s">
        <v>181</v>
      </c>
      <c r="N486" s="2" t="s">
        <v>320</v>
      </c>
      <c r="O486" s="2" t="s">
        <v>115</v>
      </c>
      <c r="P486" s="2" t="str">
        <f>"2170558196                    "</f>
        <v xml:space="preserve">2170558196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4.29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1</v>
      </c>
      <c r="BJ486" s="2">
        <v>0.2</v>
      </c>
      <c r="BK486" s="2">
        <v>1</v>
      </c>
      <c r="BL486" s="2">
        <v>41.73</v>
      </c>
      <c r="BM486" s="2">
        <v>5.84</v>
      </c>
      <c r="BN486" s="2">
        <v>47.57</v>
      </c>
      <c r="BO486" s="2">
        <v>47.57</v>
      </c>
      <c r="BP486" s="2"/>
      <c r="BQ486" s="2" t="s">
        <v>129</v>
      </c>
      <c r="BR486" s="2" t="s">
        <v>123</v>
      </c>
      <c r="BS486" s="3">
        <v>42832</v>
      </c>
      <c r="BT486" s="4">
        <v>0.43611111111111112</v>
      </c>
      <c r="BU486" s="2" t="s">
        <v>321</v>
      </c>
      <c r="BV486" s="2" t="s">
        <v>111</v>
      </c>
      <c r="BW486" s="2"/>
      <c r="BX486" s="2"/>
      <c r="BY486" s="2">
        <v>1200</v>
      </c>
      <c r="BZ486" s="2" t="s">
        <v>27</v>
      </c>
      <c r="CA486" s="2"/>
      <c r="CB486" s="2"/>
      <c r="CC486" s="2" t="s">
        <v>181</v>
      </c>
      <c r="CD486" s="2">
        <v>4051</v>
      </c>
      <c r="CE486" s="2" t="s">
        <v>144</v>
      </c>
      <c r="CF486" s="5">
        <v>42835</v>
      </c>
      <c r="CG486" s="2"/>
      <c r="CH486" s="2"/>
      <c r="CI486" s="2">
        <v>1</v>
      </c>
      <c r="CJ486" s="2">
        <v>1</v>
      </c>
      <c r="CK486" s="2">
        <v>21</v>
      </c>
      <c r="CL486" s="2" t="s">
        <v>86</v>
      </c>
      <c r="CM486" s="2"/>
    </row>
    <row r="487" spans="1:91">
      <c r="A487" s="2" t="s">
        <v>71</v>
      </c>
      <c r="B487" s="2" t="s">
        <v>72</v>
      </c>
      <c r="C487" s="2" t="s">
        <v>73</v>
      </c>
      <c r="D487" s="2"/>
      <c r="E487" s="2" t="str">
        <f>"FES1162541476"</f>
        <v>FES1162541476</v>
      </c>
      <c r="F487" s="3">
        <v>42829</v>
      </c>
      <c r="G487" s="2">
        <v>201710</v>
      </c>
      <c r="H487" s="2" t="s">
        <v>74</v>
      </c>
      <c r="I487" s="2" t="s">
        <v>75</v>
      </c>
      <c r="J487" s="2" t="s">
        <v>76</v>
      </c>
      <c r="K487" s="2" t="s">
        <v>77</v>
      </c>
      <c r="L487" s="2" t="s">
        <v>506</v>
      </c>
      <c r="M487" s="2" t="s">
        <v>507</v>
      </c>
      <c r="N487" s="2" t="s">
        <v>283</v>
      </c>
      <c r="O487" s="2" t="s">
        <v>115</v>
      </c>
      <c r="P487" s="2" t="str">
        <f>"2170560558                    "</f>
        <v xml:space="preserve">2170560558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24.04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6</v>
      </c>
      <c r="BJ487" s="2">
        <v>1.3</v>
      </c>
      <c r="BK487" s="2">
        <v>6</v>
      </c>
      <c r="BL487" s="2">
        <v>227.62</v>
      </c>
      <c r="BM487" s="2">
        <v>31.87</v>
      </c>
      <c r="BN487" s="2">
        <v>259.49</v>
      </c>
      <c r="BO487" s="2">
        <v>259.49</v>
      </c>
      <c r="BP487" s="2"/>
      <c r="BQ487" s="2" t="s">
        <v>122</v>
      </c>
      <c r="BR487" s="2" t="s">
        <v>123</v>
      </c>
      <c r="BS487" s="3">
        <v>42831</v>
      </c>
      <c r="BT487" s="4">
        <v>0.41666666666666669</v>
      </c>
      <c r="BU487" s="2" t="s">
        <v>1052</v>
      </c>
      <c r="BV487" s="2" t="s">
        <v>111</v>
      </c>
      <c r="BW487" s="2"/>
      <c r="BX487" s="2"/>
      <c r="BY487" s="2">
        <v>6678.14</v>
      </c>
      <c r="BZ487" s="2" t="s">
        <v>27</v>
      </c>
      <c r="CA487" s="2" t="s">
        <v>159</v>
      </c>
      <c r="CB487" s="2"/>
      <c r="CC487" s="2" t="s">
        <v>507</v>
      </c>
      <c r="CD487" s="2">
        <v>7380</v>
      </c>
      <c r="CE487" s="2" t="s">
        <v>89</v>
      </c>
      <c r="CF487" s="5">
        <v>42835</v>
      </c>
      <c r="CG487" s="2"/>
      <c r="CH487" s="2"/>
      <c r="CI487" s="2">
        <v>3</v>
      </c>
      <c r="CJ487" s="2">
        <v>2</v>
      </c>
      <c r="CK487" s="2">
        <v>23</v>
      </c>
      <c r="CL487" s="2" t="s">
        <v>86</v>
      </c>
      <c r="CM487" s="2"/>
    </row>
    <row r="488" spans="1:91">
      <c r="A488" s="2" t="s">
        <v>71</v>
      </c>
      <c r="B488" s="2" t="s">
        <v>72</v>
      </c>
      <c r="C488" s="2" t="s">
        <v>73</v>
      </c>
      <c r="D488" s="2"/>
      <c r="E488" s="2" t="str">
        <f>"FES1162542793"</f>
        <v>FES1162542793</v>
      </c>
      <c r="F488" s="3">
        <v>42836</v>
      </c>
      <c r="G488" s="2">
        <v>201710</v>
      </c>
      <c r="H488" s="2" t="s">
        <v>74</v>
      </c>
      <c r="I488" s="2" t="s">
        <v>75</v>
      </c>
      <c r="J488" s="2" t="s">
        <v>76</v>
      </c>
      <c r="K488" s="2" t="s">
        <v>77</v>
      </c>
      <c r="L488" s="2" t="s">
        <v>160</v>
      </c>
      <c r="M488" s="2" t="s">
        <v>161</v>
      </c>
      <c r="N488" s="2" t="s">
        <v>1053</v>
      </c>
      <c r="O488" s="2" t="s">
        <v>115</v>
      </c>
      <c r="P488" s="2" t="str">
        <f>"2170561672                    "</f>
        <v xml:space="preserve">2170561672 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12.86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6</v>
      </c>
      <c r="BJ488" s="2">
        <v>4.0999999999999996</v>
      </c>
      <c r="BK488" s="2">
        <v>6</v>
      </c>
      <c r="BL488" s="2">
        <v>125.18</v>
      </c>
      <c r="BM488" s="2">
        <v>17.53</v>
      </c>
      <c r="BN488" s="2">
        <v>142.71</v>
      </c>
      <c r="BO488" s="2">
        <v>142.71</v>
      </c>
      <c r="BP488" s="2"/>
      <c r="BQ488" s="2" t="s">
        <v>122</v>
      </c>
      <c r="BR488" s="2" t="s">
        <v>123</v>
      </c>
      <c r="BS488" s="3">
        <v>42837</v>
      </c>
      <c r="BT488" s="4">
        <v>0.41666666666666669</v>
      </c>
      <c r="BU488" s="2" t="s">
        <v>1054</v>
      </c>
      <c r="BV488" s="2" t="s">
        <v>111</v>
      </c>
      <c r="BW488" s="2"/>
      <c r="BX488" s="2"/>
      <c r="BY488" s="2">
        <v>20358</v>
      </c>
      <c r="BZ488" s="2" t="s">
        <v>27</v>
      </c>
      <c r="CA488" s="2"/>
      <c r="CB488" s="2"/>
      <c r="CC488" s="2" t="s">
        <v>161</v>
      </c>
      <c r="CD488" s="2">
        <v>5201</v>
      </c>
      <c r="CE488" s="2" t="s">
        <v>135</v>
      </c>
      <c r="CF488" s="5">
        <v>42838</v>
      </c>
      <c r="CG488" s="2"/>
      <c r="CH488" s="2"/>
      <c r="CI488" s="2">
        <v>1</v>
      </c>
      <c r="CJ488" s="2">
        <v>1</v>
      </c>
      <c r="CK488" s="2">
        <v>21</v>
      </c>
      <c r="CL488" s="2" t="s">
        <v>86</v>
      </c>
      <c r="CM488" s="2"/>
    </row>
    <row r="489" spans="1:91">
      <c r="A489" s="2" t="s">
        <v>71</v>
      </c>
      <c r="B489" s="2" t="s">
        <v>72</v>
      </c>
      <c r="C489" s="2" t="s">
        <v>73</v>
      </c>
      <c r="D489" s="2"/>
      <c r="E489" s="2" t="str">
        <f>"FES1162541654"</f>
        <v>FES1162541654</v>
      </c>
      <c r="F489" s="3">
        <v>42830</v>
      </c>
      <c r="G489" s="2">
        <v>201710</v>
      </c>
      <c r="H489" s="2" t="s">
        <v>74</v>
      </c>
      <c r="I489" s="2" t="s">
        <v>75</v>
      </c>
      <c r="J489" s="2" t="s">
        <v>76</v>
      </c>
      <c r="K489" s="2" t="s">
        <v>77</v>
      </c>
      <c r="L489" s="2" t="s">
        <v>131</v>
      </c>
      <c r="M489" s="2" t="s">
        <v>132</v>
      </c>
      <c r="N489" s="2" t="s">
        <v>1055</v>
      </c>
      <c r="O489" s="2" t="s">
        <v>115</v>
      </c>
      <c r="P489" s="2" t="str">
        <f>"2170558483                    "</f>
        <v xml:space="preserve">2170558483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4.29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1</v>
      </c>
      <c r="BJ489" s="2">
        <v>0.2</v>
      </c>
      <c r="BK489" s="2">
        <v>1</v>
      </c>
      <c r="BL489" s="2">
        <v>41.73</v>
      </c>
      <c r="BM489" s="2">
        <v>5.84</v>
      </c>
      <c r="BN489" s="2">
        <v>47.57</v>
      </c>
      <c r="BO489" s="2">
        <v>47.57</v>
      </c>
      <c r="BP489" s="2"/>
      <c r="BQ489" s="2" t="s">
        <v>129</v>
      </c>
      <c r="BR489" s="2" t="s">
        <v>123</v>
      </c>
      <c r="BS489" s="3">
        <v>42831</v>
      </c>
      <c r="BT489" s="4">
        <v>0.35486111111111113</v>
      </c>
      <c r="BU489" s="2" t="s">
        <v>1056</v>
      </c>
      <c r="BV489" s="2" t="s">
        <v>111</v>
      </c>
      <c r="BW489" s="2"/>
      <c r="BX489" s="2"/>
      <c r="BY489" s="2">
        <v>1200</v>
      </c>
      <c r="BZ489" s="2" t="s">
        <v>27</v>
      </c>
      <c r="CA489" s="2"/>
      <c r="CB489" s="2"/>
      <c r="CC489" s="2" t="s">
        <v>132</v>
      </c>
      <c r="CD489" s="2">
        <v>7530</v>
      </c>
      <c r="CE489" s="2" t="s">
        <v>118</v>
      </c>
      <c r="CF489" s="5">
        <v>42832</v>
      </c>
      <c r="CG489" s="2"/>
      <c r="CH489" s="2"/>
      <c r="CI489" s="2">
        <v>1</v>
      </c>
      <c r="CJ489" s="2">
        <v>1</v>
      </c>
      <c r="CK489" s="2">
        <v>21</v>
      </c>
      <c r="CL489" s="2" t="s">
        <v>86</v>
      </c>
      <c r="CM489" s="2"/>
    </row>
    <row r="490" spans="1:91">
      <c r="A490" s="2" t="s">
        <v>71</v>
      </c>
      <c r="B490" s="2" t="s">
        <v>72</v>
      </c>
      <c r="C490" s="2" t="s">
        <v>73</v>
      </c>
      <c r="D490" s="2"/>
      <c r="E490" s="2" t="str">
        <f>"FES1162541664"</f>
        <v>FES1162541664</v>
      </c>
      <c r="F490" s="3">
        <v>42830</v>
      </c>
      <c r="G490" s="2">
        <v>201710</v>
      </c>
      <c r="H490" s="2" t="s">
        <v>74</v>
      </c>
      <c r="I490" s="2" t="s">
        <v>75</v>
      </c>
      <c r="J490" s="2" t="s">
        <v>76</v>
      </c>
      <c r="K490" s="2" t="s">
        <v>77</v>
      </c>
      <c r="L490" s="2" t="s">
        <v>591</v>
      </c>
      <c r="M490" s="2" t="s">
        <v>592</v>
      </c>
      <c r="N490" s="2" t="s">
        <v>675</v>
      </c>
      <c r="O490" s="2" t="s">
        <v>115</v>
      </c>
      <c r="P490" s="2" t="str">
        <f>"2170558588                    "</f>
        <v xml:space="preserve">2170558588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4.29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1</v>
      </c>
      <c r="BJ490" s="2">
        <v>0.2</v>
      </c>
      <c r="BK490" s="2">
        <v>1</v>
      </c>
      <c r="BL490" s="2">
        <v>41.73</v>
      </c>
      <c r="BM490" s="2">
        <v>5.84</v>
      </c>
      <c r="BN490" s="2">
        <v>47.57</v>
      </c>
      <c r="BO490" s="2">
        <v>47.57</v>
      </c>
      <c r="BP490" s="2"/>
      <c r="BQ490" s="2" t="s">
        <v>129</v>
      </c>
      <c r="BR490" s="2" t="s">
        <v>123</v>
      </c>
      <c r="BS490" s="3">
        <v>42831</v>
      </c>
      <c r="BT490" s="4">
        <v>0.41666666666666669</v>
      </c>
      <c r="BU490" s="2" t="s">
        <v>676</v>
      </c>
      <c r="BV490" s="2" t="s">
        <v>111</v>
      </c>
      <c r="BW490" s="2"/>
      <c r="BX490" s="2"/>
      <c r="BY490" s="2">
        <v>1200</v>
      </c>
      <c r="BZ490" s="2" t="s">
        <v>27</v>
      </c>
      <c r="CA490" s="2"/>
      <c r="CB490" s="2"/>
      <c r="CC490" s="2" t="s">
        <v>592</v>
      </c>
      <c r="CD490" s="2">
        <v>7600</v>
      </c>
      <c r="CE490" s="2" t="s">
        <v>144</v>
      </c>
      <c r="CF490" s="5">
        <v>42832</v>
      </c>
      <c r="CG490" s="2"/>
      <c r="CH490" s="2"/>
      <c r="CI490" s="2">
        <v>1</v>
      </c>
      <c r="CJ490" s="2">
        <v>1</v>
      </c>
      <c r="CK490" s="2">
        <v>21</v>
      </c>
      <c r="CL490" s="2" t="s">
        <v>86</v>
      </c>
      <c r="CM490" s="2"/>
    </row>
    <row r="491" spans="1:91">
      <c r="A491" s="2" t="s">
        <v>71</v>
      </c>
      <c r="B491" s="2" t="s">
        <v>72</v>
      </c>
      <c r="C491" s="2" t="s">
        <v>73</v>
      </c>
      <c r="D491" s="2"/>
      <c r="E491" s="2" t="str">
        <f>"FES1162543166"</f>
        <v>FES1162543166</v>
      </c>
      <c r="F491" s="3">
        <v>42837</v>
      </c>
      <c r="G491" s="2">
        <v>201710</v>
      </c>
      <c r="H491" s="2" t="s">
        <v>74</v>
      </c>
      <c r="I491" s="2" t="s">
        <v>75</v>
      </c>
      <c r="J491" s="2" t="s">
        <v>76</v>
      </c>
      <c r="K491" s="2" t="s">
        <v>77</v>
      </c>
      <c r="L491" s="2" t="s">
        <v>358</v>
      </c>
      <c r="M491" s="2" t="s">
        <v>359</v>
      </c>
      <c r="N491" s="2" t="s">
        <v>360</v>
      </c>
      <c r="O491" s="2" t="s">
        <v>115</v>
      </c>
      <c r="P491" s="2" t="str">
        <f>"2170557878                    "</f>
        <v xml:space="preserve">2170557878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4.29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1.3</v>
      </c>
      <c r="BJ491" s="2">
        <v>1.6</v>
      </c>
      <c r="BK491" s="2">
        <v>2</v>
      </c>
      <c r="BL491" s="2">
        <v>41.73</v>
      </c>
      <c r="BM491" s="2">
        <v>5.84</v>
      </c>
      <c r="BN491" s="2">
        <v>47.57</v>
      </c>
      <c r="BO491" s="2">
        <v>47.57</v>
      </c>
      <c r="BP491" s="2"/>
      <c r="BQ491" s="2" t="s">
        <v>361</v>
      </c>
      <c r="BR491" s="2" t="s">
        <v>84</v>
      </c>
      <c r="BS491" s="3">
        <v>42838</v>
      </c>
      <c r="BT491" s="4">
        <v>0.33333333333333331</v>
      </c>
      <c r="BU491" s="2" t="s">
        <v>362</v>
      </c>
      <c r="BV491" s="2" t="s">
        <v>111</v>
      </c>
      <c r="BW491" s="2"/>
      <c r="BX491" s="2"/>
      <c r="BY491" s="2">
        <v>8182.75</v>
      </c>
      <c r="BZ491" s="2" t="s">
        <v>27</v>
      </c>
      <c r="CA491" s="2" t="s">
        <v>159</v>
      </c>
      <c r="CB491" s="2"/>
      <c r="CC491" s="2" t="s">
        <v>359</v>
      </c>
      <c r="CD491" s="2">
        <v>6229</v>
      </c>
      <c r="CE491" s="2" t="s">
        <v>89</v>
      </c>
      <c r="CF491" s="5">
        <v>42843</v>
      </c>
      <c r="CG491" s="2"/>
      <c r="CH491" s="2"/>
      <c r="CI491" s="2">
        <v>1</v>
      </c>
      <c r="CJ491" s="2">
        <v>1</v>
      </c>
      <c r="CK491" s="2">
        <v>21</v>
      </c>
      <c r="CL491" s="2" t="s">
        <v>86</v>
      </c>
      <c r="CM491" s="2"/>
    </row>
    <row r="492" spans="1:91">
      <c r="A492" s="2" t="s">
        <v>71</v>
      </c>
      <c r="B492" s="2" t="s">
        <v>72</v>
      </c>
      <c r="C492" s="2" t="s">
        <v>73</v>
      </c>
      <c r="D492" s="2"/>
      <c r="E492" s="2" t="str">
        <f>"FES1162542091"</f>
        <v>FES1162542091</v>
      </c>
      <c r="F492" s="3">
        <v>42831</v>
      </c>
      <c r="G492" s="2">
        <v>201710</v>
      </c>
      <c r="H492" s="2" t="s">
        <v>74</v>
      </c>
      <c r="I492" s="2" t="s">
        <v>75</v>
      </c>
      <c r="J492" s="2" t="s">
        <v>76</v>
      </c>
      <c r="K492" s="2" t="s">
        <v>77</v>
      </c>
      <c r="L492" s="2" t="s">
        <v>99</v>
      </c>
      <c r="M492" s="2" t="s">
        <v>100</v>
      </c>
      <c r="N492" s="2" t="s">
        <v>1057</v>
      </c>
      <c r="O492" s="2" t="s">
        <v>115</v>
      </c>
      <c r="P492" s="2" t="str">
        <f>"2170558612                    "</f>
        <v xml:space="preserve">2170558612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4.29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1</v>
      </c>
      <c r="BJ492" s="2">
        <v>0.2</v>
      </c>
      <c r="BK492" s="2">
        <v>1</v>
      </c>
      <c r="BL492" s="2">
        <v>41.73</v>
      </c>
      <c r="BM492" s="2">
        <v>5.84</v>
      </c>
      <c r="BN492" s="2">
        <v>47.57</v>
      </c>
      <c r="BO492" s="2">
        <v>47.57</v>
      </c>
      <c r="BP492" s="2"/>
      <c r="BQ492" s="2" t="s">
        <v>1058</v>
      </c>
      <c r="BR492" s="2" t="s">
        <v>123</v>
      </c>
      <c r="BS492" s="3">
        <v>42832</v>
      </c>
      <c r="BT492" s="4">
        <v>0.38541666666666669</v>
      </c>
      <c r="BU492" s="2" t="s">
        <v>245</v>
      </c>
      <c r="BV492" s="2" t="s">
        <v>111</v>
      </c>
      <c r="BW492" s="2"/>
      <c r="BX492" s="2"/>
      <c r="BY492" s="2">
        <v>1200</v>
      </c>
      <c r="BZ492" s="2" t="s">
        <v>27</v>
      </c>
      <c r="CA492" s="2"/>
      <c r="CB492" s="2"/>
      <c r="CC492" s="2" t="s">
        <v>100</v>
      </c>
      <c r="CD492" s="2">
        <v>6001</v>
      </c>
      <c r="CE492" s="2" t="s">
        <v>144</v>
      </c>
      <c r="CF492" s="5">
        <v>42835</v>
      </c>
      <c r="CG492" s="2"/>
      <c r="CH492" s="2"/>
      <c r="CI492" s="2">
        <v>1</v>
      </c>
      <c r="CJ492" s="2">
        <v>1</v>
      </c>
      <c r="CK492" s="2">
        <v>21</v>
      </c>
      <c r="CL492" s="2" t="s">
        <v>86</v>
      </c>
      <c r="CM492" s="2"/>
    </row>
    <row r="493" spans="1:91">
      <c r="A493" s="2" t="s">
        <v>71</v>
      </c>
      <c r="B493" s="2" t="s">
        <v>72</v>
      </c>
      <c r="C493" s="2" t="s">
        <v>73</v>
      </c>
      <c r="D493" s="2"/>
      <c r="E493" s="2" t="str">
        <f>"FES1162541465"</f>
        <v>FES1162541465</v>
      </c>
      <c r="F493" s="3">
        <v>42829</v>
      </c>
      <c r="G493" s="2">
        <v>201710</v>
      </c>
      <c r="H493" s="2" t="s">
        <v>74</v>
      </c>
      <c r="I493" s="2" t="s">
        <v>75</v>
      </c>
      <c r="J493" s="2" t="s">
        <v>76</v>
      </c>
      <c r="K493" s="2" t="s">
        <v>77</v>
      </c>
      <c r="L493" s="2" t="s">
        <v>74</v>
      </c>
      <c r="M493" s="2" t="s">
        <v>75</v>
      </c>
      <c r="N493" s="2" t="s">
        <v>381</v>
      </c>
      <c r="O493" s="2" t="s">
        <v>115</v>
      </c>
      <c r="P493" s="2" t="str">
        <f>"2170560540                    "</f>
        <v xml:space="preserve">2170560540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3.45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1</v>
      </c>
      <c r="BJ493" s="2">
        <v>0.2</v>
      </c>
      <c r="BK493" s="2">
        <v>1</v>
      </c>
      <c r="BL493" s="2">
        <v>32.700000000000003</v>
      </c>
      <c r="BM493" s="2">
        <v>4.58</v>
      </c>
      <c r="BN493" s="2">
        <v>37.28</v>
      </c>
      <c r="BO493" s="2">
        <v>37.28</v>
      </c>
      <c r="BP493" s="2"/>
      <c r="BQ493" s="2" t="s">
        <v>122</v>
      </c>
      <c r="BR493" s="2" t="s">
        <v>123</v>
      </c>
      <c r="BS493" s="3">
        <v>42830</v>
      </c>
      <c r="BT493" s="4">
        <v>0.41666666666666669</v>
      </c>
      <c r="BU493" s="2" t="s">
        <v>290</v>
      </c>
      <c r="BV493" s="2" t="s">
        <v>111</v>
      </c>
      <c r="BW493" s="2"/>
      <c r="BX493" s="2"/>
      <c r="BY493" s="2">
        <v>1200</v>
      </c>
      <c r="BZ493" s="2" t="s">
        <v>27</v>
      </c>
      <c r="CA493" s="2"/>
      <c r="CB493" s="2"/>
      <c r="CC493" s="2" t="s">
        <v>75</v>
      </c>
      <c r="CD493" s="2">
        <v>1624</v>
      </c>
      <c r="CE493" s="2" t="s">
        <v>118</v>
      </c>
      <c r="CF493" s="5">
        <v>42831</v>
      </c>
      <c r="CG493" s="2"/>
      <c r="CH493" s="2"/>
      <c r="CI493" s="2">
        <v>1</v>
      </c>
      <c r="CJ493" s="2">
        <v>1</v>
      </c>
      <c r="CK493" s="2">
        <v>22</v>
      </c>
      <c r="CL493" s="2" t="s">
        <v>86</v>
      </c>
      <c r="CM493" s="2"/>
    </row>
    <row r="494" spans="1:91">
      <c r="A494" s="2" t="s">
        <v>71</v>
      </c>
      <c r="B494" s="2" t="s">
        <v>72</v>
      </c>
      <c r="C494" s="2" t="s">
        <v>73</v>
      </c>
      <c r="D494" s="2"/>
      <c r="E494" s="2" t="str">
        <f>"FES1162542907"</f>
        <v>FES1162542907</v>
      </c>
      <c r="F494" s="3">
        <v>42836</v>
      </c>
      <c r="G494" s="2">
        <v>201710</v>
      </c>
      <c r="H494" s="2" t="s">
        <v>74</v>
      </c>
      <c r="I494" s="2" t="s">
        <v>75</v>
      </c>
      <c r="J494" s="2" t="s">
        <v>76</v>
      </c>
      <c r="K494" s="2" t="s">
        <v>77</v>
      </c>
      <c r="L494" s="2" t="s">
        <v>275</v>
      </c>
      <c r="M494" s="2" t="s">
        <v>276</v>
      </c>
      <c r="N494" s="2" t="s">
        <v>277</v>
      </c>
      <c r="O494" s="2" t="s">
        <v>115</v>
      </c>
      <c r="P494" s="2" t="str">
        <f>"2170559055                    "</f>
        <v xml:space="preserve">2170559055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8.57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2</v>
      </c>
      <c r="BI494" s="2">
        <v>4</v>
      </c>
      <c r="BJ494" s="2">
        <v>3.3</v>
      </c>
      <c r="BK494" s="2">
        <v>4</v>
      </c>
      <c r="BL494" s="2">
        <v>83.45</v>
      </c>
      <c r="BM494" s="2">
        <v>11.68</v>
      </c>
      <c r="BN494" s="2">
        <v>95.13</v>
      </c>
      <c r="BO494" s="2">
        <v>95.13</v>
      </c>
      <c r="BP494" s="2"/>
      <c r="BQ494" s="2" t="s">
        <v>278</v>
      </c>
      <c r="BR494" s="2" t="s">
        <v>123</v>
      </c>
      <c r="BS494" s="3">
        <v>42837</v>
      </c>
      <c r="BT494" s="4">
        <v>0.34375</v>
      </c>
      <c r="BU494" s="2" t="s">
        <v>841</v>
      </c>
      <c r="BV494" s="2" t="s">
        <v>111</v>
      </c>
      <c r="BW494" s="2"/>
      <c r="BX494" s="2"/>
      <c r="BY494" s="2">
        <v>16404.09</v>
      </c>
      <c r="BZ494" s="2" t="s">
        <v>27</v>
      </c>
      <c r="CA494" s="2"/>
      <c r="CB494" s="2"/>
      <c r="CC494" s="2" t="s">
        <v>276</v>
      </c>
      <c r="CD494" s="2">
        <v>4126</v>
      </c>
      <c r="CE494" s="2" t="s">
        <v>1059</v>
      </c>
      <c r="CF494" s="5">
        <v>42843</v>
      </c>
      <c r="CG494" s="2"/>
      <c r="CH494" s="2"/>
      <c r="CI494" s="2">
        <v>1</v>
      </c>
      <c r="CJ494" s="2">
        <v>1</v>
      </c>
      <c r="CK494" s="2">
        <v>21</v>
      </c>
      <c r="CL494" s="2" t="s">
        <v>86</v>
      </c>
      <c r="CM494" s="2"/>
    </row>
    <row r="495" spans="1:91">
      <c r="A495" s="2" t="s">
        <v>71</v>
      </c>
      <c r="B495" s="2" t="s">
        <v>72</v>
      </c>
      <c r="C495" s="2" t="s">
        <v>73</v>
      </c>
      <c r="D495" s="2"/>
      <c r="E495" s="2" t="str">
        <f>"FES1162541703"</f>
        <v>FES1162541703</v>
      </c>
      <c r="F495" s="3">
        <v>42830</v>
      </c>
      <c r="G495" s="2">
        <v>201710</v>
      </c>
      <c r="H495" s="2" t="s">
        <v>74</v>
      </c>
      <c r="I495" s="2" t="s">
        <v>75</v>
      </c>
      <c r="J495" s="2" t="s">
        <v>76</v>
      </c>
      <c r="K495" s="2" t="s">
        <v>77</v>
      </c>
      <c r="L495" s="2" t="s">
        <v>131</v>
      </c>
      <c r="M495" s="2" t="s">
        <v>132</v>
      </c>
      <c r="N495" s="2" t="s">
        <v>155</v>
      </c>
      <c r="O495" s="2" t="s">
        <v>115</v>
      </c>
      <c r="P495" s="2" t="str">
        <f>"2170560710                    "</f>
        <v xml:space="preserve">2170560710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4.29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41.73</v>
      </c>
      <c r="BM495" s="2">
        <v>5.84</v>
      </c>
      <c r="BN495" s="2">
        <v>47.57</v>
      </c>
      <c r="BO495" s="2">
        <v>47.57</v>
      </c>
      <c r="BP495" s="2"/>
      <c r="BQ495" s="2" t="s">
        <v>116</v>
      </c>
      <c r="BR495" s="2" t="s">
        <v>123</v>
      </c>
      <c r="BS495" s="3">
        <v>42831</v>
      </c>
      <c r="BT495" s="4">
        <v>0.41666666666666669</v>
      </c>
      <c r="BU495" s="2" t="s">
        <v>1060</v>
      </c>
      <c r="BV495" s="2" t="s">
        <v>111</v>
      </c>
      <c r="BW495" s="2"/>
      <c r="BX495" s="2"/>
      <c r="BY495" s="2">
        <v>1200</v>
      </c>
      <c r="BZ495" s="2" t="s">
        <v>27</v>
      </c>
      <c r="CA495" s="2" t="s">
        <v>159</v>
      </c>
      <c r="CB495" s="2"/>
      <c r="CC495" s="2" t="s">
        <v>132</v>
      </c>
      <c r="CD495" s="2">
        <v>7441</v>
      </c>
      <c r="CE495" s="2" t="s">
        <v>118</v>
      </c>
      <c r="CF495" s="5">
        <v>42833</v>
      </c>
      <c r="CG495" s="2"/>
      <c r="CH495" s="2"/>
      <c r="CI495" s="2">
        <v>1</v>
      </c>
      <c r="CJ495" s="2">
        <v>1</v>
      </c>
      <c r="CK495" s="2">
        <v>21</v>
      </c>
      <c r="CL495" s="2" t="s">
        <v>86</v>
      </c>
      <c r="CM495" s="2"/>
    </row>
    <row r="496" spans="1:91">
      <c r="A496" s="2" t="s">
        <v>71</v>
      </c>
      <c r="B496" s="2" t="s">
        <v>72</v>
      </c>
      <c r="C496" s="2" t="s">
        <v>73</v>
      </c>
      <c r="D496" s="2"/>
      <c r="E496" s="2" t="str">
        <f>"FES1162541657"</f>
        <v>FES1162541657</v>
      </c>
      <c r="F496" s="3">
        <v>42830</v>
      </c>
      <c r="G496" s="2">
        <v>201710</v>
      </c>
      <c r="H496" s="2" t="s">
        <v>74</v>
      </c>
      <c r="I496" s="2" t="s">
        <v>75</v>
      </c>
      <c r="J496" s="2" t="s">
        <v>76</v>
      </c>
      <c r="K496" s="2" t="s">
        <v>77</v>
      </c>
      <c r="L496" s="2" t="s">
        <v>131</v>
      </c>
      <c r="M496" s="2" t="s">
        <v>132</v>
      </c>
      <c r="N496" s="2" t="s">
        <v>731</v>
      </c>
      <c r="O496" s="2" t="s">
        <v>115</v>
      </c>
      <c r="P496" s="2" t="str">
        <f>"2170558506                    "</f>
        <v xml:space="preserve">2170558506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4.29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1</v>
      </c>
      <c r="BJ496" s="2">
        <v>0.2</v>
      </c>
      <c r="BK496" s="2">
        <v>1</v>
      </c>
      <c r="BL496" s="2">
        <v>41.73</v>
      </c>
      <c r="BM496" s="2">
        <v>5.84</v>
      </c>
      <c r="BN496" s="2">
        <v>47.57</v>
      </c>
      <c r="BO496" s="2">
        <v>47.57</v>
      </c>
      <c r="BP496" s="2"/>
      <c r="BQ496" s="2" t="s">
        <v>732</v>
      </c>
      <c r="BR496" s="2" t="s">
        <v>123</v>
      </c>
      <c r="BS496" s="3">
        <v>42831</v>
      </c>
      <c r="BT496" s="4">
        <v>0.45902777777777781</v>
      </c>
      <c r="BU496" s="2" t="s">
        <v>1061</v>
      </c>
      <c r="BV496" s="2" t="s">
        <v>111</v>
      </c>
      <c r="BW496" s="2"/>
      <c r="BX496" s="2"/>
      <c r="BY496" s="2">
        <v>1200</v>
      </c>
      <c r="BZ496" s="2" t="s">
        <v>27</v>
      </c>
      <c r="CA496" s="2" t="s">
        <v>159</v>
      </c>
      <c r="CB496" s="2"/>
      <c r="CC496" s="2" t="s">
        <v>132</v>
      </c>
      <c r="CD496" s="2">
        <v>7945</v>
      </c>
      <c r="CE496" s="2" t="s">
        <v>144</v>
      </c>
      <c r="CF496" s="5">
        <v>42832</v>
      </c>
      <c r="CG496" s="2"/>
      <c r="CH496" s="2"/>
      <c r="CI496" s="2">
        <v>1</v>
      </c>
      <c r="CJ496" s="2">
        <v>1</v>
      </c>
      <c r="CK496" s="2">
        <v>21</v>
      </c>
      <c r="CL496" s="2" t="s">
        <v>86</v>
      </c>
      <c r="CM496" s="2"/>
    </row>
    <row r="497" spans="1:91">
      <c r="A497" s="2" t="s">
        <v>71</v>
      </c>
      <c r="B497" s="2" t="s">
        <v>72</v>
      </c>
      <c r="C497" s="2" t="s">
        <v>73</v>
      </c>
      <c r="D497" s="2"/>
      <c r="E497" s="2" t="str">
        <f>"FES1162543239"</f>
        <v>FES1162543239</v>
      </c>
      <c r="F497" s="3">
        <v>42837</v>
      </c>
      <c r="G497" s="2">
        <v>201710</v>
      </c>
      <c r="H497" s="2" t="s">
        <v>74</v>
      </c>
      <c r="I497" s="2" t="s">
        <v>75</v>
      </c>
      <c r="J497" s="2" t="s">
        <v>76</v>
      </c>
      <c r="K497" s="2" t="s">
        <v>77</v>
      </c>
      <c r="L497" s="2" t="s">
        <v>160</v>
      </c>
      <c r="M497" s="2" t="s">
        <v>161</v>
      </c>
      <c r="N497" s="2" t="s">
        <v>1062</v>
      </c>
      <c r="O497" s="2" t="s">
        <v>115</v>
      </c>
      <c r="P497" s="2" t="str">
        <f>"21705528902                   "</f>
        <v xml:space="preserve">21705528902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5.36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2.2000000000000002</v>
      </c>
      <c r="BJ497" s="2">
        <v>0.9</v>
      </c>
      <c r="BK497" s="2">
        <v>2.5</v>
      </c>
      <c r="BL497" s="2">
        <v>52.16</v>
      </c>
      <c r="BM497" s="2">
        <v>7.3</v>
      </c>
      <c r="BN497" s="2">
        <v>59.46</v>
      </c>
      <c r="BO497" s="2">
        <v>59.46</v>
      </c>
      <c r="BP497" s="2"/>
      <c r="BQ497" s="2" t="s">
        <v>1063</v>
      </c>
      <c r="BR497" s="2" t="s">
        <v>84</v>
      </c>
      <c r="BS497" s="3">
        <v>42838</v>
      </c>
      <c r="BT497" s="4">
        <v>0.41666666666666669</v>
      </c>
      <c r="BU497" s="2" t="s">
        <v>1064</v>
      </c>
      <c r="BV497" s="2" t="s">
        <v>111</v>
      </c>
      <c r="BW497" s="2"/>
      <c r="BX497" s="2"/>
      <c r="BY497" s="2">
        <v>4540.54</v>
      </c>
      <c r="BZ497" s="2" t="s">
        <v>27</v>
      </c>
      <c r="CA497" s="2"/>
      <c r="CB497" s="2"/>
      <c r="CC497" s="2" t="s">
        <v>161</v>
      </c>
      <c r="CD497" s="2">
        <v>5201</v>
      </c>
      <c r="CE497" s="2" t="s">
        <v>172</v>
      </c>
      <c r="CF497" s="5">
        <v>42843</v>
      </c>
      <c r="CG497" s="2"/>
      <c r="CH497" s="2"/>
      <c r="CI497" s="2">
        <v>1</v>
      </c>
      <c r="CJ497" s="2">
        <v>1</v>
      </c>
      <c r="CK497" s="2">
        <v>21</v>
      </c>
      <c r="CL497" s="2" t="s">
        <v>86</v>
      </c>
      <c r="CM497" s="2"/>
    </row>
    <row r="498" spans="1:91">
      <c r="A498" s="2" t="s">
        <v>71</v>
      </c>
      <c r="B498" s="2" t="s">
        <v>72</v>
      </c>
      <c r="C498" s="2" t="s">
        <v>73</v>
      </c>
      <c r="D498" s="2"/>
      <c r="E498" s="2" t="str">
        <f>"FES1162541995"</f>
        <v>FES1162541995</v>
      </c>
      <c r="F498" s="3">
        <v>42831</v>
      </c>
      <c r="G498" s="2">
        <v>201710</v>
      </c>
      <c r="H498" s="2" t="s">
        <v>74</v>
      </c>
      <c r="I498" s="2" t="s">
        <v>75</v>
      </c>
      <c r="J498" s="2" t="s">
        <v>76</v>
      </c>
      <c r="K498" s="2" t="s">
        <v>77</v>
      </c>
      <c r="L498" s="2" t="s">
        <v>180</v>
      </c>
      <c r="M498" s="2" t="s">
        <v>181</v>
      </c>
      <c r="N498" s="2" t="s">
        <v>320</v>
      </c>
      <c r="O498" s="2" t="s">
        <v>115</v>
      </c>
      <c r="P498" s="2" t="str">
        <f>"2170558201                    "</f>
        <v xml:space="preserve">2170558201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4.29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1</v>
      </c>
      <c r="BJ498" s="2">
        <v>0.2</v>
      </c>
      <c r="BK498" s="2">
        <v>1</v>
      </c>
      <c r="BL498" s="2">
        <v>41.73</v>
      </c>
      <c r="BM498" s="2">
        <v>5.84</v>
      </c>
      <c r="BN498" s="2">
        <v>47.57</v>
      </c>
      <c r="BO498" s="2">
        <v>47.57</v>
      </c>
      <c r="BP498" s="2"/>
      <c r="BQ498" s="2" t="s">
        <v>129</v>
      </c>
      <c r="BR498" s="2" t="s">
        <v>123</v>
      </c>
      <c r="BS498" s="3">
        <v>42832</v>
      </c>
      <c r="BT498" s="4">
        <v>0.43611111111111112</v>
      </c>
      <c r="BU498" s="2" t="s">
        <v>266</v>
      </c>
      <c r="BV498" s="2" t="s">
        <v>111</v>
      </c>
      <c r="BW498" s="2"/>
      <c r="BX498" s="2"/>
      <c r="BY498" s="2">
        <v>1200</v>
      </c>
      <c r="BZ498" s="2" t="s">
        <v>27</v>
      </c>
      <c r="CA498" s="2"/>
      <c r="CB498" s="2"/>
      <c r="CC498" s="2" t="s">
        <v>181</v>
      </c>
      <c r="CD498" s="2">
        <v>4051</v>
      </c>
      <c r="CE498" s="2" t="s">
        <v>144</v>
      </c>
      <c r="CF498" s="5">
        <v>42835</v>
      </c>
      <c r="CG498" s="2"/>
      <c r="CH498" s="2"/>
      <c r="CI498" s="2">
        <v>1</v>
      </c>
      <c r="CJ498" s="2">
        <v>1</v>
      </c>
      <c r="CK498" s="2">
        <v>21</v>
      </c>
      <c r="CL498" s="2" t="s">
        <v>86</v>
      </c>
      <c r="CM498" s="2"/>
    </row>
    <row r="499" spans="1:91">
      <c r="A499" s="2" t="s">
        <v>71</v>
      </c>
      <c r="B499" s="2" t="s">
        <v>72</v>
      </c>
      <c r="C499" s="2" t="s">
        <v>73</v>
      </c>
      <c r="D499" s="2"/>
      <c r="E499" s="2" t="str">
        <f>"FES1162541441"</f>
        <v>FES1162541441</v>
      </c>
      <c r="F499" s="3">
        <v>42829</v>
      </c>
      <c r="G499" s="2">
        <v>201710</v>
      </c>
      <c r="H499" s="2" t="s">
        <v>74</v>
      </c>
      <c r="I499" s="2" t="s">
        <v>75</v>
      </c>
      <c r="J499" s="2" t="s">
        <v>76</v>
      </c>
      <c r="K499" s="2" t="s">
        <v>77</v>
      </c>
      <c r="L499" s="2" t="s">
        <v>1065</v>
      </c>
      <c r="M499" s="2" t="s">
        <v>1066</v>
      </c>
      <c r="N499" s="2" t="s">
        <v>1067</v>
      </c>
      <c r="O499" s="2" t="s">
        <v>115</v>
      </c>
      <c r="P499" s="2" t="str">
        <f>"2170554457 3                  "</f>
        <v xml:space="preserve">2170554457 3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8.84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3.6</v>
      </c>
      <c r="BJ499" s="2">
        <v>1.5</v>
      </c>
      <c r="BK499" s="2">
        <v>4</v>
      </c>
      <c r="BL499" s="2">
        <v>83.72</v>
      </c>
      <c r="BM499" s="2">
        <v>11.72</v>
      </c>
      <c r="BN499" s="2">
        <v>95.44</v>
      </c>
      <c r="BO499" s="2">
        <v>95.44</v>
      </c>
      <c r="BP499" s="2"/>
      <c r="BQ499" s="2" t="s">
        <v>355</v>
      </c>
      <c r="BR499" s="2" t="s">
        <v>123</v>
      </c>
      <c r="BS499" s="3">
        <v>42830</v>
      </c>
      <c r="BT499" s="4">
        <v>0.52083333333333337</v>
      </c>
      <c r="BU499" s="2" t="s">
        <v>1068</v>
      </c>
      <c r="BV499" s="2" t="s">
        <v>111</v>
      </c>
      <c r="BW499" s="2"/>
      <c r="BX499" s="2"/>
      <c r="BY499" s="2">
        <v>7387.38</v>
      </c>
      <c r="BZ499" s="2" t="s">
        <v>27</v>
      </c>
      <c r="CA499" s="2"/>
      <c r="CB499" s="2"/>
      <c r="CC499" s="2" t="s">
        <v>1066</v>
      </c>
      <c r="CD499" s="2">
        <v>3340</v>
      </c>
      <c r="CE499" s="2" t="s">
        <v>172</v>
      </c>
      <c r="CF499" s="5">
        <v>42832</v>
      </c>
      <c r="CG499" s="2"/>
      <c r="CH499" s="2"/>
      <c r="CI499" s="2">
        <v>4</v>
      </c>
      <c r="CJ499" s="2">
        <v>1</v>
      </c>
      <c r="CK499" s="2">
        <v>21</v>
      </c>
      <c r="CL499" s="2" t="s">
        <v>86</v>
      </c>
      <c r="CM499" s="2"/>
    </row>
    <row r="500" spans="1:91">
      <c r="A500" s="2" t="s">
        <v>71</v>
      </c>
      <c r="B500" s="2" t="s">
        <v>72</v>
      </c>
      <c r="C500" s="2" t="s">
        <v>73</v>
      </c>
      <c r="D500" s="2"/>
      <c r="E500" s="2" t="str">
        <f>"FES1162542942"</f>
        <v>FES1162542942</v>
      </c>
      <c r="F500" s="3">
        <v>42836</v>
      </c>
      <c r="G500" s="2">
        <v>201710</v>
      </c>
      <c r="H500" s="2" t="s">
        <v>74</v>
      </c>
      <c r="I500" s="2" t="s">
        <v>75</v>
      </c>
      <c r="J500" s="2" t="s">
        <v>76</v>
      </c>
      <c r="K500" s="2" t="s">
        <v>77</v>
      </c>
      <c r="L500" s="2" t="s">
        <v>180</v>
      </c>
      <c r="M500" s="2" t="s">
        <v>181</v>
      </c>
      <c r="N500" s="2" t="s">
        <v>182</v>
      </c>
      <c r="O500" s="2" t="s">
        <v>115</v>
      </c>
      <c r="P500" s="2" t="str">
        <f>"2170561325                    "</f>
        <v xml:space="preserve">2170561325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6.43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3</v>
      </c>
      <c r="BJ500" s="2">
        <v>0.9</v>
      </c>
      <c r="BK500" s="2">
        <v>3</v>
      </c>
      <c r="BL500" s="2">
        <v>62.59</v>
      </c>
      <c r="BM500" s="2">
        <v>8.76</v>
      </c>
      <c r="BN500" s="2">
        <v>71.349999999999994</v>
      </c>
      <c r="BO500" s="2">
        <v>71.349999999999994</v>
      </c>
      <c r="BP500" s="2"/>
      <c r="BQ500" s="2" t="s">
        <v>183</v>
      </c>
      <c r="BR500" s="2" t="s">
        <v>123</v>
      </c>
      <c r="BS500" s="3">
        <v>42837</v>
      </c>
      <c r="BT500" s="4">
        <v>0.4375</v>
      </c>
      <c r="BU500" s="2" t="s">
        <v>245</v>
      </c>
      <c r="BV500" s="2" t="s">
        <v>111</v>
      </c>
      <c r="BW500" s="2"/>
      <c r="BX500" s="2"/>
      <c r="BY500" s="2">
        <v>4566.99</v>
      </c>
      <c r="BZ500" s="2" t="s">
        <v>27</v>
      </c>
      <c r="CA500" s="2"/>
      <c r="CB500" s="2"/>
      <c r="CC500" s="2" t="s">
        <v>181</v>
      </c>
      <c r="CD500" s="2">
        <v>4001</v>
      </c>
      <c r="CE500" s="2" t="s">
        <v>287</v>
      </c>
      <c r="CF500" s="5">
        <v>42843</v>
      </c>
      <c r="CG500" s="2"/>
      <c r="CH500" s="2"/>
      <c r="CI500" s="2">
        <v>1</v>
      </c>
      <c r="CJ500" s="2">
        <v>1</v>
      </c>
      <c r="CK500" s="2">
        <v>21</v>
      </c>
      <c r="CL500" s="2" t="s">
        <v>86</v>
      </c>
      <c r="CM500" s="2"/>
    </row>
    <row r="501" spans="1:91">
      <c r="A501" s="2" t="s">
        <v>71</v>
      </c>
      <c r="B501" s="2" t="s">
        <v>72</v>
      </c>
      <c r="C501" s="2" t="s">
        <v>73</v>
      </c>
      <c r="D501" s="2"/>
      <c r="E501" s="2" t="str">
        <f>"FES1162541699"</f>
        <v>FES1162541699</v>
      </c>
      <c r="F501" s="3">
        <v>42830</v>
      </c>
      <c r="G501" s="2">
        <v>201710</v>
      </c>
      <c r="H501" s="2" t="s">
        <v>74</v>
      </c>
      <c r="I501" s="2" t="s">
        <v>75</v>
      </c>
      <c r="J501" s="2" t="s">
        <v>76</v>
      </c>
      <c r="K501" s="2" t="s">
        <v>77</v>
      </c>
      <c r="L501" s="2" t="s">
        <v>131</v>
      </c>
      <c r="M501" s="2" t="s">
        <v>132</v>
      </c>
      <c r="N501" s="2" t="s">
        <v>1069</v>
      </c>
      <c r="O501" s="2" t="s">
        <v>115</v>
      </c>
      <c r="P501" s="2" t="str">
        <f>"2170560705                    "</f>
        <v xml:space="preserve">2170560705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4.29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</v>
      </c>
      <c r="BJ501" s="2">
        <v>0.2</v>
      </c>
      <c r="BK501" s="2">
        <v>1</v>
      </c>
      <c r="BL501" s="2">
        <v>41.73</v>
      </c>
      <c r="BM501" s="2">
        <v>5.84</v>
      </c>
      <c r="BN501" s="2">
        <v>47.57</v>
      </c>
      <c r="BO501" s="2">
        <v>47.57</v>
      </c>
      <c r="BP501" s="2"/>
      <c r="BQ501" s="2" t="s">
        <v>1070</v>
      </c>
      <c r="BR501" s="2" t="s">
        <v>123</v>
      </c>
      <c r="BS501" s="3">
        <v>42831</v>
      </c>
      <c r="BT501" s="4">
        <v>0.4236111111111111</v>
      </c>
      <c r="BU501" s="2" t="s">
        <v>896</v>
      </c>
      <c r="BV501" s="2" t="s">
        <v>111</v>
      </c>
      <c r="BW501" s="2"/>
      <c r="BX501" s="2"/>
      <c r="BY501" s="2">
        <v>1200</v>
      </c>
      <c r="BZ501" s="2" t="s">
        <v>27</v>
      </c>
      <c r="CA501" s="2"/>
      <c r="CB501" s="2"/>
      <c r="CC501" s="2" t="s">
        <v>132</v>
      </c>
      <c r="CD501" s="2">
        <v>7800</v>
      </c>
      <c r="CE501" s="2" t="s">
        <v>118</v>
      </c>
      <c r="CF501" s="5">
        <v>42832</v>
      </c>
      <c r="CG501" s="2"/>
      <c r="CH501" s="2"/>
      <c r="CI501" s="2">
        <v>1</v>
      </c>
      <c r="CJ501" s="2">
        <v>1</v>
      </c>
      <c r="CK501" s="2">
        <v>21</v>
      </c>
      <c r="CL501" s="2" t="s">
        <v>86</v>
      </c>
      <c r="CM501" s="2"/>
    </row>
    <row r="502" spans="1:91">
      <c r="A502" s="2" t="s">
        <v>71</v>
      </c>
      <c r="B502" s="2" t="s">
        <v>72</v>
      </c>
      <c r="C502" s="2" t="s">
        <v>73</v>
      </c>
      <c r="D502" s="2"/>
      <c r="E502" s="2" t="str">
        <f>"FES1162541595"</f>
        <v>FES1162541595</v>
      </c>
      <c r="F502" s="3">
        <v>42830</v>
      </c>
      <c r="G502" s="2">
        <v>201710</v>
      </c>
      <c r="H502" s="2" t="s">
        <v>74</v>
      </c>
      <c r="I502" s="2" t="s">
        <v>75</v>
      </c>
      <c r="J502" s="2" t="s">
        <v>76</v>
      </c>
      <c r="K502" s="2" t="s">
        <v>77</v>
      </c>
      <c r="L502" s="2" t="s">
        <v>99</v>
      </c>
      <c r="M502" s="2" t="s">
        <v>100</v>
      </c>
      <c r="N502" s="2" t="s">
        <v>108</v>
      </c>
      <c r="O502" s="2" t="s">
        <v>115</v>
      </c>
      <c r="P502" s="2" t="str">
        <f>"2170553578                    "</f>
        <v xml:space="preserve">2170553578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4.29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</v>
      </c>
      <c r="BJ502" s="2">
        <v>1.8</v>
      </c>
      <c r="BK502" s="2">
        <v>2</v>
      </c>
      <c r="BL502" s="2">
        <v>41.73</v>
      </c>
      <c r="BM502" s="2">
        <v>5.84</v>
      </c>
      <c r="BN502" s="2">
        <v>47.57</v>
      </c>
      <c r="BO502" s="2">
        <v>47.57</v>
      </c>
      <c r="BP502" s="2"/>
      <c r="BQ502" s="2" t="s">
        <v>109</v>
      </c>
      <c r="BR502" s="2" t="s">
        <v>123</v>
      </c>
      <c r="BS502" s="3">
        <v>42831</v>
      </c>
      <c r="BT502" s="4">
        <v>0.41666666666666669</v>
      </c>
      <c r="BU502" s="2" t="s">
        <v>110</v>
      </c>
      <c r="BV502" s="2" t="s">
        <v>111</v>
      </c>
      <c r="BW502" s="2"/>
      <c r="BX502" s="2"/>
      <c r="BY502" s="2">
        <v>9142.69</v>
      </c>
      <c r="BZ502" s="2" t="s">
        <v>27</v>
      </c>
      <c r="CA502" s="2" t="s">
        <v>106</v>
      </c>
      <c r="CB502" s="2"/>
      <c r="CC502" s="2" t="s">
        <v>100</v>
      </c>
      <c r="CD502" s="2">
        <v>6001</v>
      </c>
      <c r="CE502" s="2" t="s">
        <v>144</v>
      </c>
      <c r="CF502" s="5">
        <v>42831</v>
      </c>
      <c r="CG502" s="2"/>
      <c r="CH502" s="2"/>
      <c r="CI502" s="2">
        <v>1</v>
      </c>
      <c r="CJ502" s="2">
        <v>1</v>
      </c>
      <c r="CK502" s="2">
        <v>21</v>
      </c>
      <c r="CL502" s="2" t="s">
        <v>86</v>
      </c>
      <c r="CM502" s="2"/>
    </row>
    <row r="503" spans="1:91">
      <c r="A503" s="2" t="s">
        <v>71</v>
      </c>
      <c r="B503" s="2" t="s">
        <v>72</v>
      </c>
      <c r="C503" s="2" t="s">
        <v>73</v>
      </c>
      <c r="D503" s="2"/>
      <c r="E503" s="2" t="str">
        <f>"FES1162543301"</f>
        <v>FES1162543301</v>
      </c>
      <c r="F503" s="3">
        <v>42837</v>
      </c>
      <c r="G503" s="2">
        <v>201710</v>
      </c>
      <c r="H503" s="2" t="s">
        <v>74</v>
      </c>
      <c r="I503" s="2" t="s">
        <v>75</v>
      </c>
      <c r="J503" s="2" t="s">
        <v>76</v>
      </c>
      <c r="K503" s="2" t="s">
        <v>77</v>
      </c>
      <c r="L503" s="2" t="s">
        <v>294</v>
      </c>
      <c r="M503" s="2" t="s">
        <v>295</v>
      </c>
      <c r="N503" s="2" t="s">
        <v>1071</v>
      </c>
      <c r="O503" s="2" t="s">
        <v>115</v>
      </c>
      <c r="P503" s="2" t="str">
        <f>"2170560182                    "</f>
        <v xml:space="preserve">2170560182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4.29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</v>
      </c>
      <c r="BJ503" s="2">
        <v>0.2</v>
      </c>
      <c r="BK503" s="2">
        <v>1</v>
      </c>
      <c r="BL503" s="2">
        <v>41.73</v>
      </c>
      <c r="BM503" s="2">
        <v>5.84</v>
      </c>
      <c r="BN503" s="2">
        <v>47.57</v>
      </c>
      <c r="BO503" s="2">
        <v>47.57</v>
      </c>
      <c r="BP503" s="2"/>
      <c r="BQ503" s="2" t="s">
        <v>129</v>
      </c>
      <c r="BR503" s="2" t="s">
        <v>84</v>
      </c>
      <c r="BS503" s="3">
        <v>42838</v>
      </c>
      <c r="BT503" s="4">
        <v>0.4375</v>
      </c>
      <c r="BU503" s="2" t="s">
        <v>1072</v>
      </c>
      <c r="BV503" s="2" t="s">
        <v>111</v>
      </c>
      <c r="BW503" s="2"/>
      <c r="BX503" s="2"/>
      <c r="BY503" s="2">
        <v>1200</v>
      </c>
      <c r="BZ503" s="2" t="s">
        <v>27</v>
      </c>
      <c r="CA503" s="2"/>
      <c r="CB503" s="2"/>
      <c r="CC503" s="2" t="s">
        <v>295</v>
      </c>
      <c r="CD503" s="2">
        <v>3610</v>
      </c>
      <c r="CE503" s="2" t="s">
        <v>118</v>
      </c>
      <c r="CF503" s="5">
        <v>42843</v>
      </c>
      <c r="CG503" s="2"/>
      <c r="CH503" s="2"/>
      <c r="CI503" s="2">
        <v>1</v>
      </c>
      <c r="CJ503" s="2">
        <v>1</v>
      </c>
      <c r="CK503" s="2">
        <v>21</v>
      </c>
      <c r="CL503" s="2" t="s">
        <v>86</v>
      </c>
      <c r="CM503" s="2"/>
    </row>
    <row r="504" spans="1:91">
      <c r="A504" s="2" t="s">
        <v>71</v>
      </c>
      <c r="B504" s="2" t="s">
        <v>72</v>
      </c>
      <c r="C504" s="2" t="s">
        <v>73</v>
      </c>
      <c r="D504" s="2"/>
      <c r="E504" s="2" t="str">
        <f>"FES1162541934"</f>
        <v>FES1162541934</v>
      </c>
      <c r="F504" s="3">
        <v>42831</v>
      </c>
      <c r="G504" s="2">
        <v>201710</v>
      </c>
      <c r="H504" s="2" t="s">
        <v>74</v>
      </c>
      <c r="I504" s="2" t="s">
        <v>75</v>
      </c>
      <c r="J504" s="2" t="s">
        <v>76</v>
      </c>
      <c r="K504" s="2" t="s">
        <v>77</v>
      </c>
      <c r="L504" s="2" t="s">
        <v>1073</v>
      </c>
      <c r="M504" s="2" t="s">
        <v>1074</v>
      </c>
      <c r="N504" s="2" t="s">
        <v>1075</v>
      </c>
      <c r="O504" s="2" t="s">
        <v>115</v>
      </c>
      <c r="P504" s="2" t="str">
        <f>"2170560924                    "</f>
        <v xml:space="preserve">2170560924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4.29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</v>
      </c>
      <c r="BJ504" s="2">
        <v>0.2</v>
      </c>
      <c r="BK504" s="2">
        <v>1</v>
      </c>
      <c r="BL504" s="2">
        <v>41.73</v>
      </c>
      <c r="BM504" s="2">
        <v>5.84</v>
      </c>
      <c r="BN504" s="2">
        <v>47.57</v>
      </c>
      <c r="BO504" s="2">
        <v>47.57</v>
      </c>
      <c r="BP504" s="2"/>
      <c r="BQ504" s="2" t="s">
        <v>1076</v>
      </c>
      <c r="BR504" s="2" t="s">
        <v>123</v>
      </c>
      <c r="BS504" s="3">
        <v>42832</v>
      </c>
      <c r="BT504" s="4">
        <v>0.52430555555555558</v>
      </c>
      <c r="BU504" s="2" t="s">
        <v>1077</v>
      </c>
      <c r="BV504" s="2" t="s">
        <v>86</v>
      </c>
      <c r="BW504" s="2"/>
      <c r="BX504" s="2"/>
      <c r="BY504" s="2">
        <v>1200</v>
      </c>
      <c r="BZ504" s="2" t="s">
        <v>27</v>
      </c>
      <c r="CA504" s="2"/>
      <c r="CB504" s="2"/>
      <c r="CC504" s="2" t="s">
        <v>1074</v>
      </c>
      <c r="CD504" s="2">
        <v>1947</v>
      </c>
      <c r="CE504" s="2" t="s">
        <v>144</v>
      </c>
      <c r="CF504" s="5">
        <v>42835</v>
      </c>
      <c r="CG504" s="2"/>
      <c r="CH504" s="2"/>
      <c r="CI504" s="2">
        <v>1</v>
      </c>
      <c r="CJ504" s="2">
        <v>1</v>
      </c>
      <c r="CK504" s="2">
        <v>21</v>
      </c>
      <c r="CL504" s="2" t="s">
        <v>86</v>
      </c>
      <c r="CM504" s="2"/>
    </row>
    <row r="505" spans="1:91">
      <c r="A505" s="2" t="s">
        <v>71</v>
      </c>
      <c r="B505" s="2" t="s">
        <v>72</v>
      </c>
      <c r="C505" s="2" t="s">
        <v>73</v>
      </c>
      <c r="D505" s="2"/>
      <c r="E505" s="2" t="str">
        <f>"FES1162541435"</f>
        <v>FES1162541435</v>
      </c>
      <c r="F505" s="3">
        <v>42829</v>
      </c>
      <c r="G505" s="2">
        <v>201710</v>
      </c>
      <c r="H505" s="2" t="s">
        <v>74</v>
      </c>
      <c r="I505" s="2" t="s">
        <v>75</v>
      </c>
      <c r="J505" s="2" t="s">
        <v>76</v>
      </c>
      <c r="K505" s="2" t="s">
        <v>77</v>
      </c>
      <c r="L505" s="2" t="s">
        <v>180</v>
      </c>
      <c r="M505" s="2" t="s">
        <v>181</v>
      </c>
      <c r="N505" s="2" t="s">
        <v>931</v>
      </c>
      <c r="O505" s="2" t="s">
        <v>115</v>
      </c>
      <c r="P505" s="2" t="str">
        <f>"2170556153                    "</f>
        <v xml:space="preserve">2170556153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14.37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6.1</v>
      </c>
      <c r="BJ505" s="2">
        <v>5.6</v>
      </c>
      <c r="BK505" s="2">
        <v>6.5</v>
      </c>
      <c r="BL505" s="2">
        <v>136.05000000000001</v>
      </c>
      <c r="BM505" s="2">
        <v>19.05</v>
      </c>
      <c r="BN505" s="2">
        <v>155.1</v>
      </c>
      <c r="BO505" s="2">
        <v>155.1</v>
      </c>
      <c r="BP505" s="2"/>
      <c r="BQ505" s="2" t="s">
        <v>932</v>
      </c>
      <c r="BR505" s="2" t="s">
        <v>123</v>
      </c>
      <c r="BS505" s="3">
        <v>42830</v>
      </c>
      <c r="BT505" s="4">
        <v>0.34375</v>
      </c>
      <c r="BU505" s="2" t="s">
        <v>1078</v>
      </c>
      <c r="BV505" s="2" t="s">
        <v>111</v>
      </c>
      <c r="BW505" s="2"/>
      <c r="BX505" s="2"/>
      <c r="BY505" s="2">
        <v>27750.01</v>
      </c>
      <c r="BZ505" s="2" t="s">
        <v>27</v>
      </c>
      <c r="CA505" s="2"/>
      <c r="CB505" s="2"/>
      <c r="CC505" s="2" t="s">
        <v>181</v>
      </c>
      <c r="CD505" s="2">
        <v>4072</v>
      </c>
      <c r="CE505" s="2" t="s">
        <v>172</v>
      </c>
      <c r="CF505" s="5">
        <v>42831</v>
      </c>
      <c r="CG505" s="2"/>
      <c r="CH505" s="2"/>
      <c r="CI505" s="2">
        <v>1</v>
      </c>
      <c r="CJ505" s="2">
        <v>1</v>
      </c>
      <c r="CK505" s="2">
        <v>21</v>
      </c>
      <c r="CL505" s="2" t="s">
        <v>86</v>
      </c>
      <c r="CM505" s="2"/>
    </row>
    <row r="506" spans="1:91">
      <c r="A506" s="2" t="s">
        <v>71</v>
      </c>
      <c r="B506" s="2" t="s">
        <v>72</v>
      </c>
      <c r="C506" s="2" t="s">
        <v>73</v>
      </c>
      <c r="D506" s="2"/>
      <c r="E506" s="2" t="str">
        <f>"FES1162542766"</f>
        <v>FES1162542766</v>
      </c>
      <c r="F506" s="3">
        <v>42836</v>
      </c>
      <c r="G506" s="2">
        <v>201710</v>
      </c>
      <c r="H506" s="2" t="s">
        <v>74</v>
      </c>
      <c r="I506" s="2" t="s">
        <v>75</v>
      </c>
      <c r="J506" s="2" t="s">
        <v>76</v>
      </c>
      <c r="K506" s="2" t="s">
        <v>77</v>
      </c>
      <c r="L506" s="2" t="s">
        <v>294</v>
      </c>
      <c r="M506" s="2" t="s">
        <v>295</v>
      </c>
      <c r="N506" s="2" t="s">
        <v>1079</v>
      </c>
      <c r="O506" s="2" t="s">
        <v>115</v>
      </c>
      <c r="P506" s="2" t="str">
        <f>"2170561662                    "</f>
        <v xml:space="preserve">2170561662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4.29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1</v>
      </c>
      <c r="BJ506" s="2">
        <v>0.2</v>
      </c>
      <c r="BK506" s="2">
        <v>1</v>
      </c>
      <c r="BL506" s="2">
        <v>41.73</v>
      </c>
      <c r="BM506" s="2">
        <v>5.84</v>
      </c>
      <c r="BN506" s="2">
        <v>47.57</v>
      </c>
      <c r="BO506" s="2">
        <v>47.57</v>
      </c>
      <c r="BP506" s="2"/>
      <c r="BQ506" s="2" t="s">
        <v>129</v>
      </c>
      <c r="BR506" s="2" t="s">
        <v>123</v>
      </c>
      <c r="BS506" s="3">
        <v>42837</v>
      </c>
      <c r="BT506" s="4">
        <v>0.4375</v>
      </c>
      <c r="BU506" s="2" t="s">
        <v>1080</v>
      </c>
      <c r="BV506" s="2" t="s">
        <v>111</v>
      </c>
      <c r="BW506" s="2"/>
      <c r="BX506" s="2"/>
      <c r="BY506" s="2">
        <v>1200</v>
      </c>
      <c r="BZ506" s="2" t="s">
        <v>27</v>
      </c>
      <c r="CA506" s="2"/>
      <c r="CB506" s="2"/>
      <c r="CC506" s="2" t="s">
        <v>295</v>
      </c>
      <c r="CD506" s="2">
        <v>3610</v>
      </c>
      <c r="CE506" s="2" t="s">
        <v>144</v>
      </c>
      <c r="CF506" s="5">
        <v>42843</v>
      </c>
      <c r="CG506" s="2"/>
      <c r="CH506" s="2"/>
      <c r="CI506" s="2">
        <v>1</v>
      </c>
      <c r="CJ506" s="2">
        <v>1</v>
      </c>
      <c r="CK506" s="2">
        <v>21</v>
      </c>
      <c r="CL506" s="2" t="s">
        <v>86</v>
      </c>
      <c r="CM506" s="2"/>
    </row>
    <row r="507" spans="1:91">
      <c r="A507" s="2" t="s">
        <v>71</v>
      </c>
      <c r="B507" s="2" t="s">
        <v>72</v>
      </c>
      <c r="C507" s="2" t="s">
        <v>73</v>
      </c>
      <c r="D507" s="2"/>
      <c r="E507" s="2" t="str">
        <f>"FES1162541676"</f>
        <v>FES1162541676</v>
      </c>
      <c r="F507" s="3">
        <v>42830</v>
      </c>
      <c r="G507" s="2">
        <v>201710</v>
      </c>
      <c r="H507" s="2" t="s">
        <v>74</v>
      </c>
      <c r="I507" s="2" t="s">
        <v>75</v>
      </c>
      <c r="J507" s="2" t="s">
        <v>76</v>
      </c>
      <c r="K507" s="2" t="s">
        <v>77</v>
      </c>
      <c r="L507" s="2" t="s">
        <v>131</v>
      </c>
      <c r="M507" s="2" t="s">
        <v>132</v>
      </c>
      <c r="N507" s="2" t="s">
        <v>1081</v>
      </c>
      <c r="O507" s="2" t="s">
        <v>115</v>
      </c>
      <c r="P507" s="2" t="str">
        <f>"2170559809                    "</f>
        <v xml:space="preserve">2170559809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4.29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1</v>
      </c>
      <c r="BJ507" s="2">
        <v>0.2</v>
      </c>
      <c r="BK507" s="2">
        <v>1</v>
      </c>
      <c r="BL507" s="2">
        <v>41.73</v>
      </c>
      <c r="BM507" s="2">
        <v>5.84</v>
      </c>
      <c r="BN507" s="2">
        <v>47.57</v>
      </c>
      <c r="BO507" s="2">
        <v>47.57</v>
      </c>
      <c r="BP507" s="2"/>
      <c r="BQ507" s="2" t="s">
        <v>1082</v>
      </c>
      <c r="BR507" s="2" t="s">
        <v>123</v>
      </c>
      <c r="BS507" s="3">
        <v>42831</v>
      </c>
      <c r="BT507" s="4">
        <v>0.41666666666666669</v>
      </c>
      <c r="BU507" s="2" t="s">
        <v>1083</v>
      </c>
      <c r="BV507" s="2" t="s">
        <v>111</v>
      </c>
      <c r="BW507" s="2"/>
      <c r="BX507" s="2"/>
      <c r="BY507" s="2">
        <v>1200</v>
      </c>
      <c r="BZ507" s="2" t="s">
        <v>27</v>
      </c>
      <c r="CA507" s="2"/>
      <c r="CB507" s="2"/>
      <c r="CC507" s="2" t="s">
        <v>132</v>
      </c>
      <c r="CD507" s="2">
        <v>7460</v>
      </c>
      <c r="CE507" s="2" t="s">
        <v>118</v>
      </c>
      <c r="CF507" s="5">
        <v>42832</v>
      </c>
      <c r="CG507" s="2"/>
      <c r="CH507" s="2"/>
      <c r="CI507" s="2">
        <v>1</v>
      </c>
      <c r="CJ507" s="2">
        <v>1</v>
      </c>
      <c r="CK507" s="2">
        <v>21</v>
      </c>
      <c r="CL507" s="2" t="s">
        <v>86</v>
      </c>
      <c r="CM507" s="2"/>
    </row>
    <row r="508" spans="1:91">
      <c r="A508" s="2" t="s">
        <v>71</v>
      </c>
      <c r="B508" s="2" t="s">
        <v>72</v>
      </c>
      <c r="C508" s="2" t="s">
        <v>73</v>
      </c>
      <c r="D508" s="2"/>
      <c r="E508" s="2" t="str">
        <f>"FES1162541597"</f>
        <v>FES1162541597</v>
      </c>
      <c r="F508" s="3">
        <v>42830</v>
      </c>
      <c r="G508" s="2">
        <v>201710</v>
      </c>
      <c r="H508" s="2" t="s">
        <v>74</v>
      </c>
      <c r="I508" s="2" t="s">
        <v>75</v>
      </c>
      <c r="J508" s="2" t="s">
        <v>76</v>
      </c>
      <c r="K508" s="2" t="s">
        <v>77</v>
      </c>
      <c r="L508" s="2" t="s">
        <v>131</v>
      </c>
      <c r="M508" s="2" t="s">
        <v>132</v>
      </c>
      <c r="N508" s="2" t="s">
        <v>1084</v>
      </c>
      <c r="O508" s="2" t="s">
        <v>115</v>
      </c>
      <c r="P508" s="2" t="str">
        <f>"2170554470                    "</f>
        <v xml:space="preserve">2170554470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4.29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1</v>
      </c>
      <c r="BJ508" s="2">
        <v>0.2</v>
      </c>
      <c r="BK508" s="2">
        <v>1</v>
      </c>
      <c r="BL508" s="2">
        <v>41.73</v>
      </c>
      <c r="BM508" s="2">
        <v>5.84</v>
      </c>
      <c r="BN508" s="2">
        <v>47.57</v>
      </c>
      <c r="BO508" s="2">
        <v>47.57</v>
      </c>
      <c r="BP508" s="2"/>
      <c r="BQ508" s="2" t="s">
        <v>1085</v>
      </c>
      <c r="BR508" s="2" t="s">
        <v>123</v>
      </c>
      <c r="BS508" s="3">
        <v>42831</v>
      </c>
      <c r="BT508" s="4">
        <v>0.41666666666666669</v>
      </c>
      <c r="BU508" s="2" t="s">
        <v>1086</v>
      </c>
      <c r="BV508" s="2" t="s">
        <v>111</v>
      </c>
      <c r="BW508" s="2"/>
      <c r="BX508" s="2"/>
      <c r="BY508" s="2">
        <v>1200</v>
      </c>
      <c r="BZ508" s="2" t="s">
        <v>27</v>
      </c>
      <c r="CA508" s="2" t="s">
        <v>159</v>
      </c>
      <c r="CB508" s="2"/>
      <c r="CC508" s="2" t="s">
        <v>132</v>
      </c>
      <c r="CD508" s="2">
        <v>7441</v>
      </c>
      <c r="CE508" s="2" t="s">
        <v>144</v>
      </c>
      <c r="CF508" s="5">
        <v>42833</v>
      </c>
      <c r="CG508" s="2"/>
      <c r="CH508" s="2"/>
      <c r="CI508" s="2">
        <v>1</v>
      </c>
      <c r="CJ508" s="2">
        <v>1</v>
      </c>
      <c r="CK508" s="2">
        <v>21</v>
      </c>
      <c r="CL508" s="2" t="s">
        <v>86</v>
      </c>
      <c r="CM508" s="2"/>
    </row>
    <row r="509" spans="1:91">
      <c r="A509" s="2" t="s">
        <v>71</v>
      </c>
      <c r="B509" s="2" t="s">
        <v>72</v>
      </c>
      <c r="C509" s="2" t="s">
        <v>73</v>
      </c>
      <c r="D509" s="2"/>
      <c r="E509" s="2" t="str">
        <f>"FES1162543203"</f>
        <v>FES1162543203</v>
      </c>
      <c r="F509" s="3">
        <v>42837</v>
      </c>
      <c r="G509" s="2">
        <v>201710</v>
      </c>
      <c r="H509" s="2" t="s">
        <v>74</v>
      </c>
      <c r="I509" s="2" t="s">
        <v>75</v>
      </c>
      <c r="J509" s="2" t="s">
        <v>76</v>
      </c>
      <c r="K509" s="2" t="s">
        <v>77</v>
      </c>
      <c r="L509" s="2" t="s">
        <v>294</v>
      </c>
      <c r="M509" s="2" t="s">
        <v>295</v>
      </c>
      <c r="N509" s="2" t="s">
        <v>1071</v>
      </c>
      <c r="O509" s="2" t="s">
        <v>115</v>
      </c>
      <c r="P509" s="2" t="str">
        <f>"2170561969                    "</f>
        <v xml:space="preserve">2170561969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4.29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1</v>
      </c>
      <c r="BJ509" s="2">
        <v>0.2</v>
      </c>
      <c r="BK509" s="2">
        <v>1</v>
      </c>
      <c r="BL509" s="2">
        <v>41.73</v>
      </c>
      <c r="BM509" s="2">
        <v>5.84</v>
      </c>
      <c r="BN509" s="2">
        <v>47.57</v>
      </c>
      <c r="BO509" s="2">
        <v>47.57</v>
      </c>
      <c r="BP509" s="2"/>
      <c r="BQ509" s="2" t="s">
        <v>129</v>
      </c>
      <c r="BR509" s="2" t="s">
        <v>84</v>
      </c>
      <c r="BS509" s="3">
        <v>42838</v>
      </c>
      <c r="BT509" s="4">
        <v>0.4375</v>
      </c>
      <c r="BU509" s="2" t="s">
        <v>1072</v>
      </c>
      <c r="BV509" s="2" t="s">
        <v>111</v>
      </c>
      <c r="BW509" s="2"/>
      <c r="BX509" s="2"/>
      <c r="BY509" s="2">
        <v>1200</v>
      </c>
      <c r="BZ509" s="2" t="s">
        <v>27</v>
      </c>
      <c r="CA509" s="2"/>
      <c r="CB509" s="2"/>
      <c r="CC509" s="2" t="s">
        <v>295</v>
      </c>
      <c r="CD509" s="2">
        <v>3610</v>
      </c>
      <c r="CE509" s="2" t="s">
        <v>118</v>
      </c>
      <c r="CF509" s="5">
        <v>42843</v>
      </c>
      <c r="CG509" s="2"/>
      <c r="CH509" s="2"/>
      <c r="CI509" s="2">
        <v>1</v>
      </c>
      <c r="CJ509" s="2">
        <v>1</v>
      </c>
      <c r="CK509" s="2">
        <v>21</v>
      </c>
      <c r="CL509" s="2" t="s">
        <v>86</v>
      </c>
      <c r="CM509" s="2"/>
    </row>
    <row r="510" spans="1:91">
      <c r="A510" s="2" t="s">
        <v>71</v>
      </c>
      <c r="B510" s="2" t="s">
        <v>72</v>
      </c>
      <c r="C510" s="2" t="s">
        <v>73</v>
      </c>
      <c r="D510" s="2"/>
      <c r="E510" s="2" t="str">
        <f>"FES1162541993"</f>
        <v>FES1162541993</v>
      </c>
      <c r="F510" s="3">
        <v>42831</v>
      </c>
      <c r="G510" s="2">
        <v>201710</v>
      </c>
      <c r="H510" s="2" t="s">
        <v>74</v>
      </c>
      <c r="I510" s="2" t="s">
        <v>75</v>
      </c>
      <c r="J510" s="2" t="s">
        <v>76</v>
      </c>
      <c r="K510" s="2" t="s">
        <v>77</v>
      </c>
      <c r="L510" s="2" t="s">
        <v>180</v>
      </c>
      <c r="M510" s="2" t="s">
        <v>181</v>
      </c>
      <c r="N510" s="2" t="s">
        <v>320</v>
      </c>
      <c r="O510" s="2" t="s">
        <v>115</v>
      </c>
      <c r="P510" s="2" t="str">
        <f>"2170558198                    "</f>
        <v xml:space="preserve">2170558198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4.29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1</v>
      </c>
      <c r="BJ510" s="2">
        <v>0.2</v>
      </c>
      <c r="BK510" s="2">
        <v>1</v>
      </c>
      <c r="BL510" s="2">
        <v>41.73</v>
      </c>
      <c r="BM510" s="2">
        <v>5.84</v>
      </c>
      <c r="BN510" s="2">
        <v>47.57</v>
      </c>
      <c r="BO510" s="2">
        <v>47.57</v>
      </c>
      <c r="BP510" s="2"/>
      <c r="BQ510" s="2" t="s">
        <v>129</v>
      </c>
      <c r="BR510" s="2" t="s">
        <v>123</v>
      </c>
      <c r="BS510" s="3">
        <v>42832</v>
      </c>
      <c r="BT510" s="4">
        <v>0.43402777777777773</v>
      </c>
      <c r="BU510" s="2" t="s">
        <v>266</v>
      </c>
      <c r="BV510" s="2" t="s">
        <v>111</v>
      </c>
      <c r="BW510" s="2"/>
      <c r="BX510" s="2"/>
      <c r="BY510" s="2">
        <v>1200</v>
      </c>
      <c r="BZ510" s="2" t="s">
        <v>27</v>
      </c>
      <c r="CA510" s="2"/>
      <c r="CB510" s="2"/>
      <c r="CC510" s="2" t="s">
        <v>181</v>
      </c>
      <c r="CD510" s="2">
        <v>4051</v>
      </c>
      <c r="CE510" s="2" t="s">
        <v>144</v>
      </c>
      <c r="CF510" s="5">
        <v>42835</v>
      </c>
      <c r="CG510" s="2"/>
      <c r="CH510" s="2"/>
      <c r="CI510" s="2">
        <v>1</v>
      </c>
      <c r="CJ510" s="2">
        <v>1</v>
      </c>
      <c r="CK510" s="2">
        <v>21</v>
      </c>
      <c r="CL510" s="2" t="s">
        <v>86</v>
      </c>
      <c r="CM510" s="2"/>
    </row>
    <row r="511" spans="1:91">
      <c r="A511" s="2" t="s">
        <v>71</v>
      </c>
      <c r="B511" s="2" t="s">
        <v>72</v>
      </c>
      <c r="C511" s="2" t="s">
        <v>73</v>
      </c>
      <c r="D511" s="2"/>
      <c r="E511" s="2" t="str">
        <f>"FES1162541449"</f>
        <v>FES1162541449</v>
      </c>
      <c r="F511" s="3">
        <v>42829</v>
      </c>
      <c r="G511" s="2">
        <v>201710</v>
      </c>
      <c r="H511" s="2" t="s">
        <v>74</v>
      </c>
      <c r="I511" s="2" t="s">
        <v>75</v>
      </c>
      <c r="J511" s="2" t="s">
        <v>76</v>
      </c>
      <c r="K511" s="2" t="s">
        <v>77</v>
      </c>
      <c r="L511" s="2" t="s">
        <v>180</v>
      </c>
      <c r="M511" s="2" t="s">
        <v>181</v>
      </c>
      <c r="N511" s="2" t="s">
        <v>734</v>
      </c>
      <c r="O511" s="2" t="s">
        <v>115</v>
      </c>
      <c r="P511" s="2" t="str">
        <f>"2170557146                    "</f>
        <v xml:space="preserve">2170557146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17.690000000000001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8</v>
      </c>
      <c r="BJ511" s="2">
        <v>3.8</v>
      </c>
      <c r="BK511" s="2">
        <v>8</v>
      </c>
      <c r="BL511" s="2">
        <v>167.45</v>
      </c>
      <c r="BM511" s="2">
        <v>23.44</v>
      </c>
      <c r="BN511" s="2">
        <v>190.89</v>
      </c>
      <c r="BO511" s="2">
        <v>190.89</v>
      </c>
      <c r="BP511" s="2"/>
      <c r="BQ511" s="2" t="s">
        <v>735</v>
      </c>
      <c r="BR511" s="2" t="s">
        <v>123</v>
      </c>
      <c r="BS511" s="3">
        <v>42830</v>
      </c>
      <c r="BT511" s="4">
        <v>0.40833333333333338</v>
      </c>
      <c r="BU511" s="2" t="s">
        <v>748</v>
      </c>
      <c r="BV511" s="2" t="s">
        <v>111</v>
      </c>
      <c r="BW511" s="2"/>
      <c r="BX511" s="2"/>
      <c r="BY511" s="2">
        <v>19187.29</v>
      </c>
      <c r="BZ511" s="2" t="s">
        <v>27</v>
      </c>
      <c r="CA511" s="2"/>
      <c r="CB511" s="2"/>
      <c r="CC511" s="2" t="s">
        <v>181</v>
      </c>
      <c r="CD511" s="2">
        <v>4001</v>
      </c>
      <c r="CE511" s="2" t="s">
        <v>89</v>
      </c>
      <c r="CF511" s="5">
        <v>42831</v>
      </c>
      <c r="CG511" s="2"/>
      <c r="CH511" s="2"/>
      <c r="CI511" s="2">
        <v>1</v>
      </c>
      <c r="CJ511" s="2">
        <v>1</v>
      </c>
      <c r="CK511" s="2">
        <v>21</v>
      </c>
      <c r="CL511" s="2" t="s">
        <v>86</v>
      </c>
      <c r="CM511" s="2"/>
    </row>
    <row r="512" spans="1:91">
      <c r="A512" s="2" t="s">
        <v>71</v>
      </c>
      <c r="B512" s="2" t="s">
        <v>72</v>
      </c>
      <c r="C512" s="2" t="s">
        <v>73</v>
      </c>
      <c r="D512" s="2"/>
      <c r="E512" s="2" t="str">
        <f>"FES1162542969"</f>
        <v>FES1162542969</v>
      </c>
      <c r="F512" s="3">
        <v>42836</v>
      </c>
      <c r="G512" s="2">
        <v>201710</v>
      </c>
      <c r="H512" s="2" t="s">
        <v>74</v>
      </c>
      <c r="I512" s="2" t="s">
        <v>75</v>
      </c>
      <c r="J512" s="2" t="s">
        <v>76</v>
      </c>
      <c r="K512" s="2" t="s">
        <v>77</v>
      </c>
      <c r="L512" s="2" t="s">
        <v>598</v>
      </c>
      <c r="M512" s="2" t="s">
        <v>599</v>
      </c>
      <c r="N512" s="2" t="s">
        <v>600</v>
      </c>
      <c r="O512" s="2" t="s">
        <v>115</v>
      </c>
      <c r="P512" s="2" t="str">
        <f>"2170561716                    "</f>
        <v xml:space="preserve">2170561716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8.31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1.1000000000000001</v>
      </c>
      <c r="BJ512" s="2">
        <v>1.2</v>
      </c>
      <c r="BK512" s="2">
        <v>1.5</v>
      </c>
      <c r="BL512" s="2">
        <v>80.849999999999994</v>
      </c>
      <c r="BM512" s="2">
        <v>11.32</v>
      </c>
      <c r="BN512" s="2">
        <v>92.17</v>
      </c>
      <c r="BO512" s="2">
        <v>92.17</v>
      </c>
      <c r="BP512" s="2"/>
      <c r="BQ512" s="2" t="s">
        <v>601</v>
      </c>
      <c r="BR512" s="2" t="s">
        <v>123</v>
      </c>
      <c r="BS512" s="3">
        <v>42837</v>
      </c>
      <c r="BT512" s="4">
        <v>0.64097222222222217</v>
      </c>
      <c r="BU512" s="2" t="s">
        <v>602</v>
      </c>
      <c r="BV512" s="2" t="s">
        <v>111</v>
      </c>
      <c r="BW512" s="2"/>
      <c r="BX512" s="2"/>
      <c r="BY512" s="2">
        <v>6032.16</v>
      </c>
      <c r="BZ512" s="2" t="s">
        <v>27</v>
      </c>
      <c r="CA512" s="2"/>
      <c r="CB512" s="2"/>
      <c r="CC512" s="2" t="s">
        <v>599</v>
      </c>
      <c r="CD512" s="2">
        <v>3370</v>
      </c>
      <c r="CE512" s="2" t="s">
        <v>144</v>
      </c>
      <c r="CF512" s="5">
        <v>42843</v>
      </c>
      <c r="CG512" s="2"/>
      <c r="CH512" s="2"/>
      <c r="CI512" s="2">
        <v>3</v>
      </c>
      <c r="CJ512" s="2">
        <v>1</v>
      </c>
      <c r="CK512" s="2">
        <v>23</v>
      </c>
      <c r="CL512" s="2" t="s">
        <v>86</v>
      </c>
      <c r="CM512" s="2"/>
    </row>
    <row r="513" spans="1:91">
      <c r="A513" s="2" t="s">
        <v>71</v>
      </c>
      <c r="B513" s="2" t="s">
        <v>72</v>
      </c>
      <c r="C513" s="2" t="s">
        <v>73</v>
      </c>
      <c r="D513" s="2"/>
      <c r="E513" s="2" t="str">
        <f>"FES1162541760"</f>
        <v>FES1162541760</v>
      </c>
      <c r="F513" s="3">
        <v>42830</v>
      </c>
      <c r="G513" s="2">
        <v>201710</v>
      </c>
      <c r="H513" s="2" t="s">
        <v>74</v>
      </c>
      <c r="I513" s="2" t="s">
        <v>75</v>
      </c>
      <c r="J513" s="2" t="s">
        <v>76</v>
      </c>
      <c r="K513" s="2" t="s">
        <v>77</v>
      </c>
      <c r="L513" s="2" t="s">
        <v>401</v>
      </c>
      <c r="M513" s="2" t="s">
        <v>402</v>
      </c>
      <c r="N513" s="2" t="s">
        <v>752</v>
      </c>
      <c r="O513" s="2" t="s">
        <v>115</v>
      </c>
      <c r="P513" s="2" t="str">
        <f>"2170560755                    "</f>
        <v xml:space="preserve">2170560755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12.86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1</v>
      </c>
      <c r="BI513" s="2">
        <v>3</v>
      </c>
      <c r="BJ513" s="2">
        <v>5.7</v>
      </c>
      <c r="BK513" s="2">
        <v>6</v>
      </c>
      <c r="BL513" s="2">
        <v>125.18</v>
      </c>
      <c r="BM513" s="2">
        <v>17.53</v>
      </c>
      <c r="BN513" s="2">
        <v>142.71</v>
      </c>
      <c r="BO513" s="2">
        <v>142.71</v>
      </c>
      <c r="BP513" s="2"/>
      <c r="BQ513" s="2" t="s">
        <v>122</v>
      </c>
      <c r="BR513" s="2" t="s">
        <v>123</v>
      </c>
      <c r="BS513" s="3">
        <v>42831</v>
      </c>
      <c r="BT513" s="4">
        <v>0.4375</v>
      </c>
      <c r="BU513" s="2" t="s">
        <v>754</v>
      </c>
      <c r="BV513" s="2" t="s">
        <v>111</v>
      </c>
      <c r="BW513" s="2"/>
      <c r="BX513" s="2"/>
      <c r="BY513" s="2">
        <v>28429.05</v>
      </c>
      <c r="BZ513" s="2" t="s">
        <v>27</v>
      </c>
      <c r="CA513" s="2"/>
      <c r="CB513" s="2"/>
      <c r="CC513" s="2" t="s">
        <v>402</v>
      </c>
      <c r="CD513" s="2">
        <v>4113</v>
      </c>
      <c r="CE513" s="2" t="s">
        <v>89</v>
      </c>
      <c r="CF513" s="5">
        <v>42832</v>
      </c>
      <c r="CG513" s="2"/>
      <c r="CH513" s="2"/>
      <c r="CI513" s="2">
        <v>1</v>
      </c>
      <c r="CJ513" s="2">
        <v>1</v>
      </c>
      <c r="CK513" s="2">
        <v>21</v>
      </c>
      <c r="CL513" s="2" t="s">
        <v>86</v>
      </c>
      <c r="CM513" s="2"/>
    </row>
    <row r="514" spans="1:91">
      <c r="A514" s="2" t="s">
        <v>71</v>
      </c>
      <c r="B514" s="2" t="s">
        <v>72</v>
      </c>
      <c r="C514" s="2" t="s">
        <v>73</v>
      </c>
      <c r="D514" s="2"/>
      <c r="E514" s="2" t="str">
        <f>"FES1162541731"</f>
        <v>FES1162541731</v>
      </c>
      <c r="F514" s="3">
        <v>42830</v>
      </c>
      <c r="G514" s="2">
        <v>201710</v>
      </c>
      <c r="H514" s="2" t="s">
        <v>74</v>
      </c>
      <c r="I514" s="2" t="s">
        <v>75</v>
      </c>
      <c r="J514" s="2" t="s">
        <v>76</v>
      </c>
      <c r="K514" s="2" t="s">
        <v>77</v>
      </c>
      <c r="L514" s="2" t="s">
        <v>126</v>
      </c>
      <c r="M514" s="2" t="s">
        <v>127</v>
      </c>
      <c r="N514" s="2" t="s">
        <v>128</v>
      </c>
      <c r="O514" s="2" t="s">
        <v>115</v>
      </c>
      <c r="P514" s="2" t="str">
        <f>"2170560736                    "</f>
        <v xml:space="preserve">2170560736 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4.29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1</v>
      </c>
      <c r="BJ514" s="2">
        <v>0.2</v>
      </c>
      <c r="BK514" s="2">
        <v>1</v>
      </c>
      <c r="BL514" s="2">
        <v>41.73</v>
      </c>
      <c r="BM514" s="2">
        <v>5.84</v>
      </c>
      <c r="BN514" s="2">
        <v>47.57</v>
      </c>
      <c r="BO514" s="2">
        <v>47.57</v>
      </c>
      <c r="BP514" s="2"/>
      <c r="BQ514" s="2" t="s">
        <v>129</v>
      </c>
      <c r="BR514" s="2" t="s">
        <v>123</v>
      </c>
      <c r="BS514" s="3">
        <v>42831</v>
      </c>
      <c r="BT514" s="4">
        <v>0.42986111111111108</v>
      </c>
      <c r="BU514" s="2" t="s">
        <v>1087</v>
      </c>
      <c r="BV514" s="2" t="s">
        <v>111</v>
      </c>
      <c r="BW514" s="2"/>
      <c r="BX514" s="2"/>
      <c r="BY514" s="2">
        <v>1200</v>
      </c>
      <c r="BZ514" s="2" t="s">
        <v>27</v>
      </c>
      <c r="CA514" s="2"/>
      <c r="CB514" s="2"/>
      <c r="CC514" s="2" t="s">
        <v>127</v>
      </c>
      <c r="CD514" s="2">
        <v>6850</v>
      </c>
      <c r="CE514" s="2" t="s">
        <v>144</v>
      </c>
      <c r="CF514" s="5">
        <v>42832</v>
      </c>
      <c r="CG514" s="2"/>
      <c r="CH514" s="2"/>
      <c r="CI514" s="2">
        <v>3</v>
      </c>
      <c r="CJ514" s="2">
        <v>1</v>
      </c>
      <c r="CK514" s="2">
        <v>21</v>
      </c>
      <c r="CL514" s="2" t="s">
        <v>86</v>
      </c>
      <c r="CM514" s="2"/>
    </row>
    <row r="515" spans="1:91">
      <c r="A515" s="2" t="s">
        <v>71</v>
      </c>
      <c r="B515" s="2" t="s">
        <v>72</v>
      </c>
      <c r="C515" s="2" t="s">
        <v>73</v>
      </c>
      <c r="D515" s="2"/>
      <c r="E515" s="2" t="str">
        <f>"FES1162543165"</f>
        <v>FES1162543165</v>
      </c>
      <c r="F515" s="3">
        <v>42837</v>
      </c>
      <c r="G515" s="2">
        <v>201710</v>
      </c>
      <c r="H515" s="2" t="s">
        <v>74</v>
      </c>
      <c r="I515" s="2" t="s">
        <v>75</v>
      </c>
      <c r="J515" s="2" t="s">
        <v>76</v>
      </c>
      <c r="K515" s="2" t="s">
        <v>77</v>
      </c>
      <c r="L515" s="2" t="s">
        <v>358</v>
      </c>
      <c r="M515" s="2" t="s">
        <v>359</v>
      </c>
      <c r="N515" s="2" t="s">
        <v>360</v>
      </c>
      <c r="O515" s="2" t="s">
        <v>115</v>
      </c>
      <c r="P515" s="2" t="str">
        <f>"2170557877                    "</f>
        <v xml:space="preserve">2170557877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10.72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5</v>
      </c>
      <c r="BJ515" s="2">
        <v>2.2000000000000002</v>
      </c>
      <c r="BK515" s="2">
        <v>5</v>
      </c>
      <c r="BL515" s="2">
        <v>104.32</v>
      </c>
      <c r="BM515" s="2">
        <v>14.6</v>
      </c>
      <c r="BN515" s="2">
        <v>118.92</v>
      </c>
      <c r="BO515" s="2">
        <v>118.92</v>
      </c>
      <c r="BP515" s="2"/>
      <c r="BQ515" s="2" t="s">
        <v>361</v>
      </c>
      <c r="BR515" s="2" t="s">
        <v>84</v>
      </c>
      <c r="BS515" s="3">
        <v>42838</v>
      </c>
      <c r="BT515" s="4">
        <v>0.33333333333333331</v>
      </c>
      <c r="BU515" s="2" t="s">
        <v>362</v>
      </c>
      <c r="BV515" s="2" t="s">
        <v>111</v>
      </c>
      <c r="BW515" s="2"/>
      <c r="BX515" s="2"/>
      <c r="BY515" s="2">
        <v>10800</v>
      </c>
      <c r="BZ515" s="2" t="s">
        <v>27</v>
      </c>
      <c r="CA515" s="2" t="s">
        <v>159</v>
      </c>
      <c r="CB515" s="2"/>
      <c r="CC515" s="2" t="s">
        <v>359</v>
      </c>
      <c r="CD515" s="2">
        <v>6229</v>
      </c>
      <c r="CE515" s="2" t="s">
        <v>172</v>
      </c>
      <c r="CF515" s="5">
        <v>42843</v>
      </c>
      <c r="CG515" s="2"/>
      <c r="CH515" s="2"/>
      <c r="CI515" s="2">
        <v>1</v>
      </c>
      <c r="CJ515" s="2">
        <v>1</v>
      </c>
      <c r="CK515" s="2">
        <v>21</v>
      </c>
      <c r="CL515" s="2" t="s">
        <v>86</v>
      </c>
      <c r="CM515" s="2"/>
    </row>
    <row r="516" spans="1:91">
      <c r="A516" s="2" t="s">
        <v>71</v>
      </c>
      <c r="B516" s="2" t="s">
        <v>72</v>
      </c>
      <c r="C516" s="2" t="s">
        <v>73</v>
      </c>
      <c r="D516" s="2"/>
      <c r="E516" s="2" t="str">
        <f>"FES1162541941"</f>
        <v>FES1162541941</v>
      </c>
      <c r="F516" s="3">
        <v>42831</v>
      </c>
      <c r="G516" s="2">
        <v>201710</v>
      </c>
      <c r="H516" s="2" t="s">
        <v>74</v>
      </c>
      <c r="I516" s="2" t="s">
        <v>75</v>
      </c>
      <c r="J516" s="2" t="s">
        <v>76</v>
      </c>
      <c r="K516" s="2" t="s">
        <v>77</v>
      </c>
      <c r="L516" s="2" t="s">
        <v>609</v>
      </c>
      <c r="M516" s="2" t="s">
        <v>610</v>
      </c>
      <c r="N516" s="2" t="s">
        <v>1088</v>
      </c>
      <c r="O516" s="2" t="s">
        <v>115</v>
      </c>
      <c r="P516" s="2" t="str">
        <f>"2170559969                    "</f>
        <v xml:space="preserve">2170559969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4.29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1</v>
      </c>
      <c r="BJ516" s="2">
        <v>0.2</v>
      </c>
      <c r="BK516" s="2">
        <v>1</v>
      </c>
      <c r="BL516" s="2">
        <v>41.73</v>
      </c>
      <c r="BM516" s="2">
        <v>5.84</v>
      </c>
      <c r="BN516" s="2">
        <v>47.57</v>
      </c>
      <c r="BO516" s="2">
        <v>47.57</v>
      </c>
      <c r="BP516" s="2"/>
      <c r="BQ516" s="2" t="s">
        <v>122</v>
      </c>
      <c r="BR516" s="2" t="s">
        <v>123</v>
      </c>
      <c r="BS516" s="3">
        <v>42832</v>
      </c>
      <c r="BT516" s="4">
        <v>0.45833333333333331</v>
      </c>
      <c r="BU516" s="2" t="s">
        <v>1089</v>
      </c>
      <c r="BV516" s="2" t="s">
        <v>86</v>
      </c>
      <c r="BW516" s="2"/>
      <c r="BX516" s="2"/>
      <c r="BY516" s="2">
        <v>1200</v>
      </c>
      <c r="BZ516" s="2" t="s">
        <v>27</v>
      </c>
      <c r="CA516" s="2"/>
      <c r="CB516" s="2"/>
      <c r="CC516" s="2" t="s">
        <v>610</v>
      </c>
      <c r="CD516" s="2">
        <v>1900</v>
      </c>
      <c r="CE516" s="2" t="s">
        <v>144</v>
      </c>
      <c r="CF516" s="5">
        <v>42835</v>
      </c>
      <c r="CG516" s="2"/>
      <c r="CH516" s="2"/>
      <c r="CI516" s="2">
        <v>1</v>
      </c>
      <c r="CJ516" s="2">
        <v>1</v>
      </c>
      <c r="CK516" s="2">
        <v>21</v>
      </c>
      <c r="CL516" s="2" t="s">
        <v>86</v>
      </c>
      <c r="CM516" s="2"/>
    </row>
    <row r="517" spans="1:91">
      <c r="A517" s="2" t="s">
        <v>71</v>
      </c>
      <c r="B517" s="2" t="s">
        <v>72</v>
      </c>
      <c r="C517" s="2" t="s">
        <v>73</v>
      </c>
      <c r="D517" s="2"/>
      <c r="E517" s="2" t="str">
        <f>"FES1162541461"</f>
        <v>FES1162541461</v>
      </c>
      <c r="F517" s="3">
        <v>42829</v>
      </c>
      <c r="G517" s="2">
        <v>201710</v>
      </c>
      <c r="H517" s="2" t="s">
        <v>74</v>
      </c>
      <c r="I517" s="2" t="s">
        <v>75</v>
      </c>
      <c r="J517" s="2" t="s">
        <v>76</v>
      </c>
      <c r="K517" s="2" t="s">
        <v>77</v>
      </c>
      <c r="L517" s="2" t="s">
        <v>443</v>
      </c>
      <c r="M517" s="2" t="s">
        <v>444</v>
      </c>
      <c r="N517" s="2" t="s">
        <v>627</v>
      </c>
      <c r="O517" s="2" t="s">
        <v>115</v>
      </c>
      <c r="P517" s="2" t="str">
        <f>"2170560088                    "</f>
        <v xml:space="preserve">2170560088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12.16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5.0999999999999996</v>
      </c>
      <c r="BJ517" s="2">
        <v>1.7</v>
      </c>
      <c r="BK517" s="2">
        <v>5.5</v>
      </c>
      <c r="BL517" s="2">
        <v>115.12</v>
      </c>
      <c r="BM517" s="2">
        <v>16.12</v>
      </c>
      <c r="BN517" s="2">
        <v>131.24</v>
      </c>
      <c r="BO517" s="2">
        <v>131.24</v>
      </c>
      <c r="BP517" s="2"/>
      <c r="BQ517" s="2" t="s">
        <v>628</v>
      </c>
      <c r="BR517" s="2" t="s">
        <v>123</v>
      </c>
      <c r="BS517" s="3">
        <v>42830</v>
      </c>
      <c r="BT517" s="4">
        <v>0.41666666666666669</v>
      </c>
      <c r="BU517" s="2" t="s">
        <v>629</v>
      </c>
      <c r="BV517" s="2" t="s">
        <v>111</v>
      </c>
      <c r="BW517" s="2"/>
      <c r="BX517" s="2"/>
      <c r="BY517" s="2">
        <v>8448.2999999999993</v>
      </c>
      <c r="BZ517" s="2" t="s">
        <v>27</v>
      </c>
      <c r="CA517" s="2" t="s">
        <v>159</v>
      </c>
      <c r="CB517" s="2"/>
      <c r="CC517" s="2" t="s">
        <v>444</v>
      </c>
      <c r="CD517" s="2">
        <v>7130</v>
      </c>
      <c r="CE517" s="2" t="s">
        <v>89</v>
      </c>
      <c r="CF517" s="5">
        <v>42831</v>
      </c>
      <c r="CG517" s="2"/>
      <c r="CH517" s="2"/>
      <c r="CI517" s="2">
        <v>1</v>
      </c>
      <c r="CJ517" s="2">
        <v>1</v>
      </c>
      <c r="CK517" s="2">
        <v>21</v>
      </c>
      <c r="CL517" s="2" t="s">
        <v>86</v>
      </c>
      <c r="CM517" s="2"/>
    </row>
    <row r="518" spans="1:91">
      <c r="A518" s="2" t="s">
        <v>71</v>
      </c>
      <c r="B518" s="2" t="s">
        <v>72</v>
      </c>
      <c r="C518" s="2" t="s">
        <v>73</v>
      </c>
      <c r="D518" s="2"/>
      <c r="E518" s="2" t="str">
        <f>"FES1162542921"</f>
        <v>FES1162542921</v>
      </c>
      <c r="F518" s="3">
        <v>42836</v>
      </c>
      <c r="G518" s="2">
        <v>201710</v>
      </c>
      <c r="H518" s="2" t="s">
        <v>74</v>
      </c>
      <c r="I518" s="2" t="s">
        <v>75</v>
      </c>
      <c r="J518" s="2" t="s">
        <v>76</v>
      </c>
      <c r="K518" s="2" t="s">
        <v>77</v>
      </c>
      <c r="L518" s="2" t="s">
        <v>180</v>
      </c>
      <c r="M518" s="2" t="s">
        <v>181</v>
      </c>
      <c r="N518" s="2" t="s">
        <v>1090</v>
      </c>
      <c r="O518" s="2" t="s">
        <v>115</v>
      </c>
      <c r="P518" s="2" t="str">
        <f>"2170559331                    "</f>
        <v xml:space="preserve">2170559331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4.29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</v>
      </c>
      <c r="BJ518" s="2">
        <v>0.2</v>
      </c>
      <c r="BK518" s="2">
        <v>1</v>
      </c>
      <c r="BL518" s="2">
        <v>41.73</v>
      </c>
      <c r="BM518" s="2">
        <v>5.84</v>
      </c>
      <c r="BN518" s="2">
        <v>47.57</v>
      </c>
      <c r="BO518" s="2">
        <v>47.57</v>
      </c>
      <c r="BP518" s="2"/>
      <c r="BQ518" s="2" t="s">
        <v>129</v>
      </c>
      <c r="BR518" s="2" t="s">
        <v>123</v>
      </c>
      <c r="BS518" s="3">
        <v>42837</v>
      </c>
      <c r="BT518" s="4">
        <v>0.4375</v>
      </c>
      <c r="BU518" s="2" t="s">
        <v>1091</v>
      </c>
      <c r="BV518" s="2" t="s">
        <v>111</v>
      </c>
      <c r="BW518" s="2"/>
      <c r="BX518" s="2"/>
      <c r="BY518" s="2">
        <v>1200</v>
      </c>
      <c r="BZ518" s="2" t="s">
        <v>27</v>
      </c>
      <c r="CA518" s="2"/>
      <c r="CB518" s="2"/>
      <c r="CC518" s="2" t="s">
        <v>181</v>
      </c>
      <c r="CD518" s="2">
        <v>4052</v>
      </c>
      <c r="CE518" s="2" t="s">
        <v>144</v>
      </c>
      <c r="CF518" s="5">
        <v>42843</v>
      </c>
      <c r="CG518" s="2"/>
      <c r="CH518" s="2"/>
      <c r="CI518" s="2">
        <v>1</v>
      </c>
      <c r="CJ518" s="2">
        <v>1</v>
      </c>
      <c r="CK518" s="2">
        <v>21</v>
      </c>
      <c r="CL518" s="2" t="s">
        <v>86</v>
      </c>
      <c r="CM518" s="2"/>
    </row>
    <row r="519" spans="1:91">
      <c r="A519" s="2" t="s">
        <v>71</v>
      </c>
      <c r="B519" s="2" t="s">
        <v>72</v>
      </c>
      <c r="C519" s="2" t="s">
        <v>73</v>
      </c>
      <c r="D519" s="2"/>
      <c r="E519" s="2" t="str">
        <f>"FES1162541798"</f>
        <v>FES1162541798</v>
      </c>
      <c r="F519" s="3">
        <v>42830</v>
      </c>
      <c r="G519" s="2">
        <v>201710</v>
      </c>
      <c r="H519" s="2" t="s">
        <v>74</v>
      </c>
      <c r="I519" s="2" t="s">
        <v>75</v>
      </c>
      <c r="J519" s="2" t="s">
        <v>76</v>
      </c>
      <c r="K519" s="2" t="s">
        <v>77</v>
      </c>
      <c r="L519" s="2" t="s">
        <v>294</v>
      </c>
      <c r="M519" s="2" t="s">
        <v>295</v>
      </c>
      <c r="N519" s="2" t="s">
        <v>296</v>
      </c>
      <c r="O519" s="2" t="s">
        <v>115</v>
      </c>
      <c r="P519" s="2" t="str">
        <f>"2170560810                    "</f>
        <v xml:space="preserve">2170560810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4.29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1.3</v>
      </c>
      <c r="BJ519" s="2">
        <v>0.2</v>
      </c>
      <c r="BK519" s="2">
        <v>1.5</v>
      </c>
      <c r="BL519" s="2">
        <v>41.73</v>
      </c>
      <c r="BM519" s="2">
        <v>5.84</v>
      </c>
      <c r="BN519" s="2">
        <v>47.57</v>
      </c>
      <c r="BO519" s="2">
        <v>47.57</v>
      </c>
      <c r="BP519" s="2"/>
      <c r="BQ519" s="2" t="s">
        <v>297</v>
      </c>
      <c r="BR519" s="2" t="s">
        <v>123</v>
      </c>
      <c r="BS519" s="3">
        <v>42831</v>
      </c>
      <c r="BT519" s="4">
        <v>0.4375</v>
      </c>
      <c r="BU519" s="2" t="s">
        <v>1092</v>
      </c>
      <c r="BV519" s="2" t="s">
        <v>111</v>
      </c>
      <c r="BW519" s="2"/>
      <c r="BX519" s="2"/>
      <c r="BY519" s="2">
        <v>1200</v>
      </c>
      <c r="BZ519" s="2" t="s">
        <v>27</v>
      </c>
      <c r="CA519" s="2"/>
      <c r="CB519" s="2"/>
      <c r="CC519" s="2" t="s">
        <v>295</v>
      </c>
      <c r="CD519" s="2">
        <v>3620</v>
      </c>
      <c r="CE519" s="2" t="s">
        <v>118</v>
      </c>
      <c r="CF519" s="5">
        <v>42832</v>
      </c>
      <c r="CG519" s="2"/>
      <c r="CH519" s="2"/>
      <c r="CI519" s="2">
        <v>1</v>
      </c>
      <c r="CJ519" s="2">
        <v>1</v>
      </c>
      <c r="CK519" s="2">
        <v>21</v>
      </c>
      <c r="CL519" s="2" t="s">
        <v>86</v>
      </c>
      <c r="CM519" s="2"/>
    </row>
    <row r="520" spans="1:91">
      <c r="A520" s="2" t="s">
        <v>71</v>
      </c>
      <c r="B520" s="2" t="s">
        <v>72</v>
      </c>
      <c r="C520" s="2" t="s">
        <v>73</v>
      </c>
      <c r="D520" s="2"/>
      <c r="E520" s="2" t="str">
        <f>"FES1162541643"</f>
        <v>FES1162541643</v>
      </c>
      <c r="F520" s="3">
        <v>42830</v>
      </c>
      <c r="G520" s="2">
        <v>201710</v>
      </c>
      <c r="H520" s="2" t="s">
        <v>74</v>
      </c>
      <c r="I520" s="2" t="s">
        <v>75</v>
      </c>
      <c r="J520" s="2" t="s">
        <v>76</v>
      </c>
      <c r="K520" s="2" t="s">
        <v>77</v>
      </c>
      <c r="L520" s="2" t="s">
        <v>131</v>
      </c>
      <c r="M520" s="2" t="s">
        <v>132</v>
      </c>
      <c r="N520" s="2" t="s">
        <v>388</v>
      </c>
      <c r="O520" s="2" t="s">
        <v>115</v>
      </c>
      <c r="P520" s="2" t="str">
        <f>"2170558371                    "</f>
        <v xml:space="preserve">2170558371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4.29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1</v>
      </c>
      <c r="BJ520" s="2">
        <v>0.2</v>
      </c>
      <c r="BK520" s="2">
        <v>1</v>
      </c>
      <c r="BL520" s="2">
        <v>41.73</v>
      </c>
      <c r="BM520" s="2">
        <v>5.84</v>
      </c>
      <c r="BN520" s="2">
        <v>47.57</v>
      </c>
      <c r="BO520" s="2">
        <v>47.57</v>
      </c>
      <c r="BP520" s="2"/>
      <c r="BQ520" s="2" t="s">
        <v>129</v>
      </c>
      <c r="BR520" s="2" t="s">
        <v>123</v>
      </c>
      <c r="BS520" s="3">
        <v>42831</v>
      </c>
      <c r="BT520" s="4">
        <v>0.41666666666666669</v>
      </c>
      <c r="BU520" s="2" t="s">
        <v>389</v>
      </c>
      <c r="BV520" s="2" t="s">
        <v>111</v>
      </c>
      <c r="BW520" s="2"/>
      <c r="BX520" s="2"/>
      <c r="BY520" s="2">
        <v>1200</v>
      </c>
      <c r="BZ520" s="2" t="s">
        <v>27</v>
      </c>
      <c r="CA520" s="2"/>
      <c r="CB520" s="2"/>
      <c r="CC520" s="2" t="s">
        <v>132</v>
      </c>
      <c r="CD520" s="2">
        <v>7800</v>
      </c>
      <c r="CE520" s="2" t="s">
        <v>144</v>
      </c>
      <c r="CF520" s="5">
        <v>42832</v>
      </c>
      <c r="CG520" s="2"/>
      <c r="CH520" s="2"/>
      <c r="CI520" s="2">
        <v>1</v>
      </c>
      <c r="CJ520" s="2">
        <v>1</v>
      </c>
      <c r="CK520" s="2">
        <v>21</v>
      </c>
      <c r="CL520" s="2" t="s">
        <v>86</v>
      </c>
      <c r="CM520" s="2"/>
    </row>
    <row r="521" spans="1:91">
      <c r="A521" s="2" t="s">
        <v>71</v>
      </c>
      <c r="B521" s="2" t="s">
        <v>72</v>
      </c>
      <c r="C521" s="2" t="s">
        <v>73</v>
      </c>
      <c r="D521" s="2"/>
      <c r="E521" s="2" t="str">
        <f>"FES1162543317"</f>
        <v>FES1162543317</v>
      </c>
      <c r="F521" s="3">
        <v>42837</v>
      </c>
      <c r="G521" s="2">
        <v>201710</v>
      </c>
      <c r="H521" s="2" t="s">
        <v>74</v>
      </c>
      <c r="I521" s="2" t="s">
        <v>75</v>
      </c>
      <c r="J521" s="2" t="s">
        <v>76</v>
      </c>
      <c r="K521" s="2" t="s">
        <v>77</v>
      </c>
      <c r="L521" s="2" t="s">
        <v>139</v>
      </c>
      <c r="M521" s="2" t="s">
        <v>140</v>
      </c>
      <c r="N521" s="2" t="s">
        <v>997</v>
      </c>
      <c r="O521" s="2" t="s">
        <v>115</v>
      </c>
      <c r="P521" s="2" t="str">
        <f>"2170561938                    "</f>
        <v xml:space="preserve">2170561938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4.29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1</v>
      </c>
      <c r="BI521" s="2">
        <v>1</v>
      </c>
      <c r="BJ521" s="2">
        <v>0.2</v>
      </c>
      <c r="BK521" s="2">
        <v>1</v>
      </c>
      <c r="BL521" s="2">
        <v>41.73</v>
      </c>
      <c r="BM521" s="2">
        <v>5.84</v>
      </c>
      <c r="BN521" s="2">
        <v>47.57</v>
      </c>
      <c r="BO521" s="2">
        <v>47.57</v>
      </c>
      <c r="BP521" s="2"/>
      <c r="BQ521" s="2"/>
      <c r="BR521" s="2" t="s">
        <v>84</v>
      </c>
      <c r="BS521" s="3">
        <v>42838</v>
      </c>
      <c r="BT521" s="4">
        <v>0.4236111111111111</v>
      </c>
      <c r="BU521" s="2" t="s">
        <v>998</v>
      </c>
      <c r="BV521" s="2" t="s">
        <v>111</v>
      </c>
      <c r="BW521" s="2"/>
      <c r="BX521" s="2"/>
      <c r="BY521" s="2">
        <v>1200</v>
      </c>
      <c r="BZ521" s="2" t="s">
        <v>27</v>
      </c>
      <c r="CA521" s="2"/>
      <c r="CB521" s="2"/>
      <c r="CC521" s="2" t="s">
        <v>140</v>
      </c>
      <c r="CD521" s="2">
        <v>157</v>
      </c>
      <c r="CE521" s="2" t="s">
        <v>118</v>
      </c>
      <c r="CF521" s="5">
        <v>42845</v>
      </c>
      <c r="CG521" s="2"/>
      <c r="CH521" s="2"/>
      <c r="CI521" s="2">
        <v>0</v>
      </c>
      <c r="CJ521" s="2">
        <v>0</v>
      </c>
      <c r="CK521" s="2">
        <v>21</v>
      </c>
      <c r="CL521" s="2" t="s">
        <v>86</v>
      </c>
      <c r="CM521" s="2"/>
    </row>
    <row r="522" spans="1:91">
      <c r="A522" s="2" t="s">
        <v>71</v>
      </c>
      <c r="B522" s="2" t="s">
        <v>72</v>
      </c>
      <c r="C522" s="2" t="s">
        <v>73</v>
      </c>
      <c r="D522" s="2"/>
      <c r="E522" s="2" t="str">
        <f>"FES1162541992"</f>
        <v>FES1162541992</v>
      </c>
      <c r="F522" s="3">
        <v>42831</v>
      </c>
      <c r="G522" s="2">
        <v>201710</v>
      </c>
      <c r="H522" s="2" t="s">
        <v>74</v>
      </c>
      <c r="I522" s="2" t="s">
        <v>75</v>
      </c>
      <c r="J522" s="2" t="s">
        <v>76</v>
      </c>
      <c r="K522" s="2" t="s">
        <v>77</v>
      </c>
      <c r="L522" s="2" t="s">
        <v>180</v>
      </c>
      <c r="M522" s="2" t="s">
        <v>181</v>
      </c>
      <c r="N522" s="2" t="s">
        <v>320</v>
      </c>
      <c r="O522" s="2" t="s">
        <v>115</v>
      </c>
      <c r="P522" s="2" t="str">
        <f>"2170558197                    "</f>
        <v xml:space="preserve">2170558197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4.29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1</v>
      </c>
      <c r="BJ522" s="2">
        <v>0.2</v>
      </c>
      <c r="BK522" s="2">
        <v>1</v>
      </c>
      <c r="BL522" s="2">
        <v>41.73</v>
      </c>
      <c r="BM522" s="2">
        <v>5.84</v>
      </c>
      <c r="BN522" s="2">
        <v>47.57</v>
      </c>
      <c r="BO522" s="2">
        <v>47.57</v>
      </c>
      <c r="BP522" s="2"/>
      <c r="BQ522" s="2" t="s">
        <v>129</v>
      </c>
      <c r="BR522" s="2" t="s">
        <v>123</v>
      </c>
      <c r="BS522" s="3">
        <v>42832</v>
      </c>
      <c r="BT522" s="4">
        <v>0.43611111111111112</v>
      </c>
      <c r="BU522" s="2" t="s">
        <v>266</v>
      </c>
      <c r="BV522" s="2" t="s">
        <v>111</v>
      </c>
      <c r="BW522" s="2"/>
      <c r="BX522" s="2"/>
      <c r="BY522" s="2">
        <v>1200</v>
      </c>
      <c r="BZ522" s="2" t="s">
        <v>27</v>
      </c>
      <c r="CA522" s="2"/>
      <c r="CB522" s="2"/>
      <c r="CC522" s="2" t="s">
        <v>181</v>
      </c>
      <c r="CD522" s="2">
        <v>4051</v>
      </c>
      <c r="CE522" s="2" t="s">
        <v>144</v>
      </c>
      <c r="CF522" s="5">
        <v>42835</v>
      </c>
      <c r="CG522" s="2"/>
      <c r="CH522" s="2"/>
      <c r="CI522" s="2">
        <v>1</v>
      </c>
      <c r="CJ522" s="2">
        <v>1</v>
      </c>
      <c r="CK522" s="2">
        <v>21</v>
      </c>
      <c r="CL522" s="2" t="s">
        <v>86</v>
      </c>
      <c r="CM522" s="2"/>
    </row>
    <row r="523" spans="1:91">
      <c r="A523" s="2" t="s">
        <v>71</v>
      </c>
      <c r="B523" s="2" t="s">
        <v>72</v>
      </c>
      <c r="C523" s="2" t="s">
        <v>73</v>
      </c>
      <c r="D523" s="2"/>
      <c r="E523" s="2" t="str">
        <f>"FES1162541459"</f>
        <v>FES1162541459</v>
      </c>
      <c r="F523" s="3">
        <v>42829</v>
      </c>
      <c r="G523" s="2">
        <v>201710</v>
      </c>
      <c r="H523" s="2" t="s">
        <v>74</v>
      </c>
      <c r="I523" s="2" t="s">
        <v>75</v>
      </c>
      <c r="J523" s="2" t="s">
        <v>76</v>
      </c>
      <c r="K523" s="2" t="s">
        <v>77</v>
      </c>
      <c r="L523" s="2" t="s">
        <v>99</v>
      </c>
      <c r="M523" s="2" t="s">
        <v>100</v>
      </c>
      <c r="N523" s="2" t="s">
        <v>108</v>
      </c>
      <c r="O523" s="2" t="s">
        <v>115</v>
      </c>
      <c r="P523" s="2" t="str">
        <f>"2170556464                    "</f>
        <v xml:space="preserve">2170556464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15.48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1</v>
      </c>
      <c r="BI523" s="2">
        <v>5</v>
      </c>
      <c r="BJ523" s="2">
        <v>6.8</v>
      </c>
      <c r="BK523" s="2">
        <v>7</v>
      </c>
      <c r="BL523" s="2">
        <v>146.52000000000001</v>
      </c>
      <c r="BM523" s="2">
        <v>20.51</v>
      </c>
      <c r="BN523" s="2">
        <v>167.03</v>
      </c>
      <c r="BO523" s="2">
        <v>167.03</v>
      </c>
      <c r="BP523" s="2"/>
      <c r="BQ523" s="2" t="s">
        <v>109</v>
      </c>
      <c r="BR523" s="2" t="s">
        <v>123</v>
      </c>
      <c r="BS523" s="3">
        <v>42830</v>
      </c>
      <c r="BT523" s="4">
        <v>0.39583333333333331</v>
      </c>
      <c r="BU523" s="2" t="s">
        <v>110</v>
      </c>
      <c r="BV523" s="2" t="s">
        <v>111</v>
      </c>
      <c r="BW523" s="2"/>
      <c r="BX523" s="2"/>
      <c r="BY523" s="2">
        <v>34020.480000000003</v>
      </c>
      <c r="BZ523" s="2" t="s">
        <v>27</v>
      </c>
      <c r="CA523" s="2" t="s">
        <v>106</v>
      </c>
      <c r="CB523" s="2"/>
      <c r="CC523" s="2" t="s">
        <v>100</v>
      </c>
      <c r="CD523" s="2">
        <v>6001</v>
      </c>
      <c r="CE523" s="2" t="s">
        <v>172</v>
      </c>
      <c r="CF523" s="5">
        <v>42830</v>
      </c>
      <c r="CG523" s="2"/>
      <c r="CH523" s="2"/>
      <c r="CI523" s="2">
        <v>1</v>
      </c>
      <c r="CJ523" s="2">
        <v>1</v>
      </c>
      <c r="CK523" s="2">
        <v>21</v>
      </c>
      <c r="CL523" s="2" t="s">
        <v>86</v>
      </c>
      <c r="CM523" s="2"/>
    </row>
    <row r="524" spans="1:91">
      <c r="A524" s="2" t="s">
        <v>71</v>
      </c>
      <c r="B524" s="2" t="s">
        <v>72</v>
      </c>
      <c r="C524" s="2" t="s">
        <v>73</v>
      </c>
      <c r="D524" s="2"/>
      <c r="E524" s="2" t="str">
        <f>"FES1162542843"</f>
        <v>FES1162542843</v>
      </c>
      <c r="F524" s="3">
        <v>42836</v>
      </c>
      <c r="G524" s="2">
        <v>201710</v>
      </c>
      <c r="H524" s="2" t="s">
        <v>74</v>
      </c>
      <c r="I524" s="2" t="s">
        <v>75</v>
      </c>
      <c r="J524" s="2" t="s">
        <v>76</v>
      </c>
      <c r="K524" s="2" t="s">
        <v>77</v>
      </c>
      <c r="L524" s="2" t="s">
        <v>180</v>
      </c>
      <c r="M524" s="2" t="s">
        <v>181</v>
      </c>
      <c r="N524" s="2" t="s">
        <v>182</v>
      </c>
      <c r="O524" s="2" t="s">
        <v>115</v>
      </c>
      <c r="P524" s="2" t="str">
        <f>"2170561710                    "</f>
        <v xml:space="preserve">2170561710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4.29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1</v>
      </c>
      <c r="BJ524" s="2">
        <v>1.5</v>
      </c>
      <c r="BK524" s="2">
        <v>1.5</v>
      </c>
      <c r="BL524" s="2">
        <v>41.73</v>
      </c>
      <c r="BM524" s="2">
        <v>5.84</v>
      </c>
      <c r="BN524" s="2">
        <v>47.57</v>
      </c>
      <c r="BO524" s="2">
        <v>47.57</v>
      </c>
      <c r="BP524" s="2"/>
      <c r="BQ524" s="2" t="s">
        <v>183</v>
      </c>
      <c r="BR524" s="2" t="s">
        <v>123</v>
      </c>
      <c r="BS524" s="3">
        <v>42837</v>
      </c>
      <c r="BT524" s="4">
        <v>0.4375</v>
      </c>
      <c r="BU524" s="2" t="s">
        <v>1093</v>
      </c>
      <c r="BV524" s="2" t="s">
        <v>111</v>
      </c>
      <c r="BW524" s="2"/>
      <c r="BX524" s="2"/>
      <c r="BY524" s="2">
        <v>7582.44</v>
      </c>
      <c r="BZ524" s="2" t="s">
        <v>27</v>
      </c>
      <c r="CA524" s="2"/>
      <c r="CB524" s="2"/>
      <c r="CC524" s="2" t="s">
        <v>181</v>
      </c>
      <c r="CD524" s="2">
        <v>4001</v>
      </c>
      <c r="CE524" s="2" t="s">
        <v>144</v>
      </c>
      <c r="CF524" s="5">
        <v>42843</v>
      </c>
      <c r="CG524" s="2"/>
      <c r="CH524" s="2"/>
      <c r="CI524" s="2">
        <v>1</v>
      </c>
      <c r="CJ524" s="2">
        <v>1</v>
      </c>
      <c r="CK524" s="2">
        <v>21</v>
      </c>
      <c r="CL524" s="2" t="s">
        <v>86</v>
      </c>
      <c r="CM524" s="2"/>
    </row>
    <row r="525" spans="1:91">
      <c r="A525" s="2" t="s">
        <v>71</v>
      </c>
      <c r="B525" s="2" t="s">
        <v>72</v>
      </c>
      <c r="C525" s="2" t="s">
        <v>73</v>
      </c>
      <c r="D525" s="2"/>
      <c r="E525" s="2" t="str">
        <f>"FES1162541727"</f>
        <v>FES1162541727</v>
      </c>
      <c r="F525" s="3">
        <v>42830</v>
      </c>
      <c r="G525" s="2">
        <v>201710</v>
      </c>
      <c r="H525" s="2" t="s">
        <v>74</v>
      </c>
      <c r="I525" s="2" t="s">
        <v>75</v>
      </c>
      <c r="J525" s="2" t="s">
        <v>76</v>
      </c>
      <c r="K525" s="2" t="s">
        <v>77</v>
      </c>
      <c r="L525" s="2" t="s">
        <v>112</v>
      </c>
      <c r="M525" s="2" t="s">
        <v>113</v>
      </c>
      <c r="N525" s="2" t="s">
        <v>1094</v>
      </c>
      <c r="O525" s="2" t="s">
        <v>115</v>
      </c>
      <c r="P525" s="2" t="str">
        <f>"2170560728                    "</f>
        <v xml:space="preserve">2170560728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4.29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1</v>
      </c>
      <c r="BJ525" s="2">
        <v>0.2</v>
      </c>
      <c r="BK525" s="2">
        <v>1</v>
      </c>
      <c r="BL525" s="2">
        <v>41.73</v>
      </c>
      <c r="BM525" s="2">
        <v>5.84</v>
      </c>
      <c r="BN525" s="2">
        <v>47.57</v>
      </c>
      <c r="BO525" s="2">
        <v>47.57</v>
      </c>
      <c r="BP525" s="2"/>
      <c r="BQ525" s="2" t="s">
        <v>1095</v>
      </c>
      <c r="BR525" s="2" t="s">
        <v>123</v>
      </c>
      <c r="BS525" s="3">
        <v>42831</v>
      </c>
      <c r="BT525" s="4">
        <v>0.38541666666666669</v>
      </c>
      <c r="BU525" s="2" t="s">
        <v>1096</v>
      </c>
      <c r="BV525" s="2" t="s">
        <v>111</v>
      </c>
      <c r="BW525" s="2"/>
      <c r="BX525" s="2"/>
      <c r="BY525" s="2">
        <v>1200</v>
      </c>
      <c r="BZ525" s="2" t="s">
        <v>27</v>
      </c>
      <c r="CA525" s="2"/>
      <c r="CB525" s="2"/>
      <c r="CC525" s="2" t="s">
        <v>113</v>
      </c>
      <c r="CD525" s="2">
        <v>3201</v>
      </c>
      <c r="CE525" s="2" t="s">
        <v>118</v>
      </c>
      <c r="CF525" s="5">
        <v>42833</v>
      </c>
      <c r="CG525" s="2"/>
      <c r="CH525" s="2"/>
      <c r="CI525" s="2">
        <v>1</v>
      </c>
      <c r="CJ525" s="2">
        <v>1</v>
      </c>
      <c r="CK525" s="2">
        <v>21</v>
      </c>
      <c r="CL525" s="2" t="s">
        <v>86</v>
      </c>
      <c r="CM525" s="2"/>
    </row>
    <row r="526" spans="1:91">
      <c r="A526" s="2" t="s">
        <v>71</v>
      </c>
      <c r="B526" s="2" t="s">
        <v>72</v>
      </c>
      <c r="C526" s="2" t="s">
        <v>73</v>
      </c>
      <c r="D526" s="2"/>
      <c r="E526" s="2" t="str">
        <f>"FES1162541724"</f>
        <v>FES1162541724</v>
      </c>
      <c r="F526" s="3">
        <v>42830</v>
      </c>
      <c r="G526" s="2">
        <v>201710</v>
      </c>
      <c r="H526" s="2" t="s">
        <v>74</v>
      </c>
      <c r="I526" s="2" t="s">
        <v>75</v>
      </c>
      <c r="J526" s="2" t="s">
        <v>76</v>
      </c>
      <c r="K526" s="2" t="s">
        <v>77</v>
      </c>
      <c r="L526" s="2" t="s">
        <v>131</v>
      </c>
      <c r="M526" s="2" t="s">
        <v>132</v>
      </c>
      <c r="N526" s="2" t="s">
        <v>1097</v>
      </c>
      <c r="O526" s="2" t="s">
        <v>115</v>
      </c>
      <c r="P526" s="2" t="str">
        <f>"2170560724                    "</f>
        <v xml:space="preserve">2170560724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4.29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1</v>
      </c>
      <c r="BJ526" s="2">
        <v>0.2</v>
      </c>
      <c r="BK526" s="2">
        <v>1</v>
      </c>
      <c r="BL526" s="2">
        <v>41.73</v>
      </c>
      <c r="BM526" s="2">
        <v>5.84</v>
      </c>
      <c r="BN526" s="2">
        <v>47.57</v>
      </c>
      <c r="BO526" s="2">
        <v>47.57</v>
      </c>
      <c r="BP526" s="2"/>
      <c r="BQ526" s="2" t="s">
        <v>1098</v>
      </c>
      <c r="BR526" s="2" t="s">
        <v>123</v>
      </c>
      <c r="BS526" s="3">
        <v>42831</v>
      </c>
      <c r="BT526" s="4">
        <v>0.41666666666666669</v>
      </c>
      <c r="BU526" s="2" t="s">
        <v>1099</v>
      </c>
      <c r="BV526" s="2" t="s">
        <v>111</v>
      </c>
      <c r="BW526" s="2"/>
      <c r="BX526" s="2"/>
      <c r="BY526" s="2">
        <v>1200</v>
      </c>
      <c r="BZ526" s="2" t="s">
        <v>27</v>
      </c>
      <c r="CA526" s="2"/>
      <c r="CB526" s="2"/>
      <c r="CC526" s="2" t="s">
        <v>132</v>
      </c>
      <c r="CD526" s="2">
        <v>7925</v>
      </c>
      <c r="CE526" s="2" t="s">
        <v>144</v>
      </c>
      <c r="CF526" s="5">
        <v>42832</v>
      </c>
      <c r="CG526" s="2"/>
      <c r="CH526" s="2"/>
      <c r="CI526" s="2">
        <v>1</v>
      </c>
      <c r="CJ526" s="2">
        <v>1</v>
      </c>
      <c r="CK526" s="2">
        <v>21</v>
      </c>
      <c r="CL526" s="2" t="s">
        <v>86</v>
      </c>
      <c r="CM526" s="2"/>
    </row>
    <row r="527" spans="1:91">
      <c r="A527" s="2" t="s">
        <v>71</v>
      </c>
      <c r="B527" s="2" t="s">
        <v>72</v>
      </c>
      <c r="C527" s="2" t="s">
        <v>73</v>
      </c>
      <c r="D527" s="2"/>
      <c r="E527" s="2" t="str">
        <f>"FES1162543287"</f>
        <v>FES1162543287</v>
      </c>
      <c r="F527" s="3">
        <v>42837</v>
      </c>
      <c r="G527" s="2">
        <v>201710</v>
      </c>
      <c r="H527" s="2" t="s">
        <v>74</v>
      </c>
      <c r="I527" s="2" t="s">
        <v>75</v>
      </c>
      <c r="J527" s="2" t="s">
        <v>76</v>
      </c>
      <c r="K527" s="2" t="s">
        <v>77</v>
      </c>
      <c r="L527" s="2" t="s">
        <v>180</v>
      </c>
      <c r="M527" s="2" t="s">
        <v>181</v>
      </c>
      <c r="N527" s="2" t="s">
        <v>839</v>
      </c>
      <c r="O527" s="2" t="s">
        <v>115</v>
      </c>
      <c r="P527" s="2" t="str">
        <f>"2170559850                    "</f>
        <v xml:space="preserve">2170559850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4.29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1</v>
      </c>
      <c r="BJ527" s="2">
        <v>0.2</v>
      </c>
      <c r="BK527" s="2">
        <v>1</v>
      </c>
      <c r="BL527" s="2">
        <v>41.73</v>
      </c>
      <c r="BM527" s="2">
        <v>5.84</v>
      </c>
      <c r="BN527" s="2">
        <v>47.57</v>
      </c>
      <c r="BO527" s="2">
        <v>47.57</v>
      </c>
      <c r="BP527" s="2"/>
      <c r="BQ527" s="2" t="s">
        <v>840</v>
      </c>
      <c r="BR527" s="2" t="s">
        <v>84</v>
      </c>
      <c r="BS527" s="3">
        <v>42838</v>
      </c>
      <c r="BT527" s="4">
        <v>0.4069444444444445</v>
      </c>
      <c r="BU527" s="2" t="s">
        <v>1100</v>
      </c>
      <c r="BV527" s="2" t="s">
        <v>111</v>
      </c>
      <c r="BW527" s="2"/>
      <c r="BX527" s="2"/>
      <c r="BY527" s="2">
        <v>1200</v>
      </c>
      <c r="BZ527" s="2" t="s">
        <v>27</v>
      </c>
      <c r="CA527" s="2" t="s">
        <v>159</v>
      </c>
      <c r="CB527" s="2"/>
      <c r="CC527" s="2" t="s">
        <v>181</v>
      </c>
      <c r="CD527" s="2">
        <v>4052</v>
      </c>
      <c r="CE527" s="2" t="s">
        <v>118</v>
      </c>
      <c r="CF527" s="5">
        <v>42843</v>
      </c>
      <c r="CG527" s="2"/>
      <c r="CH527" s="2"/>
      <c r="CI527" s="2">
        <v>1</v>
      </c>
      <c r="CJ527" s="2">
        <v>1</v>
      </c>
      <c r="CK527" s="2">
        <v>21</v>
      </c>
      <c r="CL527" s="2" t="s">
        <v>86</v>
      </c>
      <c r="CM527" s="2"/>
    </row>
    <row r="528" spans="1:91">
      <c r="A528" s="2" t="s">
        <v>71</v>
      </c>
      <c r="B528" s="2" t="s">
        <v>72</v>
      </c>
      <c r="C528" s="2" t="s">
        <v>73</v>
      </c>
      <c r="D528" s="2"/>
      <c r="E528" s="2" t="str">
        <f>"FES1162541905"</f>
        <v>FES1162541905</v>
      </c>
      <c r="F528" s="3">
        <v>42831</v>
      </c>
      <c r="G528" s="2">
        <v>201710</v>
      </c>
      <c r="H528" s="2" t="s">
        <v>74</v>
      </c>
      <c r="I528" s="2" t="s">
        <v>75</v>
      </c>
      <c r="J528" s="2" t="s">
        <v>76</v>
      </c>
      <c r="K528" s="2" t="s">
        <v>77</v>
      </c>
      <c r="L528" s="2" t="s">
        <v>1073</v>
      </c>
      <c r="M528" s="2" t="s">
        <v>1074</v>
      </c>
      <c r="N528" s="2" t="s">
        <v>1101</v>
      </c>
      <c r="O528" s="2" t="s">
        <v>115</v>
      </c>
      <c r="P528" s="2" t="str">
        <f>"2170558759                    "</f>
        <v xml:space="preserve">2170558759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4.29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1</v>
      </c>
      <c r="BJ528" s="2">
        <v>0.2</v>
      </c>
      <c r="BK528" s="2">
        <v>1</v>
      </c>
      <c r="BL528" s="2">
        <v>41.73</v>
      </c>
      <c r="BM528" s="2">
        <v>5.84</v>
      </c>
      <c r="BN528" s="2">
        <v>47.57</v>
      </c>
      <c r="BO528" s="2">
        <v>47.57</v>
      </c>
      <c r="BP528" s="2"/>
      <c r="BQ528" s="2" t="s">
        <v>1102</v>
      </c>
      <c r="BR528" s="2" t="s">
        <v>123</v>
      </c>
      <c r="BS528" s="3">
        <v>42844</v>
      </c>
      <c r="BT528" s="4">
        <v>0.41666666666666669</v>
      </c>
      <c r="BU528" s="2" t="s">
        <v>198</v>
      </c>
      <c r="BV528" s="2" t="s">
        <v>86</v>
      </c>
      <c r="BW528" s="2" t="s">
        <v>157</v>
      </c>
      <c r="BX528" s="2" t="s">
        <v>1103</v>
      </c>
      <c r="BY528" s="2">
        <v>1200</v>
      </c>
      <c r="BZ528" s="2" t="s">
        <v>27</v>
      </c>
      <c r="CA528" s="2"/>
      <c r="CB528" s="2"/>
      <c r="CC528" s="2" t="s">
        <v>1074</v>
      </c>
      <c r="CD528" s="2">
        <v>1947</v>
      </c>
      <c r="CE528" s="2" t="s">
        <v>118</v>
      </c>
      <c r="CF528" s="5">
        <v>42845</v>
      </c>
      <c r="CG528" s="2"/>
      <c r="CH528" s="2"/>
      <c r="CI528" s="2">
        <v>1</v>
      </c>
      <c r="CJ528" s="2">
        <v>9</v>
      </c>
      <c r="CK528" s="2">
        <v>21</v>
      </c>
      <c r="CL528" s="2" t="s">
        <v>86</v>
      </c>
      <c r="CM528" s="2"/>
    </row>
    <row r="529" spans="1:91">
      <c r="A529" s="2" t="s">
        <v>71</v>
      </c>
      <c r="B529" s="2" t="s">
        <v>72</v>
      </c>
      <c r="C529" s="2" t="s">
        <v>73</v>
      </c>
      <c r="D529" s="2"/>
      <c r="E529" s="2" t="str">
        <f>"FES1162542767"</f>
        <v>FES1162542767</v>
      </c>
      <c r="F529" s="3">
        <v>42836</v>
      </c>
      <c r="G529" s="2">
        <v>201710</v>
      </c>
      <c r="H529" s="2" t="s">
        <v>74</v>
      </c>
      <c r="I529" s="2" t="s">
        <v>75</v>
      </c>
      <c r="J529" s="2" t="s">
        <v>76</v>
      </c>
      <c r="K529" s="2" t="s">
        <v>77</v>
      </c>
      <c r="L529" s="2" t="s">
        <v>99</v>
      </c>
      <c r="M529" s="2" t="s">
        <v>100</v>
      </c>
      <c r="N529" s="2" t="s">
        <v>583</v>
      </c>
      <c r="O529" s="2" t="s">
        <v>115</v>
      </c>
      <c r="P529" s="2" t="str">
        <f>"2170561663                    "</f>
        <v xml:space="preserve">2170561663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4.29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1</v>
      </c>
      <c r="BJ529" s="2">
        <v>0.2</v>
      </c>
      <c r="BK529" s="2">
        <v>1</v>
      </c>
      <c r="BL529" s="2">
        <v>41.73</v>
      </c>
      <c r="BM529" s="2">
        <v>5.84</v>
      </c>
      <c r="BN529" s="2">
        <v>47.57</v>
      </c>
      <c r="BO529" s="2">
        <v>47.57</v>
      </c>
      <c r="BP529" s="2"/>
      <c r="BQ529" s="2" t="s">
        <v>584</v>
      </c>
      <c r="BR529" s="2" t="s">
        <v>123</v>
      </c>
      <c r="BS529" s="3">
        <v>42837</v>
      </c>
      <c r="BT529" s="4">
        <v>0.32569444444444445</v>
      </c>
      <c r="BU529" s="2" t="s">
        <v>585</v>
      </c>
      <c r="BV529" s="2" t="s">
        <v>111</v>
      </c>
      <c r="BW529" s="2"/>
      <c r="BX529" s="2"/>
      <c r="BY529" s="2">
        <v>1200</v>
      </c>
      <c r="BZ529" s="2" t="s">
        <v>27</v>
      </c>
      <c r="CA529" s="2" t="s">
        <v>154</v>
      </c>
      <c r="CB529" s="2"/>
      <c r="CC529" s="2" t="s">
        <v>100</v>
      </c>
      <c r="CD529" s="2">
        <v>6001</v>
      </c>
      <c r="CE529" s="2" t="s">
        <v>144</v>
      </c>
      <c r="CF529" s="5">
        <v>42837</v>
      </c>
      <c r="CG529" s="2"/>
      <c r="CH529" s="2"/>
      <c r="CI529" s="2">
        <v>1</v>
      </c>
      <c r="CJ529" s="2">
        <v>1</v>
      </c>
      <c r="CK529" s="2">
        <v>21</v>
      </c>
      <c r="CL529" s="2" t="s">
        <v>86</v>
      </c>
      <c r="CM529" s="2"/>
    </row>
    <row r="530" spans="1:91">
      <c r="A530" s="2" t="s">
        <v>71</v>
      </c>
      <c r="B530" s="2" t="s">
        <v>72</v>
      </c>
      <c r="C530" s="2" t="s">
        <v>73</v>
      </c>
      <c r="D530" s="2"/>
      <c r="E530" s="2" t="str">
        <f>"FES1162541763"</f>
        <v>FES1162541763</v>
      </c>
      <c r="F530" s="3">
        <v>42830</v>
      </c>
      <c r="G530" s="2">
        <v>201710</v>
      </c>
      <c r="H530" s="2" t="s">
        <v>74</v>
      </c>
      <c r="I530" s="2" t="s">
        <v>75</v>
      </c>
      <c r="J530" s="2" t="s">
        <v>76</v>
      </c>
      <c r="K530" s="2" t="s">
        <v>77</v>
      </c>
      <c r="L530" s="2" t="s">
        <v>294</v>
      </c>
      <c r="M530" s="2" t="s">
        <v>295</v>
      </c>
      <c r="N530" s="2" t="s">
        <v>416</v>
      </c>
      <c r="O530" s="2" t="s">
        <v>115</v>
      </c>
      <c r="P530" s="2" t="str">
        <f>"2170560766                    "</f>
        <v xml:space="preserve">2170560766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4.29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1</v>
      </c>
      <c r="BJ530" s="2">
        <v>0.2</v>
      </c>
      <c r="BK530" s="2">
        <v>1</v>
      </c>
      <c r="BL530" s="2">
        <v>41.73</v>
      </c>
      <c r="BM530" s="2">
        <v>5.84</v>
      </c>
      <c r="BN530" s="2">
        <v>47.57</v>
      </c>
      <c r="BO530" s="2">
        <v>47.57</v>
      </c>
      <c r="BP530" s="2"/>
      <c r="BQ530" s="2" t="s">
        <v>417</v>
      </c>
      <c r="BR530" s="2" t="s">
        <v>123</v>
      </c>
      <c r="BS530" s="3">
        <v>42831</v>
      </c>
      <c r="BT530" s="4">
        <v>0.4375</v>
      </c>
      <c r="BU530" s="2" t="s">
        <v>608</v>
      </c>
      <c r="BV530" s="2" t="s">
        <v>111</v>
      </c>
      <c r="BW530" s="2"/>
      <c r="BX530" s="2"/>
      <c r="BY530" s="2">
        <v>1200</v>
      </c>
      <c r="BZ530" s="2" t="s">
        <v>27</v>
      </c>
      <c r="CA530" s="2" t="s">
        <v>159</v>
      </c>
      <c r="CB530" s="2"/>
      <c r="CC530" s="2" t="s">
        <v>295</v>
      </c>
      <c r="CD530" s="2">
        <v>3610</v>
      </c>
      <c r="CE530" s="2" t="s">
        <v>118</v>
      </c>
      <c r="CF530" s="5">
        <v>42832</v>
      </c>
      <c r="CG530" s="2"/>
      <c r="CH530" s="2"/>
      <c r="CI530" s="2">
        <v>1</v>
      </c>
      <c r="CJ530" s="2">
        <v>1</v>
      </c>
      <c r="CK530" s="2">
        <v>21</v>
      </c>
      <c r="CL530" s="2" t="s">
        <v>86</v>
      </c>
      <c r="CM530" s="2"/>
    </row>
    <row r="531" spans="1:91">
      <c r="A531" s="2" t="s">
        <v>71</v>
      </c>
      <c r="B531" s="2" t="s">
        <v>72</v>
      </c>
      <c r="C531" s="2" t="s">
        <v>73</v>
      </c>
      <c r="D531" s="2"/>
      <c r="E531" s="2" t="str">
        <f>"FES1162541621"</f>
        <v>FES1162541621</v>
      </c>
      <c r="F531" s="3">
        <v>42830</v>
      </c>
      <c r="G531" s="2">
        <v>201710</v>
      </c>
      <c r="H531" s="2" t="s">
        <v>74</v>
      </c>
      <c r="I531" s="2" t="s">
        <v>75</v>
      </c>
      <c r="J531" s="2" t="s">
        <v>76</v>
      </c>
      <c r="K531" s="2" t="s">
        <v>77</v>
      </c>
      <c r="L531" s="2" t="s">
        <v>131</v>
      </c>
      <c r="M531" s="2" t="s">
        <v>132</v>
      </c>
      <c r="N531" s="2" t="s">
        <v>1069</v>
      </c>
      <c r="O531" s="2" t="s">
        <v>115</v>
      </c>
      <c r="P531" s="2" t="str">
        <f>"2170557961                    "</f>
        <v xml:space="preserve">2170557961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4.29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</v>
      </c>
      <c r="BJ531" s="2">
        <v>0.2</v>
      </c>
      <c r="BK531" s="2">
        <v>1</v>
      </c>
      <c r="BL531" s="2">
        <v>41.73</v>
      </c>
      <c r="BM531" s="2">
        <v>5.84</v>
      </c>
      <c r="BN531" s="2">
        <v>47.57</v>
      </c>
      <c r="BO531" s="2">
        <v>47.57</v>
      </c>
      <c r="BP531" s="2"/>
      <c r="BQ531" s="2" t="s">
        <v>1070</v>
      </c>
      <c r="BR531" s="2" t="s">
        <v>123</v>
      </c>
      <c r="BS531" s="3">
        <v>42831</v>
      </c>
      <c r="BT531" s="4">
        <v>0.4236111111111111</v>
      </c>
      <c r="BU531" s="2" t="s">
        <v>896</v>
      </c>
      <c r="BV531" s="2" t="s">
        <v>111</v>
      </c>
      <c r="BW531" s="2"/>
      <c r="BX531" s="2"/>
      <c r="BY531" s="2">
        <v>1200</v>
      </c>
      <c r="BZ531" s="2" t="s">
        <v>27</v>
      </c>
      <c r="CA531" s="2"/>
      <c r="CB531" s="2"/>
      <c r="CC531" s="2" t="s">
        <v>132</v>
      </c>
      <c r="CD531" s="2">
        <v>7800</v>
      </c>
      <c r="CE531" s="2" t="s">
        <v>144</v>
      </c>
      <c r="CF531" s="5">
        <v>42832</v>
      </c>
      <c r="CG531" s="2"/>
      <c r="CH531" s="2"/>
      <c r="CI531" s="2">
        <v>1</v>
      </c>
      <c r="CJ531" s="2">
        <v>1</v>
      </c>
      <c r="CK531" s="2">
        <v>21</v>
      </c>
      <c r="CL531" s="2" t="s">
        <v>86</v>
      </c>
      <c r="CM531" s="2"/>
    </row>
    <row r="532" spans="1:91">
      <c r="A532" s="2" t="s">
        <v>71</v>
      </c>
      <c r="B532" s="2" t="s">
        <v>72</v>
      </c>
      <c r="C532" s="2" t="s">
        <v>73</v>
      </c>
      <c r="D532" s="2"/>
      <c r="E532" s="2" t="str">
        <f>"FES1162543168"</f>
        <v>FES1162543168</v>
      </c>
      <c r="F532" s="3">
        <v>42837</v>
      </c>
      <c r="G532" s="2">
        <v>201710</v>
      </c>
      <c r="H532" s="2" t="s">
        <v>74</v>
      </c>
      <c r="I532" s="2" t="s">
        <v>75</v>
      </c>
      <c r="J532" s="2" t="s">
        <v>76</v>
      </c>
      <c r="K532" s="2" t="s">
        <v>77</v>
      </c>
      <c r="L532" s="2" t="s">
        <v>358</v>
      </c>
      <c r="M532" s="2" t="s">
        <v>359</v>
      </c>
      <c r="N532" s="2" t="s">
        <v>360</v>
      </c>
      <c r="O532" s="2" t="s">
        <v>115</v>
      </c>
      <c r="P532" s="2" t="str">
        <f>"2170557883                    "</f>
        <v xml:space="preserve">2170557883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6.43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2.8</v>
      </c>
      <c r="BJ532" s="2">
        <v>1.6</v>
      </c>
      <c r="BK532" s="2">
        <v>3</v>
      </c>
      <c r="BL532" s="2">
        <v>62.59</v>
      </c>
      <c r="BM532" s="2">
        <v>8.76</v>
      </c>
      <c r="BN532" s="2">
        <v>71.349999999999994</v>
      </c>
      <c r="BO532" s="2">
        <v>71.349999999999994</v>
      </c>
      <c r="BP532" s="2"/>
      <c r="BQ532" s="2" t="s">
        <v>361</v>
      </c>
      <c r="BR532" s="2" t="s">
        <v>84</v>
      </c>
      <c r="BS532" s="3">
        <v>42838</v>
      </c>
      <c r="BT532" s="4">
        <v>0.33333333333333331</v>
      </c>
      <c r="BU532" s="2" t="s">
        <v>362</v>
      </c>
      <c r="BV532" s="2" t="s">
        <v>111</v>
      </c>
      <c r="BW532" s="2"/>
      <c r="BX532" s="2"/>
      <c r="BY532" s="2">
        <v>8226.0400000000009</v>
      </c>
      <c r="BZ532" s="2" t="s">
        <v>27</v>
      </c>
      <c r="CA532" s="2" t="s">
        <v>159</v>
      </c>
      <c r="CB532" s="2"/>
      <c r="CC532" s="2" t="s">
        <v>359</v>
      </c>
      <c r="CD532" s="2">
        <v>6229</v>
      </c>
      <c r="CE532" s="2" t="s">
        <v>89</v>
      </c>
      <c r="CF532" s="5">
        <v>42843</v>
      </c>
      <c r="CG532" s="2"/>
      <c r="CH532" s="2"/>
      <c r="CI532" s="2">
        <v>1</v>
      </c>
      <c r="CJ532" s="2">
        <v>1</v>
      </c>
      <c r="CK532" s="2">
        <v>21</v>
      </c>
      <c r="CL532" s="2" t="s">
        <v>86</v>
      </c>
      <c r="CM532" s="2"/>
    </row>
    <row r="533" spans="1:91">
      <c r="A533" s="2" t="s">
        <v>71</v>
      </c>
      <c r="B533" s="2" t="s">
        <v>72</v>
      </c>
      <c r="C533" s="2" t="s">
        <v>73</v>
      </c>
      <c r="D533" s="2"/>
      <c r="E533" s="2" t="str">
        <f>"FES1162541997"</f>
        <v>FES1162541997</v>
      </c>
      <c r="F533" s="3">
        <v>42831</v>
      </c>
      <c r="G533" s="2">
        <v>201710</v>
      </c>
      <c r="H533" s="2" t="s">
        <v>74</v>
      </c>
      <c r="I533" s="2" t="s">
        <v>75</v>
      </c>
      <c r="J533" s="2" t="s">
        <v>76</v>
      </c>
      <c r="K533" s="2" t="s">
        <v>77</v>
      </c>
      <c r="L533" s="2" t="s">
        <v>180</v>
      </c>
      <c r="M533" s="2" t="s">
        <v>181</v>
      </c>
      <c r="N533" s="2" t="s">
        <v>320</v>
      </c>
      <c r="O533" s="2" t="s">
        <v>115</v>
      </c>
      <c r="P533" s="2" t="str">
        <f>"2170558205                    "</f>
        <v xml:space="preserve">2170558205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4.29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1</v>
      </c>
      <c r="BJ533" s="2">
        <v>0.2</v>
      </c>
      <c r="BK533" s="2">
        <v>1</v>
      </c>
      <c r="BL533" s="2">
        <v>41.73</v>
      </c>
      <c r="BM533" s="2">
        <v>5.84</v>
      </c>
      <c r="BN533" s="2">
        <v>47.57</v>
      </c>
      <c r="BO533" s="2">
        <v>47.57</v>
      </c>
      <c r="BP533" s="2"/>
      <c r="BQ533" s="2" t="s">
        <v>129</v>
      </c>
      <c r="BR533" s="2" t="s">
        <v>123</v>
      </c>
      <c r="BS533" s="3">
        <v>42832</v>
      </c>
      <c r="BT533" s="4">
        <v>0.43611111111111112</v>
      </c>
      <c r="BU533" s="2" t="s">
        <v>321</v>
      </c>
      <c r="BV533" s="2" t="s">
        <v>111</v>
      </c>
      <c r="BW533" s="2"/>
      <c r="BX533" s="2"/>
      <c r="BY533" s="2">
        <v>1200</v>
      </c>
      <c r="BZ533" s="2" t="s">
        <v>27</v>
      </c>
      <c r="CA533" s="2"/>
      <c r="CB533" s="2"/>
      <c r="CC533" s="2" t="s">
        <v>181</v>
      </c>
      <c r="CD533" s="2">
        <v>4051</v>
      </c>
      <c r="CE533" s="2" t="s">
        <v>144</v>
      </c>
      <c r="CF533" s="5">
        <v>42835</v>
      </c>
      <c r="CG533" s="2"/>
      <c r="CH533" s="2"/>
      <c r="CI533" s="2">
        <v>1</v>
      </c>
      <c r="CJ533" s="2">
        <v>1</v>
      </c>
      <c r="CK533" s="2">
        <v>21</v>
      </c>
      <c r="CL533" s="2" t="s">
        <v>86</v>
      </c>
      <c r="CM533" s="2"/>
    </row>
    <row r="534" spans="1:91">
      <c r="A534" s="2" t="s">
        <v>71</v>
      </c>
      <c r="B534" s="2" t="s">
        <v>72</v>
      </c>
      <c r="C534" s="2" t="s">
        <v>73</v>
      </c>
      <c r="D534" s="2"/>
      <c r="E534" s="2" t="str">
        <f>"FES1162541140"</f>
        <v>FES1162541140</v>
      </c>
      <c r="F534" s="3">
        <v>42829</v>
      </c>
      <c r="G534" s="2">
        <v>201710</v>
      </c>
      <c r="H534" s="2" t="s">
        <v>74</v>
      </c>
      <c r="I534" s="2" t="s">
        <v>75</v>
      </c>
      <c r="J534" s="2" t="s">
        <v>76</v>
      </c>
      <c r="K534" s="2" t="s">
        <v>77</v>
      </c>
      <c r="L534" s="2" t="s">
        <v>180</v>
      </c>
      <c r="M534" s="2" t="s">
        <v>181</v>
      </c>
      <c r="N534" s="2" t="s">
        <v>855</v>
      </c>
      <c r="O534" s="2" t="s">
        <v>115</v>
      </c>
      <c r="P534" s="2" t="str">
        <f>"2170560199                    "</f>
        <v xml:space="preserve">2170560199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27.64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3.6</v>
      </c>
      <c r="BJ534" s="2">
        <v>12.3</v>
      </c>
      <c r="BK534" s="2">
        <v>12.5</v>
      </c>
      <c r="BL534" s="2">
        <v>261.64</v>
      </c>
      <c r="BM534" s="2">
        <v>36.630000000000003</v>
      </c>
      <c r="BN534" s="2">
        <v>298.27</v>
      </c>
      <c r="BO534" s="2">
        <v>298.27</v>
      </c>
      <c r="BP534" s="2"/>
      <c r="BQ534" s="2" t="s">
        <v>122</v>
      </c>
      <c r="BR534" s="2" t="s">
        <v>123</v>
      </c>
      <c r="BS534" s="3">
        <v>42830</v>
      </c>
      <c r="BT534" s="4">
        <v>0.3</v>
      </c>
      <c r="BU534" s="2" t="s">
        <v>1104</v>
      </c>
      <c r="BV534" s="2" t="s">
        <v>111</v>
      </c>
      <c r="BW534" s="2"/>
      <c r="BX534" s="2"/>
      <c r="BY534" s="2">
        <v>61305.3</v>
      </c>
      <c r="BZ534" s="2" t="s">
        <v>27</v>
      </c>
      <c r="CA534" s="2"/>
      <c r="CB534" s="2"/>
      <c r="CC534" s="2" t="s">
        <v>181</v>
      </c>
      <c r="CD534" s="2">
        <v>4093</v>
      </c>
      <c r="CE534" s="2" t="s">
        <v>89</v>
      </c>
      <c r="CF534" s="5">
        <v>42831</v>
      </c>
      <c r="CG534" s="2"/>
      <c r="CH534" s="2"/>
      <c r="CI534" s="2">
        <v>1</v>
      </c>
      <c r="CJ534" s="2">
        <v>1</v>
      </c>
      <c r="CK534" s="2">
        <v>21</v>
      </c>
      <c r="CL534" s="2" t="s">
        <v>86</v>
      </c>
      <c r="CM534" s="2"/>
    </row>
    <row r="535" spans="1:91">
      <c r="A535" s="2" t="s">
        <v>71</v>
      </c>
      <c r="B535" s="2" t="s">
        <v>72</v>
      </c>
      <c r="C535" s="2" t="s">
        <v>73</v>
      </c>
      <c r="D535" s="2"/>
      <c r="E535" s="2" t="str">
        <f>"FES1162542769"</f>
        <v>FES1162542769</v>
      </c>
      <c r="F535" s="3">
        <v>42836</v>
      </c>
      <c r="G535" s="2">
        <v>201710</v>
      </c>
      <c r="H535" s="2" t="s">
        <v>74</v>
      </c>
      <c r="I535" s="2" t="s">
        <v>75</v>
      </c>
      <c r="J535" s="2" t="s">
        <v>76</v>
      </c>
      <c r="K535" s="2" t="s">
        <v>77</v>
      </c>
      <c r="L535" s="2" t="s">
        <v>99</v>
      </c>
      <c r="M535" s="2" t="s">
        <v>100</v>
      </c>
      <c r="N535" s="2" t="s">
        <v>1105</v>
      </c>
      <c r="O535" s="2" t="s">
        <v>115</v>
      </c>
      <c r="P535" s="2" t="str">
        <f>"2170561667                    "</f>
        <v xml:space="preserve">2170561667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4.29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1</v>
      </c>
      <c r="BJ535" s="2">
        <v>0.2</v>
      </c>
      <c r="BK535" s="2">
        <v>1</v>
      </c>
      <c r="BL535" s="2">
        <v>41.73</v>
      </c>
      <c r="BM535" s="2">
        <v>5.84</v>
      </c>
      <c r="BN535" s="2">
        <v>47.57</v>
      </c>
      <c r="BO535" s="2">
        <v>47.57</v>
      </c>
      <c r="BP535" s="2"/>
      <c r="BQ535" s="2" t="s">
        <v>1106</v>
      </c>
      <c r="BR535" s="2" t="s">
        <v>123</v>
      </c>
      <c r="BS535" s="3">
        <v>42837</v>
      </c>
      <c r="BT535" s="4">
        <v>0.43055555555555558</v>
      </c>
      <c r="BU535" s="2" t="s">
        <v>1107</v>
      </c>
      <c r="BV535" s="2" t="s">
        <v>111</v>
      </c>
      <c r="BW535" s="2"/>
      <c r="BX535" s="2"/>
      <c r="BY535" s="2">
        <v>1200</v>
      </c>
      <c r="BZ535" s="2" t="s">
        <v>27</v>
      </c>
      <c r="CA535" s="2" t="s">
        <v>154</v>
      </c>
      <c r="CB535" s="2"/>
      <c r="CC535" s="2" t="s">
        <v>100</v>
      </c>
      <c r="CD535" s="2">
        <v>6001</v>
      </c>
      <c r="CE535" s="2" t="s">
        <v>144</v>
      </c>
      <c r="CF535" s="5">
        <v>42837</v>
      </c>
      <c r="CG535" s="2"/>
      <c r="CH535" s="2"/>
      <c r="CI535" s="2">
        <v>1</v>
      </c>
      <c r="CJ535" s="2">
        <v>1</v>
      </c>
      <c r="CK535" s="2">
        <v>21</v>
      </c>
      <c r="CL535" s="2" t="s">
        <v>86</v>
      </c>
      <c r="CM535" s="2"/>
    </row>
    <row r="536" spans="1:91">
      <c r="A536" s="2" t="s">
        <v>71</v>
      </c>
      <c r="B536" s="2" t="s">
        <v>72</v>
      </c>
      <c r="C536" s="2" t="s">
        <v>73</v>
      </c>
      <c r="D536" s="2"/>
      <c r="E536" s="2" t="str">
        <f>"FES1162541737"</f>
        <v>FES1162541737</v>
      </c>
      <c r="F536" s="3">
        <v>42830</v>
      </c>
      <c r="G536" s="2">
        <v>201710</v>
      </c>
      <c r="H536" s="2" t="s">
        <v>74</v>
      </c>
      <c r="I536" s="2" t="s">
        <v>75</v>
      </c>
      <c r="J536" s="2" t="s">
        <v>76</v>
      </c>
      <c r="K536" s="2" t="s">
        <v>77</v>
      </c>
      <c r="L536" s="2" t="s">
        <v>294</v>
      </c>
      <c r="M536" s="2" t="s">
        <v>295</v>
      </c>
      <c r="N536" s="2" t="s">
        <v>873</v>
      </c>
      <c r="O536" s="2" t="s">
        <v>115</v>
      </c>
      <c r="P536" s="2" t="str">
        <f>"2170560744                    "</f>
        <v xml:space="preserve">2170560744 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4.29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1</v>
      </c>
      <c r="BJ536" s="2">
        <v>0.2</v>
      </c>
      <c r="BK536" s="2">
        <v>1</v>
      </c>
      <c r="BL536" s="2">
        <v>41.73</v>
      </c>
      <c r="BM536" s="2">
        <v>5.84</v>
      </c>
      <c r="BN536" s="2">
        <v>47.57</v>
      </c>
      <c r="BO536" s="2">
        <v>47.57</v>
      </c>
      <c r="BP536" s="2"/>
      <c r="BQ536" s="2" t="s">
        <v>874</v>
      </c>
      <c r="BR536" s="2" t="s">
        <v>123</v>
      </c>
      <c r="BS536" s="3">
        <v>42831</v>
      </c>
      <c r="BT536" s="4">
        <v>0.4375</v>
      </c>
      <c r="BU536" s="2" t="s">
        <v>1108</v>
      </c>
      <c r="BV536" s="2" t="s">
        <v>111</v>
      </c>
      <c r="BW536" s="2"/>
      <c r="BX536" s="2"/>
      <c r="BY536" s="2">
        <v>1200</v>
      </c>
      <c r="BZ536" s="2" t="s">
        <v>27</v>
      </c>
      <c r="CA536" s="2"/>
      <c r="CB536" s="2"/>
      <c r="CC536" s="2" t="s">
        <v>295</v>
      </c>
      <c r="CD536" s="2">
        <v>3600</v>
      </c>
      <c r="CE536" s="2" t="s">
        <v>118</v>
      </c>
      <c r="CF536" s="5">
        <v>42832</v>
      </c>
      <c r="CG536" s="2"/>
      <c r="CH536" s="2"/>
      <c r="CI536" s="2">
        <v>1</v>
      </c>
      <c r="CJ536" s="2">
        <v>1</v>
      </c>
      <c r="CK536" s="2">
        <v>21</v>
      </c>
      <c r="CL536" s="2" t="s">
        <v>86</v>
      </c>
      <c r="CM536" s="2"/>
    </row>
    <row r="537" spans="1:91">
      <c r="A537" s="2" t="s">
        <v>71</v>
      </c>
      <c r="B537" s="2" t="s">
        <v>72</v>
      </c>
      <c r="C537" s="2" t="s">
        <v>73</v>
      </c>
      <c r="D537" s="2"/>
      <c r="E537" s="2" t="str">
        <f>"FES1162541581"</f>
        <v>FES1162541581</v>
      </c>
      <c r="F537" s="3">
        <v>42830</v>
      </c>
      <c r="G537" s="2">
        <v>201710</v>
      </c>
      <c r="H537" s="2" t="s">
        <v>74</v>
      </c>
      <c r="I537" s="2" t="s">
        <v>75</v>
      </c>
      <c r="J537" s="2" t="s">
        <v>76</v>
      </c>
      <c r="K537" s="2" t="s">
        <v>77</v>
      </c>
      <c r="L537" s="2" t="s">
        <v>260</v>
      </c>
      <c r="M537" s="2" t="s">
        <v>261</v>
      </c>
      <c r="N537" s="2" t="s">
        <v>1030</v>
      </c>
      <c r="O537" s="2" t="s">
        <v>115</v>
      </c>
      <c r="P537" s="2" t="str">
        <f>"2170560681                    "</f>
        <v xml:space="preserve">2170560681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3.35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1</v>
      </c>
      <c r="BJ537" s="2">
        <v>0.2</v>
      </c>
      <c r="BK537" s="2">
        <v>1</v>
      </c>
      <c r="BL537" s="2">
        <v>32.6</v>
      </c>
      <c r="BM537" s="2">
        <v>4.5599999999999996</v>
      </c>
      <c r="BN537" s="2">
        <v>37.159999999999997</v>
      </c>
      <c r="BO537" s="2">
        <v>37.159999999999997</v>
      </c>
      <c r="BP537" s="2"/>
      <c r="BQ537" s="2" t="s">
        <v>1031</v>
      </c>
      <c r="BR537" s="2" t="s">
        <v>123</v>
      </c>
      <c r="BS537" s="3">
        <v>42831</v>
      </c>
      <c r="BT537" s="4">
        <v>0.33333333333333331</v>
      </c>
      <c r="BU537" s="2" t="s">
        <v>198</v>
      </c>
      <c r="BV537" s="2" t="s">
        <v>111</v>
      </c>
      <c r="BW537" s="2"/>
      <c r="BX537" s="2"/>
      <c r="BY537" s="2">
        <v>1200</v>
      </c>
      <c r="BZ537" s="2" t="s">
        <v>27</v>
      </c>
      <c r="CA537" s="2"/>
      <c r="CB537" s="2"/>
      <c r="CC537" s="2" t="s">
        <v>261</v>
      </c>
      <c r="CD537" s="2">
        <v>1451</v>
      </c>
      <c r="CE537" s="2" t="s">
        <v>118</v>
      </c>
      <c r="CF537" s="5">
        <v>42832</v>
      </c>
      <c r="CG537" s="2"/>
      <c r="CH537" s="2"/>
      <c r="CI537" s="2">
        <v>1</v>
      </c>
      <c r="CJ537" s="2">
        <v>1</v>
      </c>
      <c r="CK537" s="2">
        <v>22</v>
      </c>
      <c r="CL537" s="2" t="s">
        <v>86</v>
      </c>
      <c r="CM537" s="2"/>
    </row>
    <row r="538" spans="1:91">
      <c r="A538" s="2" t="s">
        <v>71</v>
      </c>
      <c r="B538" s="2" t="s">
        <v>72</v>
      </c>
      <c r="C538" s="2" t="s">
        <v>73</v>
      </c>
      <c r="D538" s="2"/>
      <c r="E538" s="2" t="str">
        <f>"FES1162541978"</f>
        <v>FES1162541978</v>
      </c>
      <c r="F538" s="3">
        <v>42831</v>
      </c>
      <c r="G538" s="2">
        <v>201710</v>
      </c>
      <c r="H538" s="2" t="s">
        <v>74</v>
      </c>
      <c r="I538" s="2" t="s">
        <v>75</v>
      </c>
      <c r="J538" s="2" t="s">
        <v>76</v>
      </c>
      <c r="K538" s="2" t="s">
        <v>77</v>
      </c>
      <c r="L538" s="2" t="s">
        <v>139</v>
      </c>
      <c r="M538" s="2" t="s">
        <v>140</v>
      </c>
      <c r="N538" s="2" t="s">
        <v>530</v>
      </c>
      <c r="O538" s="2" t="s">
        <v>115</v>
      </c>
      <c r="P538" s="2" t="str">
        <f>"2170558029                    "</f>
        <v xml:space="preserve">2170558029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4.29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</v>
      </c>
      <c r="BJ538" s="2">
        <v>0.2</v>
      </c>
      <c r="BK538" s="2">
        <v>1</v>
      </c>
      <c r="BL538" s="2">
        <v>41.73</v>
      </c>
      <c r="BM538" s="2">
        <v>5.84</v>
      </c>
      <c r="BN538" s="2">
        <v>47.57</v>
      </c>
      <c r="BO538" s="2">
        <v>47.57</v>
      </c>
      <c r="BP538" s="2"/>
      <c r="BQ538" s="2" t="s">
        <v>531</v>
      </c>
      <c r="BR538" s="2" t="s">
        <v>123</v>
      </c>
      <c r="BS538" s="3">
        <v>42832</v>
      </c>
      <c r="BT538" s="4">
        <v>0.36527777777777781</v>
      </c>
      <c r="BU538" s="2" t="s">
        <v>1109</v>
      </c>
      <c r="BV538" s="2" t="s">
        <v>111</v>
      </c>
      <c r="BW538" s="2"/>
      <c r="BX538" s="2"/>
      <c r="BY538" s="2">
        <v>1200</v>
      </c>
      <c r="BZ538" s="2" t="s">
        <v>27</v>
      </c>
      <c r="CA538" s="2"/>
      <c r="CB538" s="2"/>
      <c r="CC538" s="2" t="s">
        <v>140</v>
      </c>
      <c r="CD538" s="2">
        <v>157</v>
      </c>
      <c r="CE538" s="2" t="s">
        <v>144</v>
      </c>
      <c r="CF538" s="5">
        <v>42837</v>
      </c>
      <c r="CG538" s="2"/>
      <c r="CH538" s="2"/>
      <c r="CI538" s="2">
        <v>0</v>
      </c>
      <c r="CJ538" s="2">
        <v>0</v>
      </c>
      <c r="CK538" s="2">
        <v>21</v>
      </c>
      <c r="CL538" s="2" t="s">
        <v>86</v>
      </c>
      <c r="CM538" s="2"/>
    </row>
    <row r="539" spans="1:91">
      <c r="A539" s="2" t="s">
        <v>71</v>
      </c>
      <c r="B539" s="2" t="s">
        <v>72</v>
      </c>
      <c r="C539" s="2" t="s">
        <v>73</v>
      </c>
      <c r="D539" s="2"/>
      <c r="E539" s="2" t="str">
        <f>"FES1162541439"</f>
        <v>FES1162541439</v>
      </c>
      <c r="F539" s="3">
        <v>42829</v>
      </c>
      <c r="G539" s="2">
        <v>201710</v>
      </c>
      <c r="H539" s="2" t="s">
        <v>74</v>
      </c>
      <c r="I539" s="2" t="s">
        <v>75</v>
      </c>
      <c r="J539" s="2" t="s">
        <v>76</v>
      </c>
      <c r="K539" s="2" t="s">
        <v>77</v>
      </c>
      <c r="L539" s="2" t="s">
        <v>180</v>
      </c>
      <c r="M539" s="2" t="s">
        <v>181</v>
      </c>
      <c r="N539" s="2" t="s">
        <v>424</v>
      </c>
      <c r="O539" s="2" t="s">
        <v>115</v>
      </c>
      <c r="P539" s="2" t="str">
        <f>"2170551251                    "</f>
        <v xml:space="preserve">2170551251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74.06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14</v>
      </c>
      <c r="BJ539" s="2">
        <v>33.1</v>
      </c>
      <c r="BK539" s="2">
        <v>33.5</v>
      </c>
      <c r="BL539" s="2">
        <v>701.18</v>
      </c>
      <c r="BM539" s="2">
        <v>98.17</v>
      </c>
      <c r="BN539" s="2">
        <v>799.35</v>
      </c>
      <c r="BO539" s="2">
        <v>799.35</v>
      </c>
      <c r="BP539" s="2"/>
      <c r="BQ539" s="2" t="s">
        <v>425</v>
      </c>
      <c r="BR539" s="2" t="s">
        <v>123</v>
      </c>
      <c r="BS539" s="3">
        <v>42830</v>
      </c>
      <c r="BT539" s="4">
        <v>0.4375</v>
      </c>
      <c r="BU539" s="2" t="s">
        <v>372</v>
      </c>
      <c r="BV539" s="2" t="s">
        <v>111</v>
      </c>
      <c r="BW539" s="2"/>
      <c r="BX539" s="2"/>
      <c r="BY539" s="2">
        <v>165600</v>
      </c>
      <c r="BZ539" s="2" t="s">
        <v>27</v>
      </c>
      <c r="CA539" s="2"/>
      <c r="CB539" s="2"/>
      <c r="CC539" s="2" t="s">
        <v>181</v>
      </c>
      <c r="CD539" s="2">
        <v>4001</v>
      </c>
      <c r="CE539" s="2" t="s">
        <v>172</v>
      </c>
      <c r="CF539" s="5">
        <v>42831</v>
      </c>
      <c r="CG539" s="2"/>
      <c r="CH539" s="2"/>
      <c r="CI539" s="2">
        <v>1</v>
      </c>
      <c r="CJ539" s="2">
        <v>1</v>
      </c>
      <c r="CK539" s="2">
        <v>21</v>
      </c>
      <c r="CL539" s="2" t="s">
        <v>86</v>
      </c>
      <c r="CM539" s="2"/>
    </row>
    <row r="540" spans="1:91">
      <c r="A540" s="2" t="s">
        <v>71</v>
      </c>
      <c r="B540" s="2" t="s">
        <v>72</v>
      </c>
      <c r="C540" s="2" t="s">
        <v>73</v>
      </c>
      <c r="D540" s="2"/>
      <c r="E540" s="2" t="str">
        <f>"FES1162542945"</f>
        <v>FES1162542945</v>
      </c>
      <c r="F540" s="3">
        <v>42836</v>
      </c>
      <c r="G540" s="2">
        <v>201710</v>
      </c>
      <c r="H540" s="2" t="s">
        <v>74</v>
      </c>
      <c r="I540" s="2" t="s">
        <v>75</v>
      </c>
      <c r="J540" s="2" t="s">
        <v>76</v>
      </c>
      <c r="K540" s="2" t="s">
        <v>77</v>
      </c>
      <c r="L540" s="2" t="s">
        <v>160</v>
      </c>
      <c r="M540" s="2" t="s">
        <v>161</v>
      </c>
      <c r="N540" s="2" t="s">
        <v>1110</v>
      </c>
      <c r="O540" s="2" t="s">
        <v>115</v>
      </c>
      <c r="P540" s="2" t="str">
        <f>"2170561731                    "</f>
        <v xml:space="preserve">2170561731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4.29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1</v>
      </c>
      <c r="BJ540" s="2">
        <v>1.8</v>
      </c>
      <c r="BK540" s="2">
        <v>2</v>
      </c>
      <c r="BL540" s="2">
        <v>41.73</v>
      </c>
      <c r="BM540" s="2">
        <v>5.84</v>
      </c>
      <c r="BN540" s="2">
        <v>47.57</v>
      </c>
      <c r="BO540" s="2">
        <v>47.57</v>
      </c>
      <c r="BP540" s="2" t="s">
        <v>1111</v>
      </c>
      <c r="BQ540" s="2" t="s">
        <v>1112</v>
      </c>
      <c r="BR540" s="2" t="s">
        <v>123</v>
      </c>
      <c r="BS540" s="3">
        <v>42837</v>
      </c>
      <c r="BT540" s="4">
        <v>0.54166666666666663</v>
      </c>
      <c r="BU540" s="2" t="s">
        <v>198</v>
      </c>
      <c r="BV540" s="2" t="s">
        <v>86</v>
      </c>
      <c r="BW540" s="2" t="s">
        <v>164</v>
      </c>
      <c r="BX540" s="2" t="s">
        <v>1113</v>
      </c>
      <c r="BY540" s="2">
        <v>9240</v>
      </c>
      <c r="BZ540" s="2" t="s">
        <v>27</v>
      </c>
      <c r="CA540" s="2"/>
      <c r="CB540" s="2"/>
      <c r="CC540" s="2" t="s">
        <v>161</v>
      </c>
      <c r="CD540" s="2">
        <v>5201</v>
      </c>
      <c r="CE540" s="2" t="s">
        <v>144</v>
      </c>
      <c r="CF540" s="5">
        <v>42843</v>
      </c>
      <c r="CG540" s="2"/>
      <c r="CH540" s="2"/>
      <c r="CI540" s="2">
        <v>1</v>
      </c>
      <c r="CJ540" s="2">
        <v>1</v>
      </c>
      <c r="CK540" s="2">
        <v>21</v>
      </c>
      <c r="CL540" s="2" t="s">
        <v>86</v>
      </c>
      <c r="CM540" s="2"/>
    </row>
    <row r="541" spans="1:91">
      <c r="A541" s="2" t="s">
        <v>71</v>
      </c>
      <c r="B541" s="2" t="s">
        <v>72</v>
      </c>
      <c r="C541" s="2" t="s">
        <v>73</v>
      </c>
      <c r="D541" s="2"/>
      <c r="E541" s="2" t="str">
        <f>"FES1162541780"</f>
        <v>FES1162541780</v>
      </c>
      <c r="F541" s="3">
        <v>42830</v>
      </c>
      <c r="G541" s="2">
        <v>201710</v>
      </c>
      <c r="H541" s="2" t="s">
        <v>74</v>
      </c>
      <c r="I541" s="2" t="s">
        <v>75</v>
      </c>
      <c r="J541" s="2" t="s">
        <v>76</v>
      </c>
      <c r="K541" s="2" t="s">
        <v>77</v>
      </c>
      <c r="L541" s="2" t="s">
        <v>401</v>
      </c>
      <c r="M541" s="2" t="s">
        <v>402</v>
      </c>
      <c r="N541" s="2" t="s">
        <v>1114</v>
      </c>
      <c r="O541" s="2" t="s">
        <v>115</v>
      </c>
      <c r="P541" s="2" t="str">
        <f>"2170560786                    "</f>
        <v xml:space="preserve">2170560786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4.29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1</v>
      </c>
      <c r="BJ541" s="2">
        <v>0.2</v>
      </c>
      <c r="BK541" s="2">
        <v>1</v>
      </c>
      <c r="BL541" s="2">
        <v>41.73</v>
      </c>
      <c r="BM541" s="2">
        <v>5.84</v>
      </c>
      <c r="BN541" s="2">
        <v>47.57</v>
      </c>
      <c r="BO541" s="2">
        <v>47.57</v>
      </c>
      <c r="BP541" s="2"/>
      <c r="BQ541" s="2" t="s">
        <v>1115</v>
      </c>
      <c r="BR541" s="2" t="s">
        <v>123</v>
      </c>
      <c r="BS541" s="3">
        <v>42843</v>
      </c>
      <c r="BT541" s="4">
        <v>0.4375</v>
      </c>
      <c r="BU541" s="2" t="s">
        <v>1116</v>
      </c>
      <c r="BV541" s="2" t="s">
        <v>86</v>
      </c>
      <c r="BW541" s="2" t="s">
        <v>164</v>
      </c>
      <c r="BX541" s="2" t="s">
        <v>319</v>
      </c>
      <c r="BY541" s="2">
        <v>1200</v>
      </c>
      <c r="BZ541" s="2"/>
      <c r="CA541" s="2"/>
      <c r="CB541" s="2"/>
      <c r="CC541" s="2" t="s">
        <v>402</v>
      </c>
      <c r="CD541" s="2">
        <v>4133</v>
      </c>
      <c r="CE541" s="2" t="s">
        <v>118</v>
      </c>
      <c r="CF541" s="5">
        <v>42845</v>
      </c>
      <c r="CG541" s="2"/>
      <c r="CH541" s="2"/>
      <c r="CI541" s="2">
        <v>1</v>
      </c>
      <c r="CJ541" s="2">
        <v>9</v>
      </c>
      <c r="CK541" s="2">
        <v>21</v>
      </c>
      <c r="CL541" s="2" t="s">
        <v>86</v>
      </c>
      <c r="CM541" s="2"/>
    </row>
    <row r="542" spans="1:91">
      <c r="A542" s="2" t="s">
        <v>71</v>
      </c>
      <c r="B542" s="2" t="s">
        <v>72</v>
      </c>
      <c r="C542" s="2" t="s">
        <v>73</v>
      </c>
      <c r="D542" s="2"/>
      <c r="E542" s="2" t="str">
        <f>"FES1162541477"</f>
        <v>FES1162541477</v>
      </c>
      <c r="F542" s="3">
        <v>42830</v>
      </c>
      <c r="G542" s="2">
        <v>201710</v>
      </c>
      <c r="H542" s="2" t="s">
        <v>74</v>
      </c>
      <c r="I542" s="2" t="s">
        <v>75</v>
      </c>
      <c r="J542" s="2" t="s">
        <v>76</v>
      </c>
      <c r="K542" s="2" t="s">
        <v>77</v>
      </c>
      <c r="L542" s="2" t="s">
        <v>260</v>
      </c>
      <c r="M542" s="2" t="s">
        <v>261</v>
      </c>
      <c r="N542" s="2" t="s">
        <v>262</v>
      </c>
      <c r="O542" s="2" t="s">
        <v>115</v>
      </c>
      <c r="P542" s="2" t="str">
        <f>"2170560560                    "</f>
        <v xml:space="preserve">2170560560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3.35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1.1000000000000001</v>
      </c>
      <c r="BJ542" s="2">
        <v>1.5</v>
      </c>
      <c r="BK542" s="2">
        <v>2</v>
      </c>
      <c r="BL542" s="2">
        <v>32.6</v>
      </c>
      <c r="BM542" s="2">
        <v>4.5599999999999996</v>
      </c>
      <c r="BN542" s="2">
        <v>37.159999999999997</v>
      </c>
      <c r="BO542" s="2">
        <v>37.159999999999997</v>
      </c>
      <c r="BP542" s="2"/>
      <c r="BQ542" s="2" t="s">
        <v>638</v>
      </c>
      <c r="BR542" s="2" t="s">
        <v>123</v>
      </c>
      <c r="BS542" s="3">
        <v>42831</v>
      </c>
      <c r="BT542" s="4">
        <v>0.30902777777777779</v>
      </c>
      <c r="BU542" s="2" t="s">
        <v>1117</v>
      </c>
      <c r="BV542" s="2" t="s">
        <v>111</v>
      </c>
      <c r="BW542" s="2"/>
      <c r="BX542" s="2"/>
      <c r="BY542" s="2">
        <v>7715.25</v>
      </c>
      <c r="BZ542" s="2" t="s">
        <v>27</v>
      </c>
      <c r="CA542" s="2"/>
      <c r="CB542" s="2"/>
      <c r="CC542" s="2" t="s">
        <v>261</v>
      </c>
      <c r="CD542" s="2">
        <v>1451</v>
      </c>
      <c r="CE542" s="2" t="s">
        <v>118</v>
      </c>
      <c r="CF542" s="5">
        <v>42832</v>
      </c>
      <c r="CG542" s="2"/>
      <c r="CH542" s="2"/>
      <c r="CI542" s="2">
        <v>1</v>
      </c>
      <c r="CJ542" s="2">
        <v>1</v>
      </c>
      <c r="CK542" s="2">
        <v>22</v>
      </c>
      <c r="CL542" s="2" t="s">
        <v>86</v>
      </c>
      <c r="CM542" s="2"/>
    </row>
    <row r="543" spans="1:91">
      <c r="A543" s="2" t="s">
        <v>71</v>
      </c>
      <c r="B543" s="2" t="s">
        <v>72</v>
      </c>
      <c r="C543" s="2" t="s">
        <v>73</v>
      </c>
      <c r="D543" s="2"/>
      <c r="E543" s="2" t="str">
        <f>"FES1162543196"</f>
        <v>FES1162543196</v>
      </c>
      <c r="F543" s="3">
        <v>42837</v>
      </c>
      <c r="G543" s="2">
        <v>201710</v>
      </c>
      <c r="H543" s="2" t="s">
        <v>74</v>
      </c>
      <c r="I543" s="2" t="s">
        <v>75</v>
      </c>
      <c r="J543" s="2" t="s">
        <v>76</v>
      </c>
      <c r="K543" s="2" t="s">
        <v>77</v>
      </c>
      <c r="L543" s="2" t="s">
        <v>139</v>
      </c>
      <c r="M543" s="2" t="s">
        <v>140</v>
      </c>
      <c r="N543" s="2" t="s">
        <v>141</v>
      </c>
      <c r="O543" s="2" t="s">
        <v>115</v>
      </c>
      <c r="P543" s="2" t="str">
        <f>"2170561819                    "</f>
        <v xml:space="preserve">2170561819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4.29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</v>
      </c>
      <c r="BJ543" s="2">
        <v>0.2</v>
      </c>
      <c r="BK543" s="2">
        <v>1</v>
      </c>
      <c r="BL543" s="2">
        <v>41.73</v>
      </c>
      <c r="BM543" s="2">
        <v>5.84</v>
      </c>
      <c r="BN543" s="2">
        <v>47.57</v>
      </c>
      <c r="BO543" s="2">
        <v>47.57</v>
      </c>
      <c r="BP543" s="2"/>
      <c r="BQ543" s="2" t="s">
        <v>142</v>
      </c>
      <c r="BR543" s="2" t="s">
        <v>84</v>
      </c>
      <c r="BS543" s="3">
        <v>42838</v>
      </c>
      <c r="BT543" s="4">
        <v>0.3576388888888889</v>
      </c>
      <c r="BU543" s="2" t="s">
        <v>604</v>
      </c>
      <c r="BV543" s="2" t="s">
        <v>111</v>
      </c>
      <c r="BW543" s="2"/>
      <c r="BX543" s="2"/>
      <c r="BY543" s="2">
        <v>1200</v>
      </c>
      <c r="BZ543" s="2" t="s">
        <v>27</v>
      </c>
      <c r="CA543" s="2"/>
      <c r="CB543" s="2"/>
      <c r="CC543" s="2" t="s">
        <v>140</v>
      </c>
      <c r="CD543" s="2">
        <v>157</v>
      </c>
      <c r="CE543" s="2" t="s">
        <v>118</v>
      </c>
      <c r="CF543" s="5">
        <v>42845</v>
      </c>
      <c r="CG543" s="2"/>
      <c r="CH543" s="2"/>
      <c r="CI543" s="2">
        <v>0</v>
      </c>
      <c r="CJ543" s="2">
        <v>0</v>
      </c>
      <c r="CK543" s="2">
        <v>21</v>
      </c>
      <c r="CL543" s="2" t="s">
        <v>86</v>
      </c>
      <c r="CM543" s="2"/>
    </row>
    <row r="544" spans="1:91">
      <c r="A544" s="2" t="s">
        <v>71</v>
      </c>
      <c r="B544" s="2" t="s">
        <v>72</v>
      </c>
      <c r="C544" s="2" t="s">
        <v>73</v>
      </c>
      <c r="D544" s="2"/>
      <c r="E544" s="2" t="str">
        <f>"FES1162541996"</f>
        <v>FES1162541996</v>
      </c>
      <c r="F544" s="3">
        <v>42831</v>
      </c>
      <c r="G544" s="2">
        <v>201710</v>
      </c>
      <c r="H544" s="2" t="s">
        <v>74</v>
      </c>
      <c r="I544" s="2" t="s">
        <v>75</v>
      </c>
      <c r="J544" s="2" t="s">
        <v>76</v>
      </c>
      <c r="K544" s="2" t="s">
        <v>77</v>
      </c>
      <c r="L544" s="2" t="s">
        <v>180</v>
      </c>
      <c r="M544" s="2" t="s">
        <v>181</v>
      </c>
      <c r="N544" s="2" t="s">
        <v>320</v>
      </c>
      <c r="O544" s="2" t="s">
        <v>115</v>
      </c>
      <c r="P544" s="2" t="str">
        <f>"2170558203                    "</f>
        <v xml:space="preserve">2170558203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4.29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1</v>
      </c>
      <c r="BJ544" s="2">
        <v>0.2</v>
      </c>
      <c r="BK544" s="2">
        <v>1</v>
      </c>
      <c r="BL544" s="2">
        <v>41.73</v>
      </c>
      <c r="BM544" s="2">
        <v>5.84</v>
      </c>
      <c r="BN544" s="2">
        <v>47.57</v>
      </c>
      <c r="BO544" s="2">
        <v>47.57</v>
      </c>
      <c r="BP544" s="2"/>
      <c r="BQ544" s="2" t="s">
        <v>129</v>
      </c>
      <c r="BR544" s="2" t="s">
        <v>123</v>
      </c>
      <c r="BS544" s="3">
        <v>42832</v>
      </c>
      <c r="BT544" s="4">
        <v>0.43611111111111112</v>
      </c>
      <c r="BU544" s="2" t="s">
        <v>321</v>
      </c>
      <c r="BV544" s="2" t="s">
        <v>111</v>
      </c>
      <c r="BW544" s="2"/>
      <c r="BX544" s="2"/>
      <c r="BY544" s="2">
        <v>1200</v>
      </c>
      <c r="BZ544" s="2" t="s">
        <v>27</v>
      </c>
      <c r="CA544" s="2"/>
      <c r="CB544" s="2"/>
      <c r="CC544" s="2" t="s">
        <v>181</v>
      </c>
      <c r="CD544" s="2">
        <v>4051</v>
      </c>
      <c r="CE544" s="2" t="s">
        <v>144</v>
      </c>
      <c r="CF544" s="5">
        <v>42835</v>
      </c>
      <c r="CG544" s="2"/>
      <c r="CH544" s="2"/>
      <c r="CI544" s="2">
        <v>1</v>
      </c>
      <c r="CJ544" s="2">
        <v>1</v>
      </c>
      <c r="CK544" s="2">
        <v>21</v>
      </c>
      <c r="CL544" s="2" t="s">
        <v>86</v>
      </c>
      <c r="CM544" s="2"/>
    </row>
    <row r="545" spans="1:91">
      <c r="A545" s="2" t="s">
        <v>71</v>
      </c>
      <c r="B545" s="2" t="s">
        <v>72</v>
      </c>
      <c r="C545" s="2" t="s">
        <v>73</v>
      </c>
      <c r="D545" s="2"/>
      <c r="E545" s="2" t="str">
        <f>"FES1162542939"</f>
        <v>FES1162542939</v>
      </c>
      <c r="F545" s="3">
        <v>42836</v>
      </c>
      <c r="G545" s="2">
        <v>201710</v>
      </c>
      <c r="H545" s="2" t="s">
        <v>74</v>
      </c>
      <c r="I545" s="2" t="s">
        <v>75</v>
      </c>
      <c r="J545" s="2" t="s">
        <v>76</v>
      </c>
      <c r="K545" s="2" t="s">
        <v>77</v>
      </c>
      <c r="L545" s="2" t="s">
        <v>516</v>
      </c>
      <c r="M545" s="2" t="s">
        <v>517</v>
      </c>
      <c r="N545" s="2" t="s">
        <v>758</v>
      </c>
      <c r="O545" s="2" t="s">
        <v>115</v>
      </c>
      <c r="P545" s="2" t="str">
        <f>"2170560456                    "</f>
        <v xml:space="preserve">2170560456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3.35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1</v>
      </c>
      <c r="BJ545" s="2">
        <v>0.2</v>
      </c>
      <c r="BK545" s="2">
        <v>1</v>
      </c>
      <c r="BL545" s="2">
        <v>32.6</v>
      </c>
      <c r="BM545" s="2">
        <v>4.5599999999999996</v>
      </c>
      <c r="BN545" s="2">
        <v>37.159999999999997</v>
      </c>
      <c r="BO545" s="2">
        <v>37.159999999999997</v>
      </c>
      <c r="BP545" s="2"/>
      <c r="BQ545" s="2" t="s">
        <v>759</v>
      </c>
      <c r="BR545" s="2" t="s">
        <v>123</v>
      </c>
      <c r="BS545" s="3">
        <v>42837</v>
      </c>
      <c r="BT545" s="4">
        <v>0.45833333333333331</v>
      </c>
      <c r="BU545" s="2" t="s">
        <v>434</v>
      </c>
      <c r="BV545" s="2" t="s">
        <v>86</v>
      </c>
      <c r="BW545" s="2" t="s">
        <v>96</v>
      </c>
      <c r="BX545" s="2" t="s">
        <v>812</v>
      </c>
      <c r="BY545" s="2">
        <v>1200</v>
      </c>
      <c r="BZ545" s="2" t="s">
        <v>27</v>
      </c>
      <c r="CA545" s="2"/>
      <c r="CB545" s="2"/>
      <c r="CC545" s="2" t="s">
        <v>517</v>
      </c>
      <c r="CD545" s="2">
        <v>1459</v>
      </c>
      <c r="CE545" s="2" t="s">
        <v>118</v>
      </c>
      <c r="CF545" s="5">
        <v>42838</v>
      </c>
      <c r="CG545" s="2"/>
      <c r="CH545" s="2"/>
      <c r="CI545" s="2">
        <v>1</v>
      </c>
      <c r="CJ545" s="2">
        <v>1</v>
      </c>
      <c r="CK545" s="2">
        <v>22</v>
      </c>
      <c r="CL545" s="2" t="s">
        <v>86</v>
      </c>
      <c r="CM545" s="2"/>
    </row>
    <row r="546" spans="1:91">
      <c r="A546" s="2" t="s">
        <v>71</v>
      </c>
      <c r="B546" s="2" t="s">
        <v>72</v>
      </c>
      <c r="C546" s="2" t="s">
        <v>73</v>
      </c>
      <c r="D546" s="2"/>
      <c r="E546" s="2" t="str">
        <f>"FES1162541707"</f>
        <v>FES1162541707</v>
      </c>
      <c r="F546" s="3">
        <v>42830</v>
      </c>
      <c r="G546" s="2">
        <v>201710</v>
      </c>
      <c r="H546" s="2" t="s">
        <v>74</v>
      </c>
      <c r="I546" s="2" t="s">
        <v>75</v>
      </c>
      <c r="J546" s="2" t="s">
        <v>76</v>
      </c>
      <c r="K546" s="2" t="s">
        <v>77</v>
      </c>
      <c r="L546" s="2" t="s">
        <v>396</v>
      </c>
      <c r="M546" s="2" t="s">
        <v>397</v>
      </c>
      <c r="N546" s="2" t="s">
        <v>398</v>
      </c>
      <c r="O546" s="2" t="s">
        <v>115</v>
      </c>
      <c r="P546" s="2" t="str">
        <f>"2170559976                    "</f>
        <v xml:space="preserve">2170559976 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4.29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1</v>
      </c>
      <c r="BJ546" s="2">
        <v>0.2</v>
      </c>
      <c r="BK546" s="2">
        <v>1</v>
      </c>
      <c r="BL546" s="2">
        <v>41.73</v>
      </c>
      <c r="BM546" s="2">
        <v>5.84</v>
      </c>
      <c r="BN546" s="2">
        <v>47.57</v>
      </c>
      <c r="BO546" s="2">
        <v>47.57</v>
      </c>
      <c r="BP546" s="2"/>
      <c r="BQ546" s="2" t="s">
        <v>399</v>
      </c>
      <c r="BR546" s="2" t="s">
        <v>123</v>
      </c>
      <c r="BS546" s="3">
        <v>42831</v>
      </c>
      <c r="BT546" s="4">
        <v>0.4375</v>
      </c>
      <c r="BU546" s="2" t="s">
        <v>632</v>
      </c>
      <c r="BV546" s="2" t="s">
        <v>111</v>
      </c>
      <c r="BW546" s="2"/>
      <c r="BX546" s="2"/>
      <c r="BY546" s="2">
        <v>1200</v>
      </c>
      <c r="BZ546" s="2" t="s">
        <v>27</v>
      </c>
      <c r="CA546" s="2" t="s">
        <v>159</v>
      </c>
      <c r="CB546" s="2"/>
      <c r="CC546" s="2" t="s">
        <v>397</v>
      </c>
      <c r="CD546" s="2">
        <v>4300</v>
      </c>
      <c r="CE546" s="2" t="s">
        <v>118</v>
      </c>
      <c r="CF546" s="5">
        <v>42832</v>
      </c>
      <c r="CG546" s="2"/>
      <c r="CH546" s="2"/>
      <c r="CI546" s="2">
        <v>1</v>
      </c>
      <c r="CJ546" s="2">
        <v>1</v>
      </c>
      <c r="CK546" s="2">
        <v>21</v>
      </c>
      <c r="CL546" s="2" t="s">
        <v>86</v>
      </c>
      <c r="CM546" s="2"/>
    </row>
    <row r="547" spans="1:91">
      <c r="A547" s="2" t="s">
        <v>71</v>
      </c>
      <c r="B547" s="2" t="s">
        <v>72</v>
      </c>
      <c r="C547" s="2" t="s">
        <v>73</v>
      </c>
      <c r="D547" s="2"/>
      <c r="E547" s="2" t="str">
        <f>"FES1162541535"</f>
        <v>FES1162541535</v>
      </c>
      <c r="F547" s="3">
        <v>42830</v>
      </c>
      <c r="G547" s="2">
        <v>201710</v>
      </c>
      <c r="H547" s="2" t="s">
        <v>74</v>
      </c>
      <c r="I547" s="2" t="s">
        <v>75</v>
      </c>
      <c r="J547" s="2" t="s">
        <v>76</v>
      </c>
      <c r="K547" s="2" t="s">
        <v>77</v>
      </c>
      <c r="L547" s="2" t="s">
        <v>139</v>
      </c>
      <c r="M547" s="2" t="s">
        <v>140</v>
      </c>
      <c r="N547" s="2" t="s">
        <v>645</v>
      </c>
      <c r="O547" s="2" t="s">
        <v>115</v>
      </c>
      <c r="P547" s="2" t="str">
        <f>"2170560438                    "</f>
        <v xml:space="preserve">2170560438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4.29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1</v>
      </c>
      <c r="BJ547" s="2">
        <v>0.2</v>
      </c>
      <c r="BK547" s="2">
        <v>1</v>
      </c>
      <c r="BL547" s="2">
        <v>41.73</v>
      </c>
      <c r="BM547" s="2">
        <v>5.84</v>
      </c>
      <c r="BN547" s="2">
        <v>47.57</v>
      </c>
      <c r="BO547" s="2">
        <v>47.57</v>
      </c>
      <c r="BP547" s="2"/>
      <c r="BQ547" s="2" t="s">
        <v>646</v>
      </c>
      <c r="BR547" s="2" t="s">
        <v>123</v>
      </c>
      <c r="BS547" s="3">
        <v>42831</v>
      </c>
      <c r="BT547" s="4">
        <v>0.39583333333333331</v>
      </c>
      <c r="BU547" s="2" t="s">
        <v>647</v>
      </c>
      <c r="BV547" s="2" t="s">
        <v>111</v>
      </c>
      <c r="BW547" s="2"/>
      <c r="BX547" s="2"/>
      <c r="BY547" s="2">
        <v>1200</v>
      </c>
      <c r="BZ547" s="2" t="s">
        <v>27</v>
      </c>
      <c r="CA547" s="2"/>
      <c r="CB547" s="2"/>
      <c r="CC547" s="2" t="s">
        <v>140</v>
      </c>
      <c r="CD547" s="2">
        <v>157</v>
      </c>
      <c r="CE547" s="2" t="s">
        <v>144</v>
      </c>
      <c r="CF547" s="5">
        <v>42835</v>
      </c>
      <c r="CG547" s="2"/>
      <c r="CH547" s="2"/>
      <c r="CI547" s="2">
        <v>0</v>
      </c>
      <c r="CJ547" s="2">
        <v>0</v>
      </c>
      <c r="CK547" s="2">
        <v>21</v>
      </c>
      <c r="CL547" s="2" t="s">
        <v>86</v>
      </c>
      <c r="CM547" s="2"/>
    </row>
    <row r="548" spans="1:91">
      <c r="A548" s="2" t="s">
        <v>71</v>
      </c>
      <c r="B548" s="2" t="s">
        <v>72</v>
      </c>
      <c r="C548" s="2" t="s">
        <v>73</v>
      </c>
      <c r="D548" s="2"/>
      <c r="E548" s="2" t="str">
        <f>"FES1162543297"</f>
        <v>FES1162543297</v>
      </c>
      <c r="F548" s="3">
        <v>42837</v>
      </c>
      <c r="G548" s="2">
        <v>201710</v>
      </c>
      <c r="H548" s="2" t="s">
        <v>74</v>
      </c>
      <c r="I548" s="2" t="s">
        <v>75</v>
      </c>
      <c r="J548" s="2" t="s">
        <v>76</v>
      </c>
      <c r="K548" s="2" t="s">
        <v>77</v>
      </c>
      <c r="L548" s="2" t="s">
        <v>609</v>
      </c>
      <c r="M548" s="2" t="s">
        <v>610</v>
      </c>
      <c r="N548" s="2" t="s">
        <v>1118</v>
      </c>
      <c r="O548" s="2" t="s">
        <v>115</v>
      </c>
      <c r="P548" s="2" t="str">
        <f>"2170560007                    "</f>
        <v xml:space="preserve">2170560007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4.29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1</v>
      </c>
      <c r="BJ548" s="2">
        <v>0.2</v>
      </c>
      <c r="BK548" s="2">
        <v>1</v>
      </c>
      <c r="BL548" s="2">
        <v>41.73</v>
      </c>
      <c r="BM548" s="2">
        <v>5.84</v>
      </c>
      <c r="BN548" s="2">
        <v>47.57</v>
      </c>
      <c r="BO548" s="2">
        <v>47.57</v>
      </c>
      <c r="BP548" s="2"/>
      <c r="BQ548" s="2" t="s">
        <v>1119</v>
      </c>
      <c r="BR548" s="2" t="s">
        <v>84</v>
      </c>
      <c r="BS548" s="3">
        <v>42838</v>
      </c>
      <c r="BT548" s="4">
        <v>0.65347222222222223</v>
      </c>
      <c r="BU548" s="2" t="s">
        <v>763</v>
      </c>
      <c r="BV548" s="2" t="s">
        <v>86</v>
      </c>
      <c r="BW548" s="2" t="s">
        <v>96</v>
      </c>
      <c r="BX548" s="2" t="s">
        <v>939</v>
      </c>
      <c r="BY548" s="2">
        <v>1200</v>
      </c>
      <c r="BZ548" s="2" t="s">
        <v>27</v>
      </c>
      <c r="CA548" s="2"/>
      <c r="CB548" s="2"/>
      <c r="CC548" s="2" t="s">
        <v>610</v>
      </c>
      <c r="CD548" s="2">
        <v>1900</v>
      </c>
      <c r="CE548" s="2" t="s">
        <v>118</v>
      </c>
      <c r="CF548" s="5">
        <v>42844</v>
      </c>
      <c r="CG548" s="2"/>
      <c r="CH548" s="2"/>
      <c r="CI548" s="2">
        <v>1</v>
      </c>
      <c r="CJ548" s="2">
        <v>1</v>
      </c>
      <c r="CK548" s="2">
        <v>21</v>
      </c>
      <c r="CL548" s="2" t="s">
        <v>86</v>
      </c>
      <c r="CM548" s="2"/>
    </row>
    <row r="549" spans="1:91">
      <c r="A549" s="2" t="s">
        <v>71</v>
      </c>
      <c r="B549" s="2" t="s">
        <v>72</v>
      </c>
      <c r="C549" s="2" t="s">
        <v>73</v>
      </c>
      <c r="D549" s="2"/>
      <c r="E549" s="2" t="str">
        <f>"FES1162542000"</f>
        <v>FES1162542000</v>
      </c>
      <c r="F549" s="3">
        <v>42831</v>
      </c>
      <c r="G549" s="2">
        <v>201710</v>
      </c>
      <c r="H549" s="2" t="s">
        <v>74</v>
      </c>
      <c r="I549" s="2" t="s">
        <v>75</v>
      </c>
      <c r="J549" s="2" t="s">
        <v>76</v>
      </c>
      <c r="K549" s="2" t="s">
        <v>77</v>
      </c>
      <c r="L549" s="2" t="s">
        <v>609</v>
      </c>
      <c r="M549" s="2" t="s">
        <v>610</v>
      </c>
      <c r="N549" s="2" t="s">
        <v>1120</v>
      </c>
      <c r="O549" s="2" t="s">
        <v>115</v>
      </c>
      <c r="P549" s="2" t="str">
        <f>"2170558335                    "</f>
        <v xml:space="preserve">2170558335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4.29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1</v>
      </c>
      <c r="BJ549" s="2">
        <v>0.2</v>
      </c>
      <c r="BK549" s="2">
        <v>1</v>
      </c>
      <c r="BL549" s="2">
        <v>41.73</v>
      </c>
      <c r="BM549" s="2">
        <v>5.84</v>
      </c>
      <c r="BN549" s="2">
        <v>47.57</v>
      </c>
      <c r="BO549" s="2">
        <v>47.57</v>
      </c>
      <c r="BP549" s="2"/>
      <c r="BQ549" s="2" t="s">
        <v>1121</v>
      </c>
      <c r="BR549" s="2" t="s">
        <v>123</v>
      </c>
      <c r="BS549" s="3">
        <v>42835</v>
      </c>
      <c r="BT549" s="4">
        <v>0.52430555555555558</v>
      </c>
      <c r="BU549" s="2" t="s">
        <v>1122</v>
      </c>
      <c r="BV549" s="2" t="s">
        <v>86</v>
      </c>
      <c r="BW549" s="2"/>
      <c r="BX549" s="2"/>
      <c r="BY549" s="2">
        <v>1200</v>
      </c>
      <c r="BZ549" s="2" t="s">
        <v>27</v>
      </c>
      <c r="CA549" s="2"/>
      <c r="CB549" s="2"/>
      <c r="CC549" s="2" t="s">
        <v>610</v>
      </c>
      <c r="CD549" s="2">
        <v>1911</v>
      </c>
      <c r="CE549" s="2" t="s">
        <v>144</v>
      </c>
      <c r="CF549" s="5">
        <v>42836</v>
      </c>
      <c r="CG549" s="2"/>
      <c r="CH549" s="2"/>
      <c r="CI549" s="2">
        <v>1</v>
      </c>
      <c r="CJ549" s="2">
        <v>2</v>
      </c>
      <c r="CK549" s="2">
        <v>21</v>
      </c>
      <c r="CL549" s="2" t="s">
        <v>86</v>
      </c>
      <c r="CM549" s="2"/>
    </row>
    <row r="550" spans="1:91">
      <c r="A550" s="2" t="s">
        <v>71</v>
      </c>
      <c r="B550" s="2" t="s">
        <v>72</v>
      </c>
      <c r="C550" s="2" t="s">
        <v>73</v>
      </c>
      <c r="D550" s="2"/>
      <c r="E550" s="2" t="str">
        <f>"FES1162541442"</f>
        <v>FES1162541442</v>
      </c>
      <c r="F550" s="3">
        <v>42829</v>
      </c>
      <c r="G550" s="2">
        <v>201710</v>
      </c>
      <c r="H550" s="2" t="s">
        <v>74</v>
      </c>
      <c r="I550" s="2" t="s">
        <v>75</v>
      </c>
      <c r="J550" s="2" t="s">
        <v>76</v>
      </c>
      <c r="K550" s="2" t="s">
        <v>77</v>
      </c>
      <c r="L550" s="2" t="s">
        <v>180</v>
      </c>
      <c r="M550" s="2" t="s">
        <v>181</v>
      </c>
      <c r="N550" s="2" t="s">
        <v>348</v>
      </c>
      <c r="O550" s="2" t="s">
        <v>115</v>
      </c>
      <c r="P550" s="2" t="str">
        <f>"2170554646                    "</f>
        <v xml:space="preserve">2170554646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5.53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2</v>
      </c>
      <c r="BI550" s="2">
        <v>2</v>
      </c>
      <c r="BJ550" s="2">
        <v>2.5</v>
      </c>
      <c r="BK550" s="2">
        <v>2.5</v>
      </c>
      <c r="BL550" s="2">
        <v>52.33</v>
      </c>
      <c r="BM550" s="2">
        <v>7.33</v>
      </c>
      <c r="BN550" s="2">
        <v>59.66</v>
      </c>
      <c r="BO550" s="2">
        <v>59.66</v>
      </c>
      <c r="BP550" s="2"/>
      <c r="BQ550" s="2" t="s">
        <v>349</v>
      </c>
      <c r="BR550" s="2" t="s">
        <v>123</v>
      </c>
      <c r="BS550" s="3">
        <v>42830</v>
      </c>
      <c r="BT550" s="4">
        <v>0.4375</v>
      </c>
      <c r="BU550" s="2" t="s">
        <v>864</v>
      </c>
      <c r="BV550" s="2" t="s">
        <v>111</v>
      </c>
      <c r="BW550" s="2"/>
      <c r="BX550" s="2"/>
      <c r="BY550" s="2">
        <v>12625.88</v>
      </c>
      <c r="BZ550" s="2" t="s">
        <v>27</v>
      </c>
      <c r="CA550" s="2"/>
      <c r="CB550" s="2"/>
      <c r="CC550" s="2" t="s">
        <v>181</v>
      </c>
      <c r="CD550" s="2">
        <v>4001</v>
      </c>
      <c r="CE550" s="2" t="s">
        <v>135</v>
      </c>
      <c r="CF550" s="5">
        <v>42831</v>
      </c>
      <c r="CG550" s="2"/>
      <c r="CH550" s="2"/>
      <c r="CI550" s="2">
        <v>1</v>
      </c>
      <c r="CJ550" s="2">
        <v>1</v>
      </c>
      <c r="CK550" s="2">
        <v>21</v>
      </c>
      <c r="CL550" s="2" t="s">
        <v>86</v>
      </c>
      <c r="CM550" s="2"/>
    </row>
    <row r="551" spans="1:91">
      <c r="A551" s="2" t="s">
        <v>71</v>
      </c>
      <c r="B551" s="2" t="s">
        <v>72</v>
      </c>
      <c r="C551" s="2" t="s">
        <v>73</v>
      </c>
      <c r="D551" s="2"/>
      <c r="E551" s="2" t="str">
        <f>"FES1162542772"</f>
        <v>FES1162542772</v>
      </c>
      <c r="F551" s="3">
        <v>42836</v>
      </c>
      <c r="G551" s="2">
        <v>201710</v>
      </c>
      <c r="H551" s="2" t="s">
        <v>74</v>
      </c>
      <c r="I551" s="2" t="s">
        <v>75</v>
      </c>
      <c r="J551" s="2" t="s">
        <v>76</v>
      </c>
      <c r="K551" s="2" t="s">
        <v>77</v>
      </c>
      <c r="L551" s="2" t="s">
        <v>396</v>
      </c>
      <c r="M551" s="2" t="s">
        <v>397</v>
      </c>
      <c r="N551" s="2" t="s">
        <v>500</v>
      </c>
      <c r="O551" s="2" t="s">
        <v>115</v>
      </c>
      <c r="P551" s="2" t="str">
        <f>"2170559530                    "</f>
        <v xml:space="preserve">2170559530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4.29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1</v>
      </c>
      <c r="BI551" s="2">
        <v>1</v>
      </c>
      <c r="BJ551" s="2">
        <v>1.3</v>
      </c>
      <c r="BK551" s="2">
        <v>1.5</v>
      </c>
      <c r="BL551" s="2">
        <v>41.73</v>
      </c>
      <c r="BM551" s="2">
        <v>5.84</v>
      </c>
      <c r="BN551" s="2">
        <v>47.57</v>
      </c>
      <c r="BO551" s="2">
        <v>47.57</v>
      </c>
      <c r="BP551" s="2"/>
      <c r="BQ551" s="2" t="s">
        <v>501</v>
      </c>
      <c r="BR551" s="2" t="s">
        <v>123</v>
      </c>
      <c r="BS551" s="3">
        <v>42837</v>
      </c>
      <c r="BT551" s="4">
        <v>0.4375</v>
      </c>
      <c r="BU551" s="2" t="s">
        <v>835</v>
      </c>
      <c r="BV551" s="2" t="s">
        <v>111</v>
      </c>
      <c r="BW551" s="2"/>
      <c r="BX551" s="2"/>
      <c r="BY551" s="2">
        <v>6555.56</v>
      </c>
      <c r="BZ551" s="2" t="s">
        <v>27</v>
      </c>
      <c r="CA551" s="2"/>
      <c r="CB551" s="2"/>
      <c r="CC551" s="2" t="s">
        <v>397</v>
      </c>
      <c r="CD551" s="2">
        <v>4302</v>
      </c>
      <c r="CE551" s="2" t="s">
        <v>144</v>
      </c>
      <c r="CF551" s="5">
        <v>42838</v>
      </c>
      <c r="CG551" s="2"/>
      <c r="CH551" s="2"/>
      <c r="CI551" s="2">
        <v>1</v>
      </c>
      <c r="CJ551" s="2">
        <v>1</v>
      </c>
      <c r="CK551" s="2">
        <v>21</v>
      </c>
      <c r="CL551" s="2" t="s">
        <v>86</v>
      </c>
      <c r="CM551" s="2"/>
    </row>
    <row r="552" spans="1:91">
      <c r="A552" s="2" t="s">
        <v>71</v>
      </c>
      <c r="B552" s="2" t="s">
        <v>72</v>
      </c>
      <c r="C552" s="2" t="s">
        <v>73</v>
      </c>
      <c r="D552" s="2"/>
      <c r="E552" s="2" t="str">
        <f>"FES1162541725"</f>
        <v>FES1162541725</v>
      </c>
      <c r="F552" s="3">
        <v>42830</v>
      </c>
      <c r="G552" s="2">
        <v>201710</v>
      </c>
      <c r="H552" s="2" t="s">
        <v>74</v>
      </c>
      <c r="I552" s="2" t="s">
        <v>75</v>
      </c>
      <c r="J552" s="2" t="s">
        <v>76</v>
      </c>
      <c r="K552" s="2" t="s">
        <v>77</v>
      </c>
      <c r="L552" s="2" t="s">
        <v>180</v>
      </c>
      <c r="M552" s="2" t="s">
        <v>181</v>
      </c>
      <c r="N552" s="2" t="s">
        <v>1123</v>
      </c>
      <c r="O552" s="2" t="s">
        <v>115</v>
      </c>
      <c r="P552" s="2" t="str">
        <f>"2170560725                    "</f>
        <v xml:space="preserve">2170560725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4.29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1</v>
      </c>
      <c r="BJ552" s="2">
        <v>0.2</v>
      </c>
      <c r="BK552" s="2">
        <v>1</v>
      </c>
      <c r="BL552" s="2">
        <v>41.73</v>
      </c>
      <c r="BM552" s="2">
        <v>5.84</v>
      </c>
      <c r="BN552" s="2">
        <v>47.57</v>
      </c>
      <c r="BO552" s="2">
        <v>47.57</v>
      </c>
      <c r="BP552" s="2"/>
      <c r="BQ552" s="2" t="s">
        <v>1124</v>
      </c>
      <c r="BR552" s="2" t="s">
        <v>123</v>
      </c>
      <c r="BS552" s="3">
        <v>42831</v>
      </c>
      <c r="BT552" s="4">
        <v>0.4375</v>
      </c>
      <c r="BU552" s="2" t="s">
        <v>245</v>
      </c>
      <c r="BV552" s="2" t="s">
        <v>111</v>
      </c>
      <c r="BW552" s="2"/>
      <c r="BX552" s="2"/>
      <c r="BY552" s="2">
        <v>1200</v>
      </c>
      <c r="BZ552" s="2" t="s">
        <v>27</v>
      </c>
      <c r="CA552" s="2"/>
      <c r="CB552" s="2"/>
      <c r="CC552" s="2" t="s">
        <v>181</v>
      </c>
      <c r="CD552" s="2">
        <v>4001</v>
      </c>
      <c r="CE552" s="2" t="s">
        <v>118</v>
      </c>
      <c r="CF552" s="5">
        <v>42832</v>
      </c>
      <c r="CG552" s="2"/>
      <c r="CH552" s="2"/>
      <c r="CI552" s="2">
        <v>1</v>
      </c>
      <c r="CJ552" s="2">
        <v>1</v>
      </c>
      <c r="CK552" s="2">
        <v>21</v>
      </c>
      <c r="CL552" s="2" t="s">
        <v>86</v>
      </c>
      <c r="CM552" s="2"/>
    </row>
    <row r="553" spans="1:91">
      <c r="A553" s="2" t="s">
        <v>71</v>
      </c>
      <c r="B553" s="2" t="s">
        <v>72</v>
      </c>
      <c r="C553" s="2" t="s">
        <v>73</v>
      </c>
      <c r="D553" s="2"/>
      <c r="E553" s="2" t="str">
        <f>"FES1162541526"</f>
        <v>FES1162541526</v>
      </c>
      <c r="F553" s="3">
        <v>42830</v>
      </c>
      <c r="G553" s="2">
        <v>201710</v>
      </c>
      <c r="H553" s="2" t="s">
        <v>74</v>
      </c>
      <c r="I553" s="2" t="s">
        <v>75</v>
      </c>
      <c r="J553" s="2" t="s">
        <v>76</v>
      </c>
      <c r="K553" s="2" t="s">
        <v>77</v>
      </c>
      <c r="L553" s="2" t="s">
        <v>74</v>
      </c>
      <c r="M553" s="2" t="s">
        <v>75</v>
      </c>
      <c r="N553" s="2" t="s">
        <v>1125</v>
      </c>
      <c r="O553" s="2" t="s">
        <v>115</v>
      </c>
      <c r="P553" s="2" t="str">
        <f>"2170559370                    "</f>
        <v xml:space="preserve">2170559370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3.35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1</v>
      </c>
      <c r="BJ553" s="2">
        <v>0.2</v>
      </c>
      <c r="BK553" s="2">
        <v>1</v>
      </c>
      <c r="BL553" s="2">
        <v>32.6</v>
      </c>
      <c r="BM553" s="2">
        <v>4.5599999999999996</v>
      </c>
      <c r="BN553" s="2">
        <v>37.159999999999997</v>
      </c>
      <c r="BO553" s="2">
        <v>37.159999999999997</v>
      </c>
      <c r="BP553" s="2"/>
      <c r="BQ553" s="2" t="s">
        <v>1126</v>
      </c>
      <c r="BR553" s="2" t="s">
        <v>123</v>
      </c>
      <c r="BS553" s="3">
        <v>42831</v>
      </c>
      <c r="BT553" s="4">
        <v>0.33402777777777781</v>
      </c>
      <c r="BU553" s="2" t="s">
        <v>1127</v>
      </c>
      <c r="BV553" s="2" t="s">
        <v>111</v>
      </c>
      <c r="BW553" s="2"/>
      <c r="BX553" s="2"/>
      <c r="BY553" s="2">
        <v>1200</v>
      </c>
      <c r="BZ553" s="2" t="s">
        <v>27</v>
      </c>
      <c r="CA553" s="2" t="s">
        <v>383</v>
      </c>
      <c r="CB553" s="2"/>
      <c r="CC553" s="2" t="s">
        <v>75</v>
      </c>
      <c r="CD553" s="2">
        <v>1624</v>
      </c>
      <c r="CE553" s="2" t="s">
        <v>118</v>
      </c>
      <c r="CF553" s="5">
        <v>42832</v>
      </c>
      <c r="CG553" s="2"/>
      <c r="CH553" s="2"/>
      <c r="CI553" s="2">
        <v>1</v>
      </c>
      <c r="CJ553" s="2">
        <v>1</v>
      </c>
      <c r="CK553" s="2">
        <v>22</v>
      </c>
      <c r="CL553" s="2" t="s">
        <v>86</v>
      </c>
      <c r="CM553" s="2"/>
    </row>
    <row r="554" spans="1:91">
      <c r="A554" s="2" t="s">
        <v>71</v>
      </c>
      <c r="B554" s="2" t="s">
        <v>72</v>
      </c>
      <c r="C554" s="2" t="s">
        <v>73</v>
      </c>
      <c r="D554" s="2"/>
      <c r="E554" s="2" t="str">
        <f>"FES1162543262"</f>
        <v>FES1162543262</v>
      </c>
      <c r="F554" s="3">
        <v>42837</v>
      </c>
      <c r="G554" s="2">
        <v>201710</v>
      </c>
      <c r="H554" s="2" t="s">
        <v>74</v>
      </c>
      <c r="I554" s="2" t="s">
        <v>75</v>
      </c>
      <c r="J554" s="2" t="s">
        <v>76</v>
      </c>
      <c r="K554" s="2" t="s">
        <v>77</v>
      </c>
      <c r="L554" s="2" t="s">
        <v>396</v>
      </c>
      <c r="M554" s="2" t="s">
        <v>397</v>
      </c>
      <c r="N554" s="2" t="s">
        <v>500</v>
      </c>
      <c r="O554" s="2" t="s">
        <v>115</v>
      </c>
      <c r="P554" s="2" t="str">
        <f>"2170559530                    "</f>
        <v xml:space="preserve">2170559530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4.29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0.8</v>
      </c>
      <c r="BJ554" s="2">
        <v>0.9</v>
      </c>
      <c r="BK554" s="2">
        <v>1</v>
      </c>
      <c r="BL554" s="2">
        <v>41.73</v>
      </c>
      <c r="BM554" s="2">
        <v>5.84</v>
      </c>
      <c r="BN554" s="2">
        <v>47.57</v>
      </c>
      <c r="BO554" s="2">
        <v>47.57</v>
      </c>
      <c r="BP554" s="2"/>
      <c r="BQ554" s="2" t="s">
        <v>501</v>
      </c>
      <c r="BR554" s="2" t="s">
        <v>84</v>
      </c>
      <c r="BS554" s="3">
        <v>42838</v>
      </c>
      <c r="BT554" s="4">
        <v>0.4375</v>
      </c>
      <c r="BU554" s="2" t="s">
        <v>1128</v>
      </c>
      <c r="BV554" s="2" t="s">
        <v>111</v>
      </c>
      <c r="BW554" s="2"/>
      <c r="BX554" s="2"/>
      <c r="BY554" s="2">
        <v>4534.92</v>
      </c>
      <c r="BZ554" s="2" t="s">
        <v>27</v>
      </c>
      <c r="CA554" s="2"/>
      <c r="CB554" s="2"/>
      <c r="CC554" s="2" t="s">
        <v>397</v>
      </c>
      <c r="CD554" s="2">
        <v>4302</v>
      </c>
      <c r="CE554" s="2" t="s">
        <v>89</v>
      </c>
      <c r="CF554" s="5">
        <v>42843</v>
      </c>
      <c r="CG554" s="2"/>
      <c r="CH554" s="2"/>
      <c r="CI554" s="2">
        <v>1</v>
      </c>
      <c r="CJ554" s="2">
        <v>1</v>
      </c>
      <c r="CK554" s="2">
        <v>21</v>
      </c>
      <c r="CL554" s="2" t="s">
        <v>86</v>
      </c>
      <c r="CM554" s="2"/>
    </row>
    <row r="555" spans="1:91">
      <c r="A555" s="2" t="s">
        <v>71</v>
      </c>
      <c r="B555" s="2" t="s">
        <v>72</v>
      </c>
      <c r="C555" s="2" t="s">
        <v>73</v>
      </c>
      <c r="D555" s="2"/>
      <c r="E555" s="2" t="str">
        <f>"FES1162541882"</f>
        <v>FES1162541882</v>
      </c>
      <c r="F555" s="3">
        <v>42831</v>
      </c>
      <c r="G555" s="2">
        <v>201710</v>
      </c>
      <c r="H555" s="2" t="s">
        <v>74</v>
      </c>
      <c r="I555" s="2" t="s">
        <v>75</v>
      </c>
      <c r="J555" s="2" t="s">
        <v>76</v>
      </c>
      <c r="K555" s="2" t="s">
        <v>77</v>
      </c>
      <c r="L555" s="2" t="s">
        <v>74</v>
      </c>
      <c r="M555" s="2" t="s">
        <v>75</v>
      </c>
      <c r="N555" s="2" t="s">
        <v>573</v>
      </c>
      <c r="O555" s="2" t="s">
        <v>115</v>
      </c>
      <c r="P555" s="2" t="str">
        <f>"2170560888                    "</f>
        <v xml:space="preserve">2170560888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3.35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2.6</v>
      </c>
      <c r="BJ555" s="2">
        <v>3</v>
      </c>
      <c r="BK555" s="2">
        <v>3</v>
      </c>
      <c r="BL555" s="2">
        <v>32.6</v>
      </c>
      <c r="BM555" s="2">
        <v>4.5599999999999996</v>
      </c>
      <c r="BN555" s="2">
        <v>37.159999999999997</v>
      </c>
      <c r="BO555" s="2">
        <v>37.159999999999997</v>
      </c>
      <c r="BP555" s="2"/>
      <c r="BQ555" s="2" t="s">
        <v>574</v>
      </c>
      <c r="BR555" s="2" t="s">
        <v>123</v>
      </c>
      <c r="BS555" s="3">
        <v>42832</v>
      </c>
      <c r="BT555" s="4">
        <v>0.4375</v>
      </c>
      <c r="BU555" s="2" t="s">
        <v>575</v>
      </c>
      <c r="BV555" s="2" t="s">
        <v>111</v>
      </c>
      <c r="BW555" s="2"/>
      <c r="BX555" s="2"/>
      <c r="BY555" s="2">
        <v>14784</v>
      </c>
      <c r="BZ555" s="2" t="s">
        <v>27</v>
      </c>
      <c r="CA555" s="2"/>
      <c r="CB555" s="2"/>
      <c r="CC555" s="2" t="s">
        <v>75</v>
      </c>
      <c r="CD555" s="2">
        <v>1665</v>
      </c>
      <c r="CE555" s="2" t="s">
        <v>89</v>
      </c>
      <c r="CF555" s="5">
        <v>42835</v>
      </c>
      <c r="CG555" s="2"/>
      <c r="CH555" s="2"/>
      <c r="CI555" s="2">
        <v>1</v>
      </c>
      <c r="CJ555" s="2">
        <v>1</v>
      </c>
      <c r="CK555" s="2">
        <v>22</v>
      </c>
      <c r="CL555" s="2" t="s">
        <v>86</v>
      </c>
      <c r="CM555" s="2"/>
    </row>
    <row r="556" spans="1:91">
      <c r="A556" s="2" t="s">
        <v>71</v>
      </c>
      <c r="B556" s="2" t="s">
        <v>72</v>
      </c>
      <c r="C556" s="2" t="s">
        <v>73</v>
      </c>
      <c r="D556" s="2"/>
      <c r="E556" s="2" t="str">
        <f>"FES1162541448"</f>
        <v>FES1162541448</v>
      </c>
      <c r="F556" s="3">
        <v>42829</v>
      </c>
      <c r="G556" s="2">
        <v>201710</v>
      </c>
      <c r="H556" s="2" t="s">
        <v>74</v>
      </c>
      <c r="I556" s="2" t="s">
        <v>75</v>
      </c>
      <c r="J556" s="2" t="s">
        <v>76</v>
      </c>
      <c r="K556" s="2" t="s">
        <v>77</v>
      </c>
      <c r="L556" s="2" t="s">
        <v>294</v>
      </c>
      <c r="M556" s="2" t="s">
        <v>295</v>
      </c>
      <c r="N556" s="2" t="s">
        <v>1129</v>
      </c>
      <c r="O556" s="2" t="s">
        <v>115</v>
      </c>
      <c r="P556" s="2" t="str">
        <f>"2170557127                    "</f>
        <v xml:space="preserve">2170557127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4.42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1</v>
      </c>
      <c r="BJ556" s="2">
        <v>1.3</v>
      </c>
      <c r="BK556" s="2">
        <v>1.5</v>
      </c>
      <c r="BL556" s="2">
        <v>41.86</v>
      </c>
      <c r="BM556" s="2">
        <v>5.86</v>
      </c>
      <c r="BN556" s="2">
        <v>47.72</v>
      </c>
      <c r="BO556" s="2">
        <v>47.72</v>
      </c>
      <c r="BP556" s="2"/>
      <c r="BQ556" s="2" t="s">
        <v>1130</v>
      </c>
      <c r="BR556" s="2" t="s">
        <v>123</v>
      </c>
      <c r="BS556" s="3">
        <v>42830</v>
      </c>
      <c r="BT556" s="4">
        <v>0.4375</v>
      </c>
      <c r="BU556" s="2" t="s">
        <v>1131</v>
      </c>
      <c r="BV556" s="2" t="s">
        <v>111</v>
      </c>
      <c r="BW556" s="2"/>
      <c r="BX556" s="2"/>
      <c r="BY556" s="2">
        <v>6501.26</v>
      </c>
      <c r="BZ556" s="2" t="s">
        <v>27</v>
      </c>
      <c r="CA556" s="2"/>
      <c r="CB556" s="2"/>
      <c r="CC556" s="2" t="s">
        <v>295</v>
      </c>
      <c r="CD556" s="2">
        <v>3610</v>
      </c>
      <c r="CE556" s="2" t="s">
        <v>89</v>
      </c>
      <c r="CF556" s="5">
        <v>42831</v>
      </c>
      <c r="CG556" s="2"/>
      <c r="CH556" s="2"/>
      <c r="CI556" s="2">
        <v>1</v>
      </c>
      <c r="CJ556" s="2">
        <v>1</v>
      </c>
      <c r="CK556" s="2">
        <v>21</v>
      </c>
      <c r="CL556" s="2" t="s">
        <v>86</v>
      </c>
      <c r="CM556" s="2"/>
    </row>
    <row r="557" spans="1:91">
      <c r="A557" s="2" t="s">
        <v>71</v>
      </c>
      <c r="B557" s="2" t="s">
        <v>72</v>
      </c>
      <c r="C557" s="2" t="s">
        <v>73</v>
      </c>
      <c r="D557" s="2"/>
      <c r="E557" s="2" t="str">
        <f>"FES1162542784"</f>
        <v>FES1162542784</v>
      </c>
      <c r="F557" s="3">
        <v>42836</v>
      </c>
      <c r="G557" s="2">
        <v>201710</v>
      </c>
      <c r="H557" s="2" t="s">
        <v>74</v>
      </c>
      <c r="I557" s="2" t="s">
        <v>75</v>
      </c>
      <c r="J557" s="2" t="s">
        <v>76</v>
      </c>
      <c r="K557" s="2" t="s">
        <v>77</v>
      </c>
      <c r="L557" s="2" t="s">
        <v>549</v>
      </c>
      <c r="M557" s="2" t="s">
        <v>550</v>
      </c>
      <c r="N557" s="2" t="s">
        <v>689</v>
      </c>
      <c r="O557" s="2" t="s">
        <v>115</v>
      </c>
      <c r="P557" s="2" t="str">
        <f>"2170561188                    "</f>
        <v xml:space="preserve">2170561188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4.29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1</v>
      </c>
      <c r="BJ557" s="2">
        <v>0.2</v>
      </c>
      <c r="BK557" s="2">
        <v>1</v>
      </c>
      <c r="BL557" s="2">
        <v>41.73</v>
      </c>
      <c r="BM557" s="2">
        <v>5.84</v>
      </c>
      <c r="BN557" s="2">
        <v>47.57</v>
      </c>
      <c r="BO557" s="2">
        <v>47.57</v>
      </c>
      <c r="BP557" s="2"/>
      <c r="BQ557" s="2" t="s">
        <v>690</v>
      </c>
      <c r="BR557" s="2" t="s">
        <v>123</v>
      </c>
      <c r="BS557" s="3">
        <v>42837</v>
      </c>
      <c r="BT557" s="4">
        <v>0.41666666666666669</v>
      </c>
      <c r="BU557" s="2" t="s">
        <v>1132</v>
      </c>
      <c r="BV557" s="2" t="s">
        <v>111</v>
      </c>
      <c r="BW557" s="2"/>
      <c r="BX557" s="2"/>
      <c r="BY557" s="2">
        <v>1200</v>
      </c>
      <c r="BZ557" s="2" t="s">
        <v>27</v>
      </c>
      <c r="CA557" s="2"/>
      <c r="CB557" s="2"/>
      <c r="CC557" s="2" t="s">
        <v>550</v>
      </c>
      <c r="CD557" s="2">
        <v>3699</v>
      </c>
      <c r="CE557" s="2" t="s">
        <v>144</v>
      </c>
      <c r="CF557" s="2"/>
      <c r="CG557" s="2"/>
      <c r="CH557" s="2"/>
      <c r="CI557" s="2">
        <v>1</v>
      </c>
      <c r="CJ557" s="2">
        <v>1</v>
      </c>
      <c r="CK557" s="2">
        <v>21</v>
      </c>
      <c r="CL557" s="2" t="s">
        <v>86</v>
      </c>
      <c r="CM557" s="2"/>
    </row>
    <row r="558" spans="1:91">
      <c r="A558" s="2" t="s">
        <v>71</v>
      </c>
      <c r="B558" s="2" t="s">
        <v>72</v>
      </c>
      <c r="C558" s="2" t="s">
        <v>73</v>
      </c>
      <c r="D558" s="2"/>
      <c r="E558" s="2" t="str">
        <f>"FES1162541791"</f>
        <v>FES1162541791</v>
      </c>
      <c r="F558" s="3">
        <v>42830</v>
      </c>
      <c r="G558" s="2">
        <v>201710</v>
      </c>
      <c r="H558" s="2" t="s">
        <v>74</v>
      </c>
      <c r="I558" s="2" t="s">
        <v>75</v>
      </c>
      <c r="J558" s="2" t="s">
        <v>76</v>
      </c>
      <c r="K558" s="2" t="s">
        <v>77</v>
      </c>
      <c r="L558" s="2" t="s">
        <v>180</v>
      </c>
      <c r="M558" s="2" t="s">
        <v>181</v>
      </c>
      <c r="N558" s="2" t="s">
        <v>1133</v>
      </c>
      <c r="O558" s="2" t="s">
        <v>115</v>
      </c>
      <c r="P558" s="2" t="str">
        <f>"2170560801                    "</f>
        <v xml:space="preserve">2170560801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4.29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1</v>
      </c>
      <c r="BJ558" s="2">
        <v>0.2</v>
      </c>
      <c r="BK558" s="2">
        <v>1</v>
      </c>
      <c r="BL558" s="2">
        <v>41.73</v>
      </c>
      <c r="BM558" s="2">
        <v>5.84</v>
      </c>
      <c r="BN558" s="2">
        <v>47.57</v>
      </c>
      <c r="BO558" s="2">
        <v>47.57</v>
      </c>
      <c r="BP558" s="2"/>
      <c r="BQ558" s="2" t="s">
        <v>1134</v>
      </c>
      <c r="BR558" s="2" t="s">
        <v>123</v>
      </c>
      <c r="BS558" s="3">
        <v>42831</v>
      </c>
      <c r="BT558" s="4">
        <v>0.4375</v>
      </c>
      <c r="BU558" s="2" t="s">
        <v>1135</v>
      </c>
      <c r="BV558" s="2" t="s">
        <v>111</v>
      </c>
      <c r="BW558" s="2"/>
      <c r="BX558" s="2"/>
      <c r="BY558" s="2">
        <v>1200</v>
      </c>
      <c r="BZ558" s="2" t="s">
        <v>27</v>
      </c>
      <c r="CA558" s="2"/>
      <c r="CB558" s="2"/>
      <c r="CC558" s="2" t="s">
        <v>181</v>
      </c>
      <c r="CD558" s="2">
        <v>4064</v>
      </c>
      <c r="CE558" s="2" t="s">
        <v>118</v>
      </c>
      <c r="CF558" s="5">
        <v>42832</v>
      </c>
      <c r="CG558" s="2"/>
      <c r="CH558" s="2"/>
      <c r="CI558" s="2">
        <v>1</v>
      </c>
      <c r="CJ558" s="2">
        <v>1</v>
      </c>
      <c r="CK558" s="2">
        <v>21</v>
      </c>
      <c r="CL558" s="2" t="s">
        <v>86</v>
      </c>
      <c r="CM558" s="2"/>
    </row>
    <row r="559" spans="1:91">
      <c r="A559" s="2" t="s">
        <v>71</v>
      </c>
      <c r="B559" s="2" t="s">
        <v>72</v>
      </c>
      <c r="C559" s="2" t="s">
        <v>73</v>
      </c>
      <c r="D559" s="2"/>
      <c r="E559" s="2" t="str">
        <f>"FES1162541629"</f>
        <v>FES1162541629</v>
      </c>
      <c r="F559" s="3">
        <v>42830</v>
      </c>
      <c r="G559" s="2">
        <v>201710</v>
      </c>
      <c r="H559" s="2" t="s">
        <v>74</v>
      </c>
      <c r="I559" s="2" t="s">
        <v>75</v>
      </c>
      <c r="J559" s="2" t="s">
        <v>76</v>
      </c>
      <c r="K559" s="2" t="s">
        <v>77</v>
      </c>
      <c r="L559" s="2" t="s">
        <v>112</v>
      </c>
      <c r="M559" s="2" t="s">
        <v>113</v>
      </c>
      <c r="N559" s="2" t="s">
        <v>454</v>
      </c>
      <c r="O559" s="2" t="s">
        <v>115</v>
      </c>
      <c r="P559" s="2" t="str">
        <f>"2170558106                    "</f>
        <v xml:space="preserve">2170558106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4.29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1</v>
      </c>
      <c r="BJ559" s="2">
        <v>1.3</v>
      </c>
      <c r="BK559" s="2">
        <v>1.5</v>
      </c>
      <c r="BL559" s="2">
        <v>41.73</v>
      </c>
      <c r="BM559" s="2">
        <v>5.84</v>
      </c>
      <c r="BN559" s="2">
        <v>47.57</v>
      </c>
      <c r="BO559" s="2">
        <v>47.57</v>
      </c>
      <c r="BP559" s="2"/>
      <c r="BQ559" s="2" t="s">
        <v>455</v>
      </c>
      <c r="BR559" s="2" t="s">
        <v>123</v>
      </c>
      <c r="BS559" s="3">
        <v>42831</v>
      </c>
      <c r="BT559" s="4">
        <v>0.37847222222222227</v>
      </c>
      <c r="BU559" s="2" t="s">
        <v>1136</v>
      </c>
      <c r="BV559" s="2" t="s">
        <v>111</v>
      </c>
      <c r="BW559" s="2"/>
      <c r="BX559" s="2"/>
      <c r="BY559" s="2">
        <v>6503.86</v>
      </c>
      <c r="BZ559" s="2" t="s">
        <v>27</v>
      </c>
      <c r="CA559" s="2"/>
      <c r="CB559" s="2"/>
      <c r="CC559" s="2" t="s">
        <v>113</v>
      </c>
      <c r="CD559" s="2">
        <v>3201</v>
      </c>
      <c r="CE559" s="2" t="s">
        <v>144</v>
      </c>
      <c r="CF559" s="5">
        <v>42833</v>
      </c>
      <c r="CG559" s="2"/>
      <c r="CH559" s="2"/>
      <c r="CI559" s="2">
        <v>1</v>
      </c>
      <c r="CJ559" s="2">
        <v>1</v>
      </c>
      <c r="CK559" s="2">
        <v>21</v>
      </c>
      <c r="CL559" s="2" t="s">
        <v>86</v>
      </c>
      <c r="CM559" s="2"/>
    </row>
    <row r="560" spans="1:91">
      <c r="A560" s="2" t="s">
        <v>71</v>
      </c>
      <c r="B560" s="2" t="s">
        <v>72</v>
      </c>
      <c r="C560" s="2" t="s">
        <v>73</v>
      </c>
      <c r="D560" s="2"/>
      <c r="E560" s="2" t="str">
        <f>"FES1162543172"</f>
        <v>FES1162543172</v>
      </c>
      <c r="F560" s="3">
        <v>42837</v>
      </c>
      <c r="G560" s="2">
        <v>201710</v>
      </c>
      <c r="H560" s="2" t="s">
        <v>74</v>
      </c>
      <c r="I560" s="2" t="s">
        <v>75</v>
      </c>
      <c r="J560" s="2" t="s">
        <v>76</v>
      </c>
      <c r="K560" s="2" t="s">
        <v>77</v>
      </c>
      <c r="L560" s="2" t="s">
        <v>358</v>
      </c>
      <c r="M560" s="2" t="s">
        <v>359</v>
      </c>
      <c r="N560" s="2" t="s">
        <v>360</v>
      </c>
      <c r="O560" s="2" t="s">
        <v>115</v>
      </c>
      <c r="P560" s="2" t="str">
        <f>"2170557955                    "</f>
        <v xml:space="preserve">2170557955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4.29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1</v>
      </c>
      <c r="BJ560" s="2">
        <v>0.2</v>
      </c>
      <c r="BK560" s="2">
        <v>1</v>
      </c>
      <c r="BL560" s="2">
        <v>41.73</v>
      </c>
      <c r="BM560" s="2">
        <v>5.84</v>
      </c>
      <c r="BN560" s="2">
        <v>47.57</v>
      </c>
      <c r="BO560" s="2">
        <v>47.57</v>
      </c>
      <c r="BP560" s="2"/>
      <c r="BQ560" s="2" t="s">
        <v>361</v>
      </c>
      <c r="BR560" s="2" t="s">
        <v>84</v>
      </c>
      <c r="BS560" s="3">
        <v>42838</v>
      </c>
      <c r="BT560" s="4">
        <v>0.33333333333333331</v>
      </c>
      <c r="BU560" s="2" t="s">
        <v>362</v>
      </c>
      <c r="BV560" s="2" t="s">
        <v>111</v>
      </c>
      <c r="BW560" s="2"/>
      <c r="BX560" s="2"/>
      <c r="BY560" s="2">
        <v>1200</v>
      </c>
      <c r="BZ560" s="2" t="s">
        <v>27</v>
      </c>
      <c r="CA560" s="2" t="s">
        <v>159</v>
      </c>
      <c r="CB560" s="2"/>
      <c r="CC560" s="2" t="s">
        <v>359</v>
      </c>
      <c r="CD560" s="2">
        <v>6229</v>
      </c>
      <c r="CE560" s="2" t="s">
        <v>118</v>
      </c>
      <c r="CF560" s="5">
        <v>42843</v>
      </c>
      <c r="CG560" s="2"/>
      <c r="CH560" s="2"/>
      <c r="CI560" s="2">
        <v>1</v>
      </c>
      <c r="CJ560" s="2">
        <v>1</v>
      </c>
      <c r="CK560" s="2">
        <v>21</v>
      </c>
      <c r="CL560" s="2" t="s">
        <v>86</v>
      </c>
      <c r="CM560" s="2"/>
    </row>
    <row r="561" spans="1:91">
      <c r="A561" s="2" t="s">
        <v>71</v>
      </c>
      <c r="B561" s="2" t="s">
        <v>72</v>
      </c>
      <c r="C561" s="2" t="s">
        <v>73</v>
      </c>
      <c r="D561" s="2"/>
      <c r="E561" s="2" t="str">
        <f>"FES1162542063"</f>
        <v>FES1162542063</v>
      </c>
      <c r="F561" s="3">
        <v>42831</v>
      </c>
      <c r="G561" s="2">
        <v>201710</v>
      </c>
      <c r="H561" s="2" t="s">
        <v>74</v>
      </c>
      <c r="I561" s="2" t="s">
        <v>75</v>
      </c>
      <c r="J561" s="2" t="s">
        <v>76</v>
      </c>
      <c r="K561" s="2" t="s">
        <v>77</v>
      </c>
      <c r="L561" s="2" t="s">
        <v>166</v>
      </c>
      <c r="M561" s="2" t="s">
        <v>167</v>
      </c>
      <c r="N561" s="2" t="s">
        <v>168</v>
      </c>
      <c r="O561" s="2" t="s">
        <v>115</v>
      </c>
      <c r="P561" s="2" t="str">
        <f>"2170557658                    "</f>
        <v xml:space="preserve">2170557658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3.35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1</v>
      </c>
      <c r="BI561" s="2">
        <v>1</v>
      </c>
      <c r="BJ561" s="2">
        <v>0.2</v>
      </c>
      <c r="BK561" s="2">
        <v>1</v>
      </c>
      <c r="BL561" s="2">
        <v>32.6</v>
      </c>
      <c r="BM561" s="2">
        <v>4.5599999999999996</v>
      </c>
      <c r="BN561" s="2">
        <v>37.159999999999997</v>
      </c>
      <c r="BO561" s="2">
        <v>37.159999999999997</v>
      </c>
      <c r="BP561" s="2"/>
      <c r="BQ561" s="2" t="s">
        <v>169</v>
      </c>
      <c r="BR561" s="2" t="s">
        <v>123</v>
      </c>
      <c r="BS561" s="3">
        <v>42832</v>
      </c>
      <c r="BT561" s="4">
        <v>0.41736111111111113</v>
      </c>
      <c r="BU561" s="2" t="s">
        <v>823</v>
      </c>
      <c r="BV561" s="2" t="s">
        <v>111</v>
      </c>
      <c r="BW561" s="2"/>
      <c r="BX561" s="2"/>
      <c r="BY561" s="2">
        <v>1200</v>
      </c>
      <c r="BZ561" s="2" t="s">
        <v>27</v>
      </c>
      <c r="CA561" s="2" t="s">
        <v>171</v>
      </c>
      <c r="CB561" s="2"/>
      <c r="CC561" s="2" t="s">
        <v>167</v>
      </c>
      <c r="CD561" s="2">
        <v>2094</v>
      </c>
      <c r="CE561" s="2" t="s">
        <v>118</v>
      </c>
      <c r="CF561" s="5">
        <v>42835</v>
      </c>
      <c r="CG561" s="2"/>
      <c r="CH561" s="2"/>
      <c r="CI561" s="2">
        <v>1</v>
      </c>
      <c r="CJ561" s="2">
        <v>1</v>
      </c>
      <c r="CK561" s="2">
        <v>22</v>
      </c>
      <c r="CL561" s="2" t="s">
        <v>86</v>
      </c>
      <c r="CM561" s="2"/>
    </row>
    <row r="562" spans="1:91">
      <c r="A562" s="2" t="s">
        <v>71</v>
      </c>
      <c r="B562" s="2" t="s">
        <v>72</v>
      </c>
      <c r="C562" s="2" t="s">
        <v>73</v>
      </c>
      <c r="D562" s="2"/>
      <c r="E562" s="2" t="str">
        <f>"FES1162541443"</f>
        <v>FES1162541443</v>
      </c>
      <c r="F562" s="3">
        <v>42829</v>
      </c>
      <c r="G562" s="2">
        <v>201710</v>
      </c>
      <c r="H562" s="2" t="s">
        <v>74</v>
      </c>
      <c r="I562" s="2" t="s">
        <v>75</v>
      </c>
      <c r="J562" s="2" t="s">
        <v>76</v>
      </c>
      <c r="K562" s="2" t="s">
        <v>77</v>
      </c>
      <c r="L562" s="2" t="s">
        <v>160</v>
      </c>
      <c r="M562" s="2" t="s">
        <v>161</v>
      </c>
      <c r="N562" s="2" t="s">
        <v>907</v>
      </c>
      <c r="O562" s="2" t="s">
        <v>115</v>
      </c>
      <c r="P562" s="2" t="str">
        <f>"2170555039                    "</f>
        <v xml:space="preserve">2170555039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11.05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4.0999999999999996</v>
      </c>
      <c r="BJ562" s="2">
        <v>4.9000000000000004</v>
      </c>
      <c r="BK562" s="2">
        <v>5</v>
      </c>
      <c r="BL562" s="2">
        <v>104.65</v>
      </c>
      <c r="BM562" s="2">
        <v>14.65</v>
      </c>
      <c r="BN562" s="2">
        <v>119.3</v>
      </c>
      <c r="BO562" s="2">
        <v>119.3</v>
      </c>
      <c r="BP562" s="2"/>
      <c r="BQ562" s="2"/>
      <c r="BR562" s="2" t="s">
        <v>123</v>
      </c>
      <c r="BS562" s="3">
        <v>42830</v>
      </c>
      <c r="BT562" s="4">
        <v>0.41805555555555557</v>
      </c>
      <c r="BU562" s="2" t="s">
        <v>909</v>
      </c>
      <c r="BV562" s="2" t="s">
        <v>111</v>
      </c>
      <c r="BW562" s="2"/>
      <c r="BX562" s="2"/>
      <c r="BY562" s="2">
        <v>24438.18</v>
      </c>
      <c r="BZ562" s="2" t="s">
        <v>27</v>
      </c>
      <c r="CA562" s="2"/>
      <c r="CB562" s="2"/>
      <c r="CC562" s="2" t="s">
        <v>161</v>
      </c>
      <c r="CD562" s="2">
        <v>5201</v>
      </c>
      <c r="CE562" s="2" t="s">
        <v>89</v>
      </c>
      <c r="CF562" s="5">
        <v>42831</v>
      </c>
      <c r="CG562" s="2"/>
      <c r="CH562" s="2"/>
      <c r="CI562" s="2">
        <v>1</v>
      </c>
      <c r="CJ562" s="2">
        <v>1</v>
      </c>
      <c r="CK562" s="2">
        <v>21</v>
      </c>
      <c r="CL562" s="2" t="s">
        <v>86</v>
      </c>
      <c r="CM562" s="2"/>
    </row>
    <row r="563" spans="1:91">
      <c r="A563" s="2" t="s">
        <v>71</v>
      </c>
      <c r="B563" s="2" t="s">
        <v>72</v>
      </c>
      <c r="C563" s="2" t="s">
        <v>73</v>
      </c>
      <c r="D563" s="2"/>
      <c r="E563" s="2" t="str">
        <f>"FES1162542832"</f>
        <v>FES1162542832</v>
      </c>
      <c r="F563" s="3">
        <v>42836</v>
      </c>
      <c r="G563" s="2">
        <v>201710</v>
      </c>
      <c r="H563" s="2" t="s">
        <v>74</v>
      </c>
      <c r="I563" s="2" t="s">
        <v>75</v>
      </c>
      <c r="J563" s="2" t="s">
        <v>76</v>
      </c>
      <c r="K563" s="2" t="s">
        <v>77</v>
      </c>
      <c r="L563" s="2" t="s">
        <v>74</v>
      </c>
      <c r="M563" s="2" t="s">
        <v>75</v>
      </c>
      <c r="N563" s="2" t="s">
        <v>488</v>
      </c>
      <c r="O563" s="2" t="s">
        <v>115</v>
      </c>
      <c r="P563" s="2" t="str">
        <f>"2170561694                    "</f>
        <v xml:space="preserve">2170561694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3.35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1</v>
      </c>
      <c r="BJ563" s="2">
        <v>0.2</v>
      </c>
      <c r="BK563" s="2">
        <v>1</v>
      </c>
      <c r="BL563" s="2">
        <v>32.6</v>
      </c>
      <c r="BM563" s="2">
        <v>4.5599999999999996</v>
      </c>
      <c r="BN563" s="2">
        <v>37.159999999999997</v>
      </c>
      <c r="BO563" s="2">
        <v>37.159999999999997</v>
      </c>
      <c r="BP563" s="2"/>
      <c r="BQ563" s="2" t="s">
        <v>489</v>
      </c>
      <c r="BR563" s="2" t="s">
        <v>123</v>
      </c>
      <c r="BS563" s="3">
        <v>42837</v>
      </c>
      <c r="BT563" s="4">
        <v>0.3298611111111111</v>
      </c>
      <c r="BU563" s="2" t="s">
        <v>290</v>
      </c>
      <c r="BV563" s="2" t="s">
        <v>111</v>
      </c>
      <c r="BW563" s="2"/>
      <c r="BX563" s="2"/>
      <c r="BY563" s="2">
        <v>1200</v>
      </c>
      <c r="BZ563" s="2" t="s">
        <v>27</v>
      </c>
      <c r="CA563" s="2"/>
      <c r="CB563" s="2"/>
      <c r="CC563" s="2" t="s">
        <v>75</v>
      </c>
      <c r="CD563" s="2">
        <v>1645</v>
      </c>
      <c r="CE563" s="2" t="s">
        <v>118</v>
      </c>
      <c r="CF563" s="5">
        <v>42838</v>
      </c>
      <c r="CG563" s="2"/>
      <c r="CH563" s="2"/>
      <c r="CI563" s="2">
        <v>1</v>
      </c>
      <c r="CJ563" s="2">
        <v>1</v>
      </c>
      <c r="CK563" s="2">
        <v>22</v>
      </c>
      <c r="CL563" s="2" t="s">
        <v>86</v>
      </c>
      <c r="CM563" s="2"/>
    </row>
    <row r="564" spans="1:91">
      <c r="A564" s="2" t="s">
        <v>71</v>
      </c>
      <c r="B564" s="2" t="s">
        <v>72</v>
      </c>
      <c r="C564" s="2" t="s">
        <v>73</v>
      </c>
      <c r="D564" s="2"/>
      <c r="E564" s="2" t="str">
        <f>"FES1162541832"</f>
        <v>FES1162541832</v>
      </c>
      <c r="F564" s="3">
        <v>42830</v>
      </c>
      <c r="G564" s="2">
        <v>201710</v>
      </c>
      <c r="H564" s="2" t="s">
        <v>74</v>
      </c>
      <c r="I564" s="2" t="s">
        <v>75</v>
      </c>
      <c r="J564" s="2" t="s">
        <v>76</v>
      </c>
      <c r="K564" s="2" t="s">
        <v>77</v>
      </c>
      <c r="L564" s="2" t="s">
        <v>234</v>
      </c>
      <c r="M564" s="2" t="s">
        <v>235</v>
      </c>
      <c r="N564" s="2" t="s">
        <v>236</v>
      </c>
      <c r="O564" s="2" t="s">
        <v>115</v>
      </c>
      <c r="P564" s="2" t="str">
        <f>"2170560841                    "</f>
        <v xml:space="preserve">2170560841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4.29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0.2</v>
      </c>
      <c r="BK564" s="2">
        <v>1</v>
      </c>
      <c r="BL564" s="2">
        <v>41.73</v>
      </c>
      <c r="BM564" s="2">
        <v>5.84</v>
      </c>
      <c r="BN564" s="2">
        <v>47.57</v>
      </c>
      <c r="BO564" s="2">
        <v>47.57</v>
      </c>
      <c r="BP564" s="2"/>
      <c r="BQ564" s="2" t="s">
        <v>285</v>
      </c>
      <c r="BR564" s="2" t="s">
        <v>123</v>
      </c>
      <c r="BS564" s="3">
        <v>42831</v>
      </c>
      <c r="BT564" s="4">
        <v>0.31944444444444448</v>
      </c>
      <c r="BU564" s="2" t="s">
        <v>130</v>
      </c>
      <c r="BV564" s="2" t="s">
        <v>111</v>
      </c>
      <c r="BW564" s="2"/>
      <c r="BX564" s="2"/>
      <c r="BY564" s="2">
        <v>1200</v>
      </c>
      <c r="BZ564" s="2" t="s">
        <v>27</v>
      </c>
      <c r="CA564" s="2"/>
      <c r="CB564" s="2"/>
      <c r="CC564" s="2" t="s">
        <v>235</v>
      </c>
      <c r="CD564" s="2">
        <v>6220</v>
      </c>
      <c r="CE564" s="2" t="s">
        <v>118</v>
      </c>
      <c r="CF564" s="5">
        <v>42832</v>
      </c>
      <c r="CG564" s="2"/>
      <c r="CH564" s="2"/>
      <c r="CI564" s="2">
        <v>1</v>
      </c>
      <c r="CJ564" s="2">
        <v>1</v>
      </c>
      <c r="CK564" s="2">
        <v>21</v>
      </c>
      <c r="CL564" s="2" t="s">
        <v>86</v>
      </c>
      <c r="CM564" s="2"/>
    </row>
    <row r="565" spans="1:91">
      <c r="A565" s="2" t="s">
        <v>71</v>
      </c>
      <c r="B565" s="2" t="s">
        <v>72</v>
      </c>
      <c r="C565" s="2" t="s">
        <v>73</v>
      </c>
      <c r="D565" s="2"/>
      <c r="E565" s="2" t="str">
        <f>"FES1162541702"</f>
        <v>FES1162541702</v>
      </c>
      <c r="F565" s="3">
        <v>42830</v>
      </c>
      <c r="G565" s="2">
        <v>201710</v>
      </c>
      <c r="H565" s="2" t="s">
        <v>74</v>
      </c>
      <c r="I565" s="2" t="s">
        <v>75</v>
      </c>
      <c r="J565" s="2" t="s">
        <v>76</v>
      </c>
      <c r="K565" s="2" t="s">
        <v>77</v>
      </c>
      <c r="L565" s="2" t="s">
        <v>294</v>
      </c>
      <c r="M565" s="2" t="s">
        <v>295</v>
      </c>
      <c r="N565" s="2" t="s">
        <v>1015</v>
      </c>
      <c r="O565" s="2" t="s">
        <v>115</v>
      </c>
      <c r="P565" s="2" t="str">
        <f>"2170560709                    "</f>
        <v xml:space="preserve">2170560709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4.29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41.73</v>
      </c>
      <c r="BM565" s="2">
        <v>5.84</v>
      </c>
      <c r="BN565" s="2">
        <v>47.57</v>
      </c>
      <c r="BO565" s="2">
        <v>47.57</v>
      </c>
      <c r="BP565" s="2"/>
      <c r="BQ565" s="2" t="s">
        <v>129</v>
      </c>
      <c r="BR565" s="2" t="s">
        <v>123</v>
      </c>
      <c r="BS565" s="3">
        <v>42831</v>
      </c>
      <c r="BT565" s="4">
        <v>0.4375</v>
      </c>
      <c r="BU565" s="2" t="s">
        <v>1137</v>
      </c>
      <c r="BV565" s="2" t="s">
        <v>111</v>
      </c>
      <c r="BW565" s="2"/>
      <c r="BX565" s="2"/>
      <c r="BY565" s="2">
        <v>1200</v>
      </c>
      <c r="BZ565" s="2" t="s">
        <v>27</v>
      </c>
      <c r="CA565" s="2"/>
      <c r="CB565" s="2"/>
      <c r="CC565" s="2" t="s">
        <v>295</v>
      </c>
      <c r="CD565" s="2">
        <v>3610</v>
      </c>
      <c r="CE565" s="2" t="s">
        <v>144</v>
      </c>
      <c r="CF565" s="5">
        <v>42832</v>
      </c>
      <c r="CG565" s="2"/>
      <c r="CH565" s="2"/>
      <c r="CI565" s="2">
        <v>1</v>
      </c>
      <c r="CJ565" s="2">
        <v>1</v>
      </c>
      <c r="CK565" s="2">
        <v>21</v>
      </c>
      <c r="CL565" s="2" t="s">
        <v>86</v>
      </c>
      <c r="CM565" s="2"/>
    </row>
    <row r="566" spans="1:91">
      <c r="A566" s="2" t="s">
        <v>71</v>
      </c>
      <c r="B566" s="2" t="s">
        <v>72</v>
      </c>
      <c r="C566" s="2" t="s">
        <v>73</v>
      </c>
      <c r="D566" s="2"/>
      <c r="E566" s="2" t="str">
        <f>"FES1162543327"</f>
        <v>FES1162543327</v>
      </c>
      <c r="F566" s="3">
        <v>42837</v>
      </c>
      <c r="G566" s="2">
        <v>201710</v>
      </c>
      <c r="H566" s="2" t="s">
        <v>74</v>
      </c>
      <c r="I566" s="2" t="s">
        <v>75</v>
      </c>
      <c r="J566" s="2" t="s">
        <v>76</v>
      </c>
      <c r="K566" s="2" t="s">
        <v>77</v>
      </c>
      <c r="L566" s="2" t="s">
        <v>187</v>
      </c>
      <c r="M566" s="2" t="s">
        <v>146</v>
      </c>
      <c r="N566" s="2" t="s">
        <v>768</v>
      </c>
      <c r="O566" s="2" t="s">
        <v>115</v>
      </c>
      <c r="P566" s="2" t="str">
        <f>"2170559935                    "</f>
        <v xml:space="preserve">2170559935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4.29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0.4</v>
      </c>
      <c r="BJ566" s="2">
        <v>1.6</v>
      </c>
      <c r="BK566" s="2">
        <v>2</v>
      </c>
      <c r="BL566" s="2">
        <v>41.73</v>
      </c>
      <c r="BM566" s="2">
        <v>5.84</v>
      </c>
      <c r="BN566" s="2">
        <v>47.57</v>
      </c>
      <c r="BO566" s="2">
        <v>47.57</v>
      </c>
      <c r="BP566" s="2"/>
      <c r="BQ566" s="2" t="s">
        <v>769</v>
      </c>
      <c r="BR566" s="2" t="s">
        <v>84</v>
      </c>
      <c r="BS566" s="3">
        <v>42838</v>
      </c>
      <c r="BT566" s="4">
        <v>0.35416666666666669</v>
      </c>
      <c r="BU566" s="2" t="s">
        <v>1138</v>
      </c>
      <c r="BV566" s="2" t="s">
        <v>111</v>
      </c>
      <c r="BW566" s="2"/>
      <c r="BX566" s="2"/>
      <c r="BY566" s="2">
        <v>8037.64</v>
      </c>
      <c r="BZ566" s="2" t="s">
        <v>27</v>
      </c>
      <c r="CA566" s="2"/>
      <c r="CB566" s="2"/>
      <c r="CC566" s="2" t="s">
        <v>146</v>
      </c>
      <c r="CD566" s="2">
        <v>182</v>
      </c>
      <c r="CE566" s="2" t="s">
        <v>118</v>
      </c>
      <c r="CF566" s="5">
        <v>42844</v>
      </c>
      <c r="CG566" s="2"/>
      <c r="CH566" s="2"/>
      <c r="CI566" s="2">
        <v>0</v>
      </c>
      <c r="CJ566" s="2">
        <v>0</v>
      </c>
      <c r="CK566" s="2">
        <v>21</v>
      </c>
      <c r="CL566" s="2" t="s">
        <v>86</v>
      </c>
      <c r="CM566" s="2"/>
    </row>
    <row r="567" spans="1:91">
      <c r="A567" s="2" t="s">
        <v>71</v>
      </c>
      <c r="B567" s="2" t="s">
        <v>72</v>
      </c>
      <c r="C567" s="2" t="s">
        <v>73</v>
      </c>
      <c r="D567" s="2"/>
      <c r="E567" s="2" t="str">
        <f>"FES1162541862"</f>
        <v>FES1162541862</v>
      </c>
      <c r="F567" s="3">
        <v>42831</v>
      </c>
      <c r="G567" s="2">
        <v>201710</v>
      </c>
      <c r="H567" s="2" t="s">
        <v>74</v>
      </c>
      <c r="I567" s="2" t="s">
        <v>75</v>
      </c>
      <c r="J567" s="2" t="s">
        <v>76</v>
      </c>
      <c r="K567" s="2" t="s">
        <v>77</v>
      </c>
      <c r="L567" s="2" t="s">
        <v>99</v>
      </c>
      <c r="M567" s="2" t="s">
        <v>100</v>
      </c>
      <c r="N567" s="2" t="s">
        <v>151</v>
      </c>
      <c r="O567" s="2" t="s">
        <v>115</v>
      </c>
      <c r="P567" s="2" t="str">
        <f>"2170559731                    "</f>
        <v xml:space="preserve">2170559731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39.65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18.2</v>
      </c>
      <c r="BJ567" s="2">
        <v>6.4</v>
      </c>
      <c r="BK567" s="2">
        <v>18.5</v>
      </c>
      <c r="BL567" s="2">
        <v>385.97</v>
      </c>
      <c r="BM567" s="2">
        <v>54.04</v>
      </c>
      <c r="BN567" s="2">
        <v>440.01</v>
      </c>
      <c r="BO567" s="2">
        <v>440.01</v>
      </c>
      <c r="BP567" s="2"/>
      <c r="BQ567" s="2" t="s">
        <v>152</v>
      </c>
      <c r="BR567" s="2" t="s">
        <v>123</v>
      </c>
      <c r="BS567" s="3">
        <v>42835</v>
      </c>
      <c r="BT567" s="4">
        <v>0.40347222222222223</v>
      </c>
      <c r="BU567" s="2" t="s">
        <v>1139</v>
      </c>
      <c r="BV567" s="2" t="s">
        <v>86</v>
      </c>
      <c r="BW567" s="2" t="s">
        <v>96</v>
      </c>
      <c r="BX567" s="2" t="s">
        <v>1140</v>
      </c>
      <c r="BY567" s="2">
        <v>31962.59</v>
      </c>
      <c r="BZ567" s="2" t="s">
        <v>27</v>
      </c>
      <c r="CA567" s="2" t="s">
        <v>154</v>
      </c>
      <c r="CB567" s="2"/>
      <c r="CC567" s="2" t="s">
        <v>100</v>
      </c>
      <c r="CD567" s="2">
        <v>6001</v>
      </c>
      <c r="CE567" s="2" t="s">
        <v>89</v>
      </c>
      <c r="CF567" s="5">
        <v>42835</v>
      </c>
      <c r="CG567" s="2"/>
      <c r="CH567" s="2"/>
      <c r="CI567" s="2">
        <v>1</v>
      </c>
      <c r="CJ567" s="2">
        <v>2</v>
      </c>
      <c r="CK567" s="2">
        <v>21</v>
      </c>
      <c r="CL567" s="2" t="s">
        <v>86</v>
      </c>
      <c r="CM567" s="2"/>
    </row>
    <row r="568" spans="1:91">
      <c r="A568" s="2" t="s">
        <v>71</v>
      </c>
      <c r="B568" s="2" t="s">
        <v>72</v>
      </c>
      <c r="C568" s="2" t="s">
        <v>73</v>
      </c>
      <c r="D568" s="2"/>
      <c r="E568" s="2" t="str">
        <f>"FES1162541485"</f>
        <v>FES1162541485</v>
      </c>
      <c r="F568" s="3">
        <v>42829</v>
      </c>
      <c r="G568" s="2">
        <v>201710</v>
      </c>
      <c r="H568" s="2" t="s">
        <v>74</v>
      </c>
      <c r="I568" s="2" t="s">
        <v>75</v>
      </c>
      <c r="J568" s="2" t="s">
        <v>76</v>
      </c>
      <c r="K568" s="2" t="s">
        <v>77</v>
      </c>
      <c r="L568" s="2" t="s">
        <v>112</v>
      </c>
      <c r="M568" s="2" t="s">
        <v>113</v>
      </c>
      <c r="N568" s="2" t="s">
        <v>1141</v>
      </c>
      <c r="O568" s="2" t="s">
        <v>115</v>
      </c>
      <c r="P568" s="2" t="str">
        <f>"2170560573                    "</f>
        <v xml:space="preserve">2170560573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36.479999999999997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16.2</v>
      </c>
      <c r="BJ568" s="2">
        <v>3.8</v>
      </c>
      <c r="BK568" s="2">
        <v>16.5</v>
      </c>
      <c r="BL568" s="2">
        <v>345.36</v>
      </c>
      <c r="BM568" s="2">
        <v>48.35</v>
      </c>
      <c r="BN568" s="2">
        <v>393.71</v>
      </c>
      <c r="BO568" s="2">
        <v>393.71</v>
      </c>
      <c r="BP568" s="2"/>
      <c r="BQ568" s="2" t="s">
        <v>1142</v>
      </c>
      <c r="BR568" s="2" t="s">
        <v>123</v>
      </c>
      <c r="BS568" s="3">
        <v>42830</v>
      </c>
      <c r="BT568" s="4">
        <v>0.38125000000000003</v>
      </c>
      <c r="BU568" s="2" t="s">
        <v>1143</v>
      </c>
      <c r="BV568" s="2" t="s">
        <v>111</v>
      </c>
      <c r="BW568" s="2"/>
      <c r="BX568" s="2"/>
      <c r="BY568" s="2">
        <v>19134.759999999998</v>
      </c>
      <c r="BZ568" s="2" t="s">
        <v>27</v>
      </c>
      <c r="CA568" s="2" t="s">
        <v>159</v>
      </c>
      <c r="CB568" s="2"/>
      <c r="CC568" s="2" t="s">
        <v>113</v>
      </c>
      <c r="CD568" s="2">
        <v>3201</v>
      </c>
      <c r="CE568" s="2" t="s">
        <v>89</v>
      </c>
      <c r="CF568" s="5">
        <v>42832</v>
      </c>
      <c r="CG568" s="2"/>
      <c r="CH568" s="2"/>
      <c r="CI568" s="2">
        <v>1</v>
      </c>
      <c r="CJ568" s="2">
        <v>1</v>
      </c>
      <c r="CK568" s="2">
        <v>21</v>
      </c>
      <c r="CL568" s="2" t="s">
        <v>86</v>
      </c>
      <c r="CM568" s="2"/>
    </row>
    <row r="569" spans="1:91">
      <c r="A569" s="2" t="s">
        <v>71</v>
      </c>
      <c r="B569" s="2" t="s">
        <v>72</v>
      </c>
      <c r="C569" s="2" t="s">
        <v>73</v>
      </c>
      <c r="D569" s="2"/>
      <c r="E569" s="2" t="str">
        <f>"FES1162542774"</f>
        <v>FES1162542774</v>
      </c>
      <c r="F569" s="3">
        <v>42836</v>
      </c>
      <c r="G569" s="2">
        <v>201710</v>
      </c>
      <c r="H569" s="2" t="s">
        <v>74</v>
      </c>
      <c r="I569" s="2" t="s">
        <v>75</v>
      </c>
      <c r="J569" s="2" t="s">
        <v>76</v>
      </c>
      <c r="K569" s="2" t="s">
        <v>77</v>
      </c>
      <c r="L569" s="2" t="s">
        <v>160</v>
      </c>
      <c r="M569" s="2" t="s">
        <v>161</v>
      </c>
      <c r="N569" s="2" t="s">
        <v>907</v>
      </c>
      <c r="O569" s="2" t="s">
        <v>115</v>
      </c>
      <c r="P569" s="2" t="str">
        <f>"2170559593                    "</f>
        <v xml:space="preserve">2170559593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4.29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1</v>
      </c>
      <c r="BJ569" s="2">
        <v>0.8</v>
      </c>
      <c r="BK569" s="2">
        <v>1</v>
      </c>
      <c r="BL569" s="2">
        <v>41.73</v>
      </c>
      <c r="BM569" s="2">
        <v>5.84</v>
      </c>
      <c r="BN569" s="2">
        <v>47.57</v>
      </c>
      <c r="BO569" s="2">
        <v>47.57</v>
      </c>
      <c r="BP569" s="2"/>
      <c r="BQ569" s="2" t="s">
        <v>908</v>
      </c>
      <c r="BR569" s="2" t="s">
        <v>123</v>
      </c>
      <c r="BS569" s="3">
        <v>42837</v>
      </c>
      <c r="BT569" s="4">
        <v>0.41666666666666669</v>
      </c>
      <c r="BU569" s="2" t="s">
        <v>1144</v>
      </c>
      <c r="BV569" s="2" t="s">
        <v>111</v>
      </c>
      <c r="BW569" s="2"/>
      <c r="BX569" s="2"/>
      <c r="BY569" s="2">
        <v>4181.09</v>
      </c>
      <c r="BZ569" s="2" t="s">
        <v>27</v>
      </c>
      <c r="CA569" s="2"/>
      <c r="CB569" s="2"/>
      <c r="CC569" s="2" t="s">
        <v>161</v>
      </c>
      <c r="CD569" s="2">
        <v>5200</v>
      </c>
      <c r="CE569" s="2" t="s">
        <v>144</v>
      </c>
      <c r="CF569" s="5">
        <v>42838</v>
      </c>
      <c r="CG569" s="2"/>
      <c r="CH569" s="2"/>
      <c r="CI569" s="2">
        <v>1</v>
      </c>
      <c r="CJ569" s="2">
        <v>1</v>
      </c>
      <c r="CK569" s="2">
        <v>21</v>
      </c>
      <c r="CL569" s="2" t="s">
        <v>86</v>
      </c>
      <c r="CM569" s="2"/>
    </row>
    <row r="570" spans="1:91">
      <c r="A570" s="2" t="s">
        <v>71</v>
      </c>
      <c r="B570" s="2" t="s">
        <v>72</v>
      </c>
      <c r="C570" s="2" t="s">
        <v>73</v>
      </c>
      <c r="D570" s="2"/>
      <c r="E570" s="2" t="str">
        <f>"FES1162541827"</f>
        <v>FES1162541827</v>
      </c>
      <c r="F570" s="3">
        <v>42830</v>
      </c>
      <c r="G570" s="2">
        <v>201710</v>
      </c>
      <c r="H570" s="2" t="s">
        <v>74</v>
      </c>
      <c r="I570" s="2" t="s">
        <v>75</v>
      </c>
      <c r="J570" s="2" t="s">
        <v>76</v>
      </c>
      <c r="K570" s="2" t="s">
        <v>77</v>
      </c>
      <c r="L570" s="2" t="s">
        <v>131</v>
      </c>
      <c r="M570" s="2" t="s">
        <v>132</v>
      </c>
      <c r="N570" s="2" t="s">
        <v>887</v>
      </c>
      <c r="O570" s="2" t="s">
        <v>115</v>
      </c>
      <c r="P570" s="2" t="str">
        <f>"2170560398                    "</f>
        <v xml:space="preserve">2170560398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4.29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1</v>
      </c>
      <c r="BJ570" s="2">
        <v>0.2</v>
      </c>
      <c r="BK570" s="2">
        <v>1</v>
      </c>
      <c r="BL570" s="2">
        <v>41.73</v>
      </c>
      <c r="BM570" s="2">
        <v>5.84</v>
      </c>
      <c r="BN570" s="2">
        <v>47.57</v>
      </c>
      <c r="BO570" s="2">
        <v>47.57</v>
      </c>
      <c r="BP570" s="2"/>
      <c r="BQ570" s="2" t="s">
        <v>129</v>
      </c>
      <c r="BR570" s="2" t="s">
        <v>123</v>
      </c>
      <c r="BS570" s="3">
        <v>42831</v>
      </c>
      <c r="BT570" s="4">
        <v>0.40138888888888885</v>
      </c>
      <c r="BU570" s="2" t="s">
        <v>1145</v>
      </c>
      <c r="BV570" s="2" t="s">
        <v>111</v>
      </c>
      <c r="BW570" s="2"/>
      <c r="BX570" s="2"/>
      <c r="BY570" s="2">
        <v>1200</v>
      </c>
      <c r="BZ570" s="2" t="s">
        <v>27</v>
      </c>
      <c r="CA570" s="2"/>
      <c r="CB570" s="2"/>
      <c r="CC570" s="2" t="s">
        <v>132</v>
      </c>
      <c r="CD570" s="2">
        <v>7530</v>
      </c>
      <c r="CE570" s="2" t="s">
        <v>118</v>
      </c>
      <c r="CF570" s="5">
        <v>42832</v>
      </c>
      <c r="CG570" s="2"/>
      <c r="CH570" s="2"/>
      <c r="CI570" s="2">
        <v>1</v>
      </c>
      <c r="CJ570" s="2">
        <v>1</v>
      </c>
      <c r="CK570" s="2">
        <v>21</v>
      </c>
      <c r="CL570" s="2" t="s">
        <v>86</v>
      </c>
      <c r="CM570" s="2"/>
    </row>
    <row r="571" spans="1:91">
      <c r="A571" s="2" t="s">
        <v>71</v>
      </c>
      <c r="B571" s="2" t="s">
        <v>72</v>
      </c>
      <c r="C571" s="2" t="s">
        <v>73</v>
      </c>
      <c r="D571" s="2"/>
      <c r="E571" s="2" t="str">
        <f>"FES1162541566"</f>
        <v>FES1162541566</v>
      </c>
      <c r="F571" s="3">
        <v>42830</v>
      </c>
      <c r="G571" s="2">
        <v>201710</v>
      </c>
      <c r="H571" s="2" t="s">
        <v>74</v>
      </c>
      <c r="I571" s="2" t="s">
        <v>75</v>
      </c>
      <c r="J571" s="2" t="s">
        <v>76</v>
      </c>
      <c r="K571" s="2" t="s">
        <v>77</v>
      </c>
      <c r="L571" s="2" t="s">
        <v>166</v>
      </c>
      <c r="M571" s="2" t="s">
        <v>167</v>
      </c>
      <c r="N571" s="2" t="s">
        <v>1146</v>
      </c>
      <c r="O571" s="2" t="s">
        <v>115</v>
      </c>
      <c r="P571" s="2" t="str">
        <f>"2170560657                    "</f>
        <v xml:space="preserve">2170560657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3.35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1</v>
      </c>
      <c r="BJ571" s="2">
        <v>0.2</v>
      </c>
      <c r="BK571" s="2">
        <v>1</v>
      </c>
      <c r="BL571" s="2">
        <v>32.6</v>
      </c>
      <c r="BM571" s="2">
        <v>4.5599999999999996</v>
      </c>
      <c r="BN571" s="2">
        <v>37.159999999999997</v>
      </c>
      <c r="BO571" s="2">
        <v>37.159999999999997</v>
      </c>
      <c r="BP571" s="2"/>
      <c r="BQ571" s="2" t="s">
        <v>1147</v>
      </c>
      <c r="BR571" s="2" t="s">
        <v>123</v>
      </c>
      <c r="BS571" s="3">
        <v>42851</v>
      </c>
      <c r="BT571" s="4">
        <v>0.41666666666666669</v>
      </c>
      <c r="BU571" s="2" t="s">
        <v>1148</v>
      </c>
      <c r="BV571" s="2" t="s">
        <v>86</v>
      </c>
      <c r="BW571" s="2" t="s">
        <v>96</v>
      </c>
      <c r="BX571" s="2" t="s">
        <v>309</v>
      </c>
      <c r="BY571" s="2">
        <v>1200</v>
      </c>
      <c r="BZ571" s="2" t="s">
        <v>27</v>
      </c>
      <c r="CA571" s="2" t="s">
        <v>590</v>
      </c>
      <c r="CB571" s="2"/>
      <c r="CC571" s="2" t="s">
        <v>167</v>
      </c>
      <c r="CD571" s="2">
        <v>2157</v>
      </c>
      <c r="CE571" s="2" t="s">
        <v>118</v>
      </c>
      <c r="CF571" s="2"/>
      <c r="CG571" s="2"/>
      <c r="CH571" s="2"/>
      <c r="CI571" s="2">
        <v>1</v>
      </c>
      <c r="CJ571" s="2">
        <v>15</v>
      </c>
      <c r="CK571" s="2">
        <v>22</v>
      </c>
      <c r="CL571" s="2" t="s">
        <v>86</v>
      </c>
      <c r="CM571" s="2"/>
    </row>
    <row r="572" spans="1:91">
      <c r="A572" s="2" t="s">
        <v>71</v>
      </c>
      <c r="B572" s="2" t="s">
        <v>72</v>
      </c>
      <c r="C572" s="2" t="s">
        <v>73</v>
      </c>
      <c r="D572" s="2"/>
      <c r="E572" s="2" t="str">
        <f>"FES1162543171"</f>
        <v>FES1162543171</v>
      </c>
      <c r="F572" s="3">
        <v>42837</v>
      </c>
      <c r="G572" s="2">
        <v>201710</v>
      </c>
      <c r="H572" s="2" t="s">
        <v>74</v>
      </c>
      <c r="I572" s="2" t="s">
        <v>75</v>
      </c>
      <c r="J572" s="2" t="s">
        <v>76</v>
      </c>
      <c r="K572" s="2" t="s">
        <v>77</v>
      </c>
      <c r="L572" s="2" t="s">
        <v>358</v>
      </c>
      <c r="M572" s="2" t="s">
        <v>359</v>
      </c>
      <c r="N572" s="2" t="s">
        <v>360</v>
      </c>
      <c r="O572" s="2" t="s">
        <v>115</v>
      </c>
      <c r="P572" s="2" t="str">
        <f>"2170557940                    "</f>
        <v xml:space="preserve">2170557940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4.29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1</v>
      </c>
      <c r="BJ572" s="2">
        <v>0.2</v>
      </c>
      <c r="BK572" s="2">
        <v>1</v>
      </c>
      <c r="BL572" s="2">
        <v>41.73</v>
      </c>
      <c r="BM572" s="2">
        <v>5.84</v>
      </c>
      <c r="BN572" s="2">
        <v>47.57</v>
      </c>
      <c r="BO572" s="2">
        <v>47.57</v>
      </c>
      <c r="BP572" s="2"/>
      <c r="BQ572" s="2" t="s">
        <v>361</v>
      </c>
      <c r="BR572" s="2" t="s">
        <v>84</v>
      </c>
      <c r="BS572" s="3">
        <v>42838</v>
      </c>
      <c r="BT572" s="4">
        <v>0.33333333333333331</v>
      </c>
      <c r="BU572" s="2" t="s">
        <v>362</v>
      </c>
      <c r="BV572" s="2" t="s">
        <v>111</v>
      </c>
      <c r="BW572" s="2"/>
      <c r="BX572" s="2"/>
      <c r="BY572" s="2">
        <v>1200</v>
      </c>
      <c r="BZ572" s="2" t="s">
        <v>27</v>
      </c>
      <c r="CA572" s="2" t="s">
        <v>159</v>
      </c>
      <c r="CB572" s="2"/>
      <c r="CC572" s="2" t="s">
        <v>359</v>
      </c>
      <c r="CD572" s="2">
        <v>6229</v>
      </c>
      <c r="CE572" s="2" t="s">
        <v>118</v>
      </c>
      <c r="CF572" s="5">
        <v>42843</v>
      </c>
      <c r="CG572" s="2"/>
      <c r="CH572" s="2"/>
      <c r="CI572" s="2">
        <v>1</v>
      </c>
      <c r="CJ572" s="2">
        <v>1</v>
      </c>
      <c r="CK572" s="2">
        <v>21</v>
      </c>
      <c r="CL572" s="2" t="s">
        <v>86</v>
      </c>
      <c r="CM572" s="2"/>
    </row>
    <row r="573" spans="1:91">
      <c r="A573" s="2" t="s">
        <v>71</v>
      </c>
      <c r="B573" s="2" t="s">
        <v>72</v>
      </c>
      <c r="C573" s="2" t="s">
        <v>73</v>
      </c>
      <c r="D573" s="2"/>
      <c r="E573" s="2" t="str">
        <f>"FES1162542007"</f>
        <v>FES1162542007</v>
      </c>
      <c r="F573" s="3">
        <v>42831</v>
      </c>
      <c r="G573" s="2">
        <v>201710</v>
      </c>
      <c r="H573" s="2" t="s">
        <v>74</v>
      </c>
      <c r="I573" s="2" t="s">
        <v>75</v>
      </c>
      <c r="J573" s="2" t="s">
        <v>76</v>
      </c>
      <c r="K573" s="2" t="s">
        <v>77</v>
      </c>
      <c r="L573" s="2" t="s">
        <v>187</v>
      </c>
      <c r="M573" s="2" t="s">
        <v>146</v>
      </c>
      <c r="N573" s="2" t="s">
        <v>1149</v>
      </c>
      <c r="O573" s="2" t="s">
        <v>115</v>
      </c>
      <c r="P573" s="2" t="str">
        <f>"2170558657                    "</f>
        <v xml:space="preserve">2170558657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4.29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1</v>
      </c>
      <c r="BJ573" s="2">
        <v>0.2</v>
      </c>
      <c r="BK573" s="2">
        <v>1</v>
      </c>
      <c r="BL573" s="2">
        <v>41.73</v>
      </c>
      <c r="BM573" s="2">
        <v>5.84</v>
      </c>
      <c r="BN573" s="2">
        <v>47.57</v>
      </c>
      <c r="BO573" s="2">
        <v>47.57</v>
      </c>
      <c r="BP573" s="2"/>
      <c r="BQ573" s="2" t="s">
        <v>235</v>
      </c>
      <c r="BR573" s="2" t="s">
        <v>123</v>
      </c>
      <c r="BS573" s="3">
        <v>42832</v>
      </c>
      <c r="BT573" s="4">
        <v>0.37986111111111115</v>
      </c>
      <c r="BU573" s="2" t="s">
        <v>1150</v>
      </c>
      <c r="BV573" s="2" t="s">
        <v>111</v>
      </c>
      <c r="BW573" s="2"/>
      <c r="BX573" s="2"/>
      <c r="BY573" s="2">
        <v>1200</v>
      </c>
      <c r="BZ573" s="2" t="s">
        <v>27</v>
      </c>
      <c r="CA573" s="2"/>
      <c r="CB573" s="2"/>
      <c r="CC573" s="2" t="s">
        <v>146</v>
      </c>
      <c r="CD573" s="2">
        <v>127</v>
      </c>
      <c r="CE573" s="2" t="s">
        <v>144</v>
      </c>
      <c r="CF573" s="5">
        <v>42836</v>
      </c>
      <c r="CG573" s="2"/>
      <c r="CH573" s="2"/>
      <c r="CI573" s="2">
        <v>0</v>
      </c>
      <c r="CJ573" s="2">
        <v>0</v>
      </c>
      <c r="CK573" s="2">
        <v>21</v>
      </c>
      <c r="CL573" s="2" t="s">
        <v>86</v>
      </c>
      <c r="CM573" s="2"/>
    </row>
    <row r="574" spans="1:91">
      <c r="A574" s="2" t="s">
        <v>71</v>
      </c>
      <c r="B574" s="2" t="s">
        <v>72</v>
      </c>
      <c r="C574" s="2" t="s">
        <v>73</v>
      </c>
      <c r="D574" s="2"/>
      <c r="E574" s="2" t="str">
        <f>"FES1162541480"</f>
        <v>FES1162541480</v>
      </c>
      <c r="F574" s="3">
        <v>42829</v>
      </c>
      <c r="G574" s="2">
        <v>201710</v>
      </c>
      <c r="H574" s="2" t="s">
        <v>74</v>
      </c>
      <c r="I574" s="2" t="s">
        <v>75</v>
      </c>
      <c r="J574" s="2" t="s">
        <v>76</v>
      </c>
      <c r="K574" s="2" t="s">
        <v>77</v>
      </c>
      <c r="L574" s="2" t="s">
        <v>180</v>
      </c>
      <c r="M574" s="2" t="s">
        <v>181</v>
      </c>
      <c r="N574" s="2" t="s">
        <v>185</v>
      </c>
      <c r="O574" s="2" t="s">
        <v>115</v>
      </c>
      <c r="P574" s="2" t="str">
        <f>"2170560564                    "</f>
        <v xml:space="preserve">2170560564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6.63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2.9</v>
      </c>
      <c r="BJ574" s="2">
        <v>1.6</v>
      </c>
      <c r="BK574" s="2">
        <v>3</v>
      </c>
      <c r="BL574" s="2">
        <v>62.79</v>
      </c>
      <c r="BM574" s="2">
        <v>8.7899999999999991</v>
      </c>
      <c r="BN574" s="2">
        <v>71.58</v>
      </c>
      <c r="BO574" s="2">
        <v>71.58</v>
      </c>
      <c r="BP574" s="2"/>
      <c r="BQ574" s="2" t="s">
        <v>129</v>
      </c>
      <c r="BR574" s="2" t="s">
        <v>123</v>
      </c>
      <c r="BS574" s="3">
        <v>42830</v>
      </c>
      <c r="BT574" s="4">
        <v>0.4375</v>
      </c>
      <c r="BU574" s="2" t="s">
        <v>130</v>
      </c>
      <c r="BV574" s="2" t="s">
        <v>111</v>
      </c>
      <c r="BW574" s="2"/>
      <c r="BX574" s="2"/>
      <c r="BY574" s="2">
        <v>8183.63</v>
      </c>
      <c r="BZ574" s="2" t="s">
        <v>27</v>
      </c>
      <c r="CA574" s="2"/>
      <c r="CB574" s="2"/>
      <c r="CC574" s="2" t="s">
        <v>181</v>
      </c>
      <c r="CD574" s="2">
        <v>4052</v>
      </c>
      <c r="CE574" s="2" t="s">
        <v>89</v>
      </c>
      <c r="CF574" s="5">
        <v>42831</v>
      </c>
      <c r="CG574" s="2"/>
      <c r="CH574" s="2"/>
      <c r="CI574" s="2">
        <v>1</v>
      </c>
      <c r="CJ574" s="2">
        <v>1</v>
      </c>
      <c r="CK574" s="2">
        <v>21</v>
      </c>
      <c r="CL574" s="2" t="s">
        <v>86</v>
      </c>
      <c r="CM574" s="2"/>
    </row>
    <row r="575" spans="1:91">
      <c r="A575" s="2" t="s">
        <v>71</v>
      </c>
      <c r="B575" s="2" t="s">
        <v>72</v>
      </c>
      <c r="C575" s="2" t="s">
        <v>73</v>
      </c>
      <c r="D575" s="2"/>
      <c r="E575" s="2" t="str">
        <f>"FES1162542792"</f>
        <v>FES1162542792</v>
      </c>
      <c r="F575" s="3">
        <v>42836</v>
      </c>
      <c r="G575" s="2">
        <v>201710</v>
      </c>
      <c r="H575" s="2" t="s">
        <v>74</v>
      </c>
      <c r="I575" s="2" t="s">
        <v>75</v>
      </c>
      <c r="J575" s="2" t="s">
        <v>76</v>
      </c>
      <c r="K575" s="2" t="s">
        <v>77</v>
      </c>
      <c r="L575" s="2" t="s">
        <v>1151</v>
      </c>
      <c r="M575" s="2" t="s">
        <v>1152</v>
      </c>
      <c r="N575" s="2" t="s">
        <v>1153</v>
      </c>
      <c r="O575" s="2" t="s">
        <v>115</v>
      </c>
      <c r="P575" s="2" t="str">
        <f>"2170561671                    "</f>
        <v xml:space="preserve">2170561671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8.31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1</v>
      </c>
      <c r="BJ575" s="2">
        <v>0.2</v>
      </c>
      <c r="BK575" s="2">
        <v>1</v>
      </c>
      <c r="BL575" s="2">
        <v>80.849999999999994</v>
      </c>
      <c r="BM575" s="2">
        <v>11.32</v>
      </c>
      <c r="BN575" s="2">
        <v>92.17</v>
      </c>
      <c r="BO575" s="2">
        <v>92.17</v>
      </c>
      <c r="BP575" s="2"/>
      <c r="BQ575" s="2"/>
      <c r="BR575" s="2" t="s">
        <v>123</v>
      </c>
      <c r="BS575" s="3">
        <v>42838</v>
      </c>
      <c r="BT575" s="4">
        <v>0</v>
      </c>
      <c r="BU575" s="2" t="s">
        <v>1154</v>
      </c>
      <c r="BV575" s="2" t="s">
        <v>111</v>
      </c>
      <c r="BW575" s="2"/>
      <c r="BX575" s="2"/>
      <c r="BY575" s="2">
        <v>1200</v>
      </c>
      <c r="BZ575" s="2" t="s">
        <v>27</v>
      </c>
      <c r="CA575" s="2"/>
      <c r="CB575" s="2"/>
      <c r="CC575" s="2" t="s">
        <v>1152</v>
      </c>
      <c r="CD575" s="2">
        <v>4930</v>
      </c>
      <c r="CE575" s="2" t="s">
        <v>118</v>
      </c>
      <c r="CF575" s="5">
        <v>42844</v>
      </c>
      <c r="CG575" s="2"/>
      <c r="CH575" s="2"/>
      <c r="CI575" s="2">
        <v>3</v>
      </c>
      <c r="CJ575" s="2">
        <v>2</v>
      </c>
      <c r="CK575" s="2">
        <v>23</v>
      </c>
      <c r="CL575" s="2" t="s">
        <v>86</v>
      </c>
      <c r="CM575" s="2"/>
    </row>
    <row r="576" spans="1:91">
      <c r="A576" s="2" t="s">
        <v>71</v>
      </c>
      <c r="B576" s="2" t="s">
        <v>72</v>
      </c>
      <c r="C576" s="2" t="s">
        <v>73</v>
      </c>
      <c r="D576" s="2"/>
      <c r="E576" s="2" t="str">
        <f>"FES1162541834"</f>
        <v>FES1162541834</v>
      </c>
      <c r="F576" s="3">
        <v>42830</v>
      </c>
      <c r="G576" s="2">
        <v>201710</v>
      </c>
      <c r="H576" s="2" t="s">
        <v>74</v>
      </c>
      <c r="I576" s="2" t="s">
        <v>75</v>
      </c>
      <c r="J576" s="2" t="s">
        <v>76</v>
      </c>
      <c r="K576" s="2" t="s">
        <v>77</v>
      </c>
      <c r="L576" s="2" t="s">
        <v>131</v>
      </c>
      <c r="M576" s="2" t="s">
        <v>132</v>
      </c>
      <c r="N576" s="2" t="s">
        <v>649</v>
      </c>
      <c r="O576" s="2" t="s">
        <v>115</v>
      </c>
      <c r="P576" s="2" t="str">
        <f>"2170560848                    "</f>
        <v xml:space="preserve">2170560848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4.29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1</v>
      </c>
      <c r="BJ576" s="2">
        <v>0.2</v>
      </c>
      <c r="BK576" s="2">
        <v>1</v>
      </c>
      <c r="BL576" s="2">
        <v>41.73</v>
      </c>
      <c r="BM576" s="2">
        <v>5.84</v>
      </c>
      <c r="BN576" s="2">
        <v>47.57</v>
      </c>
      <c r="BO576" s="2">
        <v>47.57</v>
      </c>
      <c r="BP576" s="2"/>
      <c r="BQ576" s="2" t="s">
        <v>818</v>
      </c>
      <c r="BR576" s="2" t="s">
        <v>123</v>
      </c>
      <c r="BS576" s="3">
        <v>42831</v>
      </c>
      <c r="BT576" s="4">
        <v>0.41666666666666669</v>
      </c>
      <c r="BU576" s="2" t="s">
        <v>1155</v>
      </c>
      <c r="BV576" s="2" t="s">
        <v>111</v>
      </c>
      <c r="BW576" s="2"/>
      <c r="BX576" s="2"/>
      <c r="BY576" s="2">
        <v>1200</v>
      </c>
      <c r="BZ576" s="2" t="s">
        <v>27</v>
      </c>
      <c r="CA576" s="2"/>
      <c r="CB576" s="2"/>
      <c r="CC576" s="2" t="s">
        <v>132</v>
      </c>
      <c r="CD576" s="2">
        <v>7405</v>
      </c>
      <c r="CE576" s="2" t="s">
        <v>118</v>
      </c>
      <c r="CF576" s="5">
        <v>42833</v>
      </c>
      <c r="CG576" s="2"/>
      <c r="CH576" s="2"/>
      <c r="CI576" s="2">
        <v>1</v>
      </c>
      <c r="CJ576" s="2">
        <v>1</v>
      </c>
      <c r="CK576" s="2">
        <v>21</v>
      </c>
      <c r="CL576" s="2" t="s">
        <v>86</v>
      </c>
      <c r="CM576" s="2"/>
    </row>
    <row r="577" spans="1:91">
      <c r="A577" s="2" t="s">
        <v>71</v>
      </c>
      <c r="B577" s="2" t="s">
        <v>72</v>
      </c>
      <c r="C577" s="2" t="s">
        <v>73</v>
      </c>
      <c r="D577" s="2"/>
      <c r="E577" s="2" t="str">
        <f>"FES1162541571"</f>
        <v>FES1162541571</v>
      </c>
      <c r="F577" s="3">
        <v>42830</v>
      </c>
      <c r="G577" s="2">
        <v>201710</v>
      </c>
      <c r="H577" s="2" t="s">
        <v>74</v>
      </c>
      <c r="I577" s="2" t="s">
        <v>75</v>
      </c>
      <c r="J577" s="2" t="s">
        <v>76</v>
      </c>
      <c r="K577" s="2" t="s">
        <v>77</v>
      </c>
      <c r="L577" s="2" t="s">
        <v>74</v>
      </c>
      <c r="M577" s="2" t="s">
        <v>75</v>
      </c>
      <c r="N577" s="2" t="s">
        <v>488</v>
      </c>
      <c r="O577" s="2" t="s">
        <v>115</v>
      </c>
      <c r="P577" s="2" t="str">
        <f>"2170560665                    "</f>
        <v xml:space="preserve">2170560665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3.35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1</v>
      </c>
      <c r="BJ577" s="2">
        <v>0.2</v>
      </c>
      <c r="BK577" s="2">
        <v>1</v>
      </c>
      <c r="BL577" s="2">
        <v>32.6</v>
      </c>
      <c r="BM577" s="2">
        <v>4.5599999999999996</v>
      </c>
      <c r="BN577" s="2">
        <v>37.159999999999997</v>
      </c>
      <c r="BO577" s="2">
        <v>37.159999999999997</v>
      </c>
      <c r="BP577" s="2"/>
      <c r="BQ577" s="2" t="s">
        <v>489</v>
      </c>
      <c r="BR577" s="2" t="s">
        <v>123</v>
      </c>
      <c r="BS577" s="3">
        <v>42831</v>
      </c>
      <c r="BT577" s="4">
        <v>0.33333333333333331</v>
      </c>
      <c r="BU577" s="2" t="s">
        <v>1156</v>
      </c>
      <c r="BV577" s="2" t="s">
        <v>111</v>
      </c>
      <c r="BW577" s="2"/>
      <c r="BX577" s="2"/>
      <c r="BY577" s="2">
        <v>1200</v>
      </c>
      <c r="BZ577" s="2" t="s">
        <v>27</v>
      </c>
      <c r="CA577" s="2" t="s">
        <v>159</v>
      </c>
      <c r="CB577" s="2"/>
      <c r="CC577" s="2" t="s">
        <v>75</v>
      </c>
      <c r="CD577" s="2">
        <v>1645</v>
      </c>
      <c r="CE577" s="2" t="s">
        <v>118</v>
      </c>
      <c r="CF577" s="5">
        <v>42832</v>
      </c>
      <c r="CG577" s="2"/>
      <c r="CH577" s="2"/>
      <c r="CI577" s="2">
        <v>1</v>
      </c>
      <c r="CJ577" s="2">
        <v>1</v>
      </c>
      <c r="CK577" s="2">
        <v>22</v>
      </c>
      <c r="CL577" s="2" t="s">
        <v>86</v>
      </c>
      <c r="CM577" s="2"/>
    </row>
    <row r="578" spans="1:91">
      <c r="A578" s="2" t="s">
        <v>71</v>
      </c>
      <c r="B578" s="2" t="s">
        <v>72</v>
      </c>
      <c r="C578" s="2" t="s">
        <v>73</v>
      </c>
      <c r="D578" s="2"/>
      <c r="E578" s="2" t="str">
        <f>"FES1162543185"</f>
        <v>FES1162543185</v>
      </c>
      <c r="F578" s="3">
        <v>42837</v>
      </c>
      <c r="G578" s="2">
        <v>201710</v>
      </c>
      <c r="H578" s="2" t="s">
        <v>74</v>
      </c>
      <c r="I578" s="2" t="s">
        <v>75</v>
      </c>
      <c r="J578" s="2" t="s">
        <v>76</v>
      </c>
      <c r="K578" s="2" t="s">
        <v>77</v>
      </c>
      <c r="L578" s="2" t="s">
        <v>74</v>
      </c>
      <c r="M578" s="2" t="s">
        <v>75</v>
      </c>
      <c r="N578" s="2" t="s">
        <v>1157</v>
      </c>
      <c r="O578" s="2" t="s">
        <v>115</v>
      </c>
      <c r="P578" s="2" t="str">
        <f>"2170560085                    "</f>
        <v xml:space="preserve">2170560085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3.35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1.7</v>
      </c>
      <c r="BJ578" s="2">
        <v>0.2</v>
      </c>
      <c r="BK578" s="2">
        <v>2</v>
      </c>
      <c r="BL578" s="2">
        <v>32.6</v>
      </c>
      <c r="BM578" s="2">
        <v>4.5599999999999996</v>
      </c>
      <c r="BN578" s="2">
        <v>37.159999999999997</v>
      </c>
      <c r="BO578" s="2">
        <v>37.159999999999997</v>
      </c>
      <c r="BP578" s="2"/>
      <c r="BQ578" s="2" t="s">
        <v>1158</v>
      </c>
      <c r="BR578" s="2" t="s">
        <v>84</v>
      </c>
      <c r="BS578" s="3">
        <v>42838</v>
      </c>
      <c r="BT578" s="4">
        <v>0.35625000000000001</v>
      </c>
      <c r="BU578" s="2" t="s">
        <v>1159</v>
      </c>
      <c r="BV578" s="2" t="s">
        <v>111</v>
      </c>
      <c r="BW578" s="2"/>
      <c r="BX578" s="2"/>
      <c r="BY578" s="2">
        <v>1200</v>
      </c>
      <c r="BZ578" s="2" t="s">
        <v>27</v>
      </c>
      <c r="CA578" s="2" t="s">
        <v>159</v>
      </c>
      <c r="CB578" s="2"/>
      <c r="CC578" s="2" t="s">
        <v>75</v>
      </c>
      <c r="CD578" s="2">
        <v>1666</v>
      </c>
      <c r="CE578" s="2" t="s">
        <v>118</v>
      </c>
      <c r="CF578" s="5">
        <v>42843</v>
      </c>
      <c r="CG578" s="2"/>
      <c r="CH578" s="2"/>
      <c r="CI578" s="2">
        <v>1</v>
      </c>
      <c r="CJ578" s="2">
        <v>1</v>
      </c>
      <c r="CK578" s="2">
        <v>22</v>
      </c>
      <c r="CL578" s="2" t="s">
        <v>86</v>
      </c>
      <c r="CM578" s="2"/>
    </row>
    <row r="579" spans="1:91">
      <c r="A579" s="2" t="s">
        <v>71</v>
      </c>
      <c r="B579" s="2" t="s">
        <v>72</v>
      </c>
      <c r="C579" s="2" t="s">
        <v>73</v>
      </c>
      <c r="D579" s="2"/>
      <c r="E579" s="2" t="str">
        <f>"FES1162541867"</f>
        <v>FES1162541867</v>
      </c>
      <c r="F579" s="3">
        <v>42831</v>
      </c>
      <c r="G579" s="2">
        <v>201710</v>
      </c>
      <c r="H579" s="2" t="s">
        <v>74</v>
      </c>
      <c r="I579" s="2" t="s">
        <v>75</v>
      </c>
      <c r="J579" s="2" t="s">
        <v>76</v>
      </c>
      <c r="K579" s="2" t="s">
        <v>77</v>
      </c>
      <c r="L579" s="2" t="s">
        <v>99</v>
      </c>
      <c r="M579" s="2" t="s">
        <v>100</v>
      </c>
      <c r="N579" s="2" t="s">
        <v>108</v>
      </c>
      <c r="O579" s="2" t="s">
        <v>115</v>
      </c>
      <c r="P579" s="2" t="str">
        <f>"2170556518                    "</f>
        <v xml:space="preserve">2170556518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19.29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9</v>
      </c>
      <c r="BJ579" s="2">
        <v>6.6</v>
      </c>
      <c r="BK579" s="2">
        <v>9</v>
      </c>
      <c r="BL579" s="2">
        <v>187.77</v>
      </c>
      <c r="BM579" s="2">
        <v>26.29</v>
      </c>
      <c r="BN579" s="2">
        <v>214.06</v>
      </c>
      <c r="BO579" s="2">
        <v>214.06</v>
      </c>
      <c r="BP579" s="2"/>
      <c r="BQ579" s="2" t="s">
        <v>109</v>
      </c>
      <c r="BR579" s="2" t="s">
        <v>123</v>
      </c>
      <c r="BS579" s="3">
        <v>42832</v>
      </c>
      <c r="BT579" s="4">
        <v>0.39583333333333331</v>
      </c>
      <c r="BU579" s="2" t="s">
        <v>110</v>
      </c>
      <c r="BV579" s="2" t="s">
        <v>111</v>
      </c>
      <c r="BW579" s="2"/>
      <c r="BX579" s="2"/>
      <c r="BY579" s="2">
        <v>32778.19</v>
      </c>
      <c r="BZ579" s="2" t="s">
        <v>27</v>
      </c>
      <c r="CA579" s="2" t="s">
        <v>106</v>
      </c>
      <c r="CB579" s="2"/>
      <c r="CC579" s="2" t="s">
        <v>100</v>
      </c>
      <c r="CD579" s="2">
        <v>6001</v>
      </c>
      <c r="CE579" s="2" t="s">
        <v>135</v>
      </c>
      <c r="CF579" s="5">
        <v>42832</v>
      </c>
      <c r="CG579" s="2"/>
      <c r="CH579" s="2"/>
      <c r="CI579" s="2">
        <v>1</v>
      </c>
      <c r="CJ579" s="2">
        <v>1</v>
      </c>
      <c r="CK579" s="2">
        <v>21</v>
      </c>
      <c r="CL579" s="2" t="s">
        <v>86</v>
      </c>
      <c r="CM579" s="2"/>
    </row>
    <row r="580" spans="1:91">
      <c r="A580" s="2" t="s">
        <v>71</v>
      </c>
      <c r="B580" s="2" t="s">
        <v>72</v>
      </c>
      <c r="C580" s="2" t="s">
        <v>73</v>
      </c>
      <c r="D580" s="2"/>
      <c r="E580" s="2" t="str">
        <f>"FES1162541445"</f>
        <v>FES1162541445</v>
      </c>
      <c r="F580" s="3">
        <v>42829</v>
      </c>
      <c r="G580" s="2">
        <v>201710</v>
      </c>
      <c r="H580" s="2" t="s">
        <v>74</v>
      </c>
      <c r="I580" s="2" t="s">
        <v>75</v>
      </c>
      <c r="J580" s="2" t="s">
        <v>76</v>
      </c>
      <c r="K580" s="2" t="s">
        <v>77</v>
      </c>
      <c r="L580" s="2" t="s">
        <v>99</v>
      </c>
      <c r="M580" s="2" t="s">
        <v>100</v>
      </c>
      <c r="N580" s="2" t="s">
        <v>876</v>
      </c>
      <c r="O580" s="2" t="s">
        <v>115</v>
      </c>
      <c r="P580" s="2" t="str">
        <f>"2170556348                    "</f>
        <v xml:space="preserve">2170556348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18.79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3</v>
      </c>
      <c r="BJ580" s="2">
        <v>8.4</v>
      </c>
      <c r="BK580" s="2">
        <v>8.5</v>
      </c>
      <c r="BL580" s="2">
        <v>177.91</v>
      </c>
      <c r="BM580" s="2">
        <v>24.91</v>
      </c>
      <c r="BN580" s="2">
        <v>202.82</v>
      </c>
      <c r="BO580" s="2">
        <v>202.82</v>
      </c>
      <c r="BP580" s="2"/>
      <c r="BQ580" s="2" t="s">
        <v>877</v>
      </c>
      <c r="BR580" s="2" t="s">
        <v>123</v>
      </c>
      <c r="BS580" s="3">
        <v>42830</v>
      </c>
      <c r="BT580" s="4">
        <v>0.4201388888888889</v>
      </c>
      <c r="BU580" s="2" t="s">
        <v>1160</v>
      </c>
      <c r="BV580" s="2" t="s">
        <v>111</v>
      </c>
      <c r="BW580" s="2"/>
      <c r="BX580" s="2"/>
      <c r="BY580" s="2">
        <v>41820.25</v>
      </c>
      <c r="BZ580" s="2" t="s">
        <v>27</v>
      </c>
      <c r="CA580" s="2" t="s">
        <v>154</v>
      </c>
      <c r="CB580" s="2"/>
      <c r="CC580" s="2" t="s">
        <v>100</v>
      </c>
      <c r="CD580" s="2">
        <v>6012</v>
      </c>
      <c r="CE580" s="2" t="s">
        <v>172</v>
      </c>
      <c r="CF580" s="5">
        <v>42830</v>
      </c>
      <c r="CG580" s="2"/>
      <c r="CH580" s="2"/>
      <c r="CI580" s="2">
        <v>1</v>
      </c>
      <c r="CJ580" s="2">
        <v>1</v>
      </c>
      <c r="CK580" s="2">
        <v>21</v>
      </c>
      <c r="CL580" s="2" t="s">
        <v>86</v>
      </c>
      <c r="CM580" s="2"/>
    </row>
    <row r="581" spans="1:91">
      <c r="A581" s="2" t="s">
        <v>71</v>
      </c>
      <c r="B581" s="2" t="s">
        <v>72</v>
      </c>
      <c r="C581" s="2" t="s">
        <v>73</v>
      </c>
      <c r="D581" s="2"/>
      <c r="E581" s="2" t="str">
        <f>"FES1162542891"</f>
        <v>FES1162542891</v>
      </c>
      <c r="F581" s="3">
        <v>42836</v>
      </c>
      <c r="G581" s="2">
        <v>201710</v>
      </c>
      <c r="H581" s="2" t="s">
        <v>74</v>
      </c>
      <c r="I581" s="2" t="s">
        <v>75</v>
      </c>
      <c r="J581" s="2" t="s">
        <v>76</v>
      </c>
      <c r="K581" s="2" t="s">
        <v>77</v>
      </c>
      <c r="L581" s="2" t="s">
        <v>1161</v>
      </c>
      <c r="M581" s="2" t="s">
        <v>1162</v>
      </c>
      <c r="N581" s="2" t="s">
        <v>1163</v>
      </c>
      <c r="O581" s="2" t="s">
        <v>115</v>
      </c>
      <c r="P581" s="2" t="str">
        <f>"2170558458                    "</f>
        <v xml:space="preserve">2170558458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6.03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1</v>
      </c>
      <c r="BJ581" s="2">
        <v>0.2</v>
      </c>
      <c r="BK581" s="2">
        <v>1</v>
      </c>
      <c r="BL581" s="2">
        <v>58.68</v>
      </c>
      <c r="BM581" s="2">
        <v>8.2200000000000006</v>
      </c>
      <c r="BN581" s="2">
        <v>66.900000000000006</v>
      </c>
      <c r="BO581" s="2">
        <v>66.900000000000006</v>
      </c>
      <c r="BP581" s="2"/>
      <c r="BQ581" s="2" t="s">
        <v>122</v>
      </c>
      <c r="BR581" s="2" t="s">
        <v>123</v>
      </c>
      <c r="BS581" s="3">
        <v>42837</v>
      </c>
      <c r="BT581" s="4">
        <v>0.61458333333333337</v>
      </c>
      <c r="BU581" s="2" t="s">
        <v>1164</v>
      </c>
      <c r="BV581" s="2" t="s">
        <v>111</v>
      </c>
      <c r="BW581" s="2"/>
      <c r="BX581" s="2"/>
      <c r="BY581" s="2">
        <v>1200</v>
      </c>
      <c r="BZ581" s="2" t="s">
        <v>27</v>
      </c>
      <c r="CA581" s="2"/>
      <c r="CB581" s="2"/>
      <c r="CC581" s="2" t="s">
        <v>1162</v>
      </c>
      <c r="CD581" s="2">
        <v>1028</v>
      </c>
      <c r="CE581" s="2" t="s">
        <v>144</v>
      </c>
      <c r="CF581" s="5">
        <v>42843</v>
      </c>
      <c r="CG581" s="2"/>
      <c r="CH581" s="2"/>
      <c r="CI581" s="2">
        <v>0</v>
      </c>
      <c r="CJ581" s="2">
        <v>0</v>
      </c>
      <c r="CK581" s="2">
        <v>24</v>
      </c>
      <c r="CL581" s="2" t="s">
        <v>86</v>
      </c>
      <c r="CM581" s="2"/>
    </row>
    <row r="582" spans="1:91">
      <c r="A582" s="2" t="s">
        <v>71</v>
      </c>
      <c r="B582" s="2" t="s">
        <v>72</v>
      </c>
      <c r="C582" s="2" t="s">
        <v>73</v>
      </c>
      <c r="D582" s="2"/>
      <c r="E582" s="2" t="str">
        <f>"FES1162541836"</f>
        <v>FES1162541836</v>
      </c>
      <c r="F582" s="3">
        <v>42830</v>
      </c>
      <c r="G582" s="2">
        <v>201710</v>
      </c>
      <c r="H582" s="2" t="s">
        <v>74</v>
      </c>
      <c r="I582" s="2" t="s">
        <v>75</v>
      </c>
      <c r="J582" s="2" t="s">
        <v>76</v>
      </c>
      <c r="K582" s="2" t="s">
        <v>77</v>
      </c>
      <c r="L582" s="2" t="s">
        <v>131</v>
      </c>
      <c r="M582" s="2" t="s">
        <v>132</v>
      </c>
      <c r="N582" s="2" t="s">
        <v>744</v>
      </c>
      <c r="O582" s="2" t="s">
        <v>115</v>
      </c>
      <c r="P582" s="2" t="str">
        <f>"2170560843                    "</f>
        <v xml:space="preserve">2170560843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4.29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1</v>
      </c>
      <c r="BJ582" s="2">
        <v>0.2</v>
      </c>
      <c r="BK582" s="2">
        <v>1</v>
      </c>
      <c r="BL582" s="2">
        <v>41.73</v>
      </c>
      <c r="BM582" s="2">
        <v>5.84</v>
      </c>
      <c r="BN582" s="2">
        <v>47.57</v>
      </c>
      <c r="BO582" s="2">
        <v>47.57</v>
      </c>
      <c r="BP582" s="2"/>
      <c r="BQ582" s="2" t="s">
        <v>138</v>
      </c>
      <c r="BR582" s="2" t="s">
        <v>123</v>
      </c>
      <c r="BS582" s="3">
        <v>42831</v>
      </c>
      <c r="BT582" s="4">
        <v>0.41666666666666669</v>
      </c>
      <c r="BU582" s="2" t="s">
        <v>130</v>
      </c>
      <c r="BV582" s="2" t="s">
        <v>111</v>
      </c>
      <c r="BW582" s="2"/>
      <c r="BX582" s="2"/>
      <c r="BY582" s="2">
        <v>1200</v>
      </c>
      <c r="BZ582" s="2" t="s">
        <v>27</v>
      </c>
      <c r="CA582" s="2"/>
      <c r="CB582" s="2"/>
      <c r="CC582" s="2" t="s">
        <v>132</v>
      </c>
      <c r="CD582" s="2">
        <v>7405</v>
      </c>
      <c r="CE582" s="2" t="s">
        <v>118</v>
      </c>
      <c r="CF582" s="5">
        <v>42833</v>
      </c>
      <c r="CG582" s="2"/>
      <c r="CH582" s="2"/>
      <c r="CI582" s="2">
        <v>1</v>
      </c>
      <c r="CJ582" s="2">
        <v>1</v>
      </c>
      <c r="CK582" s="2">
        <v>21</v>
      </c>
      <c r="CL582" s="2" t="s">
        <v>86</v>
      </c>
      <c r="CM582" s="2"/>
    </row>
    <row r="583" spans="1:91">
      <c r="A583" s="2" t="s">
        <v>71</v>
      </c>
      <c r="B583" s="2" t="s">
        <v>72</v>
      </c>
      <c r="C583" s="2" t="s">
        <v>73</v>
      </c>
      <c r="D583" s="2"/>
      <c r="E583" s="2" t="str">
        <f>"FES1162541576"</f>
        <v>FES1162541576</v>
      </c>
      <c r="F583" s="3">
        <v>42830</v>
      </c>
      <c r="G583" s="2">
        <v>201710</v>
      </c>
      <c r="H583" s="2" t="s">
        <v>74</v>
      </c>
      <c r="I583" s="2" t="s">
        <v>75</v>
      </c>
      <c r="J583" s="2" t="s">
        <v>76</v>
      </c>
      <c r="K583" s="2" t="s">
        <v>77</v>
      </c>
      <c r="L583" s="2" t="s">
        <v>516</v>
      </c>
      <c r="M583" s="2" t="s">
        <v>517</v>
      </c>
      <c r="N583" s="2" t="s">
        <v>1165</v>
      </c>
      <c r="O583" s="2" t="s">
        <v>115</v>
      </c>
      <c r="P583" s="2" t="str">
        <f>"2170560671                    "</f>
        <v xml:space="preserve">2170560671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3.35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</v>
      </c>
      <c r="BJ583" s="2">
        <v>3.5</v>
      </c>
      <c r="BK583" s="2">
        <v>4</v>
      </c>
      <c r="BL583" s="2">
        <v>32.6</v>
      </c>
      <c r="BM583" s="2">
        <v>4.5599999999999996</v>
      </c>
      <c r="BN583" s="2">
        <v>37.159999999999997</v>
      </c>
      <c r="BO583" s="2">
        <v>37.159999999999997</v>
      </c>
      <c r="BP583" s="2"/>
      <c r="BQ583" s="2" t="s">
        <v>1166</v>
      </c>
      <c r="BR583" s="2" t="s">
        <v>123</v>
      </c>
      <c r="BS583" s="3">
        <v>42831</v>
      </c>
      <c r="BT583" s="4">
        <v>0.3611111111111111</v>
      </c>
      <c r="BU583" s="2" t="s">
        <v>1167</v>
      </c>
      <c r="BV583" s="2" t="s">
        <v>111</v>
      </c>
      <c r="BW583" s="2"/>
      <c r="BX583" s="2"/>
      <c r="BY583" s="2">
        <v>17275.439999999999</v>
      </c>
      <c r="BZ583" s="2" t="s">
        <v>27</v>
      </c>
      <c r="CA583" s="2"/>
      <c r="CB583" s="2"/>
      <c r="CC583" s="2" t="s">
        <v>517</v>
      </c>
      <c r="CD583" s="2">
        <v>1459</v>
      </c>
      <c r="CE583" s="2" t="s">
        <v>118</v>
      </c>
      <c r="CF583" s="5">
        <v>42832</v>
      </c>
      <c r="CG583" s="2"/>
      <c r="CH583" s="2"/>
      <c r="CI583" s="2">
        <v>1</v>
      </c>
      <c r="CJ583" s="2">
        <v>1</v>
      </c>
      <c r="CK583" s="2">
        <v>22</v>
      </c>
      <c r="CL583" s="2" t="s">
        <v>86</v>
      </c>
      <c r="CM583" s="2"/>
    </row>
    <row r="584" spans="1:91">
      <c r="A584" s="2" t="s">
        <v>71</v>
      </c>
      <c r="B584" s="2" t="s">
        <v>72</v>
      </c>
      <c r="C584" s="2" t="s">
        <v>73</v>
      </c>
      <c r="D584" s="2"/>
      <c r="E584" s="2" t="str">
        <f>"FES1162543189"</f>
        <v>FES1162543189</v>
      </c>
      <c r="F584" s="3">
        <v>42837</v>
      </c>
      <c r="G584" s="2">
        <v>201710</v>
      </c>
      <c r="H584" s="2" t="s">
        <v>74</v>
      </c>
      <c r="I584" s="2" t="s">
        <v>75</v>
      </c>
      <c r="J584" s="2" t="s">
        <v>76</v>
      </c>
      <c r="K584" s="2" t="s">
        <v>77</v>
      </c>
      <c r="L584" s="2" t="s">
        <v>787</v>
      </c>
      <c r="M584" s="2" t="s">
        <v>788</v>
      </c>
      <c r="N584" s="2" t="s">
        <v>789</v>
      </c>
      <c r="O584" s="2" t="s">
        <v>115</v>
      </c>
      <c r="P584" s="2" t="str">
        <f>"2170560656                    "</f>
        <v xml:space="preserve">2170560656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8.31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1</v>
      </c>
      <c r="BJ584" s="2">
        <v>0.2</v>
      </c>
      <c r="BK584" s="2">
        <v>1</v>
      </c>
      <c r="BL584" s="2">
        <v>80.849999999999994</v>
      </c>
      <c r="BM584" s="2">
        <v>11.32</v>
      </c>
      <c r="BN584" s="2">
        <v>92.17</v>
      </c>
      <c r="BO584" s="2">
        <v>92.17</v>
      </c>
      <c r="BP584" s="2"/>
      <c r="BQ584" s="2" t="s">
        <v>790</v>
      </c>
      <c r="BR584" s="2" t="s">
        <v>84</v>
      </c>
      <c r="BS584" s="3">
        <v>42838</v>
      </c>
      <c r="BT584" s="4">
        <v>0.52361111111111114</v>
      </c>
      <c r="BU584" s="2" t="s">
        <v>1013</v>
      </c>
      <c r="BV584" s="2" t="s">
        <v>111</v>
      </c>
      <c r="BW584" s="2"/>
      <c r="BX584" s="2"/>
      <c r="BY584" s="2">
        <v>1200</v>
      </c>
      <c r="BZ584" s="2" t="s">
        <v>27</v>
      </c>
      <c r="CA584" s="2"/>
      <c r="CB584" s="2"/>
      <c r="CC584" s="2" t="s">
        <v>788</v>
      </c>
      <c r="CD584" s="2">
        <v>9650</v>
      </c>
      <c r="CE584" s="2" t="s">
        <v>118</v>
      </c>
      <c r="CF584" s="5">
        <v>42845</v>
      </c>
      <c r="CG584" s="2"/>
      <c r="CH584" s="2"/>
      <c r="CI584" s="2">
        <v>1</v>
      </c>
      <c r="CJ584" s="2">
        <v>1</v>
      </c>
      <c r="CK584" s="2">
        <v>23</v>
      </c>
      <c r="CL584" s="2" t="s">
        <v>86</v>
      </c>
      <c r="CM584" s="2"/>
    </row>
    <row r="585" spans="1:91">
      <c r="A585" s="2" t="s">
        <v>71</v>
      </c>
      <c r="B585" s="2" t="s">
        <v>72</v>
      </c>
      <c r="C585" s="2" t="s">
        <v>73</v>
      </c>
      <c r="D585" s="2"/>
      <c r="E585" s="2" t="str">
        <f>"FES1162541444"</f>
        <v>FES1162541444</v>
      </c>
      <c r="F585" s="3">
        <v>42829</v>
      </c>
      <c r="G585" s="2">
        <v>201710</v>
      </c>
      <c r="H585" s="2" t="s">
        <v>74</v>
      </c>
      <c r="I585" s="2" t="s">
        <v>75</v>
      </c>
      <c r="J585" s="2" t="s">
        <v>76</v>
      </c>
      <c r="K585" s="2" t="s">
        <v>77</v>
      </c>
      <c r="L585" s="2" t="s">
        <v>99</v>
      </c>
      <c r="M585" s="2" t="s">
        <v>100</v>
      </c>
      <c r="N585" s="2" t="s">
        <v>876</v>
      </c>
      <c r="O585" s="2" t="s">
        <v>115</v>
      </c>
      <c r="P585" s="2" t="str">
        <f>"2170555878                    "</f>
        <v xml:space="preserve">2170555878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4.42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1</v>
      </c>
      <c r="BJ585" s="2">
        <v>1.3</v>
      </c>
      <c r="BK585" s="2">
        <v>1.5</v>
      </c>
      <c r="BL585" s="2">
        <v>41.86</v>
      </c>
      <c r="BM585" s="2">
        <v>5.86</v>
      </c>
      <c r="BN585" s="2">
        <v>47.72</v>
      </c>
      <c r="BO585" s="2">
        <v>47.72</v>
      </c>
      <c r="BP585" s="2"/>
      <c r="BQ585" s="2" t="s">
        <v>877</v>
      </c>
      <c r="BR585" s="2" t="s">
        <v>123</v>
      </c>
      <c r="BS585" s="3">
        <v>42830</v>
      </c>
      <c r="BT585" s="4">
        <v>0.29305555555555557</v>
      </c>
      <c r="BU585" s="2" t="s">
        <v>898</v>
      </c>
      <c r="BV585" s="2" t="s">
        <v>111</v>
      </c>
      <c r="BW585" s="2"/>
      <c r="BX585" s="2"/>
      <c r="BY585" s="2">
        <v>6319.6</v>
      </c>
      <c r="BZ585" s="2" t="s">
        <v>27</v>
      </c>
      <c r="CA585" s="2" t="s">
        <v>106</v>
      </c>
      <c r="CB585" s="2"/>
      <c r="CC585" s="2" t="s">
        <v>100</v>
      </c>
      <c r="CD585" s="2">
        <v>6012</v>
      </c>
      <c r="CE585" s="2" t="s">
        <v>172</v>
      </c>
      <c r="CF585" s="5">
        <v>42830</v>
      </c>
      <c r="CG585" s="2"/>
      <c r="CH585" s="2"/>
      <c r="CI585" s="2">
        <v>1</v>
      </c>
      <c r="CJ585" s="2">
        <v>1</v>
      </c>
      <c r="CK585" s="2">
        <v>21</v>
      </c>
      <c r="CL585" s="2" t="s">
        <v>86</v>
      </c>
      <c r="CM585" s="2"/>
    </row>
    <row r="586" spans="1:91">
      <c r="A586" s="2" t="s">
        <v>71</v>
      </c>
      <c r="B586" s="2" t="s">
        <v>72</v>
      </c>
      <c r="C586" s="2" t="s">
        <v>73</v>
      </c>
      <c r="D586" s="2"/>
      <c r="E586" s="2" t="str">
        <f>"FES1162542835"</f>
        <v>FES1162542835</v>
      </c>
      <c r="F586" s="3">
        <v>42836</v>
      </c>
      <c r="G586" s="2">
        <v>201710</v>
      </c>
      <c r="H586" s="2" t="s">
        <v>74</v>
      </c>
      <c r="I586" s="2" t="s">
        <v>75</v>
      </c>
      <c r="J586" s="2" t="s">
        <v>76</v>
      </c>
      <c r="K586" s="2" t="s">
        <v>77</v>
      </c>
      <c r="L586" s="2" t="s">
        <v>180</v>
      </c>
      <c r="M586" s="2" t="s">
        <v>181</v>
      </c>
      <c r="N586" s="2" t="s">
        <v>982</v>
      </c>
      <c r="O586" s="2" t="s">
        <v>115</v>
      </c>
      <c r="P586" s="2" t="str">
        <f>"2170561696                    "</f>
        <v xml:space="preserve">2170561696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4.29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1</v>
      </c>
      <c r="BJ586" s="2">
        <v>0.9</v>
      </c>
      <c r="BK586" s="2">
        <v>1</v>
      </c>
      <c r="BL586" s="2">
        <v>41.73</v>
      </c>
      <c r="BM586" s="2">
        <v>5.84</v>
      </c>
      <c r="BN586" s="2">
        <v>47.57</v>
      </c>
      <c r="BO586" s="2">
        <v>47.57</v>
      </c>
      <c r="BP586" s="2"/>
      <c r="BQ586" s="2" t="s">
        <v>1168</v>
      </c>
      <c r="BR586" s="2" t="s">
        <v>123</v>
      </c>
      <c r="BS586" s="3">
        <v>42837</v>
      </c>
      <c r="BT586" s="4">
        <v>0.4375</v>
      </c>
      <c r="BU586" s="2" t="s">
        <v>245</v>
      </c>
      <c r="BV586" s="2" t="s">
        <v>111</v>
      </c>
      <c r="BW586" s="2"/>
      <c r="BX586" s="2"/>
      <c r="BY586" s="2">
        <v>4504.7299999999996</v>
      </c>
      <c r="BZ586" s="2" t="s">
        <v>27</v>
      </c>
      <c r="CA586" s="2"/>
      <c r="CB586" s="2"/>
      <c r="CC586" s="2" t="s">
        <v>181</v>
      </c>
      <c r="CD586" s="2">
        <v>4052</v>
      </c>
      <c r="CE586" s="2" t="s">
        <v>144</v>
      </c>
      <c r="CF586" s="5">
        <v>42843</v>
      </c>
      <c r="CG586" s="2"/>
      <c r="CH586" s="2"/>
      <c r="CI586" s="2">
        <v>1</v>
      </c>
      <c r="CJ586" s="2">
        <v>1</v>
      </c>
      <c r="CK586" s="2">
        <v>21</v>
      </c>
      <c r="CL586" s="2" t="s">
        <v>86</v>
      </c>
      <c r="CM586" s="2"/>
    </row>
    <row r="587" spans="1:91">
      <c r="A587" s="2" t="s">
        <v>71</v>
      </c>
      <c r="B587" s="2" t="s">
        <v>72</v>
      </c>
      <c r="C587" s="2" t="s">
        <v>73</v>
      </c>
      <c r="D587" s="2"/>
      <c r="E587" s="2" t="str">
        <f>"FES1162541842"</f>
        <v>FES1162541842</v>
      </c>
      <c r="F587" s="3">
        <v>42830</v>
      </c>
      <c r="G587" s="2">
        <v>201710</v>
      </c>
      <c r="H587" s="2" t="s">
        <v>74</v>
      </c>
      <c r="I587" s="2" t="s">
        <v>75</v>
      </c>
      <c r="J587" s="2" t="s">
        <v>76</v>
      </c>
      <c r="K587" s="2" t="s">
        <v>77</v>
      </c>
      <c r="L587" s="2" t="s">
        <v>131</v>
      </c>
      <c r="M587" s="2" t="s">
        <v>132</v>
      </c>
      <c r="N587" s="2" t="s">
        <v>744</v>
      </c>
      <c r="O587" s="2" t="s">
        <v>115</v>
      </c>
      <c r="P587" s="2" t="str">
        <f>"2170559723                    "</f>
        <v xml:space="preserve">2170559723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4.29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1</v>
      </c>
      <c r="BJ587" s="2">
        <v>0.2</v>
      </c>
      <c r="BK587" s="2">
        <v>1</v>
      </c>
      <c r="BL587" s="2">
        <v>41.73</v>
      </c>
      <c r="BM587" s="2">
        <v>5.84</v>
      </c>
      <c r="BN587" s="2">
        <v>47.57</v>
      </c>
      <c r="BO587" s="2">
        <v>47.57</v>
      </c>
      <c r="BP587" s="2"/>
      <c r="BQ587" s="2" t="s">
        <v>138</v>
      </c>
      <c r="BR587" s="2" t="s">
        <v>123</v>
      </c>
      <c r="BS587" s="3">
        <v>42831</v>
      </c>
      <c r="BT587" s="4">
        <v>0.41666666666666669</v>
      </c>
      <c r="BU587" s="2" t="s">
        <v>130</v>
      </c>
      <c r="BV587" s="2" t="s">
        <v>111</v>
      </c>
      <c r="BW587" s="2"/>
      <c r="BX587" s="2"/>
      <c r="BY587" s="2">
        <v>1200</v>
      </c>
      <c r="BZ587" s="2" t="s">
        <v>27</v>
      </c>
      <c r="CA587" s="2"/>
      <c r="CB587" s="2"/>
      <c r="CC587" s="2" t="s">
        <v>132</v>
      </c>
      <c r="CD587" s="2">
        <v>7405</v>
      </c>
      <c r="CE587" s="2" t="s">
        <v>118</v>
      </c>
      <c r="CF587" s="5">
        <v>42833</v>
      </c>
      <c r="CG587" s="2"/>
      <c r="CH587" s="2"/>
      <c r="CI587" s="2">
        <v>1</v>
      </c>
      <c r="CJ587" s="2">
        <v>1</v>
      </c>
      <c r="CK587" s="2">
        <v>21</v>
      </c>
      <c r="CL587" s="2" t="s">
        <v>86</v>
      </c>
      <c r="CM587" s="2"/>
    </row>
    <row r="588" spans="1:91">
      <c r="A588" s="2" t="s">
        <v>71</v>
      </c>
      <c r="B588" s="2" t="s">
        <v>72</v>
      </c>
      <c r="C588" s="2" t="s">
        <v>73</v>
      </c>
      <c r="D588" s="2"/>
      <c r="E588" s="2" t="str">
        <f>"FES1162541481"</f>
        <v>FES1162541481</v>
      </c>
      <c r="F588" s="3">
        <v>42830</v>
      </c>
      <c r="G588" s="2">
        <v>201710</v>
      </c>
      <c r="H588" s="2" t="s">
        <v>74</v>
      </c>
      <c r="I588" s="2" t="s">
        <v>75</v>
      </c>
      <c r="J588" s="2" t="s">
        <v>76</v>
      </c>
      <c r="K588" s="2" t="s">
        <v>77</v>
      </c>
      <c r="L588" s="2" t="s">
        <v>516</v>
      </c>
      <c r="M588" s="2" t="s">
        <v>517</v>
      </c>
      <c r="N588" s="2" t="s">
        <v>1169</v>
      </c>
      <c r="O588" s="2" t="s">
        <v>115</v>
      </c>
      <c r="P588" s="2" t="str">
        <f>"2170560565                    "</f>
        <v xml:space="preserve">2170560565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3.35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1</v>
      </c>
      <c r="BJ588" s="2">
        <v>0.2</v>
      </c>
      <c r="BK588" s="2">
        <v>1</v>
      </c>
      <c r="BL588" s="2">
        <v>32.6</v>
      </c>
      <c r="BM588" s="2">
        <v>4.5599999999999996</v>
      </c>
      <c r="BN588" s="2">
        <v>37.159999999999997</v>
      </c>
      <c r="BO588" s="2">
        <v>37.159999999999997</v>
      </c>
      <c r="BP588" s="2"/>
      <c r="BQ588" s="2" t="s">
        <v>1170</v>
      </c>
      <c r="BR588" s="2" t="s">
        <v>123</v>
      </c>
      <c r="BS588" s="3">
        <v>42831</v>
      </c>
      <c r="BT588" s="4">
        <v>0.38541666666666669</v>
      </c>
      <c r="BU588" s="2" t="s">
        <v>1171</v>
      </c>
      <c r="BV588" s="2" t="s">
        <v>111</v>
      </c>
      <c r="BW588" s="2"/>
      <c r="BX588" s="2"/>
      <c r="BY588" s="2">
        <v>1200</v>
      </c>
      <c r="BZ588" s="2" t="s">
        <v>27</v>
      </c>
      <c r="CA588" s="2" t="s">
        <v>159</v>
      </c>
      <c r="CB588" s="2"/>
      <c r="CC588" s="2" t="s">
        <v>517</v>
      </c>
      <c r="CD588" s="2">
        <v>1459</v>
      </c>
      <c r="CE588" s="2" t="s">
        <v>118</v>
      </c>
      <c r="CF588" s="5">
        <v>42832</v>
      </c>
      <c r="CG588" s="2"/>
      <c r="CH588" s="2"/>
      <c r="CI588" s="2">
        <v>1</v>
      </c>
      <c r="CJ588" s="2">
        <v>1</v>
      </c>
      <c r="CK588" s="2">
        <v>22</v>
      </c>
      <c r="CL588" s="2" t="s">
        <v>86</v>
      </c>
      <c r="CM588" s="2"/>
    </row>
    <row r="589" spans="1:91">
      <c r="A589" s="2" t="s">
        <v>71</v>
      </c>
      <c r="B589" s="2" t="s">
        <v>72</v>
      </c>
      <c r="C589" s="2" t="s">
        <v>73</v>
      </c>
      <c r="D589" s="2"/>
      <c r="E589" s="2" t="str">
        <f>"FES1162543222"</f>
        <v>FES1162543222</v>
      </c>
      <c r="F589" s="3">
        <v>42837</v>
      </c>
      <c r="G589" s="2">
        <v>201710</v>
      </c>
      <c r="H589" s="2" t="s">
        <v>74</v>
      </c>
      <c r="I589" s="2" t="s">
        <v>75</v>
      </c>
      <c r="J589" s="2" t="s">
        <v>76</v>
      </c>
      <c r="K589" s="2" t="s">
        <v>77</v>
      </c>
      <c r="L589" s="2" t="s">
        <v>166</v>
      </c>
      <c r="M589" s="2" t="s">
        <v>167</v>
      </c>
      <c r="N589" s="2" t="s">
        <v>1172</v>
      </c>
      <c r="O589" s="2" t="s">
        <v>115</v>
      </c>
      <c r="P589" s="2" t="str">
        <f>"2170561985                    "</f>
        <v xml:space="preserve">2170561985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3.35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1</v>
      </c>
      <c r="BJ589" s="2">
        <v>0.2</v>
      </c>
      <c r="BK589" s="2">
        <v>1</v>
      </c>
      <c r="BL589" s="2">
        <v>32.6</v>
      </c>
      <c r="BM589" s="2">
        <v>4.5599999999999996</v>
      </c>
      <c r="BN589" s="2">
        <v>37.159999999999997</v>
      </c>
      <c r="BO589" s="2">
        <v>37.159999999999997</v>
      </c>
      <c r="BP589" s="2"/>
      <c r="BQ589" s="2" t="s">
        <v>1173</v>
      </c>
      <c r="BR589" s="2" t="s">
        <v>84</v>
      </c>
      <c r="BS589" s="3">
        <v>42838</v>
      </c>
      <c r="BT589" s="4">
        <v>0.50416666666666665</v>
      </c>
      <c r="BU589" s="2" t="s">
        <v>1174</v>
      </c>
      <c r="BV589" s="2" t="s">
        <v>111</v>
      </c>
      <c r="BW589" s="2"/>
      <c r="BX589" s="2"/>
      <c r="BY589" s="2">
        <v>1200</v>
      </c>
      <c r="BZ589" s="2" t="s">
        <v>27</v>
      </c>
      <c r="CA589" s="2" t="s">
        <v>1175</v>
      </c>
      <c r="CB589" s="2"/>
      <c r="CC589" s="2" t="s">
        <v>167</v>
      </c>
      <c r="CD589" s="2">
        <v>1820</v>
      </c>
      <c r="CE589" s="2" t="s">
        <v>118</v>
      </c>
      <c r="CF589" s="5">
        <v>42838</v>
      </c>
      <c r="CG589" s="2"/>
      <c r="CH589" s="2"/>
      <c r="CI589" s="2">
        <v>1</v>
      </c>
      <c r="CJ589" s="2">
        <v>1</v>
      </c>
      <c r="CK589" s="2">
        <v>22</v>
      </c>
      <c r="CL589" s="2" t="s">
        <v>86</v>
      </c>
      <c r="CM589" s="2"/>
    </row>
    <row r="590" spans="1:91">
      <c r="A590" s="2" t="s">
        <v>71</v>
      </c>
      <c r="B590" s="2" t="s">
        <v>72</v>
      </c>
      <c r="C590" s="2" t="s">
        <v>73</v>
      </c>
      <c r="D590" s="2"/>
      <c r="E590" s="2" t="str">
        <f>"FES1162541935"</f>
        <v>FES1162541935</v>
      </c>
      <c r="F590" s="3">
        <v>42831</v>
      </c>
      <c r="G590" s="2">
        <v>201710</v>
      </c>
      <c r="H590" s="2" t="s">
        <v>74</v>
      </c>
      <c r="I590" s="2" t="s">
        <v>75</v>
      </c>
      <c r="J590" s="2" t="s">
        <v>76</v>
      </c>
      <c r="K590" s="2" t="s">
        <v>77</v>
      </c>
      <c r="L590" s="2" t="s">
        <v>294</v>
      </c>
      <c r="M590" s="2" t="s">
        <v>295</v>
      </c>
      <c r="N590" s="2" t="s">
        <v>416</v>
      </c>
      <c r="O590" s="2" t="s">
        <v>115</v>
      </c>
      <c r="P590" s="2" t="str">
        <f>"2170560926                    "</f>
        <v xml:space="preserve">2170560926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8.57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3.7</v>
      </c>
      <c r="BJ590" s="2">
        <v>1.9</v>
      </c>
      <c r="BK590" s="2">
        <v>4</v>
      </c>
      <c r="BL590" s="2">
        <v>83.45</v>
      </c>
      <c r="BM590" s="2">
        <v>11.68</v>
      </c>
      <c r="BN590" s="2">
        <v>95.13</v>
      </c>
      <c r="BO590" s="2">
        <v>95.13</v>
      </c>
      <c r="BP590" s="2"/>
      <c r="BQ590" s="2" t="s">
        <v>417</v>
      </c>
      <c r="BR590" s="2" t="s">
        <v>123</v>
      </c>
      <c r="BS590" s="3">
        <v>42832</v>
      </c>
      <c r="BT590" s="4">
        <v>0.4375</v>
      </c>
      <c r="BU590" s="2" t="s">
        <v>1176</v>
      </c>
      <c r="BV590" s="2" t="s">
        <v>111</v>
      </c>
      <c r="BW590" s="2"/>
      <c r="BX590" s="2"/>
      <c r="BY590" s="2">
        <v>9282.9</v>
      </c>
      <c r="BZ590" s="2" t="s">
        <v>27</v>
      </c>
      <c r="CA590" s="2"/>
      <c r="CB590" s="2"/>
      <c r="CC590" s="2" t="s">
        <v>295</v>
      </c>
      <c r="CD590" s="2">
        <v>3610</v>
      </c>
      <c r="CE590" s="2" t="s">
        <v>135</v>
      </c>
      <c r="CF590" s="5">
        <v>42835</v>
      </c>
      <c r="CG590" s="2"/>
      <c r="CH590" s="2"/>
      <c r="CI590" s="2">
        <v>1</v>
      </c>
      <c r="CJ590" s="2">
        <v>1</v>
      </c>
      <c r="CK590" s="2">
        <v>21</v>
      </c>
      <c r="CL590" s="2" t="s">
        <v>86</v>
      </c>
      <c r="CM590" s="2"/>
    </row>
    <row r="591" spans="1:91">
      <c r="A591" s="2" t="s">
        <v>71</v>
      </c>
      <c r="B591" s="2" t="s">
        <v>72</v>
      </c>
      <c r="C591" s="2" t="s">
        <v>73</v>
      </c>
      <c r="D591" s="2"/>
      <c r="E591" s="2" t="str">
        <f>"FES1162541464"</f>
        <v>FES1162541464</v>
      </c>
      <c r="F591" s="3">
        <v>42829</v>
      </c>
      <c r="G591" s="2">
        <v>201710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99</v>
      </c>
      <c r="M591" s="2" t="s">
        <v>100</v>
      </c>
      <c r="N591" s="2" t="s">
        <v>876</v>
      </c>
      <c r="O591" s="2" t="s">
        <v>115</v>
      </c>
      <c r="P591" s="2" t="str">
        <f>"2170560538                    "</f>
        <v xml:space="preserve">2170560538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4.42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1</v>
      </c>
      <c r="BJ591" s="2">
        <v>0.2</v>
      </c>
      <c r="BK591" s="2">
        <v>1</v>
      </c>
      <c r="BL591" s="2">
        <v>41.86</v>
      </c>
      <c r="BM591" s="2">
        <v>5.86</v>
      </c>
      <c r="BN591" s="2">
        <v>47.72</v>
      </c>
      <c r="BO591" s="2">
        <v>47.72</v>
      </c>
      <c r="BP591" s="2"/>
      <c r="BQ591" s="2" t="s">
        <v>877</v>
      </c>
      <c r="BR591" s="2" t="s">
        <v>123</v>
      </c>
      <c r="BS591" s="3">
        <v>42830</v>
      </c>
      <c r="BT591" s="4">
        <v>0.29305555555555557</v>
      </c>
      <c r="BU591" s="2" t="s">
        <v>898</v>
      </c>
      <c r="BV591" s="2" t="s">
        <v>111</v>
      </c>
      <c r="BW591" s="2"/>
      <c r="BX591" s="2"/>
      <c r="BY591" s="2">
        <v>1200</v>
      </c>
      <c r="BZ591" s="2" t="s">
        <v>27</v>
      </c>
      <c r="CA591" s="2" t="s">
        <v>106</v>
      </c>
      <c r="CB591" s="2"/>
      <c r="CC591" s="2" t="s">
        <v>100</v>
      </c>
      <c r="CD591" s="2">
        <v>6012</v>
      </c>
      <c r="CE591" s="2" t="s">
        <v>118</v>
      </c>
      <c r="CF591" s="5">
        <v>42830</v>
      </c>
      <c r="CG591" s="2"/>
      <c r="CH591" s="2"/>
      <c r="CI591" s="2">
        <v>1</v>
      </c>
      <c r="CJ591" s="2">
        <v>1</v>
      </c>
      <c r="CK591" s="2">
        <v>21</v>
      </c>
      <c r="CL591" s="2" t="s">
        <v>86</v>
      </c>
      <c r="CM591" s="2"/>
    </row>
    <row r="592" spans="1:91">
      <c r="A592" s="2" t="s">
        <v>71</v>
      </c>
      <c r="B592" s="2" t="s">
        <v>72</v>
      </c>
      <c r="C592" s="2" t="s">
        <v>73</v>
      </c>
      <c r="D592" s="2"/>
      <c r="E592" s="2" t="str">
        <f>"FES1162542943"</f>
        <v>FES1162542943</v>
      </c>
      <c r="F592" s="3">
        <v>42836</v>
      </c>
      <c r="G592" s="2">
        <v>201710</v>
      </c>
      <c r="H592" s="2" t="s">
        <v>74</v>
      </c>
      <c r="I592" s="2" t="s">
        <v>75</v>
      </c>
      <c r="J592" s="2" t="s">
        <v>76</v>
      </c>
      <c r="K592" s="2" t="s">
        <v>77</v>
      </c>
      <c r="L592" s="2" t="s">
        <v>166</v>
      </c>
      <c r="M592" s="2" t="s">
        <v>167</v>
      </c>
      <c r="N592" s="2" t="s">
        <v>1177</v>
      </c>
      <c r="O592" s="2" t="s">
        <v>115</v>
      </c>
      <c r="P592" s="2" t="str">
        <f>"2170561474                    "</f>
        <v xml:space="preserve">2170561474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3.35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1</v>
      </c>
      <c r="BJ592" s="2">
        <v>0.2</v>
      </c>
      <c r="BK592" s="2">
        <v>1</v>
      </c>
      <c r="BL592" s="2">
        <v>32.6</v>
      </c>
      <c r="BM592" s="2">
        <v>4.5599999999999996</v>
      </c>
      <c r="BN592" s="2">
        <v>37.159999999999997</v>
      </c>
      <c r="BO592" s="2">
        <v>37.159999999999997</v>
      </c>
      <c r="BP592" s="2"/>
      <c r="BQ592" s="2" t="s">
        <v>1178</v>
      </c>
      <c r="BR592" s="2" t="s">
        <v>123</v>
      </c>
      <c r="BS592" s="3">
        <v>42837</v>
      </c>
      <c r="BT592" s="4">
        <v>0.41666666666666669</v>
      </c>
      <c r="BU592" s="2" t="s">
        <v>1179</v>
      </c>
      <c r="BV592" s="2" t="s">
        <v>111</v>
      </c>
      <c r="BW592" s="2"/>
      <c r="BX592" s="2"/>
      <c r="BY592" s="2">
        <v>1200</v>
      </c>
      <c r="BZ592" s="2" t="s">
        <v>27</v>
      </c>
      <c r="CA592" s="2"/>
      <c r="CB592" s="2"/>
      <c r="CC592" s="2" t="s">
        <v>167</v>
      </c>
      <c r="CD592" s="2">
        <v>2093</v>
      </c>
      <c r="CE592" s="2" t="s">
        <v>118</v>
      </c>
      <c r="CF592" s="5">
        <v>42838</v>
      </c>
      <c r="CG592" s="2"/>
      <c r="CH592" s="2"/>
      <c r="CI592" s="2">
        <v>1</v>
      </c>
      <c r="CJ592" s="2">
        <v>1</v>
      </c>
      <c r="CK592" s="2">
        <v>22</v>
      </c>
      <c r="CL592" s="2" t="s">
        <v>86</v>
      </c>
      <c r="CM592" s="2"/>
    </row>
    <row r="593" spans="1:91">
      <c r="A593" s="2" t="s">
        <v>71</v>
      </c>
      <c r="B593" s="2" t="s">
        <v>72</v>
      </c>
      <c r="C593" s="2" t="s">
        <v>73</v>
      </c>
      <c r="D593" s="2"/>
      <c r="E593" s="2" t="str">
        <f>"FES1162541804"</f>
        <v>FES1162541804</v>
      </c>
      <c r="F593" s="3">
        <v>42830</v>
      </c>
      <c r="G593" s="2">
        <v>201710</v>
      </c>
      <c r="H593" s="2" t="s">
        <v>74</v>
      </c>
      <c r="I593" s="2" t="s">
        <v>75</v>
      </c>
      <c r="J593" s="2" t="s">
        <v>76</v>
      </c>
      <c r="K593" s="2" t="s">
        <v>77</v>
      </c>
      <c r="L593" s="2" t="s">
        <v>131</v>
      </c>
      <c r="M593" s="2" t="s">
        <v>132</v>
      </c>
      <c r="N593" s="2" t="s">
        <v>1180</v>
      </c>
      <c r="O593" s="2" t="s">
        <v>115</v>
      </c>
      <c r="P593" s="2" t="str">
        <f>"2170558684                    "</f>
        <v xml:space="preserve">2170558684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4.29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1</v>
      </c>
      <c r="BJ593" s="2">
        <v>0.2</v>
      </c>
      <c r="BK593" s="2">
        <v>1</v>
      </c>
      <c r="BL593" s="2">
        <v>41.73</v>
      </c>
      <c r="BM593" s="2">
        <v>5.84</v>
      </c>
      <c r="BN593" s="2">
        <v>47.57</v>
      </c>
      <c r="BO593" s="2">
        <v>47.57</v>
      </c>
      <c r="BP593" s="2"/>
      <c r="BQ593" s="2" t="s">
        <v>129</v>
      </c>
      <c r="BR593" s="2" t="s">
        <v>123</v>
      </c>
      <c r="BS593" s="3">
        <v>42831</v>
      </c>
      <c r="BT593" s="4">
        <v>0.41666666666666669</v>
      </c>
      <c r="BU593" s="2" t="s">
        <v>1181</v>
      </c>
      <c r="BV593" s="2" t="s">
        <v>111</v>
      </c>
      <c r="BW593" s="2"/>
      <c r="BX593" s="2"/>
      <c r="BY593" s="2">
        <v>1200</v>
      </c>
      <c r="BZ593" s="2" t="s">
        <v>27</v>
      </c>
      <c r="CA593" s="2"/>
      <c r="CB593" s="2"/>
      <c r="CC593" s="2" t="s">
        <v>132</v>
      </c>
      <c r="CD593" s="2">
        <v>7460</v>
      </c>
      <c r="CE593" s="2" t="s">
        <v>118</v>
      </c>
      <c r="CF593" s="5">
        <v>42832</v>
      </c>
      <c r="CG593" s="2"/>
      <c r="CH593" s="2"/>
      <c r="CI593" s="2">
        <v>1</v>
      </c>
      <c r="CJ593" s="2">
        <v>1</v>
      </c>
      <c r="CK593" s="2">
        <v>21</v>
      </c>
      <c r="CL593" s="2" t="s">
        <v>86</v>
      </c>
      <c r="CM593" s="2"/>
    </row>
    <row r="594" spans="1:91">
      <c r="A594" s="2" t="s">
        <v>71</v>
      </c>
      <c r="B594" s="2" t="s">
        <v>72</v>
      </c>
      <c r="C594" s="2" t="s">
        <v>73</v>
      </c>
      <c r="D594" s="2"/>
      <c r="E594" s="2" t="str">
        <f>"FES1162541681"</f>
        <v>FES1162541681</v>
      </c>
      <c r="F594" s="3">
        <v>42830</v>
      </c>
      <c r="G594" s="2">
        <v>201710</v>
      </c>
      <c r="H594" s="2" t="s">
        <v>74</v>
      </c>
      <c r="I594" s="2" t="s">
        <v>75</v>
      </c>
      <c r="J594" s="2" t="s">
        <v>76</v>
      </c>
      <c r="K594" s="2" t="s">
        <v>77</v>
      </c>
      <c r="L594" s="2" t="s">
        <v>112</v>
      </c>
      <c r="M594" s="2" t="s">
        <v>113</v>
      </c>
      <c r="N594" s="2" t="s">
        <v>246</v>
      </c>
      <c r="O594" s="2" t="s">
        <v>115</v>
      </c>
      <c r="P594" s="2" t="str">
        <f>"2170560204                    "</f>
        <v xml:space="preserve">2170560204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4.29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1</v>
      </c>
      <c r="BJ594" s="2">
        <v>0.2</v>
      </c>
      <c r="BK594" s="2">
        <v>1</v>
      </c>
      <c r="BL594" s="2">
        <v>41.73</v>
      </c>
      <c r="BM594" s="2">
        <v>5.84</v>
      </c>
      <c r="BN594" s="2">
        <v>47.57</v>
      </c>
      <c r="BO594" s="2">
        <v>47.57</v>
      </c>
      <c r="BP594" s="2"/>
      <c r="BQ594" s="2" t="s">
        <v>122</v>
      </c>
      <c r="BR594" s="2" t="s">
        <v>123</v>
      </c>
      <c r="BS594" s="3">
        <v>42831</v>
      </c>
      <c r="BT594" s="4">
        <v>0.41319444444444442</v>
      </c>
      <c r="BU594" s="2" t="s">
        <v>1182</v>
      </c>
      <c r="BV594" s="2" t="s">
        <v>111</v>
      </c>
      <c r="BW594" s="2"/>
      <c r="BX594" s="2"/>
      <c r="BY594" s="2">
        <v>1200</v>
      </c>
      <c r="BZ594" s="2" t="s">
        <v>27</v>
      </c>
      <c r="CA594" s="2"/>
      <c r="CB594" s="2"/>
      <c r="CC594" s="2" t="s">
        <v>113</v>
      </c>
      <c r="CD594" s="2">
        <v>3212</v>
      </c>
      <c r="CE594" s="2" t="s">
        <v>144</v>
      </c>
      <c r="CF594" s="5">
        <v>42833</v>
      </c>
      <c r="CG594" s="2"/>
      <c r="CH594" s="2"/>
      <c r="CI594" s="2">
        <v>1</v>
      </c>
      <c r="CJ594" s="2">
        <v>1</v>
      </c>
      <c r="CK594" s="2">
        <v>21</v>
      </c>
      <c r="CL594" s="2" t="s">
        <v>86</v>
      </c>
      <c r="CM594" s="2"/>
    </row>
    <row r="595" spans="1:91">
      <c r="A595" s="2" t="s">
        <v>71</v>
      </c>
      <c r="B595" s="2" t="s">
        <v>72</v>
      </c>
      <c r="C595" s="2" t="s">
        <v>73</v>
      </c>
      <c r="D595" s="2"/>
      <c r="E595" s="2" t="str">
        <f>"FES1162543223"</f>
        <v>FES1162543223</v>
      </c>
      <c r="F595" s="3">
        <v>42837</v>
      </c>
      <c r="G595" s="2">
        <v>201710</v>
      </c>
      <c r="H595" s="2" t="s">
        <v>74</v>
      </c>
      <c r="I595" s="2" t="s">
        <v>75</v>
      </c>
      <c r="J595" s="2" t="s">
        <v>76</v>
      </c>
      <c r="K595" s="2" t="s">
        <v>77</v>
      </c>
      <c r="L595" s="2" t="s">
        <v>187</v>
      </c>
      <c r="M595" s="2" t="s">
        <v>146</v>
      </c>
      <c r="N595" s="2" t="s">
        <v>147</v>
      </c>
      <c r="O595" s="2" t="s">
        <v>115</v>
      </c>
      <c r="P595" s="2" t="str">
        <f>"2170561989                    "</f>
        <v xml:space="preserve">2170561989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4.29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1</v>
      </c>
      <c r="BJ595" s="2">
        <v>0.2</v>
      </c>
      <c r="BK595" s="2">
        <v>1</v>
      </c>
      <c r="BL595" s="2">
        <v>41.73</v>
      </c>
      <c r="BM595" s="2">
        <v>5.84</v>
      </c>
      <c r="BN595" s="2">
        <v>47.57</v>
      </c>
      <c r="BO595" s="2">
        <v>47.57</v>
      </c>
      <c r="BP595" s="2"/>
      <c r="BQ595" s="2" t="s">
        <v>148</v>
      </c>
      <c r="BR595" s="2" t="s">
        <v>84</v>
      </c>
      <c r="BS595" s="3">
        <v>42838</v>
      </c>
      <c r="BT595" s="4">
        <v>0.32291666666666669</v>
      </c>
      <c r="BU595" s="2" t="s">
        <v>1183</v>
      </c>
      <c r="BV595" s="2" t="s">
        <v>111</v>
      </c>
      <c r="BW595" s="2"/>
      <c r="BX595" s="2"/>
      <c r="BY595" s="2">
        <v>1200</v>
      </c>
      <c r="BZ595" s="2" t="s">
        <v>27</v>
      </c>
      <c r="CA595" s="2"/>
      <c r="CB595" s="2"/>
      <c r="CC595" s="2" t="s">
        <v>146</v>
      </c>
      <c r="CD595" s="2">
        <v>1</v>
      </c>
      <c r="CE595" s="2" t="s">
        <v>118</v>
      </c>
      <c r="CF595" s="5">
        <v>42844</v>
      </c>
      <c r="CG595" s="2"/>
      <c r="CH595" s="2"/>
      <c r="CI595" s="2">
        <v>0</v>
      </c>
      <c r="CJ595" s="2">
        <v>0</v>
      </c>
      <c r="CK595" s="2">
        <v>21</v>
      </c>
      <c r="CL595" s="2" t="s">
        <v>86</v>
      </c>
      <c r="CM595" s="2"/>
    </row>
    <row r="596" spans="1:91">
      <c r="A596" s="2" t="s">
        <v>71</v>
      </c>
      <c r="B596" s="2" t="s">
        <v>72</v>
      </c>
      <c r="C596" s="2" t="s">
        <v>73</v>
      </c>
      <c r="D596" s="2"/>
      <c r="E596" s="2" t="str">
        <f>"FES1162541968"</f>
        <v>FES1162541968</v>
      </c>
      <c r="F596" s="3">
        <v>42831</v>
      </c>
      <c r="G596" s="2">
        <v>201710</v>
      </c>
      <c r="H596" s="2" t="s">
        <v>74</v>
      </c>
      <c r="I596" s="2" t="s">
        <v>75</v>
      </c>
      <c r="J596" s="2" t="s">
        <v>76</v>
      </c>
      <c r="K596" s="2" t="s">
        <v>77</v>
      </c>
      <c r="L596" s="2" t="s">
        <v>651</v>
      </c>
      <c r="M596" s="2" t="s">
        <v>652</v>
      </c>
      <c r="N596" s="2" t="s">
        <v>283</v>
      </c>
      <c r="O596" s="2" t="s">
        <v>115</v>
      </c>
      <c r="P596" s="2" t="str">
        <f>"2170560964                    "</f>
        <v xml:space="preserve">2170560964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4.29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1.5</v>
      </c>
      <c r="BJ596" s="2">
        <v>2</v>
      </c>
      <c r="BK596" s="2">
        <v>2</v>
      </c>
      <c r="BL596" s="2">
        <v>41.73</v>
      </c>
      <c r="BM596" s="2">
        <v>5.84</v>
      </c>
      <c r="BN596" s="2">
        <v>47.57</v>
      </c>
      <c r="BO596" s="2">
        <v>47.57</v>
      </c>
      <c r="BP596" s="2"/>
      <c r="BQ596" s="2" t="s">
        <v>653</v>
      </c>
      <c r="BR596" s="2" t="s">
        <v>123</v>
      </c>
      <c r="BS596" s="3">
        <v>42832</v>
      </c>
      <c r="BT596" s="4">
        <v>0.3666666666666667</v>
      </c>
      <c r="BU596" s="2" t="s">
        <v>654</v>
      </c>
      <c r="BV596" s="2" t="s">
        <v>111</v>
      </c>
      <c r="BW596" s="2"/>
      <c r="BX596" s="2"/>
      <c r="BY596" s="2">
        <v>9940.14</v>
      </c>
      <c r="BZ596" s="2" t="s">
        <v>27</v>
      </c>
      <c r="CA596" s="2"/>
      <c r="CB596" s="2"/>
      <c r="CC596" s="2" t="s">
        <v>652</v>
      </c>
      <c r="CD596" s="2">
        <v>9300</v>
      </c>
      <c r="CE596" s="2" t="s">
        <v>144</v>
      </c>
      <c r="CF596" s="5">
        <v>42835</v>
      </c>
      <c r="CG596" s="2"/>
      <c r="CH596" s="2"/>
      <c r="CI596" s="2">
        <v>1</v>
      </c>
      <c r="CJ596" s="2">
        <v>1</v>
      </c>
      <c r="CK596" s="2">
        <v>21</v>
      </c>
      <c r="CL596" s="2" t="s">
        <v>86</v>
      </c>
      <c r="CM596" s="2"/>
    </row>
    <row r="597" spans="1:91">
      <c r="A597" s="2" t="s">
        <v>71</v>
      </c>
      <c r="B597" s="2" t="s">
        <v>72</v>
      </c>
      <c r="C597" s="2" t="s">
        <v>73</v>
      </c>
      <c r="D597" s="2"/>
      <c r="E597" s="2" t="str">
        <f>"FES1162541468"</f>
        <v>FES1162541468</v>
      </c>
      <c r="F597" s="3">
        <v>42829</v>
      </c>
      <c r="G597" s="2">
        <v>201710</v>
      </c>
      <c r="H597" s="2" t="s">
        <v>74</v>
      </c>
      <c r="I597" s="2" t="s">
        <v>75</v>
      </c>
      <c r="J597" s="2" t="s">
        <v>76</v>
      </c>
      <c r="K597" s="2" t="s">
        <v>77</v>
      </c>
      <c r="L597" s="2" t="s">
        <v>99</v>
      </c>
      <c r="M597" s="2" t="s">
        <v>100</v>
      </c>
      <c r="N597" s="2" t="s">
        <v>700</v>
      </c>
      <c r="O597" s="2" t="s">
        <v>115</v>
      </c>
      <c r="P597" s="2" t="str">
        <f>"2170560546                    "</f>
        <v xml:space="preserve">2170560546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4.42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1</v>
      </c>
      <c r="BJ597" s="2">
        <v>0.2</v>
      </c>
      <c r="BK597" s="2">
        <v>1</v>
      </c>
      <c r="BL597" s="2">
        <v>41.86</v>
      </c>
      <c r="BM597" s="2">
        <v>5.86</v>
      </c>
      <c r="BN597" s="2">
        <v>47.72</v>
      </c>
      <c r="BO597" s="2">
        <v>47.72</v>
      </c>
      <c r="BP597" s="2"/>
      <c r="BQ597" s="2" t="s">
        <v>701</v>
      </c>
      <c r="BR597" s="2" t="s">
        <v>123</v>
      </c>
      <c r="BS597" s="3">
        <v>42830</v>
      </c>
      <c r="BT597" s="4">
        <v>0.4201388888888889</v>
      </c>
      <c r="BU597" s="2" t="s">
        <v>702</v>
      </c>
      <c r="BV597" s="2" t="s">
        <v>111</v>
      </c>
      <c r="BW597" s="2"/>
      <c r="BX597" s="2"/>
      <c r="BY597" s="2">
        <v>1200</v>
      </c>
      <c r="BZ597" s="2" t="s">
        <v>27</v>
      </c>
      <c r="CA597" s="2" t="s">
        <v>106</v>
      </c>
      <c r="CB597" s="2"/>
      <c r="CC597" s="2" t="s">
        <v>100</v>
      </c>
      <c r="CD597" s="2">
        <v>6001</v>
      </c>
      <c r="CE597" s="2" t="s">
        <v>118</v>
      </c>
      <c r="CF597" s="5">
        <v>42830</v>
      </c>
      <c r="CG597" s="2"/>
      <c r="CH597" s="2"/>
      <c r="CI597" s="2">
        <v>1</v>
      </c>
      <c r="CJ597" s="2">
        <v>1</v>
      </c>
      <c r="CK597" s="2">
        <v>21</v>
      </c>
      <c r="CL597" s="2" t="s">
        <v>86</v>
      </c>
      <c r="CM597" s="2"/>
    </row>
    <row r="598" spans="1:91">
      <c r="A598" s="2" t="s">
        <v>71</v>
      </c>
      <c r="B598" s="2" t="s">
        <v>72</v>
      </c>
      <c r="C598" s="2" t="s">
        <v>73</v>
      </c>
      <c r="D598" s="2"/>
      <c r="E598" s="2" t="str">
        <f>"FES1162542791"</f>
        <v>FES1162542791</v>
      </c>
      <c r="F598" s="3">
        <v>42836</v>
      </c>
      <c r="G598" s="2">
        <v>201710</v>
      </c>
      <c r="H598" s="2" t="s">
        <v>74</v>
      </c>
      <c r="I598" s="2" t="s">
        <v>75</v>
      </c>
      <c r="J598" s="2" t="s">
        <v>76</v>
      </c>
      <c r="K598" s="2" t="s">
        <v>77</v>
      </c>
      <c r="L598" s="2" t="s">
        <v>1184</v>
      </c>
      <c r="M598" s="2" t="s">
        <v>1185</v>
      </c>
      <c r="N598" s="2" t="s">
        <v>1186</v>
      </c>
      <c r="O598" s="2" t="s">
        <v>115</v>
      </c>
      <c r="P598" s="2" t="str">
        <f>"2170561670                    "</f>
        <v xml:space="preserve">2170561670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4.29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1</v>
      </c>
      <c r="BJ598" s="2">
        <v>0.2</v>
      </c>
      <c r="BK598" s="2">
        <v>1</v>
      </c>
      <c r="BL598" s="2">
        <v>41.73</v>
      </c>
      <c r="BM598" s="2">
        <v>5.84</v>
      </c>
      <c r="BN598" s="2">
        <v>47.57</v>
      </c>
      <c r="BO598" s="2">
        <v>47.57</v>
      </c>
      <c r="BP598" s="2"/>
      <c r="BQ598" s="2" t="s">
        <v>129</v>
      </c>
      <c r="BR598" s="2" t="s">
        <v>123</v>
      </c>
      <c r="BS598" s="3">
        <v>42837</v>
      </c>
      <c r="BT598" s="4">
        <v>0.60138888888888886</v>
      </c>
      <c r="BU598" s="2" t="s">
        <v>1187</v>
      </c>
      <c r="BV598" s="2" t="s">
        <v>111</v>
      </c>
      <c r="BW598" s="2"/>
      <c r="BX598" s="2"/>
      <c r="BY598" s="2">
        <v>1200</v>
      </c>
      <c r="BZ598" s="2" t="s">
        <v>27</v>
      </c>
      <c r="CA598" s="2"/>
      <c r="CB598" s="2"/>
      <c r="CC598" s="2" t="s">
        <v>1185</v>
      </c>
      <c r="CD598" s="2">
        <v>5256</v>
      </c>
      <c r="CE598" s="2" t="s">
        <v>144</v>
      </c>
      <c r="CF598" s="5">
        <v>42843</v>
      </c>
      <c r="CG598" s="2"/>
      <c r="CH598" s="2"/>
      <c r="CI598" s="2">
        <v>1</v>
      </c>
      <c r="CJ598" s="2">
        <v>1</v>
      </c>
      <c r="CK598" s="2">
        <v>21</v>
      </c>
      <c r="CL598" s="2" t="s">
        <v>86</v>
      </c>
      <c r="CM598" s="2"/>
    </row>
    <row r="599" spans="1:91">
      <c r="A599" s="2" t="s">
        <v>71</v>
      </c>
      <c r="B599" s="2" t="s">
        <v>72</v>
      </c>
      <c r="C599" s="2" t="s">
        <v>73</v>
      </c>
      <c r="D599" s="2"/>
      <c r="E599" s="2" t="str">
        <f>"FES1162541817"</f>
        <v>FES1162541817</v>
      </c>
      <c r="F599" s="3">
        <v>42830</v>
      </c>
      <c r="G599" s="2">
        <v>201710</v>
      </c>
      <c r="H599" s="2" t="s">
        <v>74</v>
      </c>
      <c r="I599" s="2" t="s">
        <v>75</v>
      </c>
      <c r="J599" s="2" t="s">
        <v>76</v>
      </c>
      <c r="K599" s="2" t="s">
        <v>77</v>
      </c>
      <c r="L599" s="2" t="s">
        <v>131</v>
      </c>
      <c r="M599" s="2" t="s">
        <v>132</v>
      </c>
      <c r="N599" s="2" t="s">
        <v>1188</v>
      </c>
      <c r="O599" s="2" t="s">
        <v>115</v>
      </c>
      <c r="P599" s="2" t="str">
        <f>"2170560836                    "</f>
        <v xml:space="preserve">2170560836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4.29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1</v>
      </c>
      <c r="BJ599" s="2">
        <v>0.2</v>
      </c>
      <c r="BK599" s="2">
        <v>1</v>
      </c>
      <c r="BL599" s="2">
        <v>41.73</v>
      </c>
      <c r="BM599" s="2">
        <v>5.84</v>
      </c>
      <c r="BN599" s="2">
        <v>47.57</v>
      </c>
      <c r="BO599" s="2">
        <v>47.57</v>
      </c>
      <c r="BP599" s="2"/>
      <c r="BQ599" s="2" t="s">
        <v>129</v>
      </c>
      <c r="BR599" s="2" t="s">
        <v>123</v>
      </c>
      <c r="BS599" s="3">
        <v>42831</v>
      </c>
      <c r="BT599" s="4">
        <v>0.40625</v>
      </c>
      <c r="BU599" s="2" t="s">
        <v>1189</v>
      </c>
      <c r="BV599" s="2" t="s">
        <v>111</v>
      </c>
      <c r="BW599" s="2"/>
      <c r="BX599" s="2"/>
      <c r="BY599" s="2">
        <v>1200</v>
      </c>
      <c r="BZ599" s="2" t="s">
        <v>27</v>
      </c>
      <c r="CA599" s="2"/>
      <c r="CB599" s="2"/>
      <c r="CC599" s="2" t="s">
        <v>132</v>
      </c>
      <c r="CD599" s="2">
        <v>7560</v>
      </c>
      <c r="CE599" s="2" t="s">
        <v>118</v>
      </c>
      <c r="CF599" s="5">
        <v>42832</v>
      </c>
      <c r="CG599" s="2"/>
      <c r="CH599" s="2"/>
      <c r="CI599" s="2">
        <v>1</v>
      </c>
      <c r="CJ599" s="2">
        <v>1</v>
      </c>
      <c r="CK599" s="2">
        <v>21</v>
      </c>
      <c r="CL599" s="2" t="s">
        <v>86</v>
      </c>
      <c r="CM599" s="2"/>
    </row>
    <row r="600" spans="1:91">
      <c r="A600" s="2" t="s">
        <v>71</v>
      </c>
      <c r="B600" s="2" t="s">
        <v>72</v>
      </c>
      <c r="C600" s="2" t="s">
        <v>73</v>
      </c>
      <c r="D600" s="2"/>
      <c r="E600" s="2" t="str">
        <f>"FES1162541575"</f>
        <v>FES1162541575</v>
      </c>
      <c r="F600" s="3">
        <v>42830</v>
      </c>
      <c r="G600" s="2">
        <v>201710</v>
      </c>
      <c r="H600" s="2" t="s">
        <v>74</v>
      </c>
      <c r="I600" s="2" t="s">
        <v>75</v>
      </c>
      <c r="J600" s="2" t="s">
        <v>76</v>
      </c>
      <c r="K600" s="2" t="s">
        <v>77</v>
      </c>
      <c r="L600" s="2" t="s">
        <v>74</v>
      </c>
      <c r="M600" s="2" t="s">
        <v>75</v>
      </c>
      <c r="N600" s="2" t="s">
        <v>488</v>
      </c>
      <c r="O600" s="2" t="s">
        <v>115</v>
      </c>
      <c r="P600" s="2" t="str">
        <f>"2170560670                    "</f>
        <v xml:space="preserve">2170560670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3.35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1.3</v>
      </c>
      <c r="BJ600" s="2">
        <v>0.2</v>
      </c>
      <c r="BK600" s="2">
        <v>2</v>
      </c>
      <c r="BL600" s="2">
        <v>32.6</v>
      </c>
      <c r="BM600" s="2">
        <v>4.5599999999999996</v>
      </c>
      <c r="BN600" s="2">
        <v>37.159999999999997</v>
      </c>
      <c r="BO600" s="2">
        <v>37.159999999999997</v>
      </c>
      <c r="BP600" s="2"/>
      <c r="BQ600" s="2" t="s">
        <v>489</v>
      </c>
      <c r="BR600" s="2" t="s">
        <v>123</v>
      </c>
      <c r="BS600" s="3">
        <v>42831</v>
      </c>
      <c r="BT600" s="4">
        <v>0.41666666666666669</v>
      </c>
      <c r="BU600" s="2" t="s">
        <v>1156</v>
      </c>
      <c r="BV600" s="2" t="s">
        <v>111</v>
      </c>
      <c r="BW600" s="2"/>
      <c r="BX600" s="2"/>
      <c r="BY600" s="2">
        <v>1200</v>
      </c>
      <c r="BZ600" s="2" t="s">
        <v>27</v>
      </c>
      <c r="CA600" s="2" t="s">
        <v>159</v>
      </c>
      <c r="CB600" s="2"/>
      <c r="CC600" s="2" t="s">
        <v>75</v>
      </c>
      <c r="CD600" s="2">
        <v>1645</v>
      </c>
      <c r="CE600" s="2" t="s">
        <v>118</v>
      </c>
      <c r="CF600" s="5">
        <v>42832</v>
      </c>
      <c r="CG600" s="2"/>
      <c r="CH600" s="2"/>
      <c r="CI600" s="2">
        <v>1</v>
      </c>
      <c r="CJ600" s="2">
        <v>1</v>
      </c>
      <c r="CK600" s="2">
        <v>22</v>
      </c>
      <c r="CL600" s="2" t="s">
        <v>86</v>
      </c>
      <c r="CM600" s="2"/>
    </row>
    <row r="601" spans="1:91">
      <c r="A601" s="2" t="s">
        <v>71</v>
      </c>
      <c r="B601" s="2" t="s">
        <v>72</v>
      </c>
      <c r="C601" s="2" t="s">
        <v>73</v>
      </c>
      <c r="D601" s="2"/>
      <c r="E601" s="2" t="str">
        <f>"FES1162543167"</f>
        <v>FES1162543167</v>
      </c>
      <c r="F601" s="3">
        <v>42837</v>
      </c>
      <c r="G601" s="2">
        <v>201710</v>
      </c>
      <c r="H601" s="2" t="s">
        <v>74</v>
      </c>
      <c r="I601" s="2" t="s">
        <v>75</v>
      </c>
      <c r="J601" s="2" t="s">
        <v>76</v>
      </c>
      <c r="K601" s="2" t="s">
        <v>77</v>
      </c>
      <c r="L601" s="2" t="s">
        <v>358</v>
      </c>
      <c r="M601" s="2" t="s">
        <v>359</v>
      </c>
      <c r="N601" s="2" t="s">
        <v>360</v>
      </c>
      <c r="O601" s="2" t="s">
        <v>115</v>
      </c>
      <c r="P601" s="2" t="str">
        <f>"2170557879                    "</f>
        <v xml:space="preserve">2170557879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4.29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1</v>
      </c>
      <c r="BJ601" s="2">
        <v>0.2</v>
      </c>
      <c r="BK601" s="2">
        <v>1</v>
      </c>
      <c r="BL601" s="2">
        <v>41.73</v>
      </c>
      <c r="BM601" s="2">
        <v>5.84</v>
      </c>
      <c r="BN601" s="2">
        <v>47.57</v>
      </c>
      <c r="BO601" s="2">
        <v>47.57</v>
      </c>
      <c r="BP601" s="2"/>
      <c r="BQ601" s="2" t="s">
        <v>361</v>
      </c>
      <c r="BR601" s="2" t="s">
        <v>84</v>
      </c>
      <c r="BS601" s="3">
        <v>42838</v>
      </c>
      <c r="BT601" s="4">
        <v>0.33333333333333331</v>
      </c>
      <c r="BU601" s="2" t="s">
        <v>362</v>
      </c>
      <c r="BV601" s="2" t="s">
        <v>111</v>
      </c>
      <c r="BW601" s="2"/>
      <c r="BX601" s="2"/>
      <c r="BY601" s="2">
        <v>1200</v>
      </c>
      <c r="BZ601" s="2" t="s">
        <v>27</v>
      </c>
      <c r="CA601" s="2" t="s">
        <v>159</v>
      </c>
      <c r="CB601" s="2"/>
      <c r="CC601" s="2" t="s">
        <v>359</v>
      </c>
      <c r="CD601" s="2">
        <v>6229</v>
      </c>
      <c r="CE601" s="2" t="s">
        <v>118</v>
      </c>
      <c r="CF601" s="5">
        <v>42843</v>
      </c>
      <c r="CG601" s="2"/>
      <c r="CH601" s="2"/>
      <c r="CI601" s="2">
        <v>1</v>
      </c>
      <c r="CJ601" s="2">
        <v>1</v>
      </c>
      <c r="CK601" s="2">
        <v>21</v>
      </c>
      <c r="CL601" s="2" t="s">
        <v>86</v>
      </c>
      <c r="CM601" s="2"/>
    </row>
    <row r="602" spans="1:91">
      <c r="A602" s="2" t="s">
        <v>71</v>
      </c>
      <c r="B602" s="2" t="s">
        <v>72</v>
      </c>
      <c r="C602" s="2" t="s">
        <v>73</v>
      </c>
      <c r="D602" s="2"/>
      <c r="E602" s="2" t="str">
        <f>"FES1162542094"</f>
        <v>FES1162542094</v>
      </c>
      <c r="F602" s="3">
        <v>42831</v>
      </c>
      <c r="G602" s="2">
        <v>201710</v>
      </c>
      <c r="H602" s="2" t="s">
        <v>74</v>
      </c>
      <c r="I602" s="2" t="s">
        <v>75</v>
      </c>
      <c r="J602" s="2" t="s">
        <v>76</v>
      </c>
      <c r="K602" s="2" t="s">
        <v>77</v>
      </c>
      <c r="L602" s="2" t="s">
        <v>401</v>
      </c>
      <c r="M602" s="2" t="s">
        <v>402</v>
      </c>
      <c r="N602" s="2" t="s">
        <v>568</v>
      </c>
      <c r="O602" s="2" t="s">
        <v>115</v>
      </c>
      <c r="P602" s="2" t="str">
        <f>"2170558656                    "</f>
        <v xml:space="preserve">2170558656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5.36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2.2999999999999998</v>
      </c>
      <c r="BJ602" s="2">
        <v>1</v>
      </c>
      <c r="BK602" s="2">
        <v>2.5</v>
      </c>
      <c r="BL602" s="2">
        <v>52.16</v>
      </c>
      <c r="BM602" s="2">
        <v>7.3</v>
      </c>
      <c r="BN602" s="2">
        <v>59.46</v>
      </c>
      <c r="BO602" s="2">
        <v>59.46</v>
      </c>
      <c r="BP602" s="2"/>
      <c r="BQ602" s="2" t="s">
        <v>569</v>
      </c>
      <c r="BR602" s="2" t="s">
        <v>123</v>
      </c>
      <c r="BS602" s="3">
        <v>42832</v>
      </c>
      <c r="BT602" s="4">
        <v>0.4375</v>
      </c>
      <c r="BU602" s="2" t="s">
        <v>1190</v>
      </c>
      <c r="BV602" s="2" t="s">
        <v>111</v>
      </c>
      <c r="BW602" s="2"/>
      <c r="BX602" s="2"/>
      <c r="BY602" s="2">
        <v>4791.2299999999996</v>
      </c>
      <c r="BZ602" s="2" t="s">
        <v>27</v>
      </c>
      <c r="CA602" s="2" t="s">
        <v>159</v>
      </c>
      <c r="CB602" s="2"/>
      <c r="CC602" s="2" t="s">
        <v>402</v>
      </c>
      <c r="CD602" s="2">
        <v>4133</v>
      </c>
      <c r="CE602" s="2" t="s">
        <v>135</v>
      </c>
      <c r="CF602" s="5">
        <v>42835</v>
      </c>
      <c r="CG602" s="2"/>
      <c r="CH602" s="2"/>
      <c r="CI602" s="2">
        <v>1</v>
      </c>
      <c r="CJ602" s="2">
        <v>1</v>
      </c>
      <c r="CK602" s="2">
        <v>21</v>
      </c>
      <c r="CL602" s="2" t="s">
        <v>86</v>
      </c>
      <c r="CM602" s="2"/>
    </row>
    <row r="603" spans="1:91">
      <c r="A603" s="2" t="s">
        <v>71</v>
      </c>
      <c r="B603" s="2" t="s">
        <v>72</v>
      </c>
      <c r="C603" s="2" t="s">
        <v>73</v>
      </c>
      <c r="D603" s="2"/>
      <c r="E603" s="2" t="str">
        <f>"FES1162541467"</f>
        <v>FES1162541467</v>
      </c>
      <c r="F603" s="3">
        <v>42829</v>
      </c>
      <c r="G603" s="2">
        <v>201710</v>
      </c>
      <c r="H603" s="2" t="s">
        <v>74</v>
      </c>
      <c r="I603" s="2" t="s">
        <v>75</v>
      </c>
      <c r="J603" s="2" t="s">
        <v>76</v>
      </c>
      <c r="K603" s="2" t="s">
        <v>77</v>
      </c>
      <c r="L603" s="2" t="s">
        <v>1191</v>
      </c>
      <c r="M603" s="2" t="s">
        <v>1192</v>
      </c>
      <c r="N603" s="2" t="s">
        <v>1193</v>
      </c>
      <c r="O603" s="2" t="s">
        <v>115</v>
      </c>
      <c r="P603" s="2" t="str">
        <f>"2170560542                    "</f>
        <v xml:space="preserve">2170560542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8.57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1</v>
      </c>
      <c r="BJ603" s="2">
        <v>0.2</v>
      </c>
      <c r="BK603" s="2">
        <v>1</v>
      </c>
      <c r="BL603" s="2">
        <v>81.11</v>
      </c>
      <c r="BM603" s="2">
        <v>11.36</v>
      </c>
      <c r="BN603" s="2">
        <v>92.47</v>
      </c>
      <c r="BO603" s="2">
        <v>92.47</v>
      </c>
      <c r="BP603" s="2"/>
      <c r="BQ603" s="2" t="s">
        <v>122</v>
      </c>
      <c r="BR603" s="2" t="s">
        <v>123</v>
      </c>
      <c r="BS603" s="3">
        <v>42830</v>
      </c>
      <c r="BT603" s="4">
        <v>0.56944444444444442</v>
      </c>
      <c r="BU603" s="2" t="s">
        <v>1194</v>
      </c>
      <c r="BV603" s="2" t="s">
        <v>111</v>
      </c>
      <c r="BW603" s="2"/>
      <c r="BX603" s="2"/>
      <c r="BY603" s="2">
        <v>1200</v>
      </c>
      <c r="BZ603" s="2" t="s">
        <v>27</v>
      </c>
      <c r="CA603" s="2"/>
      <c r="CB603" s="2"/>
      <c r="CC603" s="2" t="s">
        <v>1192</v>
      </c>
      <c r="CD603" s="2">
        <v>6280</v>
      </c>
      <c r="CE603" s="2" t="s">
        <v>118</v>
      </c>
      <c r="CF603" s="5">
        <v>42838</v>
      </c>
      <c r="CG603" s="2"/>
      <c r="CH603" s="2"/>
      <c r="CI603" s="2">
        <v>3</v>
      </c>
      <c r="CJ603" s="2">
        <v>1</v>
      </c>
      <c r="CK603" s="2">
        <v>23</v>
      </c>
      <c r="CL603" s="2" t="s">
        <v>86</v>
      </c>
      <c r="CM603" s="2"/>
    </row>
    <row r="604" spans="1:91">
      <c r="A604" s="2" t="s">
        <v>71</v>
      </c>
      <c r="B604" s="2" t="s">
        <v>72</v>
      </c>
      <c r="C604" s="2" t="s">
        <v>73</v>
      </c>
      <c r="D604" s="2"/>
      <c r="E604" s="2" t="str">
        <f>"FES1162542787"</f>
        <v>FES1162542787</v>
      </c>
      <c r="F604" s="3">
        <v>42836</v>
      </c>
      <c r="G604" s="2">
        <v>201710</v>
      </c>
      <c r="H604" s="2" t="s">
        <v>74</v>
      </c>
      <c r="I604" s="2" t="s">
        <v>75</v>
      </c>
      <c r="J604" s="2" t="s">
        <v>76</v>
      </c>
      <c r="K604" s="2" t="s">
        <v>77</v>
      </c>
      <c r="L604" s="2" t="s">
        <v>549</v>
      </c>
      <c r="M604" s="2" t="s">
        <v>550</v>
      </c>
      <c r="N604" s="2" t="s">
        <v>1195</v>
      </c>
      <c r="O604" s="2" t="s">
        <v>115</v>
      </c>
      <c r="P604" s="2" t="str">
        <f>"2170561529                    "</f>
        <v xml:space="preserve">2170561529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4.29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1</v>
      </c>
      <c r="BJ604" s="2">
        <v>0.2</v>
      </c>
      <c r="BK604" s="2">
        <v>1</v>
      </c>
      <c r="BL604" s="2">
        <v>41.73</v>
      </c>
      <c r="BM604" s="2">
        <v>5.84</v>
      </c>
      <c r="BN604" s="2">
        <v>47.57</v>
      </c>
      <c r="BO604" s="2">
        <v>47.57</v>
      </c>
      <c r="BP604" s="2"/>
      <c r="BQ604" s="2" t="s">
        <v>1196</v>
      </c>
      <c r="BR604" s="2" t="s">
        <v>123</v>
      </c>
      <c r="BS604" s="3">
        <v>42837</v>
      </c>
      <c r="BT604" s="4">
        <v>0.41666666666666669</v>
      </c>
      <c r="BU604" s="2" t="s">
        <v>1132</v>
      </c>
      <c r="BV604" s="2" t="s">
        <v>111</v>
      </c>
      <c r="BW604" s="2"/>
      <c r="BX604" s="2"/>
      <c r="BY604" s="2">
        <v>1200</v>
      </c>
      <c r="BZ604" s="2" t="s">
        <v>27</v>
      </c>
      <c r="CA604" s="2"/>
      <c r="CB604" s="2"/>
      <c r="CC604" s="2" t="s">
        <v>550</v>
      </c>
      <c r="CD604" s="2">
        <v>3699</v>
      </c>
      <c r="CE604" s="2" t="s">
        <v>144</v>
      </c>
      <c r="CF604" s="5">
        <v>42843</v>
      </c>
      <c r="CG604" s="2"/>
      <c r="CH604" s="2"/>
      <c r="CI604" s="2">
        <v>1</v>
      </c>
      <c r="CJ604" s="2">
        <v>1</v>
      </c>
      <c r="CK604" s="2">
        <v>21</v>
      </c>
      <c r="CL604" s="2" t="s">
        <v>86</v>
      </c>
      <c r="CM604" s="2"/>
    </row>
    <row r="605" spans="1:91">
      <c r="A605" s="2" t="s">
        <v>71</v>
      </c>
      <c r="B605" s="2" t="s">
        <v>72</v>
      </c>
      <c r="C605" s="2" t="s">
        <v>73</v>
      </c>
      <c r="D605" s="2"/>
      <c r="E605" s="2" t="str">
        <f>"FES1162541784"</f>
        <v>FES1162541784</v>
      </c>
      <c r="F605" s="3">
        <v>42830</v>
      </c>
      <c r="G605" s="2">
        <v>201710</v>
      </c>
      <c r="H605" s="2" t="s">
        <v>74</v>
      </c>
      <c r="I605" s="2" t="s">
        <v>75</v>
      </c>
      <c r="J605" s="2" t="s">
        <v>76</v>
      </c>
      <c r="K605" s="2" t="s">
        <v>77</v>
      </c>
      <c r="L605" s="2" t="s">
        <v>131</v>
      </c>
      <c r="M605" s="2" t="s">
        <v>132</v>
      </c>
      <c r="N605" s="2" t="s">
        <v>1197</v>
      </c>
      <c r="O605" s="2" t="s">
        <v>115</v>
      </c>
      <c r="P605" s="2" t="str">
        <f>"2170560796                    "</f>
        <v xml:space="preserve">2170560796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4.29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1</v>
      </c>
      <c r="BJ605" s="2">
        <v>0.2</v>
      </c>
      <c r="BK605" s="2">
        <v>1</v>
      </c>
      <c r="BL605" s="2">
        <v>41.73</v>
      </c>
      <c r="BM605" s="2">
        <v>5.84</v>
      </c>
      <c r="BN605" s="2">
        <v>47.57</v>
      </c>
      <c r="BO605" s="2">
        <v>47.57</v>
      </c>
      <c r="BP605" s="2"/>
      <c r="BQ605" s="2" t="s">
        <v>1198</v>
      </c>
      <c r="BR605" s="2" t="s">
        <v>123</v>
      </c>
      <c r="BS605" s="3">
        <v>42831</v>
      </c>
      <c r="BT605" s="4">
        <v>0.41666666666666669</v>
      </c>
      <c r="BU605" s="2" t="s">
        <v>1199</v>
      </c>
      <c r="BV605" s="2" t="s">
        <v>111</v>
      </c>
      <c r="BW605" s="2"/>
      <c r="BX605" s="2"/>
      <c r="BY605" s="2">
        <v>1200</v>
      </c>
      <c r="BZ605" s="2" t="s">
        <v>27</v>
      </c>
      <c r="CA605" s="2" t="s">
        <v>159</v>
      </c>
      <c r="CB605" s="2"/>
      <c r="CC605" s="2" t="s">
        <v>132</v>
      </c>
      <c r="CD605" s="2">
        <v>7441</v>
      </c>
      <c r="CE605" s="2" t="s">
        <v>118</v>
      </c>
      <c r="CF605" s="5">
        <v>42833</v>
      </c>
      <c r="CG605" s="2"/>
      <c r="CH605" s="2"/>
      <c r="CI605" s="2">
        <v>1</v>
      </c>
      <c r="CJ605" s="2">
        <v>1</v>
      </c>
      <c r="CK605" s="2">
        <v>21</v>
      </c>
      <c r="CL605" s="2" t="s">
        <v>86</v>
      </c>
      <c r="CM605" s="2"/>
    </row>
    <row r="606" spans="1:91">
      <c r="A606" s="2" t="s">
        <v>71</v>
      </c>
      <c r="B606" s="2" t="s">
        <v>72</v>
      </c>
      <c r="C606" s="2" t="s">
        <v>73</v>
      </c>
      <c r="D606" s="2"/>
      <c r="E606" s="2" t="str">
        <f>"FES1162541540"</f>
        <v>FES1162541540</v>
      </c>
      <c r="F606" s="3">
        <v>42830</v>
      </c>
      <c r="G606" s="2">
        <v>201710</v>
      </c>
      <c r="H606" s="2" t="s">
        <v>74</v>
      </c>
      <c r="I606" s="2" t="s">
        <v>75</v>
      </c>
      <c r="J606" s="2" t="s">
        <v>76</v>
      </c>
      <c r="K606" s="2" t="s">
        <v>77</v>
      </c>
      <c r="L606" s="2" t="s">
        <v>294</v>
      </c>
      <c r="M606" s="2" t="s">
        <v>295</v>
      </c>
      <c r="N606" s="2" t="s">
        <v>1200</v>
      </c>
      <c r="O606" s="2" t="s">
        <v>115</v>
      </c>
      <c r="P606" s="2" t="str">
        <f>"2170560621                    "</f>
        <v xml:space="preserve">2170560621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4.29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1</v>
      </c>
      <c r="BJ606" s="2">
        <v>0.2</v>
      </c>
      <c r="BK606" s="2">
        <v>1</v>
      </c>
      <c r="BL606" s="2">
        <v>41.73</v>
      </c>
      <c r="BM606" s="2">
        <v>5.84</v>
      </c>
      <c r="BN606" s="2">
        <v>47.57</v>
      </c>
      <c r="BO606" s="2">
        <v>47.57</v>
      </c>
      <c r="BP606" s="2"/>
      <c r="BQ606" s="2" t="s">
        <v>1201</v>
      </c>
      <c r="BR606" s="2" t="s">
        <v>123</v>
      </c>
      <c r="BS606" s="3">
        <v>42831</v>
      </c>
      <c r="BT606" s="4">
        <v>0.4375</v>
      </c>
      <c r="BU606" s="2" t="s">
        <v>130</v>
      </c>
      <c r="BV606" s="2" t="s">
        <v>111</v>
      </c>
      <c r="BW606" s="2"/>
      <c r="BX606" s="2"/>
      <c r="BY606" s="2">
        <v>1200</v>
      </c>
      <c r="BZ606" s="2" t="s">
        <v>27</v>
      </c>
      <c r="CA606" s="2"/>
      <c r="CB606" s="2"/>
      <c r="CC606" s="2" t="s">
        <v>295</v>
      </c>
      <c r="CD606" s="2">
        <v>3610</v>
      </c>
      <c r="CE606" s="2" t="s">
        <v>144</v>
      </c>
      <c r="CF606" s="5">
        <v>42832</v>
      </c>
      <c r="CG606" s="2"/>
      <c r="CH606" s="2"/>
      <c r="CI606" s="2">
        <v>1</v>
      </c>
      <c r="CJ606" s="2">
        <v>1</v>
      </c>
      <c r="CK606" s="2">
        <v>21</v>
      </c>
      <c r="CL606" s="2" t="s">
        <v>86</v>
      </c>
      <c r="CM606" s="2"/>
    </row>
    <row r="607" spans="1:91">
      <c r="A607" s="2" t="s">
        <v>71</v>
      </c>
      <c r="B607" s="2" t="s">
        <v>72</v>
      </c>
      <c r="C607" s="2" t="s">
        <v>73</v>
      </c>
      <c r="D607" s="2"/>
      <c r="E607" s="2" t="str">
        <f>"FES1162543174"</f>
        <v>FES1162543174</v>
      </c>
      <c r="F607" s="3">
        <v>42837</v>
      </c>
      <c r="G607" s="2">
        <v>201710</v>
      </c>
      <c r="H607" s="2" t="s">
        <v>74</v>
      </c>
      <c r="I607" s="2" t="s">
        <v>75</v>
      </c>
      <c r="J607" s="2" t="s">
        <v>76</v>
      </c>
      <c r="K607" s="2" t="s">
        <v>77</v>
      </c>
      <c r="L607" s="2" t="s">
        <v>358</v>
      </c>
      <c r="M607" s="2" t="s">
        <v>359</v>
      </c>
      <c r="N607" s="2" t="s">
        <v>360</v>
      </c>
      <c r="O607" s="2" t="s">
        <v>115</v>
      </c>
      <c r="P607" s="2" t="str">
        <f>"2170557963                    "</f>
        <v xml:space="preserve">2170557963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4.29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1</v>
      </c>
      <c r="BJ607" s="2">
        <v>0.2</v>
      </c>
      <c r="BK607" s="2">
        <v>1</v>
      </c>
      <c r="BL607" s="2">
        <v>41.73</v>
      </c>
      <c r="BM607" s="2">
        <v>5.84</v>
      </c>
      <c r="BN607" s="2">
        <v>47.57</v>
      </c>
      <c r="BO607" s="2">
        <v>47.57</v>
      </c>
      <c r="BP607" s="2"/>
      <c r="BQ607" s="2" t="s">
        <v>361</v>
      </c>
      <c r="BR607" s="2" t="s">
        <v>84</v>
      </c>
      <c r="BS607" s="3">
        <v>42838</v>
      </c>
      <c r="BT607" s="4">
        <v>0.33333333333333331</v>
      </c>
      <c r="BU607" s="2" t="s">
        <v>362</v>
      </c>
      <c r="BV607" s="2" t="s">
        <v>111</v>
      </c>
      <c r="BW607" s="2"/>
      <c r="BX607" s="2"/>
      <c r="BY607" s="2">
        <v>1200</v>
      </c>
      <c r="BZ607" s="2" t="s">
        <v>27</v>
      </c>
      <c r="CA607" s="2" t="s">
        <v>159</v>
      </c>
      <c r="CB607" s="2"/>
      <c r="CC607" s="2" t="s">
        <v>359</v>
      </c>
      <c r="CD607" s="2">
        <v>6229</v>
      </c>
      <c r="CE607" s="2" t="s">
        <v>118</v>
      </c>
      <c r="CF607" s="5">
        <v>42843</v>
      </c>
      <c r="CG607" s="2"/>
      <c r="CH607" s="2"/>
      <c r="CI607" s="2">
        <v>1</v>
      </c>
      <c r="CJ607" s="2">
        <v>1</v>
      </c>
      <c r="CK607" s="2">
        <v>21</v>
      </c>
      <c r="CL607" s="2" t="s">
        <v>86</v>
      </c>
      <c r="CM607" s="2"/>
    </row>
    <row r="608" spans="1:91">
      <c r="A608" s="2" t="s">
        <v>71</v>
      </c>
      <c r="B608" s="2" t="s">
        <v>72</v>
      </c>
      <c r="C608" s="2" t="s">
        <v>73</v>
      </c>
      <c r="D608" s="2"/>
      <c r="E608" s="2" t="str">
        <f>"FES1162542178"</f>
        <v>FES1162542178</v>
      </c>
      <c r="F608" s="3">
        <v>42831</v>
      </c>
      <c r="G608" s="2">
        <v>201710</v>
      </c>
      <c r="H608" s="2" t="s">
        <v>74</v>
      </c>
      <c r="I608" s="2" t="s">
        <v>75</v>
      </c>
      <c r="J608" s="2" t="s">
        <v>76</v>
      </c>
      <c r="K608" s="2" t="s">
        <v>77</v>
      </c>
      <c r="L608" s="2" t="s">
        <v>180</v>
      </c>
      <c r="M608" s="2" t="s">
        <v>181</v>
      </c>
      <c r="N608" s="2" t="s">
        <v>1202</v>
      </c>
      <c r="O608" s="2" t="s">
        <v>115</v>
      </c>
      <c r="P608" s="2" t="str">
        <f>"2170561078                    "</f>
        <v xml:space="preserve">2170561078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6.43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2</v>
      </c>
      <c r="BJ608" s="2">
        <v>3</v>
      </c>
      <c r="BK608" s="2">
        <v>3</v>
      </c>
      <c r="BL608" s="2">
        <v>62.59</v>
      </c>
      <c r="BM608" s="2">
        <v>8.76</v>
      </c>
      <c r="BN608" s="2">
        <v>71.349999999999994</v>
      </c>
      <c r="BO608" s="2">
        <v>71.349999999999994</v>
      </c>
      <c r="BP608" s="2"/>
      <c r="BQ608" s="2" t="s">
        <v>1203</v>
      </c>
      <c r="BR608" s="2" t="s">
        <v>123</v>
      </c>
      <c r="BS608" s="3">
        <v>42832</v>
      </c>
      <c r="BT608" s="4">
        <v>0.40833333333333338</v>
      </c>
      <c r="BU608" s="2" t="s">
        <v>1203</v>
      </c>
      <c r="BV608" s="2" t="s">
        <v>111</v>
      </c>
      <c r="BW608" s="2"/>
      <c r="BX608" s="2"/>
      <c r="BY608" s="2">
        <v>15172.16</v>
      </c>
      <c r="BZ608" s="2" t="s">
        <v>27</v>
      </c>
      <c r="CA608" s="2"/>
      <c r="CB608" s="2"/>
      <c r="CC608" s="2" t="s">
        <v>181</v>
      </c>
      <c r="CD608" s="2">
        <v>4001</v>
      </c>
      <c r="CE608" s="2" t="s">
        <v>135</v>
      </c>
      <c r="CF608" s="5">
        <v>42835</v>
      </c>
      <c r="CG608" s="2"/>
      <c r="CH608" s="2"/>
      <c r="CI608" s="2">
        <v>1</v>
      </c>
      <c r="CJ608" s="2">
        <v>1</v>
      </c>
      <c r="CK608" s="2">
        <v>21</v>
      </c>
      <c r="CL608" s="2" t="s">
        <v>86</v>
      </c>
      <c r="CM608" s="2"/>
    </row>
    <row r="609" spans="1:91">
      <c r="A609" s="2" t="s">
        <v>71</v>
      </c>
      <c r="B609" s="2" t="s">
        <v>72</v>
      </c>
      <c r="C609" s="2" t="s">
        <v>73</v>
      </c>
      <c r="D609" s="2"/>
      <c r="E609" s="2" t="str">
        <f>"FES1162541482"</f>
        <v>FES1162541482</v>
      </c>
      <c r="F609" s="3">
        <v>42829</v>
      </c>
      <c r="G609" s="2">
        <v>201710</v>
      </c>
      <c r="H609" s="2" t="s">
        <v>74</v>
      </c>
      <c r="I609" s="2" t="s">
        <v>75</v>
      </c>
      <c r="J609" s="2" t="s">
        <v>76</v>
      </c>
      <c r="K609" s="2" t="s">
        <v>77</v>
      </c>
      <c r="L609" s="2" t="s">
        <v>99</v>
      </c>
      <c r="M609" s="2" t="s">
        <v>100</v>
      </c>
      <c r="N609" s="2" t="s">
        <v>1009</v>
      </c>
      <c r="O609" s="2" t="s">
        <v>115</v>
      </c>
      <c r="P609" s="2" t="str">
        <f>"2170560566                    "</f>
        <v xml:space="preserve">2170560566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4.42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</v>
      </c>
      <c r="BJ609" s="2">
        <v>0.2</v>
      </c>
      <c r="BK609" s="2">
        <v>1</v>
      </c>
      <c r="BL609" s="2">
        <v>41.86</v>
      </c>
      <c r="BM609" s="2">
        <v>5.86</v>
      </c>
      <c r="BN609" s="2">
        <v>47.72</v>
      </c>
      <c r="BO609" s="2">
        <v>47.72</v>
      </c>
      <c r="BP609" s="2"/>
      <c r="BQ609" s="2" t="s">
        <v>1010</v>
      </c>
      <c r="BR609" s="2" t="s">
        <v>123</v>
      </c>
      <c r="BS609" s="3">
        <v>42830</v>
      </c>
      <c r="BT609" s="4">
        <v>0.4201388888888889</v>
      </c>
      <c r="BU609" s="2" t="s">
        <v>245</v>
      </c>
      <c r="BV609" s="2" t="s">
        <v>111</v>
      </c>
      <c r="BW609" s="2"/>
      <c r="BX609" s="2"/>
      <c r="BY609" s="2">
        <v>1200</v>
      </c>
      <c r="BZ609" s="2" t="s">
        <v>27</v>
      </c>
      <c r="CA609" s="2"/>
      <c r="CB609" s="2"/>
      <c r="CC609" s="2" t="s">
        <v>100</v>
      </c>
      <c r="CD609" s="2">
        <v>6001</v>
      </c>
      <c r="CE609" s="2" t="s">
        <v>118</v>
      </c>
      <c r="CF609" s="5">
        <v>42832</v>
      </c>
      <c r="CG609" s="2"/>
      <c r="CH609" s="2"/>
      <c r="CI609" s="2">
        <v>1</v>
      </c>
      <c r="CJ609" s="2">
        <v>1</v>
      </c>
      <c r="CK609" s="2">
        <v>21</v>
      </c>
      <c r="CL609" s="2" t="s">
        <v>86</v>
      </c>
      <c r="CM609" s="2"/>
    </row>
    <row r="610" spans="1:91">
      <c r="A610" s="2" t="s">
        <v>71</v>
      </c>
      <c r="B610" s="2" t="s">
        <v>72</v>
      </c>
      <c r="C610" s="2" t="s">
        <v>73</v>
      </c>
      <c r="D610" s="2"/>
      <c r="E610" s="2" t="str">
        <f>"FES1162542968"</f>
        <v>FES1162542968</v>
      </c>
      <c r="F610" s="3">
        <v>42836</v>
      </c>
      <c r="G610" s="2">
        <v>201710</v>
      </c>
      <c r="H610" s="2" t="s">
        <v>74</v>
      </c>
      <c r="I610" s="2" t="s">
        <v>75</v>
      </c>
      <c r="J610" s="2" t="s">
        <v>76</v>
      </c>
      <c r="K610" s="2" t="s">
        <v>77</v>
      </c>
      <c r="L610" s="2" t="s">
        <v>112</v>
      </c>
      <c r="M610" s="2" t="s">
        <v>113</v>
      </c>
      <c r="N610" s="2" t="s">
        <v>336</v>
      </c>
      <c r="O610" s="2" t="s">
        <v>115</v>
      </c>
      <c r="P610" s="2" t="str">
        <f>"2170561708                    "</f>
        <v xml:space="preserve">2170561708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7.5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1.7</v>
      </c>
      <c r="BJ610" s="2">
        <v>3.3</v>
      </c>
      <c r="BK610" s="2">
        <v>3.5</v>
      </c>
      <c r="BL610" s="2">
        <v>73.02</v>
      </c>
      <c r="BM610" s="2">
        <v>10.220000000000001</v>
      </c>
      <c r="BN610" s="2">
        <v>83.24</v>
      </c>
      <c r="BO610" s="2">
        <v>83.24</v>
      </c>
      <c r="BP610" s="2"/>
      <c r="BQ610" s="2" t="s">
        <v>449</v>
      </c>
      <c r="BR610" s="2" t="s">
        <v>123</v>
      </c>
      <c r="BS610" s="3">
        <v>42837</v>
      </c>
      <c r="BT610" s="4">
        <v>0.36458333333333331</v>
      </c>
      <c r="BU610" s="2" t="s">
        <v>1204</v>
      </c>
      <c r="BV610" s="2" t="s">
        <v>111</v>
      </c>
      <c r="BW610" s="2"/>
      <c r="BX610" s="2"/>
      <c r="BY610" s="2">
        <v>16412.55</v>
      </c>
      <c r="BZ610" s="2" t="s">
        <v>27</v>
      </c>
      <c r="CA610" s="2"/>
      <c r="CB610" s="2"/>
      <c r="CC610" s="2" t="s">
        <v>113</v>
      </c>
      <c r="CD610" s="2">
        <v>3201</v>
      </c>
      <c r="CE610" s="2" t="s">
        <v>135</v>
      </c>
      <c r="CF610" s="5">
        <v>42843</v>
      </c>
      <c r="CG610" s="2"/>
      <c r="CH610" s="2"/>
      <c r="CI610" s="2">
        <v>1</v>
      </c>
      <c r="CJ610" s="2">
        <v>1</v>
      </c>
      <c r="CK610" s="2">
        <v>21</v>
      </c>
      <c r="CL610" s="2" t="s">
        <v>86</v>
      </c>
      <c r="CM610" s="2"/>
    </row>
    <row r="611" spans="1:91">
      <c r="A611" s="2" t="s">
        <v>71</v>
      </c>
      <c r="B611" s="2" t="s">
        <v>72</v>
      </c>
      <c r="C611" s="2" t="s">
        <v>73</v>
      </c>
      <c r="D611" s="2"/>
      <c r="E611" s="2" t="str">
        <f>"FES1162541773"</f>
        <v>FES1162541773</v>
      </c>
      <c r="F611" s="3">
        <v>42830</v>
      </c>
      <c r="G611" s="2">
        <v>201710</v>
      </c>
      <c r="H611" s="2" t="s">
        <v>74</v>
      </c>
      <c r="I611" s="2" t="s">
        <v>75</v>
      </c>
      <c r="J611" s="2" t="s">
        <v>76</v>
      </c>
      <c r="K611" s="2" t="s">
        <v>77</v>
      </c>
      <c r="L611" s="2" t="s">
        <v>176</v>
      </c>
      <c r="M611" s="2" t="s">
        <v>176</v>
      </c>
      <c r="N611" s="2" t="s">
        <v>460</v>
      </c>
      <c r="O611" s="2" t="s">
        <v>115</v>
      </c>
      <c r="P611" s="2" t="str">
        <f>"2170560775                    "</f>
        <v xml:space="preserve">2170560775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4.29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1</v>
      </c>
      <c r="BJ611" s="2">
        <v>0.2</v>
      </c>
      <c r="BK611" s="2">
        <v>1</v>
      </c>
      <c r="BL611" s="2">
        <v>41.73</v>
      </c>
      <c r="BM611" s="2">
        <v>5.84</v>
      </c>
      <c r="BN611" s="2">
        <v>47.57</v>
      </c>
      <c r="BO611" s="2">
        <v>47.57</v>
      </c>
      <c r="BP611" s="2"/>
      <c r="BQ611" s="2" t="s">
        <v>461</v>
      </c>
      <c r="BR611" s="2" t="s">
        <v>123</v>
      </c>
      <c r="BS611" s="3">
        <v>42831</v>
      </c>
      <c r="BT611" s="4">
        <v>0.53125</v>
      </c>
      <c r="BU611" s="2" t="s">
        <v>1205</v>
      </c>
      <c r="BV611" s="2" t="s">
        <v>111</v>
      </c>
      <c r="BW611" s="2"/>
      <c r="BX611" s="2"/>
      <c r="BY611" s="2">
        <v>1200</v>
      </c>
      <c r="BZ611" s="2" t="s">
        <v>27</v>
      </c>
      <c r="CA611" s="2"/>
      <c r="CB611" s="2"/>
      <c r="CC611" s="2" t="s">
        <v>176</v>
      </c>
      <c r="CD611" s="2">
        <v>7646</v>
      </c>
      <c r="CE611" s="2" t="s">
        <v>118</v>
      </c>
      <c r="CF611" s="5">
        <v>42832</v>
      </c>
      <c r="CG611" s="2"/>
      <c r="CH611" s="2"/>
      <c r="CI611" s="2">
        <v>1</v>
      </c>
      <c r="CJ611" s="2">
        <v>1</v>
      </c>
      <c r="CK611" s="2">
        <v>21</v>
      </c>
      <c r="CL611" s="2" t="s">
        <v>86</v>
      </c>
      <c r="CM611" s="2"/>
    </row>
    <row r="612" spans="1:91">
      <c r="A612" s="2" t="s">
        <v>71</v>
      </c>
      <c r="B612" s="2" t="s">
        <v>72</v>
      </c>
      <c r="C612" s="2" t="s">
        <v>73</v>
      </c>
      <c r="D612" s="2"/>
      <c r="E612" s="2" t="str">
        <f>"FES1162541605"</f>
        <v>FES1162541605</v>
      </c>
      <c r="F612" s="3">
        <v>42830</v>
      </c>
      <c r="G612" s="2">
        <v>201710</v>
      </c>
      <c r="H612" s="2" t="s">
        <v>74</v>
      </c>
      <c r="I612" s="2" t="s">
        <v>75</v>
      </c>
      <c r="J612" s="2" t="s">
        <v>76</v>
      </c>
      <c r="K612" s="2" t="s">
        <v>77</v>
      </c>
      <c r="L612" s="2" t="s">
        <v>180</v>
      </c>
      <c r="M612" s="2" t="s">
        <v>181</v>
      </c>
      <c r="N612" s="2" t="s">
        <v>1206</v>
      </c>
      <c r="O612" s="2" t="s">
        <v>115</v>
      </c>
      <c r="P612" s="2" t="str">
        <f>"2170556510                    "</f>
        <v xml:space="preserve">2170556510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4.29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1</v>
      </c>
      <c r="BJ612" s="2">
        <v>0.2</v>
      </c>
      <c r="BK612" s="2">
        <v>1</v>
      </c>
      <c r="BL612" s="2">
        <v>41.73</v>
      </c>
      <c r="BM612" s="2">
        <v>5.84</v>
      </c>
      <c r="BN612" s="2">
        <v>47.57</v>
      </c>
      <c r="BO612" s="2">
        <v>47.57</v>
      </c>
      <c r="BP612" s="2"/>
      <c r="BQ612" s="2" t="s">
        <v>122</v>
      </c>
      <c r="BR612" s="2" t="s">
        <v>123</v>
      </c>
      <c r="BS612" s="3">
        <v>42831</v>
      </c>
      <c r="BT612" s="4">
        <v>0.43611111111111112</v>
      </c>
      <c r="BU612" s="2" t="s">
        <v>1207</v>
      </c>
      <c r="BV612" s="2" t="s">
        <v>111</v>
      </c>
      <c r="BW612" s="2"/>
      <c r="BX612" s="2"/>
      <c r="BY612" s="2">
        <v>1200</v>
      </c>
      <c r="BZ612" s="2" t="s">
        <v>27</v>
      </c>
      <c r="CA612" s="2"/>
      <c r="CB612" s="2"/>
      <c r="CC612" s="2" t="s">
        <v>181</v>
      </c>
      <c r="CD612" s="2">
        <v>4067</v>
      </c>
      <c r="CE612" s="2" t="s">
        <v>144</v>
      </c>
      <c r="CF612" s="5">
        <v>42832</v>
      </c>
      <c r="CG612" s="2"/>
      <c r="CH612" s="2"/>
      <c r="CI612" s="2">
        <v>1</v>
      </c>
      <c r="CJ612" s="2">
        <v>1</v>
      </c>
      <c r="CK612" s="2">
        <v>21</v>
      </c>
      <c r="CL612" s="2" t="s">
        <v>86</v>
      </c>
      <c r="CM612" s="2"/>
    </row>
    <row r="613" spans="1:91">
      <c r="A613" s="2" t="s">
        <v>71</v>
      </c>
      <c r="B613" s="2" t="s">
        <v>72</v>
      </c>
      <c r="C613" s="2" t="s">
        <v>73</v>
      </c>
      <c r="D613" s="2"/>
      <c r="E613" s="2" t="str">
        <f>"FES1162543224"</f>
        <v>FES1162543224</v>
      </c>
      <c r="F613" s="3">
        <v>42837</v>
      </c>
      <c r="G613" s="2">
        <v>201710</v>
      </c>
      <c r="H613" s="2" t="s">
        <v>74</v>
      </c>
      <c r="I613" s="2" t="s">
        <v>75</v>
      </c>
      <c r="J613" s="2" t="s">
        <v>76</v>
      </c>
      <c r="K613" s="2" t="s">
        <v>77</v>
      </c>
      <c r="L613" s="2" t="s">
        <v>187</v>
      </c>
      <c r="M613" s="2" t="s">
        <v>146</v>
      </c>
      <c r="N613" s="2" t="s">
        <v>427</v>
      </c>
      <c r="O613" s="2" t="s">
        <v>115</v>
      </c>
      <c r="P613" s="2" t="str">
        <f>"2170557130                    "</f>
        <v xml:space="preserve">2170557130 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4.29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</v>
      </c>
      <c r="BJ613" s="2">
        <v>0.2</v>
      </c>
      <c r="BK613" s="2">
        <v>1</v>
      </c>
      <c r="BL613" s="2">
        <v>41.73</v>
      </c>
      <c r="BM613" s="2">
        <v>5.84</v>
      </c>
      <c r="BN613" s="2">
        <v>47.57</v>
      </c>
      <c r="BO613" s="2">
        <v>47.57</v>
      </c>
      <c r="BP613" s="2"/>
      <c r="BQ613" s="2" t="s">
        <v>1208</v>
      </c>
      <c r="BR613" s="2" t="s">
        <v>84</v>
      </c>
      <c r="BS613" s="3">
        <v>42838</v>
      </c>
      <c r="BT613" s="4">
        <v>0.43402777777777773</v>
      </c>
      <c r="BU613" s="2" t="s">
        <v>1209</v>
      </c>
      <c r="BV613" s="2" t="s">
        <v>111</v>
      </c>
      <c r="BW613" s="2"/>
      <c r="BX613" s="2"/>
      <c r="BY613" s="2">
        <v>1200</v>
      </c>
      <c r="BZ613" s="2" t="s">
        <v>27</v>
      </c>
      <c r="CA613" s="2"/>
      <c r="CB613" s="2"/>
      <c r="CC613" s="2" t="s">
        <v>146</v>
      </c>
      <c r="CD613" s="2">
        <v>184</v>
      </c>
      <c r="CE613" s="2" t="s">
        <v>118</v>
      </c>
      <c r="CF613" s="5">
        <v>42844</v>
      </c>
      <c r="CG613" s="2"/>
      <c r="CH613" s="2"/>
      <c r="CI613" s="2">
        <v>0</v>
      </c>
      <c r="CJ613" s="2">
        <v>0</v>
      </c>
      <c r="CK613" s="2">
        <v>21</v>
      </c>
      <c r="CL613" s="2" t="s">
        <v>86</v>
      </c>
      <c r="CM613" s="2"/>
    </row>
    <row r="614" spans="1:91">
      <c r="A614" s="2" t="s">
        <v>71</v>
      </c>
      <c r="B614" s="2" t="s">
        <v>72</v>
      </c>
      <c r="C614" s="2" t="s">
        <v>73</v>
      </c>
      <c r="D614" s="2"/>
      <c r="E614" s="2" t="str">
        <f>"FES1162542110"</f>
        <v>FES1162542110</v>
      </c>
      <c r="F614" s="3">
        <v>42831</v>
      </c>
      <c r="G614" s="2">
        <v>201710</v>
      </c>
      <c r="H614" s="2" t="s">
        <v>74</v>
      </c>
      <c r="I614" s="2" t="s">
        <v>75</v>
      </c>
      <c r="J614" s="2" t="s">
        <v>76</v>
      </c>
      <c r="K614" s="2" t="s">
        <v>77</v>
      </c>
      <c r="L614" s="2" t="s">
        <v>396</v>
      </c>
      <c r="M614" s="2" t="s">
        <v>397</v>
      </c>
      <c r="N614" s="2" t="s">
        <v>398</v>
      </c>
      <c r="O614" s="2" t="s">
        <v>115</v>
      </c>
      <c r="P614" s="2" t="str">
        <f>"2170560999                    "</f>
        <v xml:space="preserve">2170560999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6.43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2.8</v>
      </c>
      <c r="BJ614" s="2">
        <v>1.8</v>
      </c>
      <c r="BK614" s="2">
        <v>3</v>
      </c>
      <c r="BL614" s="2">
        <v>62.59</v>
      </c>
      <c r="BM614" s="2">
        <v>8.76</v>
      </c>
      <c r="BN614" s="2">
        <v>71.349999999999994</v>
      </c>
      <c r="BO614" s="2">
        <v>71.349999999999994</v>
      </c>
      <c r="BP614" s="2"/>
      <c r="BQ614" s="2" t="s">
        <v>399</v>
      </c>
      <c r="BR614" s="2" t="s">
        <v>123</v>
      </c>
      <c r="BS614" s="3">
        <v>42832</v>
      </c>
      <c r="BT614" s="4">
        <v>0.4375</v>
      </c>
      <c r="BU614" s="2" t="s">
        <v>469</v>
      </c>
      <c r="BV614" s="2" t="s">
        <v>111</v>
      </c>
      <c r="BW614" s="2"/>
      <c r="BX614" s="2"/>
      <c r="BY614" s="2">
        <v>8922.6200000000008</v>
      </c>
      <c r="BZ614" s="2" t="s">
        <v>27</v>
      </c>
      <c r="CA614" s="2"/>
      <c r="CB614" s="2"/>
      <c r="CC614" s="2" t="s">
        <v>397</v>
      </c>
      <c r="CD614" s="2">
        <v>4300</v>
      </c>
      <c r="CE614" s="2" t="s">
        <v>135</v>
      </c>
      <c r="CF614" s="5">
        <v>42835</v>
      </c>
      <c r="CG614" s="2"/>
      <c r="CH614" s="2"/>
      <c r="CI614" s="2">
        <v>1</v>
      </c>
      <c r="CJ614" s="2">
        <v>1</v>
      </c>
      <c r="CK614" s="2">
        <v>21</v>
      </c>
      <c r="CL614" s="2" t="s">
        <v>86</v>
      </c>
      <c r="CM614" s="2"/>
    </row>
    <row r="615" spans="1:91">
      <c r="A615" s="2" t="s">
        <v>71</v>
      </c>
      <c r="B615" s="2" t="s">
        <v>72</v>
      </c>
      <c r="C615" s="2" t="s">
        <v>73</v>
      </c>
      <c r="D615" s="2"/>
      <c r="E615" s="2" t="str">
        <f>"FES1162541456"</f>
        <v>FES1162541456</v>
      </c>
      <c r="F615" s="3">
        <v>42829</v>
      </c>
      <c r="G615" s="2">
        <v>201710</v>
      </c>
      <c r="H615" s="2" t="s">
        <v>74</v>
      </c>
      <c r="I615" s="2" t="s">
        <v>75</v>
      </c>
      <c r="J615" s="2" t="s">
        <v>76</v>
      </c>
      <c r="K615" s="2" t="s">
        <v>77</v>
      </c>
      <c r="L615" s="2" t="s">
        <v>396</v>
      </c>
      <c r="M615" s="2" t="s">
        <v>397</v>
      </c>
      <c r="N615" s="2" t="s">
        <v>398</v>
      </c>
      <c r="O615" s="2" t="s">
        <v>115</v>
      </c>
      <c r="P615" s="2" t="str">
        <f>"2170560535                    "</f>
        <v xml:space="preserve">2170560535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11.05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3</v>
      </c>
      <c r="BJ615" s="2">
        <v>4.5999999999999996</v>
      </c>
      <c r="BK615" s="2">
        <v>5</v>
      </c>
      <c r="BL615" s="2">
        <v>104.65</v>
      </c>
      <c r="BM615" s="2">
        <v>14.65</v>
      </c>
      <c r="BN615" s="2">
        <v>119.3</v>
      </c>
      <c r="BO615" s="2">
        <v>119.3</v>
      </c>
      <c r="BP615" s="2"/>
      <c r="BQ615" s="2" t="s">
        <v>399</v>
      </c>
      <c r="BR615" s="2" t="s">
        <v>123</v>
      </c>
      <c r="BS615" s="3">
        <v>42830</v>
      </c>
      <c r="BT615" s="4">
        <v>0.4375</v>
      </c>
      <c r="BU615" s="2" t="s">
        <v>1210</v>
      </c>
      <c r="BV615" s="2" t="s">
        <v>111</v>
      </c>
      <c r="BW615" s="2"/>
      <c r="BX615" s="2"/>
      <c r="BY615" s="2">
        <v>22932</v>
      </c>
      <c r="BZ615" s="2" t="s">
        <v>27</v>
      </c>
      <c r="CA615" s="2"/>
      <c r="CB615" s="2"/>
      <c r="CC615" s="2" t="s">
        <v>397</v>
      </c>
      <c r="CD615" s="2">
        <v>4300</v>
      </c>
      <c r="CE615" s="2" t="s">
        <v>89</v>
      </c>
      <c r="CF615" s="5">
        <v>42831</v>
      </c>
      <c r="CG615" s="2"/>
      <c r="CH615" s="2"/>
      <c r="CI615" s="2">
        <v>1</v>
      </c>
      <c r="CJ615" s="2">
        <v>1</v>
      </c>
      <c r="CK615" s="2">
        <v>21</v>
      </c>
      <c r="CL615" s="2" t="s">
        <v>86</v>
      </c>
      <c r="CM615" s="2"/>
    </row>
    <row r="616" spans="1:91">
      <c r="A616" s="2" t="s">
        <v>71</v>
      </c>
      <c r="B616" s="2" t="s">
        <v>72</v>
      </c>
      <c r="C616" s="2" t="s">
        <v>73</v>
      </c>
      <c r="D616" s="2"/>
      <c r="E616" s="2" t="str">
        <f>"FES1162541746"</f>
        <v>FES1162541746</v>
      </c>
      <c r="F616" s="3">
        <v>42830</v>
      </c>
      <c r="G616" s="2">
        <v>201710</v>
      </c>
      <c r="H616" s="2" t="s">
        <v>74</v>
      </c>
      <c r="I616" s="2" t="s">
        <v>75</v>
      </c>
      <c r="J616" s="2" t="s">
        <v>76</v>
      </c>
      <c r="K616" s="2" t="s">
        <v>77</v>
      </c>
      <c r="L616" s="2" t="s">
        <v>131</v>
      </c>
      <c r="M616" s="2" t="s">
        <v>132</v>
      </c>
      <c r="N616" s="2" t="s">
        <v>384</v>
      </c>
      <c r="O616" s="2" t="s">
        <v>115</v>
      </c>
      <c r="P616" s="2" t="str">
        <f>"2170560764                    "</f>
        <v xml:space="preserve">2170560764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4.29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1</v>
      </c>
      <c r="BJ616" s="2">
        <v>0.2</v>
      </c>
      <c r="BK616" s="2">
        <v>1</v>
      </c>
      <c r="BL616" s="2">
        <v>41.73</v>
      </c>
      <c r="BM616" s="2">
        <v>5.84</v>
      </c>
      <c r="BN616" s="2">
        <v>47.57</v>
      </c>
      <c r="BO616" s="2">
        <v>47.57</v>
      </c>
      <c r="BP616" s="2"/>
      <c r="BQ616" s="2" t="s">
        <v>468</v>
      </c>
      <c r="BR616" s="2" t="s">
        <v>123</v>
      </c>
      <c r="BS616" s="3">
        <v>42831</v>
      </c>
      <c r="BT616" s="4">
        <v>0.41666666666666669</v>
      </c>
      <c r="BU616" s="2" t="s">
        <v>469</v>
      </c>
      <c r="BV616" s="2" t="s">
        <v>111</v>
      </c>
      <c r="BW616" s="2"/>
      <c r="BX616" s="2"/>
      <c r="BY616" s="2">
        <v>1200</v>
      </c>
      <c r="BZ616" s="2" t="s">
        <v>27</v>
      </c>
      <c r="CA616" s="2"/>
      <c r="CB616" s="2"/>
      <c r="CC616" s="2" t="s">
        <v>132</v>
      </c>
      <c r="CD616" s="2">
        <v>7405</v>
      </c>
      <c r="CE616" s="2" t="s">
        <v>118</v>
      </c>
      <c r="CF616" s="5">
        <v>42833</v>
      </c>
      <c r="CG616" s="2"/>
      <c r="CH616" s="2"/>
      <c r="CI616" s="2">
        <v>1</v>
      </c>
      <c r="CJ616" s="2">
        <v>1</v>
      </c>
      <c r="CK616" s="2">
        <v>21</v>
      </c>
      <c r="CL616" s="2" t="s">
        <v>86</v>
      </c>
      <c r="CM616" s="2"/>
    </row>
    <row r="617" spans="1:91">
      <c r="A617" s="2" t="s">
        <v>71</v>
      </c>
      <c r="B617" s="2" t="s">
        <v>72</v>
      </c>
      <c r="C617" s="2" t="s">
        <v>73</v>
      </c>
      <c r="D617" s="2"/>
      <c r="E617" s="2" t="str">
        <f>"FES1162541678"</f>
        <v>FES1162541678</v>
      </c>
      <c r="F617" s="3">
        <v>42830</v>
      </c>
      <c r="G617" s="2">
        <v>201710</v>
      </c>
      <c r="H617" s="2" t="s">
        <v>74</v>
      </c>
      <c r="I617" s="2" t="s">
        <v>75</v>
      </c>
      <c r="J617" s="2" t="s">
        <v>76</v>
      </c>
      <c r="K617" s="2" t="s">
        <v>77</v>
      </c>
      <c r="L617" s="2" t="s">
        <v>160</v>
      </c>
      <c r="M617" s="2" t="s">
        <v>161</v>
      </c>
      <c r="N617" s="2" t="s">
        <v>463</v>
      </c>
      <c r="O617" s="2" t="s">
        <v>115</v>
      </c>
      <c r="P617" s="2" t="str">
        <f>"2170560050                    "</f>
        <v xml:space="preserve">2170560050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10.72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5</v>
      </c>
      <c r="BJ617" s="2">
        <v>2</v>
      </c>
      <c r="BK617" s="2">
        <v>5</v>
      </c>
      <c r="BL617" s="2">
        <v>104.32</v>
      </c>
      <c r="BM617" s="2">
        <v>14.6</v>
      </c>
      <c r="BN617" s="2">
        <v>118.92</v>
      </c>
      <c r="BO617" s="2">
        <v>118.92</v>
      </c>
      <c r="BP617" s="2"/>
      <c r="BQ617" s="2" t="s">
        <v>129</v>
      </c>
      <c r="BR617" s="2" t="s">
        <v>123</v>
      </c>
      <c r="BS617" s="3">
        <v>42831</v>
      </c>
      <c r="BT617" s="4">
        <v>0.41666666666666669</v>
      </c>
      <c r="BU617" s="2" t="s">
        <v>558</v>
      </c>
      <c r="BV617" s="2" t="s">
        <v>111</v>
      </c>
      <c r="BW617" s="2"/>
      <c r="BX617" s="2"/>
      <c r="BY617" s="2">
        <v>10236.42</v>
      </c>
      <c r="BZ617" s="2" t="s">
        <v>27</v>
      </c>
      <c r="CA617" s="2"/>
      <c r="CB617" s="2"/>
      <c r="CC617" s="2" t="s">
        <v>161</v>
      </c>
      <c r="CD617" s="2">
        <v>5201</v>
      </c>
      <c r="CE617" s="2" t="s">
        <v>135</v>
      </c>
      <c r="CF617" s="5">
        <v>42832</v>
      </c>
      <c r="CG617" s="2"/>
      <c r="CH617" s="2"/>
      <c r="CI617" s="2">
        <v>1</v>
      </c>
      <c r="CJ617" s="2">
        <v>1</v>
      </c>
      <c r="CK617" s="2">
        <v>21</v>
      </c>
      <c r="CL617" s="2" t="s">
        <v>86</v>
      </c>
      <c r="CM617" s="2"/>
    </row>
    <row r="618" spans="1:91">
      <c r="A618" s="2" t="s">
        <v>71</v>
      </c>
      <c r="B618" s="2" t="s">
        <v>72</v>
      </c>
      <c r="C618" s="2" t="s">
        <v>73</v>
      </c>
      <c r="D618" s="2"/>
      <c r="E618" s="2" t="str">
        <f>"FES1162543156"</f>
        <v>FES1162543156</v>
      </c>
      <c r="F618" s="3">
        <v>42837</v>
      </c>
      <c r="G618" s="2">
        <v>201710</v>
      </c>
      <c r="H618" s="2" t="s">
        <v>74</v>
      </c>
      <c r="I618" s="2" t="s">
        <v>75</v>
      </c>
      <c r="J618" s="2" t="s">
        <v>76</v>
      </c>
      <c r="K618" s="2" t="s">
        <v>77</v>
      </c>
      <c r="L618" s="2" t="s">
        <v>516</v>
      </c>
      <c r="M618" s="2" t="s">
        <v>517</v>
      </c>
      <c r="N618" s="2" t="s">
        <v>758</v>
      </c>
      <c r="O618" s="2" t="s">
        <v>115</v>
      </c>
      <c r="P618" s="2" t="str">
        <f>"2170561941                    "</f>
        <v xml:space="preserve">2170561941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3.35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1</v>
      </c>
      <c r="BJ618" s="2">
        <v>0.2</v>
      </c>
      <c r="BK618" s="2">
        <v>1</v>
      </c>
      <c r="BL618" s="2">
        <v>32.6</v>
      </c>
      <c r="BM618" s="2">
        <v>4.5599999999999996</v>
      </c>
      <c r="BN618" s="2">
        <v>37.159999999999997</v>
      </c>
      <c r="BO618" s="2">
        <v>37.159999999999997</v>
      </c>
      <c r="BP618" s="2"/>
      <c r="BQ618" s="2" t="s">
        <v>759</v>
      </c>
      <c r="BR618" s="2" t="s">
        <v>84</v>
      </c>
      <c r="BS618" s="3">
        <v>42838</v>
      </c>
      <c r="BT618" s="4">
        <v>0.34791666666666665</v>
      </c>
      <c r="BU618" s="2" t="s">
        <v>350</v>
      </c>
      <c r="BV618" s="2" t="s">
        <v>111</v>
      </c>
      <c r="BW618" s="2"/>
      <c r="BX618" s="2"/>
      <c r="BY618" s="2">
        <v>1200</v>
      </c>
      <c r="BZ618" s="2" t="s">
        <v>27</v>
      </c>
      <c r="CA618" s="2"/>
      <c r="CB618" s="2"/>
      <c r="CC618" s="2" t="s">
        <v>517</v>
      </c>
      <c r="CD618" s="2">
        <v>1459</v>
      </c>
      <c r="CE618" s="2" t="s">
        <v>118</v>
      </c>
      <c r="CF618" s="5">
        <v>42843</v>
      </c>
      <c r="CG618" s="2"/>
      <c r="CH618" s="2"/>
      <c r="CI618" s="2">
        <v>1</v>
      </c>
      <c r="CJ618" s="2">
        <v>1</v>
      </c>
      <c r="CK618" s="2">
        <v>22</v>
      </c>
      <c r="CL618" s="2" t="s">
        <v>86</v>
      </c>
      <c r="CM618" s="2"/>
    </row>
    <row r="619" spans="1:91">
      <c r="A619" s="2" t="s">
        <v>71</v>
      </c>
      <c r="B619" s="2" t="s">
        <v>72</v>
      </c>
      <c r="C619" s="2" t="s">
        <v>73</v>
      </c>
      <c r="D619" s="2"/>
      <c r="E619" s="2" t="str">
        <f>"FES1162542170"</f>
        <v>FES1162542170</v>
      </c>
      <c r="F619" s="3">
        <v>42831</v>
      </c>
      <c r="G619" s="2">
        <v>201710</v>
      </c>
      <c r="H619" s="2" t="s">
        <v>74</v>
      </c>
      <c r="I619" s="2" t="s">
        <v>75</v>
      </c>
      <c r="J619" s="2" t="s">
        <v>76</v>
      </c>
      <c r="K619" s="2" t="s">
        <v>77</v>
      </c>
      <c r="L619" s="2" t="s">
        <v>180</v>
      </c>
      <c r="M619" s="2" t="s">
        <v>181</v>
      </c>
      <c r="N619" s="2" t="s">
        <v>182</v>
      </c>
      <c r="O619" s="2" t="s">
        <v>115</v>
      </c>
      <c r="P619" s="2" t="str">
        <f>"2170561072                    "</f>
        <v xml:space="preserve">2170561072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11.79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4</v>
      </c>
      <c r="BJ619" s="2">
        <v>5.4</v>
      </c>
      <c r="BK619" s="2">
        <v>5.5</v>
      </c>
      <c r="BL619" s="2">
        <v>114.75</v>
      </c>
      <c r="BM619" s="2">
        <v>16.07</v>
      </c>
      <c r="BN619" s="2">
        <v>130.82</v>
      </c>
      <c r="BO619" s="2">
        <v>130.82</v>
      </c>
      <c r="BP619" s="2"/>
      <c r="BQ619" s="2" t="s">
        <v>183</v>
      </c>
      <c r="BR619" s="2" t="s">
        <v>123</v>
      </c>
      <c r="BS619" s="3">
        <v>42832</v>
      </c>
      <c r="BT619" s="4">
        <v>0.4375</v>
      </c>
      <c r="BU619" s="2" t="s">
        <v>245</v>
      </c>
      <c r="BV619" s="2" t="s">
        <v>111</v>
      </c>
      <c r="BW619" s="2"/>
      <c r="BX619" s="2"/>
      <c r="BY619" s="2">
        <v>27239.1</v>
      </c>
      <c r="BZ619" s="2" t="s">
        <v>27</v>
      </c>
      <c r="CA619" s="2"/>
      <c r="CB619" s="2"/>
      <c r="CC619" s="2" t="s">
        <v>181</v>
      </c>
      <c r="CD619" s="2">
        <v>4001</v>
      </c>
      <c r="CE619" s="2" t="s">
        <v>135</v>
      </c>
      <c r="CF619" s="5">
        <v>42835</v>
      </c>
      <c r="CG619" s="2"/>
      <c r="CH619" s="2"/>
      <c r="CI619" s="2">
        <v>1</v>
      </c>
      <c r="CJ619" s="2">
        <v>1</v>
      </c>
      <c r="CK619" s="2">
        <v>21</v>
      </c>
      <c r="CL619" s="2" t="s">
        <v>86</v>
      </c>
      <c r="CM619" s="2"/>
    </row>
    <row r="620" spans="1:91">
      <c r="A620" s="2" t="s">
        <v>71</v>
      </c>
      <c r="B620" s="2" t="s">
        <v>72</v>
      </c>
      <c r="C620" s="2" t="s">
        <v>73</v>
      </c>
      <c r="D620" s="2"/>
      <c r="E620" s="2" t="str">
        <f>"FES1162541378"</f>
        <v>FES1162541378</v>
      </c>
      <c r="F620" s="3">
        <v>42829</v>
      </c>
      <c r="G620" s="2">
        <v>201710</v>
      </c>
      <c r="H620" s="2" t="s">
        <v>74</v>
      </c>
      <c r="I620" s="2" t="s">
        <v>75</v>
      </c>
      <c r="J620" s="2" t="s">
        <v>76</v>
      </c>
      <c r="K620" s="2" t="s">
        <v>77</v>
      </c>
      <c r="L620" s="2" t="s">
        <v>180</v>
      </c>
      <c r="M620" s="2" t="s">
        <v>181</v>
      </c>
      <c r="N620" s="2" t="s">
        <v>182</v>
      </c>
      <c r="O620" s="2" t="s">
        <v>115</v>
      </c>
      <c r="P620" s="2" t="str">
        <f>"2170559922                    "</f>
        <v xml:space="preserve">2170559922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13.26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2</v>
      </c>
      <c r="BI620" s="2">
        <v>6</v>
      </c>
      <c r="BJ620" s="2">
        <v>2.1</v>
      </c>
      <c r="BK620" s="2">
        <v>6</v>
      </c>
      <c r="BL620" s="2">
        <v>125.58</v>
      </c>
      <c r="BM620" s="2">
        <v>17.579999999999998</v>
      </c>
      <c r="BN620" s="2">
        <v>143.16</v>
      </c>
      <c r="BO620" s="2">
        <v>143.16</v>
      </c>
      <c r="BP620" s="2"/>
      <c r="BQ620" s="2" t="s">
        <v>183</v>
      </c>
      <c r="BR620" s="2" t="s">
        <v>123</v>
      </c>
      <c r="BS620" s="3">
        <v>42830</v>
      </c>
      <c r="BT620" s="4">
        <v>0.4375</v>
      </c>
      <c r="BU620" s="2" t="s">
        <v>130</v>
      </c>
      <c r="BV620" s="2" t="s">
        <v>111</v>
      </c>
      <c r="BW620" s="2"/>
      <c r="BX620" s="2"/>
      <c r="BY620" s="2">
        <v>10344.030000000001</v>
      </c>
      <c r="BZ620" s="2" t="s">
        <v>27</v>
      </c>
      <c r="CA620" s="2"/>
      <c r="CB620" s="2"/>
      <c r="CC620" s="2" t="s">
        <v>181</v>
      </c>
      <c r="CD620" s="2">
        <v>4001</v>
      </c>
      <c r="CE620" s="2" t="s">
        <v>135</v>
      </c>
      <c r="CF620" s="5">
        <v>42831</v>
      </c>
      <c r="CG620" s="2"/>
      <c r="CH620" s="2"/>
      <c r="CI620" s="2">
        <v>1</v>
      </c>
      <c r="CJ620" s="2">
        <v>1</v>
      </c>
      <c r="CK620" s="2">
        <v>21</v>
      </c>
      <c r="CL620" s="2" t="s">
        <v>86</v>
      </c>
      <c r="CM620" s="2"/>
    </row>
    <row r="621" spans="1:91">
      <c r="A621" s="2" t="s">
        <v>71</v>
      </c>
      <c r="B621" s="2" t="s">
        <v>72</v>
      </c>
      <c r="C621" s="2" t="s">
        <v>73</v>
      </c>
      <c r="D621" s="2"/>
      <c r="E621" s="2" t="str">
        <f>"FES1162542991"</f>
        <v>FES1162542991</v>
      </c>
      <c r="F621" s="3">
        <v>42836</v>
      </c>
      <c r="G621" s="2">
        <v>201710</v>
      </c>
      <c r="H621" s="2" t="s">
        <v>74</v>
      </c>
      <c r="I621" s="2" t="s">
        <v>75</v>
      </c>
      <c r="J621" s="2" t="s">
        <v>76</v>
      </c>
      <c r="K621" s="2" t="s">
        <v>77</v>
      </c>
      <c r="L621" s="2" t="s">
        <v>516</v>
      </c>
      <c r="M621" s="2" t="s">
        <v>517</v>
      </c>
      <c r="N621" s="2" t="s">
        <v>1211</v>
      </c>
      <c r="O621" s="2" t="s">
        <v>115</v>
      </c>
      <c r="P621" s="2" t="str">
        <f>"                              "</f>
        <v xml:space="preserve">          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3.35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1</v>
      </c>
      <c r="BJ621" s="2">
        <v>0.2</v>
      </c>
      <c r="BK621" s="2">
        <v>1</v>
      </c>
      <c r="BL621" s="2">
        <v>32.6</v>
      </c>
      <c r="BM621" s="2">
        <v>4.5599999999999996</v>
      </c>
      <c r="BN621" s="2">
        <v>37.159999999999997</v>
      </c>
      <c r="BO621" s="2">
        <v>37.159999999999997</v>
      </c>
      <c r="BP621" s="2">
        <v>2170561779</v>
      </c>
      <c r="BQ621" s="2" t="s">
        <v>122</v>
      </c>
      <c r="BR621" s="2" t="s">
        <v>123</v>
      </c>
      <c r="BS621" s="3">
        <v>42837</v>
      </c>
      <c r="BT621" s="4">
        <v>0.3125</v>
      </c>
      <c r="BU621" s="2" t="s">
        <v>290</v>
      </c>
      <c r="BV621" s="2" t="s">
        <v>111</v>
      </c>
      <c r="BW621" s="2"/>
      <c r="BX621" s="2"/>
      <c r="BY621" s="2">
        <v>1200</v>
      </c>
      <c r="BZ621" s="2" t="s">
        <v>27</v>
      </c>
      <c r="CA621" s="2" t="s">
        <v>520</v>
      </c>
      <c r="CB621" s="2"/>
      <c r="CC621" s="2" t="s">
        <v>517</v>
      </c>
      <c r="CD621" s="2">
        <v>1459</v>
      </c>
      <c r="CE621" s="2" t="s">
        <v>118</v>
      </c>
      <c r="CF621" s="5">
        <v>42837</v>
      </c>
      <c r="CG621" s="2"/>
      <c r="CH621" s="2"/>
      <c r="CI621" s="2">
        <v>1</v>
      </c>
      <c r="CJ621" s="2">
        <v>1</v>
      </c>
      <c r="CK621" s="2">
        <v>22</v>
      </c>
      <c r="CL621" s="2" t="s">
        <v>86</v>
      </c>
      <c r="CM621" s="2"/>
    </row>
    <row r="622" spans="1:91">
      <c r="A622" s="2" t="s">
        <v>71</v>
      </c>
      <c r="B622" s="2" t="s">
        <v>72</v>
      </c>
      <c r="C622" s="2" t="s">
        <v>73</v>
      </c>
      <c r="D622" s="2"/>
      <c r="E622" s="2" t="str">
        <f>"FES1162541847"</f>
        <v>FES1162541847</v>
      </c>
      <c r="F622" s="3">
        <v>42830</v>
      </c>
      <c r="G622" s="2">
        <v>201710</v>
      </c>
      <c r="H622" s="2" t="s">
        <v>74</v>
      </c>
      <c r="I622" s="2" t="s">
        <v>75</v>
      </c>
      <c r="J622" s="2" t="s">
        <v>76</v>
      </c>
      <c r="K622" s="2" t="s">
        <v>77</v>
      </c>
      <c r="L622" s="2" t="s">
        <v>131</v>
      </c>
      <c r="M622" s="2" t="s">
        <v>132</v>
      </c>
      <c r="N622" s="2" t="s">
        <v>1212</v>
      </c>
      <c r="O622" s="2" t="s">
        <v>115</v>
      </c>
      <c r="P622" s="2" t="str">
        <f>"2170560711                    "</f>
        <v xml:space="preserve">2170560711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4.29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1</v>
      </c>
      <c r="BJ622" s="2">
        <v>0.2</v>
      </c>
      <c r="BK622" s="2">
        <v>1</v>
      </c>
      <c r="BL622" s="2">
        <v>41.73</v>
      </c>
      <c r="BM622" s="2">
        <v>5.84</v>
      </c>
      <c r="BN622" s="2">
        <v>47.57</v>
      </c>
      <c r="BO622" s="2">
        <v>47.57</v>
      </c>
      <c r="BP622" s="2"/>
      <c r="BQ622" s="2" t="s">
        <v>129</v>
      </c>
      <c r="BR622" s="2" t="s">
        <v>123</v>
      </c>
      <c r="BS622" s="3">
        <v>42831</v>
      </c>
      <c r="BT622" s="4">
        <v>0.41666666666666669</v>
      </c>
      <c r="BU622" s="2" t="s">
        <v>1213</v>
      </c>
      <c r="BV622" s="2" t="s">
        <v>111</v>
      </c>
      <c r="BW622" s="2"/>
      <c r="BX622" s="2"/>
      <c r="BY622" s="2">
        <v>1200</v>
      </c>
      <c r="BZ622" s="2" t="s">
        <v>27</v>
      </c>
      <c r="CA622" s="2"/>
      <c r="CB622" s="2"/>
      <c r="CC622" s="2" t="s">
        <v>132</v>
      </c>
      <c r="CD622" s="2">
        <v>7460</v>
      </c>
      <c r="CE622" s="2" t="s">
        <v>118</v>
      </c>
      <c r="CF622" s="5">
        <v>42832</v>
      </c>
      <c r="CG622" s="2"/>
      <c r="CH622" s="2"/>
      <c r="CI622" s="2">
        <v>1</v>
      </c>
      <c r="CJ622" s="2">
        <v>1</v>
      </c>
      <c r="CK622" s="2">
        <v>21</v>
      </c>
      <c r="CL622" s="2" t="s">
        <v>86</v>
      </c>
      <c r="CM622" s="2"/>
    </row>
    <row r="623" spans="1:91">
      <c r="A623" s="2" t="s">
        <v>71</v>
      </c>
      <c r="B623" s="2" t="s">
        <v>72</v>
      </c>
      <c r="C623" s="2" t="s">
        <v>73</v>
      </c>
      <c r="D623" s="2"/>
      <c r="E623" s="2" t="str">
        <f>"FES1162541665"</f>
        <v>FES1162541665</v>
      </c>
      <c r="F623" s="3">
        <v>42830</v>
      </c>
      <c r="G623" s="2">
        <v>201710</v>
      </c>
      <c r="H623" s="2" t="s">
        <v>74</v>
      </c>
      <c r="I623" s="2" t="s">
        <v>75</v>
      </c>
      <c r="J623" s="2" t="s">
        <v>76</v>
      </c>
      <c r="K623" s="2" t="s">
        <v>77</v>
      </c>
      <c r="L623" s="2" t="s">
        <v>358</v>
      </c>
      <c r="M623" s="2" t="s">
        <v>359</v>
      </c>
      <c r="N623" s="2" t="s">
        <v>334</v>
      </c>
      <c r="O623" s="2" t="s">
        <v>115</v>
      </c>
      <c r="P623" s="2" t="str">
        <f>"2170558592                    "</f>
        <v xml:space="preserve">2170558592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8.57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4</v>
      </c>
      <c r="BJ623" s="2">
        <v>1.5</v>
      </c>
      <c r="BK623" s="2">
        <v>4</v>
      </c>
      <c r="BL623" s="2">
        <v>83.45</v>
      </c>
      <c r="BM623" s="2">
        <v>11.68</v>
      </c>
      <c r="BN623" s="2">
        <v>95.13</v>
      </c>
      <c r="BO623" s="2">
        <v>95.13</v>
      </c>
      <c r="BP623" s="2"/>
      <c r="BQ623" s="2" t="s">
        <v>1214</v>
      </c>
      <c r="BR623" s="2" t="s">
        <v>123</v>
      </c>
      <c r="BS623" s="3">
        <v>42836</v>
      </c>
      <c r="BT623" s="4">
        <v>0.4236111111111111</v>
      </c>
      <c r="BU623" s="2" t="s">
        <v>1215</v>
      </c>
      <c r="BV623" s="2" t="s">
        <v>86</v>
      </c>
      <c r="BW623" s="2"/>
      <c r="BX623" s="2"/>
      <c r="BY623" s="2">
        <v>7420.19</v>
      </c>
      <c r="BZ623" s="2" t="s">
        <v>27</v>
      </c>
      <c r="CA623" s="2"/>
      <c r="CB623" s="2"/>
      <c r="CC623" s="2" t="s">
        <v>359</v>
      </c>
      <c r="CD623" s="2">
        <v>6229</v>
      </c>
      <c r="CE623" s="2" t="s">
        <v>135</v>
      </c>
      <c r="CF623" s="5">
        <v>42837</v>
      </c>
      <c r="CG623" s="2"/>
      <c r="CH623" s="2"/>
      <c r="CI623" s="2">
        <v>1</v>
      </c>
      <c r="CJ623" s="2">
        <v>4</v>
      </c>
      <c r="CK623" s="2">
        <v>21</v>
      </c>
      <c r="CL623" s="2" t="s">
        <v>86</v>
      </c>
      <c r="CM623" s="2"/>
    </row>
    <row r="624" spans="1:91">
      <c r="A624" s="2" t="s">
        <v>71</v>
      </c>
      <c r="B624" s="2" t="s">
        <v>72</v>
      </c>
      <c r="C624" s="2" t="s">
        <v>73</v>
      </c>
      <c r="D624" s="2"/>
      <c r="E624" s="2" t="str">
        <f>"FES1162543269"</f>
        <v>FES1162543269</v>
      </c>
      <c r="F624" s="3">
        <v>42837</v>
      </c>
      <c r="G624" s="2">
        <v>201710</v>
      </c>
      <c r="H624" s="2" t="s">
        <v>74</v>
      </c>
      <c r="I624" s="2" t="s">
        <v>75</v>
      </c>
      <c r="J624" s="2" t="s">
        <v>76</v>
      </c>
      <c r="K624" s="2" t="s">
        <v>77</v>
      </c>
      <c r="L624" s="2" t="s">
        <v>74</v>
      </c>
      <c r="M624" s="2" t="s">
        <v>75</v>
      </c>
      <c r="N624" s="2" t="s">
        <v>488</v>
      </c>
      <c r="O624" s="2" t="s">
        <v>115</v>
      </c>
      <c r="P624" s="2" t="str">
        <f>"2170559596                    "</f>
        <v xml:space="preserve">2170559596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3.35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0.2</v>
      </c>
      <c r="BK624" s="2">
        <v>1</v>
      </c>
      <c r="BL624" s="2">
        <v>32.6</v>
      </c>
      <c r="BM624" s="2">
        <v>4.5599999999999996</v>
      </c>
      <c r="BN624" s="2">
        <v>37.159999999999997</v>
      </c>
      <c r="BO624" s="2">
        <v>37.159999999999997</v>
      </c>
      <c r="BP624" s="2"/>
      <c r="BQ624" s="2" t="s">
        <v>489</v>
      </c>
      <c r="BR624" s="2" t="s">
        <v>84</v>
      </c>
      <c r="BS624" s="3">
        <v>42838</v>
      </c>
      <c r="BT624" s="4">
        <v>0.3125</v>
      </c>
      <c r="BU624" s="2" t="s">
        <v>290</v>
      </c>
      <c r="BV624" s="2" t="s">
        <v>111</v>
      </c>
      <c r="BW624" s="2"/>
      <c r="BX624" s="2"/>
      <c r="BY624" s="2">
        <v>1200</v>
      </c>
      <c r="BZ624" s="2" t="s">
        <v>27</v>
      </c>
      <c r="CA624" s="2"/>
      <c r="CB624" s="2"/>
      <c r="CC624" s="2" t="s">
        <v>75</v>
      </c>
      <c r="CD624" s="2">
        <v>1645</v>
      </c>
      <c r="CE624" s="2" t="s">
        <v>118</v>
      </c>
      <c r="CF624" s="5">
        <v>42843</v>
      </c>
      <c r="CG624" s="2"/>
      <c r="CH624" s="2"/>
      <c r="CI624" s="2">
        <v>1</v>
      </c>
      <c r="CJ624" s="2">
        <v>1</v>
      </c>
      <c r="CK624" s="2">
        <v>22</v>
      </c>
      <c r="CL624" s="2" t="s">
        <v>86</v>
      </c>
      <c r="CM624" s="2"/>
    </row>
    <row r="625" spans="1:91">
      <c r="A625" s="2" t="s">
        <v>71</v>
      </c>
      <c r="B625" s="2" t="s">
        <v>72</v>
      </c>
      <c r="C625" s="2" t="s">
        <v>73</v>
      </c>
      <c r="D625" s="2"/>
      <c r="E625" s="2" t="str">
        <f>"FES1162541975"</f>
        <v>FES1162541975</v>
      </c>
      <c r="F625" s="3">
        <v>42831</v>
      </c>
      <c r="G625" s="2">
        <v>201710</v>
      </c>
      <c r="H625" s="2" t="s">
        <v>74</v>
      </c>
      <c r="I625" s="2" t="s">
        <v>75</v>
      </c>
      <c r="J625" s="2" t="s">
        <v>76</v>
      </c>
      <c r="K625" s="2" t="s">
        <v>77</v>
      </c>
      <c r="L625" s="2" t="s">
        <v>396</v>
      </c>
      <c r="M625" s="2" t="s">
        <v>397</v>
      </c>
      <c r="N625" s="2" t="s">
        <v>500</v>
      </c>
      <c r="O625" s="2" t="s">
        <v>115</v>
      </c>
      <c r="P625" s="2" t="str">
        <f>"2170557893                    "</f>
        <v xml:space="preserve">2170557893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9.65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2</v>
      </c>
      <c r="BJ625" s="2">
        <v>4.0999999999999996</v>
      </c>
      <c r="BK625" s="2">
        <v>4.5</v>
      </c>
      <c r="BL625" s="2">
        <v>93.89</v>
      </c>
      <c r="BM625" s="2">
        <v>13.14</v>
      </c>
      <c r="BN625" s="2">
        <v>107.03</v>
      </c>
      <c r="BO625" s="2">
        <v>107.03</v>
      </c>
      <c r="BP625" s="2"/>
      <c r="BQ625" s="2" t="s">
        <v>501</v>
      </c>
      <c r="BR625" s="2" t="s">
        <v>123</v>
      </c>
      <c r="BS625" s="3">
        <v>42832</v>
      </c>
      <c r="BT625" s="4">
        <v>0.4375</v>
      </c>
      <c r="BU625" s="2" t="s">
        <v>502</v>
      </c>
      <c r="BV625" s="2" t="s">
        <v>111</v>
      </c>
      <c r="BW625" s="2"/>
      <c r="BX625" s="2"/>
      <c r="BY625" s="2">
        <v>20358</v>
      </c>
      <c r="BZ625" s="2" t="s">
        <v>27</v>
      </c>
      <c r="CA625" s="2"/>
      <c r="CB625" s="2"/>
      <c r="CC625" s="2" t="s">
        <v>397</v>
      </c>
      <c r="CD625" s="2">
        <v>4302</v>
      </c>
      <c r="CE625" s="2" t="s">
        <v>135</v>
      </c>
      <c r="CF625" s="5">
        <v>42835</v>
      </c>
      <c r="CG625" s="2"/>
      <c r="CH625" s="2"/>
      <c r="CI625" s="2">
        <v>1</v>
      </c>
      <c r="CJ625" s="2">
        <v>1</v>
      </c>
      <c r="CK625" s="2">
        <v>21</v>
      </c>
      <c r="CL625" s="2" t="s">
        <v>86</v>
      </c>
      <c r="CM625" s="2"/>
    </row>
    <row r="626" spans="1:91">
      <c r="A626" s="2" t="s">
        <v>71</v>
      </c>
      <c r="B626" s="2" t="s">
        <v>72</v>
      </c>
      <c r="C626" s="2" t="s">
        <v>73</v>
      </c>
      <c r="D626" s="2"/>
      <c r="E626" s="2" t="str">
        <f>"FES1162541386"</f>
        <v>FES1162541386</v>
      </c>
      <c r="F626" s="3">
        <v>42829</v>
      </c>
      <c r="G626" s="2">
        <v>201710</v>
      </c>
      <c r="H626" s="2" t="s">
        <v>74</v>
      </c>
      <c r="I626" s="2" t="s">
        <v>75</v>
      </c>
      <c r="J626" s="2" t="s">
        <v>76</v>
      </c>
      <c r="K626" s="2" t="s">
        <v>77</v>
      </c>
      <c r="L626" s="2" t="s">
        <v>180</v>
      </c>
      <c r="M626" s="2" t="s">
        <v>181</v>
      </c>
      <c r="N626" s="2" t="s">
        <v>982</v>
      </c>
      <c r="O626" s="2" t="s">
        <v>115</v>
      </c>
      <c r="P626" s="2" t="str">
        <f>"2170560262                    "</f>
        <v xml:space="preserve">2170560262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4.42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1</v>
      </c>
      <c r="BJ626" s="2">
        <v>0.2</v>
      </c>
      <c r="BK626" s="2">
        <v>1</v>
      </c>
      <c r="BL626" s="2">
        <v>41.86</v>
      </c>
      <c r="BM626" s="2">
        <v>5.86</v>
      </c>
      <c r="BN626" s="2">
        <v>47.72</v>
      </c>
      <c r="BO626" s="2">
        <v>47.72</v>
      </c>
      <c r="BP626" s="2"/>
      <c r="BQ626" s="2" t="s">
        <v>1168</v>
      </c>
      <c r="BR626" s="2" t="s">
        <v>123</v>
      </c>
      <c r="BS626" s="3">
        <v>42830</v>
      </c>
      <c r="BT626" s="4">
        <v>0.4375</v>
      </c>
      <c r="BU626" s="2" t="s">
        <v>1216</v>
      </c>
      <c r="BV626" s="2" t="s">
        <v>111</v>
      </c>
      <c r="BW626" s="2"/>
      <c r="BX626" s="2"/>
      <c r="BY626" s="2">
        <v>1200</v>
      </c>
      <c r="BZ626" s="2" t="s">
        <v>27</v>
      </c>
      <c r="CA626" s="2"/>
      <c r="CB626" s="2"/>
      <c r="CC626" s="2" t="s">
        <v>181</v>
      </c>
      <c r="CD626" s="2">
        <v>4052</v>
      </c>
      <c r="CE626" s="2" t="s">
        <v>118</v>
      </c>
      <c r="CF626" s="5">
        <v>42831</v>
      </c>
      <c r="CG626" s="2"/>
      <c r="CH626" s="2"/>
      <c r="CI626" s="2">
        <v>1</v>
      </c>
      <c r="CJ626" s="2">
        <v>1</v>
      </c>
      <c r="CK626" s="2">
        <v>21</v>
      </c>
      <c r="CL626" s="2" t="s">
        <v>86</v>
      </c>
      <c r="CM626" s="2"/>
    </row>
    <row r="627" spans="1:91">
      <c r="A627" s="2" t="s">
        <v>71</v>
      </c>
      <c r="B627" s="2" t="s">
        <v>72</v>
      </c>
      <c r="C627" s="2" t="s">
        <v>73</v>
      </c>
      <c r="D627" s="2"/>
      <c r="E627" s="2" t="str">
        <f>"FES1162542984"</f>
        <v>FES1162542984</v>
      </c>
      <c r="F627" s="3">
        <v>42836</v>
      </c>
      <c r="G627" s="2">
        <v>201710</v>
      </c>
      <c r="H627" s="2" t="s">
        <v>74</v>
      </c>
      <c r="I627" s="2" t="s">
        <v>75</v>
      </c>
      <c r="J627" s="2" t="s">
        <v>76</v>
      </c>
      <c r="K627" s="2" t="s">
        <v>77</v>
      </c>
      <c r="L627" s="2" t="s">
        <v>180</v>
      </c>
      <c r="M627" s="2" t="s">
        <v>181</v>
      </c>
      <c r="N627" s="2" t="s">
        <v>1217</v>
      </c>
      <c r="O627" s="2" t="s">
        <v>115</v>
      </c>
      <c r="P627" s="2" t="str">
        <f>"2170561772                    "</f>
        <v xml:space="preserve">2170561772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4.29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1</v>
      </c>
      <c r="BJ627" s="2">
        <v>0.2</v>
      </c>
      <c r="BK627" s="2">
        <v>1</v>
      </c>
      <c r="BL627" s="2">
        <v>41.73</v>
      </c>
      <c r="BM627" s="2">
        <v>5.84</v>
      </c>
      <c r="BN627" s="2">
        <v>47.57</v>
      </c>
      <c r="BO627" s="2">
        <v>47.57</v>
      </c>
      <c r="BP627" s="2"/>
      <c r="BQ627" s="2" t="s">
        <v>1218</v>
      </c>
      <c r="BR627" s="2" t="s">
        <v>123</v>
      </c>
      <c r="BS627" s="3">
        <v>42837</v>
      </c>
      <c r="BT627" s="4">
        <v>0.4375</v>
      </c>
      <c r="BU627" s="2" t="s">
        <v>1219</v>
      </c>
      <c r="BV627" s="2" t="s">
        <v>111</v>
      </c>
      <c r="BW627" s="2"/>
      <c r="BX627" s="2"/>
      <c r="BY627" s="2">
        <v>1200</v>
      </c>
      <c r="BZ627" s="2" t="s">
        <v>27</v>
      </c>
      <c r="CA627" s="2" t="s">
        <v>159</v>
      </c>
      <c r="CB627" s="2"/>
      <c r="CC627" s="2" t="s">
        <v>181</v>
      </c>
      <c r="CD627" s="2">
        <v>4052</v>
      </c>
      <c r="CE627" s="2" t="s">
        <v>144</v>
      </c>
      <c r="CF627" s="5">
        <v>42843</v>
      </c>
      <c r="CG627" s="2"/>
      <c r="CH627" s="2"/>
      <c r="CI627" s="2">
        <v>1</v>
      </c>
      <c r="CJ627" s="2">
        <v>1</v>
      </c>
      <c r="CK627" s="2">
        <v>21</v>
      </c>
      <c r="CL627" s="2" t="s">
        <v>86</v>
      </c>
      <c r="CM627" s="2"/>
    </row>
    <row r="628" spans="1:91">
      <c r="A628" s="2" t="s">
        <v>71</v>
      </c>
      <c r="B628" s="2" t="s">
        <v>72</v>
      </c>
      <c r="C628" s="2" t="s">
        <v>73</v>
      </c>
      <c r="D628" s="2"/>
      <c r="E628" s="2" t="str">
        <f>"FES1162541795"</f>
        <v>FES1162541795</v>
      </c>
      <c r="F628" s="3">
        <v>42830</v>
      </c>
      <c r="G628" s="2">
        <v>201710</v>
      </c>
      <c r="H628" s="2" t="s">
        <v>74</v>
      </c>
      <c r="I628" s="2" t="s">
        <v>75</v>
      </c>
      <c r="J628" s="2" t="s">
        <v>76</v>
      </c>
      <c r="K628" s="2" t="s">
        <v>77</v>
      </c>
      <c r="L628" s="2" t="s">
        <v>131</v>
      </c>
      <c r="M628" s="2" t="s">
        <v>132</v>
      </c>
      <c r="N628" s="2" t="s">
        <v>1220</v>
      </c>
      <c r="O628" s="2" t="s">
        <v>115</v>
      </c>
      <c r="P628" s="2" t="str">
        <f>"2170560805                    "</f>
        <v xml:space="preserve">2170560805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4.29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1</v>
      </c>
      <c r="BJ628" s="2">
        <v>0.2</v>
      </c>
      <c r="BK628" s="2">
        <v>1</v>
      </c>
      <c r="BL628" s="2">
        <v>41.73</v>
      </c>
      <c r="BM628" s="2">
        <v>5.84</v>
      </c>
      <c r="BN628" s="2">
        <v>47.57</v>
      </c>
      <c r="BO628" s="2">
        <v>47.57</v>
      </c>
      <c r="BP628" s="2"/>
      <c r="BQ628" s="2" t="s">
        <v>122</v>
      </c>
      <c r="BR628" s="2" t="s">
        <v>123</v>
      </c>
      <c r="BS628" s="3">
        <v>42831</v>
      </c>
      <c r="BT628" s="4">
        <v>0.4236111111111111</v>
      </c>
      <c r="BU628" s="2" t="s">
        <v>1221</v>
      </c>
      <c r="BV628" s="2" t="s">
        <v>111</v>
      </c>
      <c r="BW628" s="2"/>
      <c r="BX628" s="2"/>
      <c r="BY628" s="2">
        <v>1200</v>
      </c>
      <c r="BZ628" s="2" t="s">
        <v>27</v>
      </c>
      <c r="CA628" s="2"/>
      <c r="CB628" s="2"/>
      <c r="CC628" s="2" t="s">
        <v>132</v>
      </c>
      <c r="CD628" s="2">
        <v>7500</v>
      </c>
      <c r="CE628" s="2" t="s">
        <v>118</v>
      </c>
      <c r="CF628" s="2"/>
      <c r="CG628" s="2"/>
      <c r="CH628" s="2"/>
      <c r="CI628" s="2">
        <v>1</v>
      </c>
      <c r="CJ628" s="2">
        <v>1</v>
      </c>
      <c r="CK628" s="2">
        <v>21</v>
      </c>
      <c r="CL628" s="2" t="s">
        <v>86</v>
      </c>
      <c r="CM628" s="2"/>
    </row>
    <row r="629" spans="1:91">
      <c r="A629" s="2" t="s">
        <v>71</v>
      </c>
      <c r="B629" s="2" t="s">
        <v>72</v>
      </c>
      <c r="C629" s="2" t="s">
        <v>73</v>
      </c>
      <c r="D629" s="2"/>
      <c r="E629" s="2" t="str">
        <f>"FES1162541691"</f>
        <v>FES1162541691</v>
      </c>
      <c r="F629" s="3">
        <v>42830</v>
      </c>
      <c r="G629" s="2">
        <v>201710</v>
      </c>
      <c r="H629" s="2" t="s">
        <v>74</v>
      </c>
      <c r="I629" s="2" t="s">
        <v>75</v>
      </c>
      <c r="J629" s="2" t="s">
        <v>76</v>
      </c>
      <c r="K629" s="2" t="s">
        <v>77</v>
      </c>
      <c r="L629" s="2" t="s">
        <v>99</v>
      </c>
      <c r="M629" s="2" t="s">
        <v>100</v>
      </c>
      <c r="N629" s="2" t="s">
        <v>843</v>
      </c>
      <c r="O629" s="2" t="s">
        <v>115</v>
      </c>
      <c r="P629" s="2" t="str">
        <f>"2170560453                    "</f>
        <v xml:space="preserve">2170560453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12.86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6</v>
      </c>
      <c r="BJ629" s="2">
        <v>2.2999999999999998</v>
      </c>
      <c r="BK629" s="2">
        <v>6</v>
      </c>
      <c r="BL629" s="2">
        <v>125.18</v>
      </c>
      <c r="BM629" s="2">
        <v>17.53</v>
      </c>
      <c r="BN629" s="2">
        <v>142.71</v>
      </c>
      <c r="BO629" s="2">
        <v>142.71</v>
      </c>
      <c r="BP629" s="2"/>
      <c r="BQ629" s="2" t="s">
        <v>844</v>
      </c>
      <c r="BR629" s="2" t="s">
        <v>123</v>
      </c>
      <c r="BS629" s="3">
        <v>42831</v>
      </c>
      <c r="BT629" s="4">
        <v>0.37291666666666662</v>
      </c>
      <c r="BU629" s="2" t="s">
        <v>845</v>
      </c>
      <c r="BV629" s="2" t="s">
        <v>111</v>
      </c>
      <c r="BW629" s="2"/>
      <c r="BX629" s="2"/>
      <c r="BY629" s="2">
        <v>11582.87</v>
      </c>
      <c r="BZ629" s="2" t="s">
        <v>27</v>
      </c>
      <c r="CA629" s="2" t="s">
        <v>154</v>
      </c>
      <c r="CB629" s="2"/>
      <c r="CC629" s="2" t="s">
        <v>100</v>
      </c>
      <c r="CD629" s="2">
        <v>6001</v>
      </c>
      <c r="CE629" s="2" t="s">
        <v>135</v>
      </c>
      <c r="CF629" s="5">
        <v>42831</v>
      </c>
      <c r="CG629" s="2"/>
      <c r="CH629" s="2"/>
      <c r="CI629" s="2">
        <v>1</v>
      </c>
      <c r="CJ629" s="2">
        <v>1</v>
      </c>
      <c r="CK629" s="2">
        <v>21</v>
      </c>
      <c r="CL629" s="2" t="s">
        <v>86</v>
      </c>
      <c r="CM629" s="2"/>
    </row>
    <row r="630" spans="1:91">
      <c r="A630" s="2" t="s">
        <v>71</v>
      </c>
      <c r="B630" s="2" t="s">
        <v>72</v>
      </c>
      <c r="C630" s="2" t="s">
        <v>73</v>
      </c>
      <c r="D630" s="2"/>
      <c r="E630" s="2" t="str">
        <f>"FES1162543215"</f>
        <v>FES1162543215</v>
      </c>
      <c r="F630" s="3">
        <v>42837</v>
      </c>
      <c r="G630" s="2">
        <v>201710</v>
      </c>
      <c r="H630" s="2" t="s">
        <v>74</v>
      </c>
      <c r="I630" s="2" t="s">
        <v>75</v>
      </c>
      <c r="J630" s="2" t="s">
        <v>76</v>
      </c>
      <c r="K630" s="2" t="s">
        <v>77</v>
      </c>
      <c r="L630" s="2" t="s">
        <v>74</v>
      </c>
      <c r="M630" s="2" t="s">
        <v>75</v>
      </c>
      <c r="N630" s="2" t="s">
        <v>885</v>
      </c>
      <c r="O630" s="2" t="s">
        <v>115</v>
      </c>
      <c r="P630" s="2" t="str">
        <f>"2170561976                    "</f>
        <v xml:space="preserve">2170561976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3.35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1</v>
      </c>
      <c r="BJ630" s="2">
        <v>0.2</v>
      </c>
      <c r="BK630" s="2">
        <v>1</v>
      </c>
      <c r="BL630" s="2">
        <v>32.6</v>
      </c>
      <c r="BM630" s="2">
        <v>4.5599999999999996</v>
      </c>
      <c r="BN630" s="2">
        <v>37.159999999999997</v>
      </c>
      <c r="BO630" s="2">
        <v>37.159999999999997</v>
      </c>
      <c r="BP630" s="2"/>
      <c r="BQ630" s="2" t="s">
        <v>886</v>
      </c>
      <c r="BR630" s="2" t="s">
        <v>84</v>
      </c>
      <c r="BS630" s="3">
        <v>42838</v>
      </c>
      <c r="BT630" s="4">
        <v>0.3611111111111111</v>
      </c>
      <c r="BU630" s="2" t="s">
        <v>170</v>
      </c>
      <c r="BV630" s="2" t="s">
        <v>111</v>
      </c>
      <c r="BW630" s="2"/>
      <c r="BX630" s="2"/>
      <c r="BY630" s="2">
        <v>1200</v>
      </c>
      <c r="BZ630" s="2" t="s">
        <v>27</v>
      </c>
      <c r="CA630" s="2"/>
      <c r="CB630" s="2"/>
      <c r="CC630" s="2" t="s">
        <v>75</v>
      </c>
      <c r="CD630" s="2">
        <v>1601</v>
      </c>
      <c r="CE630" s="2" t="s">
        <v>118</v>
      </c>
      <c r="CF630" s="5">
        <v>42843</v>
      </c>
      <c r="CG630" s="2"/>
      <c r="CH630" s="2"/>
      <c r="CI630" s="2">
        <v>1</v>
      </c>
      <c r="CJ630" s="2">
        <v>1</v>
      </c>
      <c r="CK630" s="2">
        <v>22</v>
      </c>
      <c r="CL630" s="2" t="s">
        <v>86</v>
      </c>
      <c r="CM630" s="2"/>
    </row>
    <row r="631" spans="1:91">
      <c r="A631" s="2" t="s">
        <v>71</v>
      </c>
      <c r="B631" s="2" t="s">
        <v>72</v>
      </c>
      <c r="C631" s="2" t="s">
        <v>73</v>
      </c>
      <c r="D631" s="2"/>
      <c r="E631" s="2" t="str">
        <f>"FES1162542046"</f>
        <v>FES1162542046</v>
      </c>
      <c r="F631" s="3">
        <v>42831</v>
      </c>
      <c r="G631" s="2">
        <v>201710</v>
      </c>
      <c r="H631" s="2" t="s">
        <v>74</v>
      </c>
      <c r="I631" s="2" t="s">
        <v>75</v>
      </c>
      <c r="J631" s="2" t="s">
        <v>76</v>
      </c>
      <c r="K631" s="2" t="s">
        <v>77</v>
      </c>
      <c r="L631" s="2" t="s">
        <v>131</v>
      </c>
      <c r="M631" s="2" t="s">
        <v>132</v>
      </c>
      <c r="N631" s="2" t="s">
        <v>649</v>
      </c>
      <c r="O631" s="2" t="s">
        <v>115</v>
      </c>
      <c r="P631" s="2" t="str">
        <f>"2170560972                    "</f>
        <v xml:space="preserve">2170560972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53.59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24.8</v>
      </c>
      <c r="BJ631" s="2">
        <v>17.8</v>
      </c>
      <c r="BK631" s="2">
        <v>25</v>
      </c>
      <c r="BL631" s="2">
        <v>521.59</v>
      </c>
      <c r="BM631" s="2">
        <v>73.02</v>
      </c>
      <c r="BN631" s="2">
        <v>594.61</v>
      </c>
      <c r="BO631" s="2">
        <v>594.61</v>
      </c>
      <c r="BP631" s="2" t="s">
        <v>1222</v>
      </c>
      <c r="BQ631" s="2" t="s">
        <v>650</v>
      </c>
      <c r="BR631" s="2" t="s">
        <v>123</v>
      </c>
      <c r="BS631" s="3">
        <v>42832</v>
      </c>
      <c r="BT631" s="4">
        <v>0.41666666666666669</v>
      </c>
      <c r="BU631" s="2" t="s">
        <v>130</v>
      </c>
      <c r="BV631" s="2" t="s">
        <v>111</v>
      </c>
      <c r="BW631" s="2"/>
      <c r="BX631" s="2"/>
      <c r="BY631" s="2">
        <v>88896.29</v>
      </c>
      <c r="BZ631" s="2" t="s">
        <v>27</v>
      </c>
      <c r="CA631" s="2"/>
      <c r="CB631" s="2"/>
      <c r="CC631" s="2" t="s">
        <v>132</v>
      </c>
      <c r="CD631" s="2">
        <v>7405</v>
      </c>
      <c r="CE631" s="2" t="s">
        <v>135</v>
      </c>
      <c r="CF631" s="5">
        <v>42835</v>
      </c>
      <c r="CG631" s="2"/>
      <c r="CH631" s="2"/>
      <c r="CI631" s="2">
        <v>1</v>
      </c>
      <c r="CJ631" s="2">
        <v>1</v>
      </c>
      <c r="CK631" s="2">
        <v>21</v>
      </c>
      <c r="CL631" s="2" t="s">
        <v>86</v>
      </c>
      <c r="CM631" s="2"/>
    </row>
    <row r="632" spans="1:91">
      <c r="A632" s="2" t="s">
        <v>71</v>
      </c>
      <c r="B632" s="2" t="s">
        <v>72</v>
      </c>
      <c r="C632" s="2" t="s">
        <v>73</v>
      </c>
      <c r="D632" s="2"/>
      <c r="E632" s="2" t="str">
        <f>"FES1162541460"</f>
        <v>FES1162541460</v>
      </c>
      <c r="F632" s="3">
        <v>42829</v>
      </c>
      <c r="G632" s="2">
        <v>201710</v>
      </c>
      <c r="H632" s="2" t="s">
        <v>74</v>
      </c>
      <c r="I632" s="2" t="s">
        <v>75</v>
      </c>
      <c r="J632" s="2" t="s">
        <v>76</v>
      </c>
      <c r="K632" s="2" t="s">
        <v>77</v>
      </c>
      <c r="L632" s="2" t="s">
        <v>99</v>
      </c>
      <c r="M632" s="2" t="s">
        <v>100</v>
      </c>
      <c r="N632" s="2" t="s">
        <v>108</v>
      </c>
      <c r="O632" s="2" t="s">
        <v>115</v>
      </c>
      <c r="P632" s="2" t="str">
        <f>"2170556464                    "</f>
        <v xml:space="preserve">2170556464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15.48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4</v>
      </c>
      <c r="BJ632" s="2">
        <v>6.7</v>
      </c>
      <c r="BK632" s="2">
        <v>7</v>
      </c>
      <c r="BL632" s="2">
        <v>146.52000000000001</v>
      </c>
      <c r="BM632" s="2">
        <v>20.51</v>
      </c>
      <c r="BN632" s="2">
        <v>167.03</v>
      </c>
      <c r="BO632" s="2">
        <v>167.03</v>
      </c>
      <c r="BP632" s="2"/>
      <c r="BQ632" s="2" t="s">
        <v>109</v>
      </c>
      <c r="BR632" s="2" t="s">
        <v>123</v>
      </c>
      <c r="BS632" s="3">
        <v>42830</v>
      </c>
      <c r="BT632" s="4">
        <v>0.39583333333333331</v>
      </c>
      <c r="BU632" s="2" t="s">
        <v>110</v>
      </c>
      <c r="BV632" s="2" t="s">
        <v>111</v>
      </c>
      <c r="BW632" s="2"/>
      <c r="BX632" s="2"/>
      <c r="BY632" s="2">
        <v>33287.589999999997</v>
      </c>
      <c r="BZ632" s="2" t="s">
        <v>27</v>
      </c>
      <c r="CA632" s="2" t="s">
        <v>106</v>
      </c>
      <c r="CB632" s="2"/>
      <c r="CC632" s="2" t="s">
        <v>100</v>
      </c>
      <c r="CD632" s="2">
        <v>6001</v>
      </c>
      <c r="CE632" s="2" t="s">
        <v>89</v>
      </c>
      <c r="CF632" s="5">
        <v>42830</v>
      </c>
      <c r="CG632" s="2"/>
      <c r="CH632" s="2"/>
      <c r="CI632" s="2">
        <v>1</v>
      </c>
      <c r="CJ632" s="2">
        <v>1</v>
      </c>
      <c r="CK632" s="2">
        <v>21</v>
      </c>
      <c r="CL632" s="2" t="s">
        <v>86</v>
      </c>
      <c r="CM632" s="2"/>
    </row>
    <row r="633" spans="1:91">
      <c r="A633" s="2" t="s">
        <v>71</v>
      </c>
      <c r="B633" s="2" t="s">
        <v>72</v>
      </c>
      <c r="C633" s="2" t="s">
        <v>73</v>
      </c>
      <c r="D633" s="2"/>
      <c r="E633" s="2" t="str">
        <f>"FES1162542913"</f>
        <v>FES1162542913</v>
      </c>
      <c r="F633" s="3">
        <v>42836</v>
      </c>
      <c r="G633" s="2">
        <v>201710</v>
      </c>
      <c r="H633" s="2" t="s">
        <v>74</v>
      </c>
      <c r="I633" s="2" t="s">
        <v>75</v>
      </c>
      <c r="J633" s="2" t="s">
        <v>76</v>
      </c>
      <c r="K633" s="2" t="s">
        <v>77</v>
      </c>
      <c r="L633" s="2" t="s">
        <v>99</v>
      </c>
      <c r="M633" s="2" t="s">
        <v>100</v>
      </c>
      <c r="N633" s="2" t="s">
        <v>1057</v>
      </c>
      <c r="O633" s="2" t="s">
        <v>115</v>
      </c>
      <c r="P633" s="2" t="str">
        <f>"2170559179                    "</f>
        <v xml:space="preserve">2170559179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4.29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</v>
      </c>
      <c r="BJ633" s="2">
        <v>0.2</v>
      </c>
      <c r="BK633" s="2">
        <v>1</v>
      </c>
      <c r="BL633" s="2">
        <v>41.73</v>
      </c>
      <c r="BM633" s="2">
        <v>5.84</v>
      </c>
      <c r="BN633" s="2">
        <v>47.57</v>
      </c>
      <c r="BO633" s="2">
        <v>47.57</v>
      </c>
      <c r="BP633" s="2"/>
      <c r="BQ633" s="2" t="s">
        <v>1058</v>
      </c>
      <c r="BR633" s="2" t="s">
        <v>123</v>
      </c>
      <c r="BS633" s="3">
        <v>42837</v>
      </c>
      <c r="BT633" s="4">
        <v>0.36249999999999999</v>
      </c>
      <c r="BU633" s="2" t="s">
        <v>1223</v>
      </c>
      <c r="BV633" s="2" t="s">
        <v>111</v>
      </c>
      <c r="BW633" s="2"/>
      <c r="BX633" s="2"/>
      <c r="BY633" s="2">
        <v>1200</v>
      </c>
      <c r="BZ633" s="2" t="s">
        <v>27</v>
      </c>
      <c r="CA633" s="2" t="s">
        <v>154</v>
      </c>
      <c r="CB633" s="2"/>
      <c r="CC633" s="2" t="s">
        <v>100</v>
      </c>
      <c r="CD633" s="2">
        <v>6001</v>
      </c>
      <c r="CE633" s="2" t="s">
        <v>144</v>
      </c>
      <c r="CF633" s="5">
        <v>42837</v>
      </c>
      <c r="CG633" s="2"/>
      <c r="CH633" s="2"/>
      <c r="CI633" s="2">
        <v>1</v>
      </c>
      <c r="CJ633" s="2">
        <v>1</v>
      </c>
      <c r="CK633" s="2">
        <v>21</v>
      </c>
      <c r="CL633" s="2" t="s">
        <v>86</v>
      </c>
      <c r="CM633" s="2"/>
    </row>
    <row r="634" spans="1:91">
      <c r="A634" s="2" t="s">
        <v>71</v>
      </c>
      <c r="B634" s="2" t="s">
        <v>72</v>
      </c>
      <c r="C634" s="2" t="s">
        <v>73</v>
      </c>
      <c r="D634" s="2"/>
      <c r="E634" s="2" t="str">
        <f>"FES1162541623"</f>
        <v>FES1162541623</v>
      </c>
      <c r="F634" s="3">
        <v>42830</v>
      </c>
      <c r="G634" s="2">
        <v>201710</v>
      </c>
      <c r="H634" s="2" t="s">
        <v>74</v>
      </c>
      <c r="I634" s="2" t="s">
        <v>75</v>
      </c>
      <c r="J634" s="2" t="s">
        <v>76</v>
      </c>
      <c r="K634" s="2" t="s">
        <v>77</v>
      </c>
      <c r="L634" s="2" t="s">
        <v>131</v>
      </c>
      <c r="M634" s="2" t="s">
        <v>132</v>
      </c>
      <c r="N634" s="2" t="s">
        <v>1224</v>
      </c>
      <c r="O634" s="2" t="s">
        <v>115</v>
      </c>
      <c r="P634" s="2" t="str">
        <f>"2170558036                    "</f>
        <v xml:space="preserve">2170558036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49.3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23</v>
      </c>
      <c r="BJ634" s="2">
        <v>18.899999999999999</v>
      </c>
      <c r="BK634" s="2">
        <v>23</v>
      </c>
      <c r="BL634" s="2">
        <v>479.86</v>
      </c>
      <c r="BM634" s="2">
        <v>67.180000000000007</v>
      </c>
      <c r="BN634" s="2">
        <v>547.04</v>
      </c>
      <c r="BO634" s="2">
        <v>547.04</v>
      </c>
      <c r="BP634" s="2"/>
      <c r="BQ634" s="2" t="s">
        <v>122</v>
      </c>
      <c r="BR634" s="2" t="s">
        <v>123</v>
      </c>
      <c r="BS634" s="3">
        <v>42831</v>
      </c>
      <c r="BT634" s="4">
        <v>0.46319444444444446</v>
      </c>
      <c r="BU634" s="2" t="s">
        <v>1225</v>
      </c>
      <c r="BV634" s="2" t="s">
        <v>86</v>
      </c>
      <c r="BW634" s="2" t="s">
        <v>484</v>
      </c>
      <c r="BX634" s="2" t="s">
        <v>860</v>
      </c>
      <c r="BY634" s="2">
        <v>94464.26</v>
      </c>
      <c r="BZ634" s="2" t="s">
        <v>27</v>
      </c>
      <c r="CA634" s="2"/>
      <c r="CB634" s="2"/>
      <c r="CC634" s="2" t="s">
        <v>132</v>
      </c>
      <c r="CD634" s="2">
        <v>7580</v>
      </c>
      <c r="CE634" s="2" t="s">
        <v>89</v>
      </c>
      <c r="CF634" s="5">
        <v>42832</v>
      </c>
      <c r="CG634" s="2"/>
      <c r="CH634" s="2"/>
      <c r="CI634" s="2">
        <v>1</v>
      </c>
      <c r="CJ634" s="2">
        <v>1</v>
      </c>
      <c r="CK634" s="2">
        <v>21</v>
      </c>
      <c r="CL634" s="2" t="s">
        <v>86</v>
      </c>
      <c r="CM634" s="2"/>
    </row>
    <row r="635" spans="1:91">
      <c r="A635" s="2" t="s">
        <v>71</v>
      </c>
      <c r="B635" s="2" t="s">
        <v>72</v>
      </c>
      <c r="C635" s="2" t="s">
        <v>73</v>
      </c>
      <c r="D635" s="2"/>
      <c r="E635" s="2" t="str">
        <f>"FES1162541598"</f>
        <v>FES1162541598</v>
      </c>
      <c r="F635" s="3">
        <v>42830</v>
      </c>
      <c r="G635" s="2">
        <v>201710</v>
      </c>
      <c r="H635" s="2" t="s">
        <v>74</v>
      </c>
      <c r="I635" s="2" t="s">
        <v>75</v>
      </c>
      <c r="J635" s="2" t="s">
        <v>76</v>
      </c>
      <c r="K635" s="2" t="s">
        <v>77</v>
      </c>
      <c r="L635" s="2" t="s">
        <v>1226</v>
      </c>
      <c r="M635" s="2" t="s">
        <v>1227</v>
      </c>
      <c r="N635" s="2" t="s">
        <v>1228</v>
      </c>
      <c r="O635" s="2" t="s">
        <v>115</v>
      </c>
      <c r="P635" s="2" t="str">
        <f>"2170554749                    "</f>
        <v xml:space="preserve">2170554749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102.08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2</v>
      </c>
      <c r="BI635" s="2">
        <v>14.3</v>
      </c>
      <c r="BJ635" s="2">
        <v>27</v>
      </c>
      <c r="BK635" s="2">
        <v>27</v>
      </c>
      <c r="BL635" s="2">
        <v>993.62</v>
      </c>
      <c r="BM635" s="2">
        <v>139.11000000000001</v>
      </c>
      <c r="BN635" s="2">
        <v>1132.73</v>
      </c>
      <c r="BO635" s="2">
        <v>1132.73</v>
      </c>
      <c r="BP635" s="2"/>
      <c r="BQ635" s="2" t="s">
        <v>1229</v>
      </c>
      <c r="BR635" s="2" t="s">
        <v>123</v>
      </c>
      <c r="BS635" s="3">
        <v>42831</v>
      </c>
      <c r="BT635" s="4">
        <v>0.41736111111111113</v>
      </c>
      <c r="BU635" s="2" t="s">
        <v>1230</v>
      </c>
      <c r="BV635" s="2" t="s">
        <v>111</v>
      </c>
      <c r="BW635" s="2"/>
      <c r="BX635" s="2"/>
      <c r="BY635" s="2">
        <v>134764.35999999999</v>
      </c>
      <c r="BZ635" s="2" t="s">
        <v>27</v>
      </c>
      <c r="CA635" s="2" t="s">
        <v>1231</v>
      </c>
      <c r="CB635" s="2"/>
      <c r="CC635" s="2" t="s">
        <v>1227</v>
      </c>
      <c r="CD635" s="2">
        <v>3236</v>
      </c>
      <c r="CE635" s="2" t="s">
        <v>1232</v>
      </c>
      <c r="CF635" s="5">
        <v>42833</v>
      </c>
      <c r="CG635" s="2"/>
      <c r="CH635" s="2"/>
      <c r="CI635" s="2">
        <v>1</v>
      </c>
      <c r="CJ635" s="2">
        <v>1</v>
      </c>
      <c r="CK635" s="2">
        <v>23</v>
      </c>
      <c r="CL635" s="2" t="s">
        <v>86</v>
      </c>
      <c r="CM635" s="2"/>
    </row>
    <row r="636" spans="1:91">
      <c r="A636" s="2" t="s">
        <v>71</v>
      </c>
      <c r="B636" s="2" t="s">
        <v>72</v>
      </c>
      <c r="C636" s="2" t="s">
        <v>73</v>
      </c>
      <c r="D636" s="2"/>
      <c r="E636" s="2" t="str">
        <f>"FES1162543191"</f>
        <v>FES1162543191</v>
      </c>
      <c r="F636" s="3">
        <v>42837</v>
      </c>
      <c r="G636" s="2">
        <v>201710</v>
      </c>
      <c r="H636" s="2" t="s">
        <v>74</v>
      </c>
      <c r="I636" s="2" t="s">
        <v>75</v>
      </c>
      <c r="J636" s="2" t="s">
        <v>76</v>
      </c>
      <c r="K636" s="2" t="s">
        <v>77</v>
      </c>
      <c r="L636" s="2" t="s">
        <v>549</v>
      </c>
      <c r="M636" s="2" t="s">
        <v>550</v>
      </c>
      <c r="N636" s="2" t="s">
        <v>689</v>
      </c>
      <c r="O636" s="2" t="s">
        <v>115</v>
      </c>
      <c r="P636" s="2" t="str">
        <f>"2170561717                    "</f>
        <v xml:space="preserve">2170561717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4.29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1</v>
      </c>
      <c r="BJ636" s="2">
        <v>0.2</v>
      </c>
      <c r="BK636" s="2">
        <v>1</v>
      </c>
      <c r="BL636" s="2">
        <v>41.73</v>
      </c>
      <c r="BM636" s="2">
        <v>5.84</v>
      </c>
      <c r="BN636" s="2">
        <v>47.57</v>
      </c>
      <c r="BO636" s="2">
        <v>47.57</v>
      </c>
      <c r="BP636" s="2"/>
      <c r="BQ636" s="2" t="s">
        <v>690</v>
      </c>
      <c r="BR636" s="2" t="s">
        <v>84</v>
      </c>
      <c r="BS636" s="3">
        <v>42838</v>
      </c>
      <c r="BT636" s="4">
        <v>0.41666666666666669</v>
      </c>
      <c r="BU636" s="2" t="s">
        <v>1132</v>
      </c>
      <c r="BV636" s="2" t="s">
        <v>111</v>
      </c>
      <c r="BW636" s="2"/>
      <c r="BX636" s="2"/>
      <c r="BY636" s="2">
        <v>1200</v>
      </c>
      <c r="BZ636" s="2" t="s">
        <v>27</v>
      </c>
      <c r="CA636" s="2"/>
      <c r="CB636" s="2"/>
      <c r="CC636" s="2" t="s">
        <v>550</v>
      </c>
      <c r="CD636" s="2">
        <v>3699</v>
      </c>
      <c r="CE636" s="2" t="s">
        <v>118</v>
      </c>
      <c r="CF636" s="5">
        <v>42843</v>
      </c>
      <c r="CG636" s="2"/>
      <c r="CH636" s="2"/>
      <c r="CI636" s="2">
        <v>1</v>
      </c>
      <c r="CJ636" s="2">
        <v>1</v>
      </c>
      <c r="CK636" s="2">
        <v>21</v>
      </c>
      <c r="CL636" s="2" t="s">
        <v>86</v>
      </c>
      <c r="CM636" s="2"/>
    </row>
    <row r="637" spans="1:91">
      <c r="A637" s="2" t="s">
        <v>71</v>
      </c>
      <c r="B637" s="2" t="s">
        <v>72</v>
      </c>
      <c r="C637" s="2" t="s">
        <v>73</v>
      </c>
      <c r="D637" s="2"/>
      <c r="E637" s="2" t="str">
        <f>"FES1162541990"</f>
        <v>FES1162541990</v>
      </c>
      <c r="F637" s="3">
        <v>42831</v>
      </c>
      <c r="G637" s="2">
        <v>201710</v>
      </c>
      <c r="H637" s="2" t="s">
        <v>74</v>
      </c>
      <c r="I637" s="2" t="s">
        <v>75</v>
      </c>
      <c r="J637" s="2" t="s">
        <v>76</v>
      </c>
      <c r="K637" s="2" t="s">
        <v>77</v>
      </c>
      <c r="L637" s="2" t="s">
        <v>180</v>
      </c>
      <c r="M637" s="2" t="s">
        <v>181</v>
      </c>
      <c r="N637" s="2" t="s">
        <v>320</v>
      </c>
      <c r="O637" s="2" t="s">
        <v>115</v>
      </c>
      <c r="P637" s="2" t="str">
        <f>"2170558195                    "</f>
        <v xml:space="preserve">2170558195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4.29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</v>
      </c>
      <c r="BJ637" s="2">
        <v>0.2</v>
      </c>
      <c r="BK637" s="2">
        <v>1</v>
      </c>
      <c r="BL637" s="2">
        <v>41.73</v>
      </c>
      <c r="BM637" s="2">
        <v>5.84</v>
      </c>
      <c r="BN637" s="2">
        <v>47.57</v>
      </c>
      <c r="BO637" s="2">
        <v>47.57</v>
      </c>
      <c r="BP637" s="2"/>
      <c r="BQ637" s="2" t="s">
        <v>129</v>
      </c>
      <c r="BR637" s="2" t="s">
        <v>123</v>
      </c>
      <c r="BS637" s="3">
        <v>42832</v>
      </c>
      <c r="BT637" s="4">
        <v>0.43611111111111112</v>
      </c>
      <c r="BU637" s="2" t="s">
        <v>321</v>
      </c>
      <c r="BV637" s="2" t="s">
        <v>111</v>
      </c>
      <c r="BW637" s="2"/>
      <c r="BX637" s="2"/>
      <c r="BY637" s="2">
        <v>1200</v>
      </c>
      <c r="BZ637" s="2" t="s">
        <v>27</v>
      </c>
      <c r="CA637" s="2"/>
      <c r="CB637" s="2"/>
      <c r="CC637" s="2" t="s">
        <v>181</v>
      </c>
      <c r="CD637" s="2">
        <v>4051</v>
      </c>
      <c r="CE637" s="2" t="s">
        <v>144</v>
      </c>
      <c r="CF637" s="5">
        <v>42835</v>
      </c>
      <c r="CG637" s="2"/>
      <c r="CH637" s="2"/>
      <c r="CI637" s="2">
        <v>1</v>
      </c>
      <c r="CJ637" s="2">
        <v>1</v>
      </c>
      <c r="CK637" s="2">
        <v>21</v>
      </c>
      <c r="CL637" s="2" t="s">
        <v>86</v>
      </c>
      <c r="CM637" s="2"/>
    </row>
    <row r="638" spans="1:91">
      <c r="A638" s="2" t="s">
        <v>71</v>
      </c>
      <c r="B638" s="2" t="s">
        <v>72</v>
      </c>
      <c r="C638" s="2" t="s">
        <v>73</v>
      </c>
      <c r="D638" s="2"/>
      <c r="E638" s="2" t="str">
        <f>"FES1162541486"</f>
        <v>FES1162541486</v>
      </c>
      <c r="F638" s="3">
        <v>42829</v>
      </c>
      <c r="G638" s="2">
        <v>201710</v>
      </c>
      <c r="H638" s="2" t="s">
        <v>74</v>
      </c>
      <c r="I638" s="2" t="s">
        <v>75</v>
      </c>
      <c r="J638" s="2" t="s">
        <v>76</v>
      </c>
      <c r="K638" s="2" t="s">
        <v>77</v>
      </c>
      <c r="L638" s="2" t="s">
        <v>180</v>
      </c>
      <c r="M638" s="2" t="s">
        <v>181</v>
      </c>
      <c r="N638" s="2" t="s">
        <v>605</v>
      </c>
      <c r="O638" s="2" t="s">
        <v>115</v>
      </c>
      <c r="P638" s="2" t="str">
        <f>"2170560575                    "</f>
        <v xml:space="preserve">2170560575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4.42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1</v>
      </c>
      <c r="BJ638" s="2">
        <v>0.2</v>
      </c>
      <c r="BK638" s="2">
        <v>1</v>
      </c>
      <c r="BL638" s="2">
        <v>41.86</v>
      </c>
      <c r="BM638" s="2">
        <v>5.86</v>
      </c>
      <c r="BN638" s="2">
        <v>47.72</v>
      </c>
      <c r="BO638" s="2">
        <v>47.72</v>
      </c>
      <c r="BP638" s="2"/>
      <c r="BQ638" s="2" t="s">
        <v>606</v>
      </c>
      <c r="BR638" s="2" t="s">
        <v>123</v>
      </c>
      <c r="BS638" s="3">
        <v>42830</v>
      </c>
      <c r="BT638" s="4">
        <v>0.4375</v>
      </c>
      <c r="BU638" s="2" t="s">
        <v>1233</v>
      </c>
      <c r="BV638" s="2" t="s">
        <v>111</v>
      </c>
      <c r="BW638" s="2"/>
      <c r="BX638" s="2"/>
      <c r="BY638" s="2">
        <v>1200</v>
      </c>
      <c r="BZ638" s="2" t="s">
        <v>27</v>
      </c>
      <c r="CA638" s="2"/>
      <c r="CB638" s="2"/>
      <c r="CC638" s="2" t="s">
        <v>181</v>
      </c>
      <c r="CD638" s="2">
        <v>4001</v>
      </c>
      <c r="CE638" s="2" t="s">
        <v>118</v>
      </c>
      <c r="CF638" s="5">
        <v>42831</v>
      </c>
      <c r="CG638" s="2"/>
      <c r="CH638" s="2"/>
      <c r="CI638" s="2">
        <v>1</v>
      </c>
      <c r="CJ638" s="2">
        <v>1</v>
      </c>
      <c r="CK638" s="2">
        <v>21</v>
      </c>
      <c r="CL638" s="2" t="s">
        <v>86</v>
      </c>
      <c r="CM638" s="2"/>
    </row>
    <row r="639" spans="1:91">
      <c r="A639" s="2" t="s">
        <v>71</v>
      </c>
      <c r="B639" s="2" t="s">
        <v>72</v>
      </c>
      <c r="C639" s="2" t="s">
        <v>73</v>
      </c>
      <c r="D639" s="2"/>
      <c r="E639" s="2" t="str">
        <f>"FES1162542895"</f>
        <v>FES1162542895</v>
      </c>
      <c r="F639" s="3">
        <v>42836</v>
      </c>
      <c r="G639" s="2">
        <v>201710</v>
      </c>
      <c r="H639" s="2" t="s">
        <v>74</v>
      </c>
      <c r="I639" s="2" t="s">
        <v>75</v>
      </c>
      <c r="J639" s="2" t="s">
        <v>76</v>
      </c>
      <c r="K639" s="2" t="s">
        <v>77</v>
      </c>
      <c r="L639" s="2" t="s">
        <v>99</v>
      </c>
      <c r="M639" s="2" t="s">
        <v>100</v>
      </c>
      <c r="N639" s="2" t="s">
        <v>583</v>
      </c>
      <c r="O639" s="2" t="s">
        <v>115</v>
      </c>
      <c r="P639" s="2" t="str">
        <f>"2170558777                    "</f>
        <v xml:space="preserve">2170558777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4.29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1</v>
      </c>
      <c r="BJ639" s="2">
        <v>0.2</v>
      </c>
      <c r="BK639" s="2">
        <v>1</v>
      </c>
      <c r="BL639" s="2">
        <v>41.73</v>
      </c>
      <c r="BM639" s="2">
        <v>5.84</v>
      </c>
      <c r="BN639" s="2">
        <v>47.57</v>
      </c>
      <c r="BO639" s="2">
        <v>47.57</v>
      </c>
      <c r="BP639" s="2"/>
      <c r="BQ639" s="2" t="s">
        <v>584</v>
      </c>
      <c r="BR639" s="2" t="s">
        <v>123</v>
      </c>
      <c r="BS639" s="3">
        <v>42837</v>
      </c>
      <c r="BT639" s="4">
        <v>0.32500000000000001</v>
      </c>
      <c r="BU639" s="2" t="s">
        <v>585</v>
      </c>
      <c r="BV639" s="2" t="s">
        <v>111</v>
      </c>
      <c r="BW639" s="2"/>
      <c r="BX639" s="2"/>
      <c r="BY639" s="2">
        <v>1200</v>
      </c>
      <c r="BZ639" s="2" t="s">
        <v>27</v>
      </c>
      <c r="CA639" s="2" t="s">
        <v>154</v>
      </c>
      <c r="CB639" s="2"/>
      <c r="CC639" s="2" t="s">
        <v>100</v>
      </c>
      <c r="CD639" s="2">
        <v>6001</v>
      </c>
      <c r="CE639" s="2" t="s">
        <v>144</v>
      </c>
      <c r="CF639" s="5">
        <v>42837</v>
      </c>
      <c r="CG639" s="2"/>
      <c r="CH639" s="2"/>
      <c r="CI639" s="2">
        <v>1</v>
      </c>
      <c r="CJ639" s="2">
        <v>1</v>
      </c>
      <c r="CK639" s="2">
        <v>21</v>
      </c>
      <c r="CL639" s="2" t="s">
        <v>86</v>
      </c>
      <c r="CM639" s="2"/>
    </row>
    <row r="640" spans="1:91">
      <c r="A640" s="2" t="s">
        <v>71</v>
      </c>
      <c r="B640" s="2" t="s">
        <v>72</v>
      </c>
      <c r="C640" s="2" t="s">
        <v>73</v>
      </c>
      <c r="D640" s="2"/>
      <c r="E640" s="2" t="str">
        <f>"FES1162541431"</f>
        <v>FES1162541431</v>
      </c>
      <c r="F640" s="3">
        <v>42830</v>
      </c>
      <c r="G640" s="2">
        <v>201710</v>
      </c>
      <c r="H640" s="2" t="s">
        <v>74</v>
      </c>
      <c r="I640" s="2" t="s">
        <v>75</v>
      </c>
      <c r="J640" s="2" t="s">
        <v>76</v>
      </c>
      <c r="K640" s="2" t="s">
        <v>77</v>
      </c>
      <c r="L640" s="2" t="s">
        <v>131</v>
      </c>
      <c r="M640" s="2" t="s">
        <v>132</v>
      </c>
      <c r="N640" s="2" t="s">
        <v>649</v>
      </c>
      <c r="O640" s="2" t="s">
        <v>115</v>
      </c>
      <c r="P640" s="2" t="str">
        <f>"2170557072                    "</f>
        <v xml:space="preserve">2170557072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8.57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4</v>
      </c>
      <c r="BJ640" s="2">
        <v>1.6</v>
      </c>
      <c r="BK640" s="2">
        <v>4</v>
      </c>
      <c r="BL640" s="2">
        <v>83.45</v>
      </c>
      <c r="BM640" s="2">
        <v>11.68</v>
      </c>
      <c r="BN640" s="2">
        <v>95.13</v>
      </c>
      <c r="BO640" s="2">
        <v>95.13</v>
      </c>
      <c r="BP640" s="2"/>
      <c r="BQ640" s="2" t="s">
        <v>1234</v>
      </c>
      <c r="BR640" s="2" t="s">
        <v>123</v>
      </c>
      <c r="BS640" s="3">
        <v>42831</v>
      </c>
      <c r="BT640" s="4">
        <v>0.41666666666666669</v>
      </c>
      <c r="BU640" s="2" t="s">
        <v>1235</v>
      </c>
      <c r="BV640" s="2" t="s">
        <v>111</v>
      </c>
      <c r="BW640" s="2"/>
      <c r="BX640" s="2"/>
      <c r="BY640" s="2">
        <v>8244.39</v>
      </c>
      <c r="BZ640" s="2" t="s">
        <v>27</v>
      </c>
      <c r="CA640" s="2"/>
      <c r="CB640" s="2"/>
      <c r="CC640" s="2" t="s">
        <v>132</v>
      </c>
      <c r="CD640" s="2">
        <v>7405</v>
      </c>
      <c r="CE640" s="2" t="s">
        <v>89</v>
      </c>
      <c r="CF640" s="5">
        <v>42833</v>
      </c>
      <c r="CG640" s="2"/>
      <c r="CH640" s="2"/>
      <c r="CI640" s="2">
        <v>1</v>
      </c>
      <c r="CJ640" s="2">
        <v>1</v>
      </c>
      <c r="CK640" s="2">
        <v>21</v>
      </c>
      <c r="CL640" s="2" t="s">
        <v>86</v>
      </c>
      <c r="CM640" s="2"/>
    </row>
    <row r="641" spans="1:91">
      <c r="A641" s="2" t="s">
        <v>71</v>
      </c>
      <c r="B641" s="2" t="s">
        <v>72</v>
      </c>
      <c r="C641" s="2" t="s">
        <v>73</v>
      </c>
      <c r="D641" s="2"/>
      <c r="E641" s="2" t="str">
        <f>"FES1162541671"</f>
        <v>FES1162541671</v>
      </c>
      <c r="F641" s="3">
        <v>42830</v>
      </c>
      <c r="G641" s="2">
        <v>201710</v>
      </c>
      <c r="H641" s="2" t="s">
        <v>74</v>
      </c>
      <c r="I641" s="2" t="s">
        <v>75</v>
      </c>
      <c r="J641" s="2" t="s">
        <v>76</v>
      </c>
      <c r="K641" s="2" t="s">
        <v>77</v>
      </c>
      <c r="L641" s="2" t="s">
        <v>275</v>
      </c>
      <c r="M641" s="2" t="s">
        <v>276</v>
      </c>
      <c r="N641" s="2" t="s">
        <v>277</v>
      </c>
      <c r="O641" s="2" t="s">
        <v>115</v>
      </c>
      <c r="P641" s="2" t="str">
        <f>"2170559055                    "</f>
        <v xml:space="preserve">2170559055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4.29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1</v>
      </c>
      <c r="BJ641" s="2">
        <v>0.8</v>
      </c>
      <c r="BK641" s="2">
        <v>1</v>
      </c>
      <c r="BL641" s="2">
        <v>41.73</v>
      </c>
      <c r="BM641" s="2">
        <v>5.84</v>
      </c>
      <c r="BN641" s="2">
        <v>47.57</v>
      </c>
      <c r="BO641" s="2">
        <v>47.57</v>
      </c>
      <c r="BP641" s="2"/>
      <c r="BQ641" s="2" t="s">
        <v>278</v>
      </c>
      <c r="BR641" s="2" t="s">
        <v>123</v>
      </c>
      <c r="BS641" s="3">
        <v>42831</v>
      </c>
      <c r="BT641" s="4">
        <v>0.34722222222222227</v>
      </c>
      <c r="BU641" s="2" t="s">
        <v>973</v>
      </c>
      <c r="BV641" s="2" t="s">
        <v>111</v>
      </c>
      <c r="BW641" s="2"/>
      <c r="BX641" s="2"/>
      <c r="BY641" s="2">
        <v>4091.37</v>
      </c>
      <c r="BZ641" s="2" t="s">
        <v>27</v>
      </c>
      <c r="CA641" s="2" t="s">
        <v>159</v>
      </c>
      <c r="CB641" s="2"/>
      <c r="CC641" s="2" t="s">
        <v>276</v>
      </c>
      <c r="CD641" s="2">
        <v>4126</v>
      </c>
      <c r="CE641" s="2" t="s">
        <v>144</v>
      </c>
      <c r="CF641" s="5">
        <v>42832</v>
      </c>
      <c r="CG641" s="2"/>
      <c r="CH641" s="2"/>
      <c r="CI641" s="2">
        <v>1</v>
      </c>
      <c r="CJ641" s="2">
        <v>1</v>
      </c>
      <c r="CK641" s="2">
        <v>21</v>
      </c>
      <c r="CL641" s="2" t="s">
        <v>86</v>
      </c>
      <c r="CM641" s="2"/>
    </row>
    <row r="642" spans="1:91">
      <c r="A642" s="2" t="s">
        <v>71</v>
      </c>
      <c r="B642" s="2" t="s">
        <v>72</v>
      </c>
      <c r="C642" s="2" t="s">
        <v>73</v>
      </c>
      <c r="D642" s="2"/>
      <c r="E642" s="2" t="str">
        <f>"FES1162543353"</f>
        <v>FES1162543353</v>
      </c>
      <c r="F642" s="3">
        <v>42837</v>
      </c>
      <c r="G642" s="2">
        <v>201710</v>
      </c>
      <c r="H642" s="2" t="s">
        <v>74</v>
      </c>
      <c r="I642" s="2" t="s">
        <v>75</v>
      </c>
      <c r="J642" s="2" t="s">
        <v>76</v>
      </c>
      <c r="K642" s="2" t="s">
        <v>77</v>
      </c>
      <c r="L642" s="2" t="s">
        <v>396</v>
      </c>
      <c r="M642" s="2" t="s">
        <v>397</v>
      </c>
      <c r="N642" s="2" t="s">
        <v>1236</v>
      </c>
      <c r="O642" s="2" t="s">
        <v>115</v>
      </c>
      <c r="P642" s="2" t="str">
        <f>"2170562032                    "</f>
        <v xml:space="preserve">2170562032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4.29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1</v>
      </c>
      <c r="BJ642" s="2">
        <v>0.2</v>
      </c>
      <c r="BK642" s="2">
        <v>1</v>
      </c>
      <c r="BL642" s="2">
        <v>41.73</v>
      </c>
      <c r="BM642" s="2">
        <v>5.84</v>
      </c>
      <c r="BN642" s="2">
        <v>47.57</v>
      </c>
      <c r="BO642" s="2">
        <v>47.57</v>
      </c>
      <c r="BP642" s="2"/>
      <c r="BQ642" s="2" t="s">
        <v>83</v>
      </c>
      <c r="BR642" s="2" t="s">
        <v>84</v>
      </c>
      <c r="BS642" s="3">
        <v>42838</v>
      </c>
      <c r="BT642" s="4">
        <v>0.4375</v>
      </c>
      <c r="BU642" s="2" t="s">
        <v>1237</v>
      </c>
      <c r="BV642" s="2" t="s">
        <v>111</v>
      </c>
      <c r="BW642" s="2"/>
      <c r="BX642" s="2"/>
      <c r="BY642" s="2">
        <v>1200</v>
      </c>
      <c r="BZ642" s="2" t="s">
        <v>27</v>
      </c>
      <c r="CA642" s="2"/>
      <c r="CB642" s="2"/>
      <c r="CC642" s="2" t="s">
        <v>397</v>
      </c>
      <c r="CD642" s="2">
        <v>4302</v>
      </c>
      <c r="CE642" s="2" t="s">
        <v>118</v>
      </c>
      <c r="CF642" s="5">
        <v>42843</v>
      </c>
      <c r="CG642" s="2"/>
      <c r="CH642" s="2"/>
      <c r="CI642" s="2">
        <v>1</v>
      </c>
      <c r="CJ642" s="2">
        <v>1</v>
      </c>
      <c r="CK642" s="2">
        <v>21</v>
      </c>
      <c r="CL642" s="2" t="s">
        <v>86</v>
      </c>
      <c r="CM642" s="2"/>
    </row>
    <row r="643" spans="1:91">
      <c r="A643" s="2" t="s">
        <v>71</v>
      </c>
      <c r="B643" s="2" t="s">
        <v>72</v>
      </c>
      <c r="C643" s="2" t="s">
        <v>73</v>
      </c>
      <c r="D643" s="2"/>
      <c r="E643" s="2" t="str">
        <f>"FES1162542049"</f>
        <v>FES1162542049</v>
      </c>
      <c r="F643" s="3">
        <v>42831</v>
      </c>
      <c r="G643" s="2">
        <v>201710</v>
      </c>
      <c r="H643" s="2" t="s">
        <v>74</v>
      </c>
      <c r="I643" s="2" t="s">
        <v>75</v>
      </c>
      <c r="J643" s="2" t="s">
        <v>76</v>
      </c>
      <c r="K643" s="2" t="s">
        <v>77</v>
      </c>
      <c r="L643" s="2" t="s">
        <v>187</v>
      </c>
      <c r="M643" s="2" t="s">
        <v>146</v>
      </c>
      <c r="N643" s="2" t="s">
        <v>1238</v>
      </c>
      <c r="O643" s="2" t="s">
        <v>115</v>
      </c>
      <c r="P643" s="2" t="str">
        <f>"2170560979                    "</f>
        <v xml:space="preserve">2170560979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4.29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0.2</v>
      </c>
      <c r="BK643" s="2">
        <v>1</v>
      </c>
      <c r="BL643" s="2">
        <v>41.73</v>
      </c>
      <c r="BM643" s="2">
        <v>5.84</v>
      </c>
      <c r="BN643" s="2">
        <v>47.57</v>
      </c>
      <c r="BO643" s="2">
        <v>47.57</v>
      </c>
      <c r="BP643" s="2"/>
      <c r="BQ643" s="2"/>
      <c r="BR643" s="2" t="s">
        <v>123</v>
      </c>
      <c r="BS643" s="3">
        <v>42832</v>
      </c>
      <c r="BT643" s="4">
        <v>0.3611111111111111</v>
      </c>
      <c r="BU643" s="2" t="s">
        <v>1239</v>
      </c>
      <c r="BV643" s="2" t="s">
        <v>111</v>
      </c>
      <c r="BW643" s="2"/>
      <c r="BX643" s="2"/>
      <c r="BY643" s="2">
        <v>1200</v>
      </c>
      <c r="BZ643" s="2" t="s">
        <v>27</v>
      </c>
      <c r="CA643" s="2"/>
      <c r="CB643" s="2"/>
      <c r="CC643" s="2" t="s">
        <v>146</v>
      </c>
      <c r="CD643" s="2">
        <v>182</v>
      </c>
      <c r="CE643" s="2" t="s">
        <v>144</v>
      </c>
      <c r="CF643" s="5">
        <v>42836</v>
      </c>
      <c r="CG643" s="2"/>
      <c r="CH643" s="2"/>
      <c r="CI643" s="2">
        <v>0</v>
      </c>
      <c r="CJ643" s="2">
        <v>0</v>
      </c>
      <c r="CK643" s="2">
        <v>21</v>
      </c>
      <c r="CL643" s="2" t="s">
        <v>86</v>
      </c>
      <c r="CM643" s="2"/>
    </row>
    <row r="644" spans="1:91">
      <c r="A644" s="2" t="s">
        <v>71</v>
      </c>
      <c r="B644" s="2" t="s">
        <v>72</v>
      </c>
      <c r="C644" s="2" t="s">
        <v>73</v>
      </c>
      <c r="D644" s="2"/>
      <c r="E644" s="2" t="str">
        <f>"FES1162541390"</f>
        <v>FES1162541390</v>
      </c>
      <c r="F644" s="3">
        <v>42829</v>
      </c>
      <c r="G644" s="2">
        <v>201710</v>
      </c>
      <c r="H644" s="2" t="s">
        <v>74</v>
      </c>
      <c r="I644" s="2" t="s">
        <v>75</v>
      </c>
      <c r="J644" s="2" t="s">
        <v>76</v>
      </c>
      <c r="K644" s="2" t="s">
        <v>77</v>
      </c>
      <c r="L644" s="2" t="s">
        <v>176</v>
      </c>
      <c r="M644" s="2" t="s">
        <v>176</v>
      </c>
      <c r="N644" s="2" t="s">
        <v>177</v>
      </c>
      <c r="O644" s="2" t="s">
        <v>115</v>
      </c>
      <c r="P644" s="2" t="str">
        <f>"2170560477                    "</f>
        <v xml:space="preserve">2170560477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4.42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1</v>
      </c>
      <c r="BJ644" s="2">
        <v>0.2</v>
      </c>
      <c r="BK644" s="2">
        <v>1</v>
      </c>
      <c r="BL644" s="2">
        <v>41.86</v>
      </c>
      <c r="BM644" s="2">
        <v>5.86</v>
      </c>
      <c r="BN644" s="2">
        <v>47.72</v>
      </c>
      <c r="BO644" s="2">
        <v>47.72</v>
      </c>
      <c r="BP644" s="2"/>
      <c r="BQ644" s="2" t="s">
        <v>178</v>
      </c>
      <c r="BR644" s="2" t="s">
        <v>123</v>
      </c>
      <c r="BS644" s="3">
        <v>42830</v>
      </c>
      <c r="BT644" s="4">
        <v>0.47569444444444442</v>
      </c>
      <c r="BU644" s="2" t="s">
        <v>179</v>
      </c>
      <c r="BV644" s="2" t="s">
        <v>111</v>
      </c>
      <c r="BW644" s="2"/>
      <c r="BX644" s="2"/>
      <c r="BY644" s="2">
        <v>1200</v>
      </c>
      <c r="BZ644" s="2" t="s">
        <v>27</v>
      </c>
      <c r="CA644" s="2"/>
      <c r="CB644" s="2"/>
      <c r="CC644" s="2" t="s">
        <v>176</v>
      </c>
      <c r="CD644" s="2">
        <v>7646</v>
      </c>
      <c r="CE644" s="2" t="s">
        <v>144</v>
      </c>
      <c r="CF644" s="5">
        <v>42831</v>
      </c>
      <c r="CG644" s="2"/>
      <c r="CH644" s="2"/>
      <c r="CI644" s="2">
        <v>1</v>
      </c>
      <c r="CJ644" s="2">
        <v>1</v>
      </c>
      <c r="CK644" s="2">
        <v>21</v>
      </c>
      <c r="CL644" s="2" t="s">
        <v>86</v>
      </c>
      <c r="CM644" s="2"/>
    </row>
    <row r="645" spans="1:91">
      <c r="A645" s="2" t="s">
        <v>71</v>
      </c>
      <c r="B645" s="2" t="s">
        <v>72</v>
      </c>
      <c r="C645" s="2" t="s">
        <v>73</v>
      </c>
      <c r="D645" s="2"/>
      <c r="E645" s="2" t="str">
        <f>"FES1162542829"</f>
        <v>FES1162542829</v>
      </c>
      <c r="F645" s="3">
        <v>42836</v>
      </c>
      <c r="G645" s="2">
        <v>201710</v>
      </c>
      <c r="H645" s="2" t="s">
        <v>74</v>
      </c>
      <c r="I645" s="2" t="s">
        <v>75</v>
      </c>
      <c r="J645" s="2" t="s">
        <v>76</v>
      </c>
      <c r="K645" s="2" t="s">
        <v>77</v>
      </c>
      <c r="L645" s="2" t="s">
        <v>99</v>
      </c>
      <c r="M645" s="2" t="s">
        <v>100</v>
      </c>
      <c r="N645" s="2" t="s">
        <v>313</v>
      </c>
      <c r="O645" s="2" t="s">
        <v>115</v>
      </c>
      <c r="P645" s="2" t="str">
        <f>"2170561690                    "</f>
        <v xml:space="preserve">2170561690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4.29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1</v>
      </c>
      <c r="BJ645" s="2">
        <v>0.2</v>
      </c>
      <c r="BK645" s="2">
        <v>1</v>
      </c>
      <c r="BL645" s="2">
        <v>41.73</v>
      </c>
      <c r="BM645" s="2">
        <v>5.84</v>
      </c>
      <c r="BN645" s="2">
        <v>47.57</v>
      </c>
      <c r="BO645" s="2">
        <v>47.57</v>
      </c>
      <c r="BP645" s="2"/>
      <c r="BQ645" s="2" t="s">
        <v>314</v>
      </c>
      <c r="BR645" s="2" t="s">
        <v>123</v>
      </c>
      <c r="BS645" s="3">
        <v>42837</v>
      </c>
      <c r="BT645" s="4">
        <v>0.30208333333333331</v>
      </c>
      <c r="BU645" s="2" t="s">
        <v>1240</v>
      </c>
      <c r="BV645" s="2" t="s">
        <v>111</v>
      </c>
      <c r="BW645" s="2"/>
      <c r="BX645" s="2"/>
      <c r="BY645" s="2">
        <v>1200</v>
      </c>
      <c r="BZ645" s="2" t="s">
        <v>27</v>
      </c>
      <c r="CA645" s="2" t="s">
        <v>106</v>
      </c>
      <c r="CB645" s="2"/>
      <c r="CC645" s="2" t="s">
        <v>100</v>
      </c>
      <c r="CD645" s="2">
        <v>6012</v>
      </c>
      <c r="CE645" s="2" t="s">
        <v>144</v>
      </c>
      <c r="CF645" s="5">
        <v>42837</v>
      </c>
      <c r="CG645" s="2"/>
      <c r="CH645" s="2"/>
      <c r="CI645" s="2">
        <v>1</v>
      </c>
      <c r="CJ645" s="2">
        <v>1</v>
      </c>
      <c r="CK645" s="2">
        <v>21</v>
      </c>
      <c r="CL645" s="2" t="s">
        <v>86</v>
      </c>
      <c r="CM645" s="2"/>
    </row>
    <row r="646" spans="1:91">
      <c r="A646" s="2" t="s">
        <v>71</v>
      </c>
      <c r="B646" s="2" t="s">
        <v>72</v>
      </c>
      <c r="C646" s="2" t="s">
        <v>73</v>
      </c>
      <c r="D646" s="2"/>
      <c r="E646" s="2" t="str">
        <f>"FES1162541796"</f>
        <v>FES1162541796</v>
      </c>
      <c r="F646" s="3">
        <v>42830</v>
      </c>
      <c r="G646" s="2">
        <v>201710</v>
      </c>
      <c r="H646" s="2" t="s">
        <v>74</v>
      </c>
      <c r="I646" s="2" t="s">
        <v>75</v>
      </c>
      <c r="J646" s="2" t="s">
        <v>76</v>
      </c>
      <c r="K646" s="2" t="s">
        <v>77</v>
      </c>
      <c r="L646" s="2" t="s">
        <v>176</v>
      </c>
      <c r="M646" s="2" t="s">
        <v>176</v>
      </c>
      <c r="N646" s="2" t="s">
        <v>177</v>
      </c>
      <c r="O646" s="2" t="s">
        <v>115</v>
      </c>
      <c r="P646" s="2" t="str">
        <f>"2170560806                    "</f>
        <v xml:space="preserve">2170560806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4.29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2</v>
      </c>
      <c r="BJ646" s="2">
        <v>1.9</v>
      </c>
      <c r="BK646" s="2">
        <v>2</v>
      </c>
      <c r="BL646" s="2">
        <v>41.73</v>
      </c>
      <c r="BM646" s="2">
        <v>5.84</v>
      </c>
      <c r="BN646" s="2">
        <v>47.57</v>
      </c>
      <c r="BO646" s="2">
        <v>47.57</v>
      </c>
      <c r="BP646" s="2"/>
      <c r="BQ646" s="2" t="s">
        <v>178</v>
      </c>
      <c r="BR646" s="2" t="s">
        <v>123</v>
      </c>
      <c r="BS646" s="3">
        <v>42831</v>
      </c>
      <c r="BT646" s="4">
        <v>0.52777777777777779</v>
      </c>
      <c r="BU646" s="2" t="s">
        <v>179</v>
      </c>
      <c r="BV646" s="2" t="s">
        <v>111</v>
      </c>
      <c r="BW646" s="2"/>
      <c r="BX646" s="2"/>
      <c r="BY646" s="2">
        <v>9424.01</v>
      </c>
      <c r="BZ646" s="2" t="s">
        <v>27</v>
      </c>
      <c r="CA646" s="2"/>
      <c r="CB646" s="2"/>
      <c r="CC646" s="2" t="s">
        <v>176</v>
      </c>
      <c r="CD646" s="2">
        <v>7646</v>
      </c>
      <c r="CE646" s="2" t="s">
        <v>89</v>
      </c>
      <c r="CF646" s="5">
        <v>42832</v>
      </c>
      <c r="CG646" s="2"/>
      <c r="CH646" s="2"/>
      <c r="CI646" s="2">
        <v>1</v>
      </c>
      <c r="CJ646" s="2">
        <v>1</v>
      </c>
      <c r="CK646" s="2">
        <v>21</v>
      </c>
      <c r="CL646" s="2" t="s">
        <v>86</v>
      </c>
      <c r="CM646" s="2"/>
    </row>
    <row r="647" spans="1:91">
      <c r="A647" s="2" t="s">
        <v>71</v>
      </c>
      <c r="B647" s="2" t="s">
        <v>72</v>
      </c>
      <c r="C647" s="2" t="s">
        <v>73</v>
      </c>
      <c r="D647" s="2"/>
      <c r="E647" s="2" t="str">
        <f>"FES1162541492"</f>
        <v>FES1162541492</v>
      </c>
      <c r="F647" s="3">
        <v>42830</v>
      </c>
      <c r="G647" s="2">
        <v>201710</v>
      </c>
      <c r="H647" s="2" t="s">
        <v>74</v>
      </c>
      <c r="I647" s="2" t="s">
        <v>75</v>
      </c>
      <c r="J647" s="2" t="s">
        <v>76</v>
      </c>
      <c r="K647" s="2" t="s">
        <v>77</v>
      </c>
      <c r="L647" s="2" t="s">
        <v>180</v>
      </c>
      <c r="M647" s="2" t="s">
        <v>181</v>
      </c>
      <c r="N647" s="2" t="s">
        <v>1133</v>
      </c>
      <c r="O647" s="2" t="s">
        <v>115</v>
      </c>
      <c r="P647" s="2" t="str">
        <f>"2170560569                    "</f>
        <v xml:space="preserve">2170560569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6.43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3</v>
      </c>
      <c r="BJ647" s="2">
        <v>1.7</v>
      </c>
      <c r="BK647" s="2">
        <v>3</v>
      </c>
      <c r="BL647" s="2">
        <v>62.59</v>
      </c>
      <c r="BM647" s="2">
        <v>8.76</v>
      </c>
      <c r="BN647" s="2">
        <v>71.349999999999994</v>
      </c>
      <c r="BO647" s="2">
        <v>71.349999999999994</v>
      </c>
      <c r="BP647" s="2"/>
      <c r="BQ647" s="2" t="s">
        <v>1134</v>
      </c>
      <c r="BR647" s="2" t="s">
        <v>123</v>
      </c>
      <c r="BS647" s="3">
        <v>42831</v>
      </c>
      <c r="BT647" s="4">
        <v>0.4375</v>
      </c>
      <c r="BU647" s="2" t="s">
        <v>1241</v>
      </c>
      <c r="BV647" s="2" t="s">
        <v>111</v>
      </c>
      <c r="BW647" s="2"/>
      <c r="BX647" s="2"/>
      <c r="BY647" s="2">
        <v>8610</v>
      </c>
      <c r="BZ647" s="2" t="s">
        <v>27</v>
      </c>
      <c r="CA647" s="2"/>
      <c r="CB647" s="2"/>
      <c r="CC647" s="2" t="s">
        <v>181</v>
      </c>
      <c r="CD647" s="2">
        <v>4064</v>
      </c>
      <c r="CE647" s="2" t="s">
        <v>135</v>
      </c>
      <c r="CF647" s="5">
        <v>42832</v>
      </c>
      <c r="CG647" s="2"/>
      <c r="CH647" s="2"/>
      <c r="CI647" s="2">
        <v>1</v>
      </c>
      <c r="CJ647" s="2">
        <v>1</v>
      </c>
      <c r="CK647" s="2">
        <v>21</v>
      </c>
      <c r="CL647" s="2" t="s">
        <v>86</v>
      </c>
      <c r="CM647" s="2"/>
    </row>
    <row r="648" spans="1:91">
      <c r="A648" s="2" t="s">
        <v>71</v>
      </c>
      <c r="B648" s="2" t="s">
        <v>72</v>
      </c>
      <c r="C648" s="2" t="s">
        <v>73</v>
      </c>
      <c r="D648" s="2"/>
      <c r="E648" s="2" t="str">
        <f>"FES1162543170"</f>
        <v>FES1162543170</v>
      </c>
      <c r="F648" s="3">
        <v>42837</v>
      </c>
      <c r="G648" s="2">
        <v>201710</v>
      </c>
      <c r="H648" s="2" t="s">
        <v>74</v>
      </c>
      <c r="I648" s="2" t="s">
        <v>75</v>
      </c>
      <c r="J648" s="2" t="s">
        <v>76</v>
      </c>
      <c r="K648" s="2" t="s">
        <v>77</v>
      </c>
      <c r="L648" s="2" t="s">
        <v>358</v>
      </c>
      <c r="M648" s="2" t="s">
        <v>359</v>
      </c>
      <c r="N648" s="2" t="s">
        <v>360</v>
      </c>
      <c r="O648" s="2" t="s">
        <v>115</v>
      </c>
      <c r="P648" s="2" t="str">
        <f>"2170557887                    "</f>
        <v xml:space="preserve">2170557887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4.29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1</v>
      </c>
      <c r="BJ648" s="2">
        <v>0.2</v>
      </c>
      <c r="BK648" s="2">
        <v>1</v>
      </c>
      <c r="BL648" s="2">
        <v>41.73</v>
      </c>
      <c r="BM648" s="2">
        <v>5.84</v>
      </c>
      <c r="BN648" s="2">
        <v>47.57</v>
      </c>
      <c r="BO648" s="2">
        <v>47.57</v>
      </c>
      <c r="BP648" s="2"/>
      <c r="BQ648" s="2" t="s">
        <v>361</v>
      </c>
      <c r="BR648" s="2" t="s">
        <v>84</v>
      </c>
      <c r="BS648" s="3">
        <v>42838</v>
      </c>
      <c r="BT648" s="4">
        <v>0.33333333333333331</v>
      </c>
      <c r="BU648" s="2" t="s">
        <v>362</v>
      </c>
      <c r="BV648" s="2" t="s">
        <v>111</v>
      </c>
      <c r="BW648" s="2"/>
      <c r="BX648" s="2"/>
      <c r="BY648" s="2">
        <v>1200</v>
      </c>
      <c r="BZ648" s="2" t="s">
        <v>27</v>
      </c>
      <c r="CA648" s="2" t="s">
        <v>159</v>
      </c>
      <c r="CB648" s="2"/>
      <c r="CC648" s="2" t="s">
        <v>359</v>
      </c>
      <c r="CD648" s="2">
        <v>6229</v>
      </c>
      <c r="CE648" s="2" t="s">
        <v>118</v>
      </c>
      <c r="CF648" s="5">
        <v>42843</v>
      </c>
      <c r="CG648" s="2"/>
      <c r="CH648" s="2"/>
      <c r="CI648" s="2">
        <v>1</v>
      </c>
      <c r="CJ648" s="2">
        <v>1</v>
      </c>
      <c r="CK648" s="2">
        <v>21</v>
      </c>
      <c r="CL648" s="2" t="s">
        <v>86</v>
      </c>
      <c r="CM648" s="2"/>
    </row>
    <row r="649" spans="1:91">
      <c r="A649" s="2" t="s">
        <v>71</v>
      </c>
      <c r="B649" s="2" t="s">
        <v>72</v>
      </c>
      <c r="C649" s="2" t="s">
        <v>73</v>
      </c>
      <c r="D649" s="2"/>
      <c r="E649" s="2" t="str">
        <f>"FES1162541988"</f>
        <v>FES1162541988</v>
      </c>
      <c r="F649" s="3">
        <v>42831</v>
      </c>
      <c r="G649" s="2">
        <v>201710</v>
      </c>
      <c r="H649" s="2" t="s">
        <v>74</v>
      </c>
      <c r="I649" s="2" t="s">
        <v>75</v>
      </c>
      <c r="J649" s="2" t="s">
        <v>76</v>
      </c>
      <c r="K649" s="2" t="s">
        <v>77</v>
      </c>
      <c r="L649" s="2" t="s">
        <v>180</v>
      </c>
      <c r="M649" s="2" t="s">
        <v>181</v>
      </c>
      <c r="N649" s="2" t="s">
        <v>320</v>
      </c>
      <c r="O649" s="2" t="s">
        <v>115</v>
      </c>
      <c r="P649" s="2" t="str">
        <f>"2170558191                    "</f>
        <v xml:space="preserve">2170558191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4.29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1</v>
      </c>
      <c r="BJ649" s="2">
        <v>0.2</v>
      </c>
      <c r="BK649" s="2">
        <v>1</v>
      </c>
      <c r="BL649" s="2">
        <v>41.73</v>
      </c>
      <c r="BM649" s="2">
        <v>5.84</v>
      </c>
      <c r="BN649" s="2">
        <v>47.57</v>
      </c>
      <c r="BO649" s="2">
        <v>47.57</v>
      </c>
      <c r="BP649" s="2"/>
      <c r="BQ649" s="2" t="s">
        <v>129</v>
      </c>
      <c r="BR649" s="2" t="s">
        <v>123</v>
      </c>
      <c r="BS649" s="3">
        <v>42832</v>
      </c>
      <c r="BT649" s="4">
        <v>0.43611111111111112</v>
      </c>
      <c r="BU649" s="2" t="s">
        <v>266</v>
      </c>
      <c r="BV649" s="2" t="s">
        <v>111</v>
      </c>
      <c r="BW649" s="2"/>
      <c r="BX649" s="2"/>
      <c r="BY649" s="2">
        <v>1200</v>
      </c>
      <c r="BZ649" s="2" t="s">
        <v>27</v>
      </c>
      <c r="CA649" s="2"/>
      <c r="CB649" s="2"/>
      <c r="CC649" s="2" t="s">
        <v>181</v>
      </c>
      <c r="CD649" s="2">
        <v>4051</v>
      </c>
      <c r="CE649" s="2" t="s">
        <v>144</v>
      </c>
      <c r="CF649" s="5">
        <v>42835</v>
      </c>
      <c r="CG649" s="2"/>
      <c r="CH649" s="2"/>
      <c r="CI649" s="2">
        <v>1</v>
      </c>
      <c r="CJ649" s="2">
        <v>1</v>
      </c>
      <c r="CK649" s="2">
        <v>21</v>
      </c>
      <c r="CL649" s="2" t="s">
        <v>86</v>
      </c>
      <c r="CM649" s="2"/>
    </row>
    <row r="650" spans="1:91">
      <c r="A650" s="2" t="s">
        <v>71</v>
      </c>
      <c r="B650" s="2" t="s">
        <v>72</v>
      </c>
      <c r="C650" s="2" t="s">
        <v>73</v>
      </c>
      <c r="D650" s="2"/>
      <c r="E650" s="2" t="str">
        <f>"FES1162541382"</f>
        <v>FES1162541382</v>
      </c>
      <c r="F650" s="3">
        <v>42829</v>
      </c>
      <c r="G650" s="2">
        <v>201710</v>
      </c>
      <c r="H650" s="2" t="s">
        <v>74</v>
      </c>
      <c r="I650" s="2" t="s">
        <v>75</v>
      </c>
      <c r="J650" s="2" t="s">
        <v>76</v>
      </c>
      <c r="K650" s="2" t="s">
        <v>77</v>
      </c>
      <c r="L650" s="2" t="s">
        <v>609</v>
      </c>
      <c r="M650" s="2" t="s">
        <v>610</v>
      </c>
      <c r="N650" s="2" t="s">
        <v>982</v>
      </c>
      <c r="O650" s="2" t="s">
        <v>115</v>
      </c>
      <c r="P650" s="2" t="str">
        <f>"2170560161                    "</f>
        <v xml:space="preserve">2170560161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4.42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1</v>
      </c>
      <c r="BJ650" s="2">
        <v>0.2</v>
      </c>
      <c r="BK650" s="2">
        <v>1</v>
      </c>
      <c r="BL650" s="2">
        <v>41.86</v>
      </c>
      <c r="BM650" s="2">
        <v>5.86</v>
      </c>
      <c r="BN650" s="2">
        <v>47.72</v>
      </c>
      <c r="BO650" s="2">
        <v>47.72</v>
      </c>
      <c r="BP650" s="2"/>
      <c r="BQ650" s="2" t="s">
        <v>129</v>
      </c>
      <c r="BR650" s="2" t="s">
        <v>123</v>
      </c>
      <c r="BS650" s="3">
        <v>42830</v>
      </c>
      <c r="BT650" s="4">
        <v>0.59791666666666665</v>
      </c>
      <c r="BU650" s="2" t="s">
        <v>1242</v>
      </c>
      <c r="BV650" s="2" t="s">
        <v>86</v>
      </c>
      <c r="BW650" s="2"/>
      <c r="BX650" s="2"/>
      <c r="BY650" s="2">
        <v>1200</v>
      </c>
      <c r="BZ650" s="2" t="s">
        <v>27</v>
      </c>
      <c r="CA650" s="2"/>
      <c r="CB650" s="2"/>
      <c r="CC650" s="2" t="s">
        <v>610</v>
      </c>
      <c r="CD650" s="2">
        <v>1911</v>
      </c>
      <c r="CE650" s="2" t="s">
        <v>144</v>
      </c>
      <c r="CF650" s="5">
        <v>42832</v>
      </c>
      <c r="CG650" s="2"/>
      <c r="CH650" s="2"/>
      <c r="CI650" s="2">
        <v>1</v>
      </c>
      <c r="CJ650" s="2">
        <v>1</v>
      </c>
      <c r="CK650" s="2">
        <v>21</v>
      </c>
      <c r="CL650" s="2" t="s">
        <v>86</v>
      </c>
      <c r="CM650" s="2"/>
    </row>
    <row r="651" spans="1:91">
      <c r="A651" s="2" t="s">
        <v>71</v>
      </c>
      <c r="B651" s="2" t="s">
        <v>72</v>
      </c>
      <c r="C651" s="2" t="s">
        <v>73</v>
      </c>
      <c r="D651" s="2"/>
      <c r="E651" s="2" t="str">
        <f>"FES1162542888"</f>
        <v>FES1162542888</v>
      </c>
      <c r="F651" s="3">
        <v>42836</v>
      </c>
      <c r="G651" s="2">
        <v>201710</v>
      </c>
      <c r="H651" s="2" t="s">
        <v>74</v>
      </c>
      <c r="I651" s="2" t="s">
        <v>75</v>
      </c>
      <c r="J651" s="2" t="s">
        <v>76</v>
      </c>
      <c r="K651" s="2" t="s">
        <v>77</v>
      </c>
      <c r="L651" s="2" t="s">
        <v>99</v>
      </c>
      <c r="M651" s="2" t="s">
        <v>100</v>
      </c>
      <c r="N651" s="2" t="s">
        <v>876</v>
      </c>
      <c r="O651" s="2" t="s">
        <v>115</v>
      </c>
      <c r="P651" s="2" t="str">
        <f>"2170557069                    "</f>
        <v xml:space="preserve">2170557069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4.29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1</v>
      </c>
      <c r="BJ651" s="2">
        <v>0.2</v>
      </c>
      <c r="BK651" s="2">
        <v>1</v>
      </c>
      <c r="BL651" s="2">
        <v>41.73</v>
      </c>
      <c r="BM651" s="2">
        <v>5.84</v>
      </c>
      <c r="BN651" s="2">
        <v>47.57</v>
      </c>
      <c r="BO651" s="2">
        <v>47.57</v>
      </c>
      <c r="BP651" s="2"/>
      <c r="BQ651" s="2" t="s">
        <v>877</v>
      </c>
      <c r="BR651" s="2" t="s">
        <v>123</v>
      </c>
      <c r="BS651" s="3">
        <v>42837</v>
      </c>
      <c r="BT651" s="4">
        <v>0.29236111111111113</v>
      </c>
      <c r="BU651" s="2" t="s">
        <v>687</v>
      </c>
      <c r="BV651" s="2" t="s">
        <v>111</v>
      </c>
      <c r="BW651" s="2"/>
      <c r="BX651" s="2"/>
      <c r="BY651" s="2">
        <v>1200</v>
      </c>
      <c r="BZ651" s="2" t="s">
        <v>27</v>
      </c>
      <c r="CA651" s="2" t="s">
        <v>106</v>
      </c>
      <c r="CB651" s="2"/>
      <c r="CC651" s="2" t="s">
        <v>100</v>
      </c>
      <c r="CD651" s="2">
        <v>6012</v>
      </c>
      <c r="CE651" s="2" t="s">
        <v>144</v>
      </c>
      <c r="CF651" s="5">
        <v>42837</v>
      </c>
      <c r="CG651" s="2"/>
      <c r="CH651" s="2"/>
      <c r="CI651" s="2">
        <v>1</v>
      </c>
      <c r="CJ651" s="2">
        <v>1</v>
      </c>
      <c r="CK651" s="2">
        <v>21</v>
      </c>
      <c r="CL651" s="2" t="s">
        <v>86</v>
      </c>
      <c r="CM651" s="2"/>
    </row>
    <row r="652" spans="1:91">
      <c r="A652" s="2" t="s">
        <v>71</v>
      </c>
      <c r="B652" s="2" t="s">
        <v>72</v>
      </c>
      <c r="C652" s="2" t="s">
        <v>73</v>
      </c>
      <c r="D652" s="2"/>
      <c r="E652" s="2" t="str">
        <f>"FES1162541768"</f>
        <v>FES1162541768</v>
      </c>
      <c r="F652" s="3">
        <v>42830</v>
      </c>
      <c r="G652" s="2">
        <v>201710</v>
      </c>
      <c r="H652" s="2" t="s">
        <v>74</v>
      </c>
      <c r="I652" s="2" t="s">
        <v>75</v>
      </c>
      <c r="J652" s="2" t="s">
        <v>76</v>
      </c>
      <c r="K652" s="2" t="s">
        <v>77</v>
      </c>
      <c r="L652" s="2" t="s">
        <v>187</v>
      </c>
      <c r="M652" s="2" t="s">
        <v>146</v>
      </c>
      <c r="N652" s="2" t="s">
        <v>1243</v>
      </c>
      <c r="O652" s="2" t="s">
        <v>115</v>
      </c>
      <c r="P652" s="2" t="str">
        <f>"2170560210                    "</f>
        <v xml:space="preserve">2170560210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7.5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3.2</v>
      </c>
      <c r="BJ652" s="2">
        <v>2.2000000000000002</v>
      </c>
      <c r="BK652" s="2">
        <v>3.5</v>
      </c>
      <c r="BL652" s="2">
        <v>73.02</v>
      </c>
      <c r="BM652" s="2">
        <v>10.220000000000001</v>
      </c>
      <c r="BN652" s="2">
        <v>83.24</v>
      </c>
      <c r="BO652" s="2">
        <v>83.24</v>
      </c>
      <c r="BP652" s="2"/>
      <c r="BQ652" s="2" t="s">
        <v>1244</v>
      </c>
      <c r="BR652" s="2" t="s">
        <v>123</v>
      </c>
      <c r="BS652" s="3">
        <v>42831</v>
      </c>
      <c r="BT652" s="4">
        <v>0.40833333333333338</v>
      </c>
      <c r="BU652" s="2" t="s">
        <v>130</v>
      </c>
      <c r="BV652" s="2" t="s">
        <v>111</v>
      </c>
      <c r="BW652" s="2"/>
      <c r="BX652" s="2"/>
      <c r="BY652" s="2">
        <v>11184.99</v>
      </c>
      <c r="BZ652" s="2" t="s">
        <v>27</v>
      </c>
      <c r="CA652" s="2"/>
      <c r="CB652" s="2"/>
      <c r="CC652" s="2" t="s">
        <v>146</v>
      </c>
      <c r="CD652" s="2">
        <v>17</v>
      </c>
      <c r="CE652" s="2" t="s">
        <v>89</v>
      </c>
      <c r="CF652" s="5">
        <v>42835</v>
      </c>
      <c r="CG652" s="2"/>
      <c r="CH652" s="2"/>
      <c r="CI652" s="2">
        <v>0</v>
      </c>
      <c r="CJ652" s="2">
        <v>0</v>
      </c>
      <c r="CK652" s="2">
        <v>21</v>
      </c>
      <c r="CL652" s="2" t="s">
        <v>86</v>
      </c>
      <c r="CM652" s="2"/>
    </row>
    <row r="653" spans="1:91">
      <c r="A653" s="2" t="s">
        <v>71</v>
      </c>
      <c r="B653" s="2" t="s">
        <v>72</v>
      </c>
      <c r="C653" s="2" t="s">
        <v>73</v>
      </c>
      <c r="D653" s="2"/>
      <c r="E653" s="2" t="str">
        <f>"FES1162541627"</f>
        <v>FES1162541627</v>
      </c>
      <c r="F653" s="3">
        <v>42830</v>
      </c>
      <c r="G653" s="2">
        <v>201710</v>
      </c>
      <c r="H653" s="2" t="s">
        <v>74</v>
      </c>
      <c r="I653" s="2" t="s">
        <v>75</v>
      </c>
      <c r="J653" s="2" t="s">
        <v>76</v>
      </c>
      <c r="K653" s="2" t="s">
        <v>77</v>
      </c>
      <c r="L653" s="2" t="s">
        <v>112</v>
      </c>
      <c r="M653" s="2" t="s">
        <v>113</v>
      </c>
      <c r="N653" s="2" t="s">
        <v>386</v>
      </c>
      <c r="O653" s="2" t="s">
        <v>115</v>
      </c>
      <c r="P653" s="2" t="str">
        <f>"2170558072                    "</f>
        <v xml:space="preserve">2170558072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11.79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5.2</v>
      </c>
      <c r="BJ653" s="2">
        <v>1.3</v>
      </c>
      <c r="BK653" s="2">
        <v>5.5</v>
      </c>
      <c r="BL653" s="2">
        <v>114.75</v>
      </c>
      <c r="BM653" s="2">
        <v>16.07</v>
      </c>
      <c r="BN653" s="2">
        <v>130.82</v>
      </c>
      <c r="BO653" s="2">
        <v>130.82</v>
      </c>
      <c r="BP653" s="2"/>
      <c r="BQ653" s="2" t="s">
        <v>122</v>
      </c>
      <c r="BR653" s="2" t="s">
        <v>123</v>
      </c>
      <c r="BS653" s="3">
        <v>42831</v>
      </c>
      <c r="BT653" s="4">
        <v>0.39583333333333331</v>
      </c>
      <c r="BU653" s="2" t="s">
        <v>533</v>
      </c>
      <c r="BV653" s="2" t="s">
        <v>111</v>
      </c>
      <c r="BW653" s="2"/>
      <c r="BX653" s="2"/>
      <c r="BY653" s="2">
        <v>6274.05</v>
      </c>
      <c r="BZ653" s="2" t="s">
        <v>27</v>
      </c>
      <c r="CA653" s="2"/>
      <c r="CB653" s="2"/>
      <c r="CC653" s="2" t="s">
        <v>113</v>
      </c>
      <c r="CD653" s="2">
        <v>3200</v>
      </c>
      <c r="CE653" s="2" t="s">
        <v>135</v>
      </c>
      <c r="CF653" s="5">
        <v>42833</v>
      </c>
      <c r="CG653" s="2"/>
      <c r="CH653" s="2"/>
      <c r="CI653" s="2">
        <v>1</v>
      </c>
      <c r="CJ653" s="2">
        <v>1</v>
      </c>
      <c r="CK653" s="2">
        <v>21</v>
      </c>
      <c r="CL653" s="2" t="s">
        <v>86</v>
      </c>
      <c r="CM653" s="2"/>
    </row>
    <row r="654" spans="1:91">
      <c r="A654" s="2" t="s">
        <v>71</v>
      </c>
      <c r="B654" s="2" t="s">
        <v>72</v>
      </c>
      <c r="C654" s="2" t="s">
        <v>73</v>
      </c>
      <c r="D654" s="2"/>
      <c r="E654" s="2" t="str">
        <f>"FES1162543376"</f>
        <v>FES1162543376</v>
      </c>
      <c r="F654" s="3">
        <v>42837</v>
      </c>
      <c r="G654" s="2">
        <v>201710</v>
      </c>
      <c r="H654" s="2" t="s">
        <v>74</v>
      </c>
      <c r="I654" s="2" t="s">
        <v>75</v>
      </c>
      <c r="J654" s="2" t="s">
        <v>76</v>
      </c>
      <c r="K654" s="2" t="s">
        <v>77</v>
      </c>
      <c r="L654" s="2" t="s">
        <v>396</v>
      </c>
      <c r="M654" s="2" t="s">
        <v>397</v>
      </c>
      <c r="N654" s="2" t="s">
        <v>1236</v>
      </c>
      <c r="O654" s="2" t="s">
        <v>115</v>
      </c>
      <c r="P654" s="2" t="str">
        <f>"2170562063                    "</f>
        <v xml:space="preserve">2170562063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4.29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1</v>
      </c>
      <c r="BJ654" s="2">
        <v>0.2</v>
      </c>
      <c r="BK654" s="2">
        <v>1</v>
      </c>
      <c r="BL654" s="2">
        <v>41.73</v>
      </c>
      <c r="BM654" s="2">
        <v>5.84</v>
      </c>
      <c r="BN654" s="2">
        <v>47.57</v>
      </c>
      <c r="BO654" s="2">
        <v>47.57</v>
      </c>
      <c r="BP654" s="2"/>
      <c r="BQ654" s="2" t="s">
        <v>83</v>
      </c>
      <c r="BR654" s="2" t="s">
        <v>84</v>
      </c>
      <c r="BS654" s="3">
        <v>42838</v>
      </c>
      <c r="BT654" s="4">
        <v>0.4375</v>
      </c>
      <c r="BU654" s="2" t="s">
        <v>1237</v>
      </c>
      <c r="BV654" s="2" t="s">
        <v>111</v>
      </c>
      <c r="BW654" s="2"/>
      <c r="BX654" s="2"/>
      <c r="BY654" s="2">
        <v>1200</v>
      </c>
      <c r="BZ654" s="2" t="s">
        <v>27</v>
      </c>
      <c r="CA654" s="2"/>
      <c r="CB654" s="2"/>
      <c r="CC654" s="2" t="s">
        <v>397</v>
      </c>
      <c r="CD654" s="2">
        <v>4302</v>
      </c>
      <c r="CE654" s="2" t="s">
        <v>118</v>
      </c>
      <c r="CF654" s="5">
        <v>42843</v>
      </c>
      <c r="CG654" s="2"/>
      <c r="CH654" s="2"/>
      <c r="CI654" s="2">
        <v>1</v>
      </c>
      <c r="CJ654" s="2">
        <v>1</v>
      </c>
      <c r="CK654" s="2">
        <v>21</v>
      </c>
      <c r="CL654" s="2" t="s">
        <v>86</v>
      </c>
      <c r="CM654" s="2"/>
    </row>
    <row r="655" spans="1:91">
      <c r="A655" s="2" t="s">
        <v>71</v>
      </c>
      <c r="B655" s="2" t="s">
        <v>72</v>
      </c>
      <c r="C655" s="2" t="s">
        <v>73</v>
      </c>
      <c r="D655" s="2"/>
      <c r="E655" s="2" t="str">
        <f>"FES1162541911"</f>
        <v>FES1162541911</v>
      </c>
      <c r="F655" s="3">
        <v>42831</v>
      </c>
      <c r="G655" s="2">
        <v>201710</v>
      </c>
      <c r="H655" s="2" t="s">
        <v>74</v>
      </c>
      <c r="I655" s="2" t="s">
        <v>75</v>
      </c>
      <c r="J655" s="2" t="s">
        <v>76</v>
      </c>
      <c r="K655" s="2" t="s">
        <v>77</v>
      </c>
      <c r="L655" s="2" t="s">
        <v>119</v>
      </c>
      <c r="M655" s="2" t="s">
        <v>120</v>
      </c>
      <c r="N655" s="2" t="s">
        <v>725</v>
      </c>
      <c r="O655" s="2" t="s">
        <v>115</v>
      </c>
      <c r="P655" s="2" t="str">
        <f>"2170558870                    "</f>
        <v xml:space="preserve">2170558870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3.35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2</v>
      </c>
      <c r="BJ655" s="2">
        <v>1.7</v>
      </c>
      <c r="BK655" s="2">
        <v>2</v>
      </c>
      <c r="BL655" s="2">
        <v>32.6</v>
      </c>
      <c r="BM655" s="2">
        <v>4.5599999999999996</v>
      </c>
      <c r="BN655" s="2">
        <v>37.159999999999997</v>
      </c>
      <c r="BO655" s="2">
        <v>37.159999999999997</v>
      </c>
      <c r="BP655" s="2"/>
      <c r="BQ655" s="2" t="s">
        <v>726</v>
      </c>
      <c r="BR655" s="2" t="s">
        <v>123</v>
      </c>
      <c r="BS655" s="3">
        <v>42832</v>
      </c>
      <c r="BT655" s="4">
        <v>0.52152777777777781</v>
      </c>
      <c r="BU655" s="2" t="s">
        <v>767</v>
      </c>
      <c r="BV655" s="2" t="s">
        <v>86</v>
      </c>
      <c r="BW655" s="2" t="s">
        <v>157</v>
      </c>
      <c r="BX655" s="2" t="s">
        <v>618</v>
      </c>
      <c r="BY655" s="2">
        <v>8619.14</v>
      </c>
      <c r="BZ655" s="2" t="s">
        <v>27</v>
      </c>
      <c r="CA655" s="2"/>
      <c r="CB655" s="2"/>
      <c r="CC655" s="2" t="s">
        <v>120</v>
      </c>
      <c r="CD655" s="2">
        <v>2162</v>
      </c>
      <c r="CE655" s="2" t="s">
        <v>89</v>
      </c>
      <c r="CF655" s="5">
        <v>42835</v>
      </c>
      <c r="CG655" s="2"/>
      <c r="CH655" s="2"/>
      <c r="CI655" s="2">
        <v>1</v>
      </c>
      <c r="CJ655" s="2">
        <v>1</v>
      </c>
      <c r="CK655" s="2">
        <v>22</v>
      </c>
      <c r="CL655" s="2" t="s">
        <v>86</v>
      </c>
      <c r="CM655" s="2"/>
    </row>
    <row r="656" spans="1:91">
      <c r="A656" s="2" t="s">
        <v>71</v>
      </c>
      <c r="B656" s="2" t="s">
        <v>72</v>
      </c>
      <c r="C656" s="2" t="s">
        <v>73</v>
      </c>
      <c r="D656" s="2"/>
      <c r="E656" s="2" t="str">
        <f>"FES1162541358"</f>
        <v>FES1162541358</v>
      </c>
      <c r="F656" s="3">
        <v>42829</v>
      </c>
      <c r="G656" s="2">
        <v>201710</v>
      </c>
      <c r="H656" s="2" t="s">
        <v>74</v>
      </c>
      <c r="I656" s="2" t="s">
        <v>75</v>
      </c>
      <c r="J656" s="2" t="s">
        <v>76</v>
      </c>
      <c r="K656" s="2" t="s">
        <v>77</v>
      </c>
      <c r="L656" s="2" t="s">
        <v>166</v>
      </c>
      <c r="M656" s="2" t="s">
        <v>167</v>
      </c>
      <c r="N656" s="2" t="s">
        <v>1245</v>
      </c>
      <c r="O656" s="2" t="s">
        <v>115</v>
      </c>
      <c r="P656" s="2" t="str">
        <f>"2170560351                    "</f>
        <v xml:space="preserve">2170560351 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3.45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1</v>
      </c>
      <c r="BJ656" s="2">
        <v>0.2</v>
      </c>
      <c r="BK656" s="2">
        <v>1</v>
      </c>
      <c r="BL656" s="2">
        <v>32.700000000000003</v>
      </c>
      <c r="BM656" s="2">
        <v>4.58</v>
      </c>
      <c r="BN656" s="2">
        <v>37.28</v>
      </c>
      <c r="BO656" s="2">
        <v>37.28</v>
      </c>
      <c r="BP656" s="2"/>
      <c r="BQ656" s="2" t="s">
        <v>122</v>
      </c>
      <c r="BR656" s="2" t="s">
        <v>123</v>
      </c>
      <c r="BS656" s="3">
        <v>42830</v>
      </c>
      <c r="BT656" s="4">
        <v>0.42708333333333331</v>
      </c>
      <c r="BU656" s="2" t="s">
        <v>1246</v>
      </c>
      <c r="BV656" s="2" t="s">
        <v>111</v>
      </c>
      <c r="BW656" s="2"/>
      <c r="BX656" s="2"/>
      <c r="BY656" s="2">
        <v>1200</v>
      </c>
      <c r="BZ656" s="2" t="s">
        <v>27</v>
      </c>
      <c r="CA656" s="2"/>
      <c r="CB656" s="2"/>
      <c r="CC656" s="2" t="s">
        <v>167</v>
      </c>
      <c r="CD656" s="2">
        <v>2090</v>
      </c>
      <c r="CE656" s="2" t="s">
        <v>118</v>
      </c>
      <c r="CF656" s="5">
        <v>42832</v>
      </c>
      <c r="CG656" s="2"/>
      <c r="CH656" s="2"/>
      <c r="CI656" s="2">
        <v>1</v>
      </c>
      <c r="CJ656" s="2">
        <v>1</v>
      </c>
      <c r="CK656" s="2">
        <v>22</v>
      </c>
      <c r="CL656" s="2" t="s">
        <v>86</v>
      </c>
      <c r="CM656" s="2"/>
    </row>
    <row r="657" spans="1:91">
      <c r="A657" s="2" t="s">
        <v>71</v>
      </c>
      <c r="B657" s="2" t="s">
        <v>72</v>
      </c>
      <c r="C657" s="2" t="s">
        <v>73</v>
      </c>
      <c r="D657" s="2"/>
      <c r="E657" s="2" t="str">
        <f>"FES1162542926"</f>
        <v>FES1162542926</v>
      </c>
      <c r="F657" s="3">
        <v>42836</v>
      </c>
      <c r="G657" s="2">
        <v>201710</v>
      </c>
      <c r="H657" s="2" t="s">
        <v>74</v>
      </c>
      <c r="I657" s="2" t="s">
        <v>75</v>
      </c>
      <c r="J657" s="2" t="s">
        <v>76</v>
      </c>
      <c r="K657" s="2" t="s">
        <v>77</v>
      </c>
      <c r="L657" s="2" t="s">
        <v>180</v>
      </c>
      <c r="M657" s="2" t="s">
        <v>181</v>
      </c>
      <c r="N657" s="2" t="s">
        <v>1247</v>
      </c>
      <c r="O657" s="2" t="s">
        <v>115</v>
      </c>
      <c r="P657" s="2" t="str">
        <f>"2170559414                    "</f>
        <v xml:space="preserve">2170559414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4.29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1</v>
      </c>
      <c r="BJ657" s="2">
        <v>0.2</v>
      </c>
      <c r="BK657" s="2">
        <v>1</v>
      </c>
      <c r="BL657" s="2">
        <v>41.73</v>
      </c>
      <c r="BM657" s="2">
        <v>5.84</v>
      </c>
      <c r="BN657" s="2">
        <v>47.57</v>
      </c>
      <c r="BO657" s="2">
        <v>47.57</v>
      </c>
      <c r="BP657" s="2"/>
      <c r="BQ657" s="2" t="s">
        <v>129</v>
      </c>
      <c r="BR657" s="2" t="s">
        <v>123</v>
      </c>
      <c r="BS657" s="3">
        <v>42837</v>
      </c>
      <c r="BT657" s="4">
        <v>0.4375</v>
      </c>
      <c r="BU657" s="2" t="s">
        <v>1248</v>
      </c>
      <c r="BV657" s="2" t="s">
        <v>111</v>
      </c>
      <c r="BW657" s="2"/>
      <c r="BX657" s="2"/>
      <c r="BY657" s="2">
        <v>1200</v>
      </c>
      <c r="BZ657" s="2" t="s">
        <v>27</v>
      </c>
      <c r="CA657" s="2"/>
      <c r="CB657" s="2"/>
      <c r="CC657" s="2" t="s">
        <v>181</v>
      </c>
      <c r="CD657" s="2">
        <v>4001</v>
      </c>
      <c r="CE657" s="2" t="s">
        <v>144</v>
      </c>
      <c r="CF657" s="5">
        <v>42838</v>
      </c>
      <c r="CG657" s="2"/>
      <c r="CH657" s="2"/>
      <c r="CI657" s="2">
        <v>1</v>
      </c>
      <c r="CJ657" s="2">
        <v>1</v>
      </c>
      <c r="CK657" s="2">
        <v>21</v>
      </c>
      <c r="CL657" s="2" t="s">
        <v>86</v>
      </c>
      <c r="CM657" s="2"/>
    </row>
    <row r="658" spans="1:91">
      <c r="A658" s="2" t="s">
        <v>71</v>
      </c>
      <c r="B658" s="2" t="s">
        <v>72</v>
      </c>
      <c r="C658" s="2" t="s">
        <v>73</v>
      </c>
      <c r="D658" s="2"/>
      <c r="E658" s="2" t="str">
        <f>"FES1162541585"</f>
        <v>FES1162541585</v>
      </c>
      <c r="F658" s="3">
        <v>42830</v>
      </c>
      <c r="G658" s="2">
        <v>201710</v>
      </c>
      <c r="H658" s="2" t="s">
        <v>74</v>
      </c>
      <c r="I658" s="2" t="s">
        <v>75</v>
      </c>
      <c r="J658" s="2" t="s">
        <v>76</v>
      </c>
      <c r="K658" s="2" t="s">
        <v>77</v>
      </c>
      <c r="L658" s="2" t="s">
        <v>401</v>
      </c>
      <c r="M658" s="2" t="s">
        <v>402</v>
      </c>
      <c r="N658" s="2" t="s">
        <v>568</v>
      </c>
      <c r="O658" s="2" t="s">
        <v>115</v>
      </c>
      <c r="P658" s="2" t="str">
        <f>"2170558656                    "</f>
        <v xml:space="preserve">2170558656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19.29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7.4</v>
      </c>
      <c r="BJ658" s="2">
        <v>9</v>
      </c>
      <c r="BK658" s="2">
        <v>9</v>
      </c>
      <c r="BL658" s="2">
        <v>187.77</v>
      </c>
      <c r="BM658" s="2">
        <v>26.29</v>
      </c>
      <c r="BN658" s="2">
        <v>214.06</v>
      </c>
      <c r="BO658" s="2">
        <v>214.06</v>
      </c>
      <c r="BP658" s="2"/>
      <c r="BQ658" s="2" t="s">
        <v>569</v>
      </c>
      <c r="BR658" s="2" t="s">
        <v>123</v>
      </c>
      <c r="BS658" s="3">
        <v>42831</v>
      </c>
      <c r="BT658" s="4">
        <v>0.4375</v>
      </c>
      <c r="BU658" s="2" t="s">
        <v>570</v>
      </c>
      <c r="BV658" s="2" t="s">
        <v>111</v>
      </c>
      <c r="BW658" s="2"/>
      <c r="BX658" s="2"/>
      <c r="BY658" s="2">
        <v>45203.85</v>
      </c>
      <c r="BZ658" s="2" t="s">
        <v>27</v>
      </c>
      <c r="CA658" s="2"/>
      <c r="CB658" s="2"/>
      <c r="CC658" s="2" t="s">
        <v>402</v>
      </c>
      <c r="CD658" s="2">
        <v>4133</v>
      </c>
      <c r="CE658" s="2" t="s">
        <v>135</v>
      </c>
      <c r="CF658" s="5">
        <v>42832</v>
      </c>
      <c r="CG658" s="2"/>
      <c r="CH658" s="2"/>
      <c r="CI658" s="2">
        <v>1</v>
      </c>
      <c r="CJ658" s="2">
        <v>1</v>
      </c>
      <c r="CK658" s="2">
        <v>21</v>
      </c>
      <c r="CL658" s="2" t="s">
        <v>86</v>
      </c>
      <c r="CM658" s="2"/>
    </row>
    <row r="659" spans="1:91">
      <c r="A659" s="2" t="s">
        <v>71</v>
      </c>
      <c r="B659" s="2" t="s">
        <v>72</v>
      </c>
      <c r="C659" s="2" t="s">
        <v>73</v>
      </c>
      <c r="D659" s="2"/>
      <c r="E659" s="2" t="str">
        <f>"FES1162543354"</f>
        <v>FES1162543354</v>
      </c>
      <c r="F659" s="3">
        <v>42837</v>
      </c>
      <c r="G659" s="2">
        <v>201710</v>
      </c>
      <c r="H659" s="2" t="s">
        <v>74</v>
      </c>
      <c r="I659" s="2" t="s">
        <v>75</v>
      </c>
      <c r="J659" s="2" t="s">
        <v>76</v>
      </c>
      <c r="K659" s="2" t="s">
        <v>77</v>
      </c>
      <c r="L659" s="2" t="s">
        <v>396</v>
      </c>
      <c r="M659" s="2" t="s">
        <v>397</v>
      </c>
      <c r="N659" s="2" t="s">
        <v>1236</v>
      </c>
      <c r="O659" s="2" t="s">
        <v>115</v>
      </c>
      <c r="P659" s="2" t="str">
        <f>"2170562033                    "</f>
        <v xml:space="preserve">2170562033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4.29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1</v>
      </c>
      <c r="BJ659" s="2">
        <v>0.2</v>
      </c>
      <c r="BK659" s="2">
        <v>1</v>
      </c>
      <c r="BL659" s="2">
        <v>41.73</v>
      </c>
      <c r="BM659" s="2">
        <v>5.84</v>
      </c>
      <c r="BN659" s="2">
        <v>47.57</v>
      </c>
      <c r="BO659" s="2">
        <v>47.57</v>
      </c>
      <c r="BP659" s="2"/>
      <c r="BQ659" s="2" t="s">
        <v>83</v>
      </c>
      <c r="BR659" s="2" t="s">
        <v>84</v>
      </c>
      <c r="BS659" s="3">
        <v>42838</v>
      </c>
      <c r="BT659" s="4">
        <v>0.4375</v>
      </c>
      <c r="BU659" s="2" t="s">
        <v>1237</v>
      </c>
      <c r="BV659" s="2" t="s">
        <v>111</v>
      </c>
      <c r="BW659" s="2"/>
      <c r="BX659" s="2"/>
      <c r="BY659" s="2">
        <v>1200</v>
      </c>
      <c r="BZ659" s="2" t="s">
        <v>27</v>
      </c>
      <c r="CA659" s="2"/>
      <c r="CB659" s="2"/>
      <c r="CC659" s="2" t="s">
        <v>397</v>
      </c>
      <c r="CD659" s="2">
        <v>4302</v>
      </c>
      <c r="CE659" s="2" t="s">
        <v>118</v>
      </c>
      <c r="CF659" s="5">
        <v>42843</v>
      </c>
      <c r="CG659" s="2"/>
      <c r="CH659" s="2"/>
      <c r="CI659" s="2">
        <v>1</v>
      </c>
      <c r="CJ659" s="2">
        <v>1</v>
      </c>
      <c r="CK659" s="2">
        <v>21</v>
      </c>
      <c r="CL659" s="2" t="s">
        <v>86</v>
      </c>
      <c r="CM659" s="2"/>
    </row>
    <row r="660" spans="1:91">
      <c r="A660" s="2" t="s">
        <v>71</v>
      </c>
      <c r="B660" s="2" t="s">
        <v>72</v>
      </c>
      <c r="C660" s="2" t="s">
        <v>73</v>
      </c>
      <c r="D660" s="2"/>
      <c r="E660" s="2" t="str">
        <f>"FES1162541902"</f>
        <v>FES1162541902</v>
      </c>
      <c r="F660" s="3">
        <v>42831</v>
      </c>
      <c r="G660" s="2">
        <v>201710</v>
      </c>
      <c r="H660" s="2" t="s">
        <v>74</v>
      </c>
      <c r="I660" s="2" t="s">
        <v>75</v>
      </c>
      <c r="J660" s="2" t="s">
        <v>76</v>
      </c>
      <c r="K660" s="2" t="s">
        <v>77</v>
      </c>
      <c r="L660" s="2" t="s">
        <v>294</v>
      </c>
      <c r="M660" s="2" t="s">
        <v>295</v>
      </c>
      <c r="N660" s="2" t="s">
        <v>1249</v>
      </c>
      <c r="O660" s="2" t="s">
        <v>115</v>
      </c>
      <c r="P660" s="2" t="str">
        <f>"2170558689                    "</f>
        <v xml:space="preserve">2170558689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4.29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1</v>
      </c>
      <c r="BJ660" s="2">
        <v>0.2</v>
      </c>
      <c r="BK660" s="2">
        <v>1</v>
      </c>
      <c r="BL660" s="2">
        <v>41.73</v>
      </c>
      <c r="BM660" s="2">
        <v>5.84</v>
      </c>
      <c r="BN660" s="2">
        <v>47.57</v>
      </c>
      <c r="BO660" s="2">
        <v>47.57</v>
      </c>
      <c r="BP660" s="2"/>
      <c r="BQ660" s="2" t="s">
        <v>1250</v>
      </c>
      <c r="BR660" s="2" t="s">
        <v>123</v>
      </c>
      <c r="BS660" s="3">
        <v>42832</v>
      </c>
      <c r="BT660" s="4">
        <v>0.4375</v>
      </c>
      <c r="BU660" s="2" t="s">
        <v>1251</v>
      </c>
      <c r="BV660" s="2" t="s">
        <v>111</v>
      </c>
      <c r="BW660" s="2"/>
      <c r="BX660" s="2"/>
      <c r="BY660" s="2">
        <v>1200</v>
      </c>
      <c r="BZ660" s="2" t="s">
        <v>27</v>
      </c>
      <c r="CA660" s="2"/>
      <c r="CB660" s="2"/>
      <c r="CC660" s="2" t="s">
        <v>295</v>
      </c>
      <c r="CD660" s="2">
        <v>3608</v>
      </c>
      <c r="CE660" s="2" t="s">
        <v>144</v>
      </c>
      <c r="CF660" s="5">
        <v>42835</v>
      </c>
      <c r="CG660" s="2"/>
      <c r="CH660" s="2"/>
      <c r="CI660" s="2">
        <v>1</v>
      </c>
      <c r="CJ660" s="2">
        <v>1</v>
      </c>
      <c r="CK660" s="2">
        <v>21</v>
      </c>
      <c r="CL660" s="2" t="s">
        <v>86</v>
      </c>
      <c r="CM660" s="2"/>
    </row>
    <row r="661" spans="1:91">
      <c r="A661" s="2" t="s">
        <v>71</v>
      </c>
      <c r="B661" s="2" t="s">
        <v>72</v>
      </c>
      <c r="C661" s="2" t="s">
        <v>73</v>
      </c>
      <c r="D661" s="2"/>
      <c r="E661" s="2" t="str">
        <f>"FES1162541409"</f>
        <v>FES1162541409</v>
      </c>
      <c r="F661" s="3">
        <v>42829</v>
      </c>
      <c r="G661" s="2">
        <v>201710</v>
      </c>
      <c r="H661" s="2" t="s">
        <v>74</v>
      </c>
      <c r="I661" s="2" t="s">
        <v>75</v>
      </c>
      <c r="J661" s="2" t="s">
        <v>76</v>
      </c>
      <c r="K661" s="2" t="s">
        <v>77</v>
      </c>
      <c r="L661" s="2" t="s">
        <v>139</v>
      </c>
      <c r="M661" s="2" t="s">
        <v>140</v>
      </c>
      <c r="N661" s="2" t="s">
        <v>1252</v>
      </c>
      <c r="O661" s="2" t="s">
        <v>115</v>
      </c>
      <c r="P661" s="2" t="str">
        <f>"2170560493                    "</f>
        <v xml:space="preserve">2170560493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7.74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3.2</v>
      </c>
      <c r="BJ661" s="2">
        <v>1</v>
      </c>
      <c r="BK661" s="2">
        <v>3.5</v>
      </c>
      <c r="BL661" s="2">
        <v>73.260000000000005</v>
      </c>
      <c r="BM661" s="2">
        <v>10.26</v>
      </c>
      <c r="BN661" s="2">
        <v>83.52</v>
      </c>
      <c r="BO661" s="2">
        <v>83.52</v>
      </c>
      <c r="BP661" s="2"/>
      <c r="BQ661" s="2" t="s">
        <v>122</v>
      </c>
      <c r="BR661" s="2" t="s">
        <v>123</v>
      </c>
      <c r="BS661" s="3">
        <v>42830</v>
      </c>
      <c r="BT661" s="4">
        <v>0.43402777777777773</v>
      </c>
      <c r="BU661" s="2" t="s">
        <v>1253</v>
      </c>
      <c r="BV661" s="2" t="s">
        <v>111</v>
      </c>
      <c r="BW661" s="2"/>
      <c r="BX661" s="2"/>
      <c r="BY661" s="2">
        <v>4889.38</v>
      </c>
      <c r="BZ661" s="2" t="s">
        <v>27</v>
      </c>
      <c r="CA661" s="2"/>
      <c r="CB661" s="2"/>
      <c r="CC661" s="2" t="s">
        <v>140</v>
      </c>
      <c r="CD661" s="2">
        <v>157</v>
      </c>
      <c r="CE661" s="2" t="s">
        <v>135</v>
      </c>
      <c r="CF661" s="2"/>
      <c r="CG661" s="2"/>
      <c r="CH661" s="2"/>
      <c r="CI661" s="2">
        <v>0</v>
      </c>
      <c r="CJ661" s="2">
        <v>0</v>
      </c>
      <c r="CK661" s="2">
        <v>21</v>
      </c>
      <c r="CL661" s="2" t="s">
        <v>86</v>
      </c>
      <c r="CM661" s="2"/>
    </row>
    <row r="662" spans="1:91">
      <c r="A662" s="2" t="s">
        <v>71</v>
      </c>
      <c r="B662" s="2" t="s">
        <v>72</v>
      </c>
      <c r="C662" s="2" t="s">
        <v>73</v>
      </c>
      <c r="D662" s="2"/>
      <c r="E662" s="2" t="str">
        <f>"FES1162542911"</f>
        <v>FES1162542911</v>
      </c>
      <c r="F662" s="3">
        <v>42836</v>
      </c>
      <c r="G662" s="2">
        <v>201710</v>
      </c>
      <c r="H662" s="2" t="s">
        <v>74</v>
      </c>
      <c r="I662" s="2" t="s">
        <v>75</v>
      </c>
      <c r="J662" s="2" t="s">
        <v>76</v>
      </c>
      <c r="K662" s="2" t="s">
        <v>77</v>
      </c>
      <c r="L662" s="2" t="s">
        <v>99</v>
      </c>
      <c r="M662" s="2" t="s">
        <v>100</v>
      </c>
      <c r="N662" s="2" t="s">
        <v>700</v>
      </c>
      <c r="O662" s="2" t="s">
        <v>115</v>
      </c>
      <c r="P662" s="2" t="str">
        <f>"2170559166                    "</f>
        <v xml:space="preserve">2170559166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6.43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3</v>
      </c>
      <c r="BJ662" s="2">
        <v>1.7</v>
      </c>
      <c r="BK662" s="2">
        <v>3</v>
      </c>
      <c r="BL662" s="2">
        <v>62.59</v>
      </c>
      <c r="BM662" s="2">
        <v>8.76</v>
      </c>
      <c r="BN662" s="2">
        <v>71.349999999999994</v>
      </c>
      <c r="BO662" s="2">
        <v>71.349999999999994</v>
      </c>
      <c r="BP662" s="2"/>
      <c r="BQ662" s="2" t="s">
        <v>701</v>
      </c>
      <c r="BR662" s="2" t="s">
        <v>123</v>
      </c>
      <c r="BS662" s="3">
        <v>42837</v>
      </c>
      <c r="BT662" s="4">
        <v>0.41666666666666669</v>
      </c>
      <c r="BU662" s="2" t="s">
        <v>702</v>
      </c>
      <c r="BV662" s="2" t="s">
        <v>111</v>
      </c>
      <c r="BW662" s="2"/>
      <c r="BX662" s="2"/>
      <c r="BY662" s="2">
        <v>8265</v>
      </c>
      <c r="BZ662" s="2" t="s">
        <v>27</v>
      </c>
      <c r="CA662" s="2" t="s">
        <v>106</v>
      </c>
      <c r="CB662" s="2"/>
      <c r="CC662" s="2" t="s">
        <v>100</v>
      </c>
      <c r="CD662" s="2">
        <v>6001</v>
      </c>
      <c r="CE662" s="2" t="s">
        <v>135</v>
      </c>
      <c r="CF662" s="5">
        <v>42837</v>
      </c>
      <c r="CG662" s="2"/>
      <c r="CH662" s="2"/>
      <c r="CI662" s="2">
        <v>1</v>
      </c>
      <c r="CJ662" s="2">
        <v>1</v>
      </c>
      <c r="CK662" s="2">
        <v>21</v>
      </c>
      <c r="CL662" s="2" t="s">
        <v>86</v>
      </c>
      <c r="CM662" s="2"/>
    </row>
    <row r="663" spans="1:91">
      <c r="A663" s="2" t="s">
        <v>71</v>
      </c>
      <c r="B663" s="2" t="s">
        <v>72</v>
      </c>
      <c r="C663" s="2" t="s">
        <v>73</v>
      </c>
      <c r="D663" s="2"/>
      <c r="E663" s="2" t="str">
        <f>"FES1162541755"</f>
        <v>FES1162541755</v>
      </c>
      <c r="F663" s="3">
        <v>42830</v>
      </c>
      <c r="G663" s="2">
        <v>201710</v>
      </c>
      <c r="H663" s="2" t="s">
        <v>74</v>
      </c>
      <c r="I663" s="2" t="s">
        <v>75</v>
      </c>
      <c r="J663" s="2" t="s">
        <v>76</v>
      </c>
      <c r="K663" s="2" t="s">
        <v>77</v>
      </c>
      <c r="L663" s="2" t="s">
        <v>180</v>
      </c>
      <c r="M663" s="2" t="s">
        <v>181</v>
      </c>
      <c r="N663" s="2" t="s">
        <v>605</v>
      </c>
      <c r="O663" s="2" t="s">
        <v>115</v>
      </c>
      <c r="P663" s="2" t="str">
        <f>"2170557867                    "</f>
        <v xml:space="preserve">2170557867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19.29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8.6999999999999993</v>
      </c>
      <c r="BJ663" s="2">
        <v>7.3</v>
      </c>
      <c r="BK663" s="2">
        <v>9</v>
      </c>
      <c r="BL663" s="2">
        <v>187.77</v>
      </c>
      <c r="BM663" s="2">
        <v>26.29</v>
      </c>
      <c r="BN663" s="2">
        <v>214.06</v>
      </c>
      <c r="BO663" s="2">
        <v>214.06</v>
      </c>
      <c r="BP663" s="2"/>
      <c r="BQ663" s="2" t="s">
        <v>606</v>
      </c>
      <c r="BR663" s="2" t="s">
        <v>123</v>
      </c>
      <c r="BS663" s="3">
        <v>42831</v>
      </c>
      <c r="BT663" s="4">
        <v>0.4375</v>
      </c>
      <c r="BU663" s="2" t="s">
        <v>1233</v>
      </c>
      <c r="BV663" s="2" t="s">
        <v>111</v>
      </c>
      <c r="BW663" s="2"/>
      <c r="BX663" s="2"/>
      <c r="BY663" s="2">
        <v>36676.99</v>
      </c>
      <c r="BZ663" s="2" t="s">
        <v>27</v>
      </c>
      <c r="CA663" s="2"/>
      <c r="CB663" s="2"/>
      <c r="CC663" s="2" t="s">
        <v>181</v>
      </c>
      <c r="CD663" s="2">
        <v>4001</v>
      </c>
      <c r="CE663" s="2" t="s">
        <v>89</v>
      </c>
      <c r="CF663" s="5">
        <v>42832</v>
      </c>
      <c r="CG663" s="2"/>
      <c r="CH663" s="2"/>
      <c r="CI663" s="2">
        <v>1</v>
      </c>
      <c r="CJ663" s="2">
        <v>1</v>
      </c>
      <c r="CK663" s="2">
        <v>21</v>
      </c>
      <c r="CL663" s="2" t="s">
        <v>86</v>
      </c>
      <c r="CM663" s="2"/>
    </row>
    <row r="664" spans="1:91">
      <c r="A664" s="2" t="s">
        <v>71</v>
      </c>
      <c r="B664" s="2" t="s">
        <v>72</v>
      </c>
      <c r="C664" s="2" t="s">
        <v>73</v>
      </c>
      <c r="D664" s="2"/>
      <c r="E664" s="2" t="str">
        <f>"FES1162541633"</f>
        <v>FES1162541633</v>
      </c>
      <c r="F664" s="3">
        <v>42830</v>
      </c>
      <c r="G664" s="2">
        <v>201710</v>
      </c>
      <c r="H664" s="2" t="s">
        <v>74</v>
      </c>
      <c r="I664" s="2" t="s">
        <v>75</v>
      </c>
      <c r="J664" s="2" t="s">
        <v>76</v>
      </c>
      <c r="K664" s="2" t="s">
        <v>77</v>
      </c>
      <c r="L664" s="2" t="s">
        <v>275</v>
      </c>
      <c r="M664" s="2" t="s">
        <v>276</v>
      </c>
      <c r="N664" s="2" t="s">
        <v>277</v>
      </c>
      <c r="O664" s="2" t="s">
        <v>115</v>
      </c>
      <c r="P664" s="2" t="str">
        <f>"2170558183                    "</f>
        <v xml:space="preserve">2170558183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4.29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1.6</v>
      </c>
      <c r="BJ664" s="2">
        <v>1.4</v>
      </c>
      <c r="BK664" s="2">
        <v>2</v>
      </c>
      <c r="BL664" s="2">
        <v>41.73</v>
      </c>
      <c r="BM664" s="2">
        <v>5.84</v>
      </c>
      <c r="BN664" s="2">
        <v>47.57</v>
      </c>
      <c r="BO664" s="2">
        <v>47.57</v>
      </c>
      <c r="BP664" s="2"/>
      <c r="BQ664" s="2" t="s">
        <v>278</v>
      </c>
      <c r="BR664" s="2" t="s">
        <v>123</v>
      </c>
      <c r="BS664" s="3">
        <v>42831</v>
      </c>
      <c r="BT664" s="4">
        <v>0.34722222222222227</v>
      </c>
      <c r="BU664" s="2" t="s">
        <v>973</v>
      </c>
      <c r="BV664" s="2" t="s">
        <v>111</v>
      </c>
      <c r="BW664" s="2"/>
      <c r="BX664" s="2"/>
      <c r="BY664" s="2">
        <v>6944</v>
      </c>
      <c r="BZ664" s="2" t="s">
        <v>27</v>
      </c>
      <c r="CA664" s="2" t="s">
        <v>159</v>
      </c>
      <c r="CB664" s="2"/>
      <c r="CC664" s="2" t="s">
        <v>276</v>
      </c>
      <c r="CD664" s="2">
        <v>4126</v>
      </c>
      <c r="CE664" s="2" t="s">
        <v>135</v>
      </c>
      <c r="CF664" s="5">
        <v>42832</v>
      </c>
      <c r="CG664" s="2"/>
      <c r="CH664" s="2"/>
      <c r="CI664" s="2">
        <v>1</v>
      </c>
      <c r="CJ664" s="2">
        <v>1</v>
      </c>
      <c r="CK664" s="2">
        <v>21</v>
      </c>
      <c r="CL664" s="2" t="s">
        <v>86</v>
      </c>
      <c r="CM664" s="2"/>
    </row>
    <row r="665" spans="1:91">
      <c r="A665" s="2" t="s">
        <v>71</v>
      </c>
      <c r="B665" s="2" t="s">
        <v>72</v>
      </c>
      <c r="C665" s="2" t="s">
        <v>73</v>
      </c>
      <c r="D665" s="2"/>
      <c r="E665" s="2" t="str">
        <f>"FES1162543199"</f>
        <v>FES1162543199</v>
      </c>
      <c r="F665" s="3">
        <v>42837</v>
      </c>
      <c r="G665" s="2">
        <v>201710</v>
      </c>
      <c r="H665" s="2" t="s">
        <v>74</v>
      </c>
      <c r="I665" s="2" t="s">
        <v>75</v>
      </c>
      <c r="J665" s="2" t="s">
        <v>76</v>
      </c>
      <c r="K665" s="2" t="s">
        <v>77</v>
      </c>
      <c r="L665" s="2" t="s">
        <v>74</v>
      </c>
      <c r="M665" s="2" t="s">
        <v>75</v>
      </c>
      <c r="N665" s="2" t="s">
        <v>436</v>
      </c>
      <c r="O665" s="2" t="s">
        <v>115</v>
      </c>
      <c r="P665" s="2" t="str">
        <f>"2170561962                    "</f>
        <v xml:space="preserve">2170561962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3.35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1</v>
      </c>
      <c r="BJ665" s="2">
        <v>0.2</v>
      </c>
      <c r="BK665" s="2">
        <v>1</v>
      </c>
      <c r="BL665" s="2">
        <v>32.6</v>
      </c>
      <c r="BM665" s="2">
        <v>4.5599999999999996</v>
      </c>
      <c r="BN665" s="2">
        <v>37.159999999999997</v>
      </c>
      <c r="BO665" s="2">
        <v>37.159999999999997</v>
      </c>
      <c r="BP665" s="2"/>
      <c r="BQ665" s="2" t="s">
        <v>437</v>
      </c>
      <c r="BR665" s="2" t="s">
        <v>84</v>
      </c>
      <c r="BS665" s="3">
        <v>42838</v>
      </c>
      <c r="BT665" s="4">
        <v>0.32222222222222224</v>
      </c>
      <c r="BU665" s="2" t="s">
        <v>1254</v>
      </c>
      <c r="BV665" s="2" t="s">
        <v>111</v>
      </c>
      <c r="BW665" s="2"/>
      <c r="BX665" s="2"/>
      <c r="BY665" s="2">
        <v>1200</v>
      </c>
      <c r="BZ665" s="2" t="s">
        <v>27</v>
      </c>
      <c r="CA665" s="2" t="s">
        <v>383</v>
      </c>
      <c r="CB665" s="2"/>
      <c r="CC665" s="2" t="s">
        <v>75</v>
      </c>
      <c r="CD665" s="2">
        <v>1600</v>
      </c>
      <c r="CE665" s="2" t="s">
        <v>118</v>
      </c>
      <c r="CF665" s="5">
        <v>42838</v>
      </c>
      <c r="CG665" s="2"/>
      <c r="CH665" s="2"/>
      <c r="CI665" s="2">
        <v>1</v>
      </c>
      <c r="CJ665" s="2">
        <v>1</v>
      </c>
      <c r="CK665" s="2">
        <v>22</v>
      </c>
      <c r="CL665" s="2" t="s">
        <v>86</v>
      </c>
      <c r="CM665" s="2"/>
    </row>
    <row r="666" spans="1:91">
      <c r="A666" s="2" t="s">
        <v>71</v>
      </c>
      <c r="B666" s="2" t="s">
        <v>72</v>
      </c>
      <c r="C666" s="2" t="s">
        <v>73</v>
      </c>
      <c r="D666" s="2"/>
      <c r="E666" s="2" t="str">
        <f>"FES1162541967"</f>
        <v>FES1162541967</v>
      </c>
      <c r="F666" s="3">
        <v>42831</v>
      </c>
      <c r="G666" s="2">
        <v>201710</v>
      </c>
      <c r="H666" s="2" t="s">
        <v>74</v>
      </c>
      <c r="I666" s="2" t="s">
        <v>75</v>
      </c>
      <c r="J666" s="2" t="s">
        <v>76</v>
      </c>
      <c r="K666" s="2" t="s">
        <v>77</v>
      </c>
      <c r="L666" s="2" t="s">
        <v>131</v>
      </c>
      <c r="M666" s="2" t="s">
        <v>132</v>
      </c>
      <c r="N666" s="2" t="s">
        <v>1255</v>
      </c>
      <c r="O666" s="2" t="s">
        <v>115</v>
      </c>
      <c r="P666" s="2" t="str">
        <f>"2170560961                    "</f>
        <v xml:space="preserve">2170560961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9.65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4.3</v>
      </c>
      <c r="BJ666" s="2">
        <v>1.8</v>
      </c>
      <c r="BK666" s="2">
        <v>4.5</v>
      </c>
      <c r="BL666" s="2">
        <v>93.89</v>
      </c>
      <c r="BM666" s="2">
        <v>13.14</v>
      </c>
      <c r="BN666" s="2">
        <v>107.03</v>
      </c>
      <c r="BO666" s="2">
        <v>107.03</v>
      </c>
      <c r="BP666" s="2"/>
      <c r="BQ666" s="2" t="s">
        <v>1256</v>
      </c>
      <c r="BR666" s="2" t="s">
        <v>123</v>
      </c>
      <c r="BS666" s="3">
        <v>42835</v>
      </c>
      <c r="BT666" s="4">
        <v>0.33680555555555558</v>
      </c>
      <c r="BU666" s="2" t="s">
        <v>1257</v>
      </c>
      <c r="BV666" s="2" t="s">
        <v>86</v>
      </c>
      <c r="BW666" s="2" t="s">
        <v>484</v>
      </c>
      <c r="BX666" s="2" t="s">
        <v>860</v>
      </c>
      <c r="BY666" s="2">
        <v>8788.2000000000007</v>
      </c>
      <c r="BZ666" s="2" t="s">
        <v>27</v>
      </c>
      <c r="CA666" s="2"/>
      <c r="CB666" s="2"/>
      <c r="CC666" s="2" t="s">
        <v>132</v>
      </c>
      <c r="CD666" s="2">
        <v>7493</v>
      </c>
      <c r="CE666" s="2" t="s">
        <v>135</v>
      </c>
      <c r="CF666" s="5">
        <v>42836</v>
      </c>
      <c r="CG666" s="2"/>
      <c r="CH666" s="2"/>
      <c r="CI666" s="2">
        <v>1</v>
      </c>
      <c r="CJ666" s="2">
        <v>2</v>
      </c>
      <c r="CK666" s="2">
        <v>21</v>
      </c>
      <c r="CL666" s="2" t="s">
        <v>86</v>
      </c>
      <c r="CM666" s="2"/>
    </row>
    <row r="667" spans="1:91">
      <c r="A667" s="2" t="s">
        <v>71</v>
      </c>
      <c r="B667" s="2" t="s">
        <v>72</v>
      </c>
      <c r="C667" s="2" t="s">
        <v>73</v>
      </c>
      <c r="D667" s="2"/>
      <c r="E667" s="2" t="str">
        <f>"FES1162541215"</f>
        <v>FES1162541215</v>
      </c>
      <c r="F667" s="3">
        <v>42829</v>
      </c>
      <c r="G667" s="2">
        <v>201710</v>
      </c>
      <c r="H667" s="2" t="s">
        <v>74</v>
      </c>
      <c r="I667" s="2" t="s">
        <v>75</v>
      </c>
      <c r="J667" s="2" t="s">
        <v>76</v>
      </c>
      <c r="K667" s="2" t="s">
        <v>77</v>
      </c>
      <c r="L667" s="2" t="s">
        <v>126</v>
      </c>
      <c r="M667" s="2" t="s">
        <v>127</v>
      </c>
      <c r="N667" s="2" t="s">
        <v>718</v>
      </c>
      <c r="O667" s="2" t="s">
        <v>115</v>
      </c>
      <c r="P667" s="2" t="str">
        <f>"2170556804                    "</f>
        <v xml:space="preserve">2170556804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5.53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2.4</v>
      </c>
      <c r="BJ667" s="2">
        <v>1.3</v>
      </c>
      <c r="BK667" s="2">
        <v>2.5</v>
      </c>
      <c r="BL667" s="2">
        <v>52.33</v>
      </c>
      <c r="BM667" s="2">
        <v>7.33</v>
      </c>
      <c r="BN667" s="2">
        <v>59.66</v>
      </c>
      <c r="BO667" s="2">
        <v>59.66</v>
      </c>
      <c r="BP667" s="2"/>
      <c r="BQ667" s="2" t="s">
        <v>719</v>
      </c>
      <c r="BR667" s="2" t="s">
        <v>123</v>
      </c>
      <c r="BS667" s="3">
        <v>42830</v>
      </c>
      <c r="BT667" s="4">
        <v>0.41666666666666669</v>
      </c>
      <c r="BU667" s="2" t="s">
        <v>1258</v>
      </c>
      <c r="BV667" s="2" t="s">
        <v>111</v>
      </c>
      <c r="BW667" s="2"/>
      <c r="BX667" s="2"/>
      <c r="BY667" s="2">
        <v>6659.3</v>
      </c>
      <c r="BZ667" s="2" t="s">
        <v>27</v>
      </c>
      <c r="CA667" s="2"/>
      <c r="CB667" s="2"/>
      <c r="CC667" s="2" t="s">
        <v>127</v>
      </c>
      <c r="CD667" s="2">
        <v>6850</v>
      </c>
      <c r="CE667" s="2" t="s">
        <v>135</v>
      </c>
      <c r="CF667" s="5">
        <v>42831</v>
      </c>
      <c r="CG667" s="2"/>
      <c r="CH667" s="2"/>
      <c r="CI667" s="2">
        <v>3</v>
      </c>
      <c r="CJ667" s="2">
        <v>1</v>
      </c>
      <c r="CK667" s="2">
        <v>21</v>
      </c>
      <c r="CL667" s="2" t="s">
        <v>86</v>
      </c>
      <c r="CM667" s="2"/>
    </row>
    <row r="668" spans="1:91">
      <c r="A668" s="2" t="s">
        <v>71</v>
      </c>
      <c r="B668" s="2" t="s">
        <v>72</v>
      </c>
      <c r="C668" s="2" t="s">
        <v>73</v>
      </c>
      <c r="D668" s="2"/>
      <c r="E668" s="2" t="str">
        <f>"FES1162542912"</f>
        <v>FES1162542912</v>
      </c>
      <c r="F668" s="3">
        <v>42836</v>
      </c>
      <c r="G668" s="2">
        <v>201710</v>
      </c>
      <c r="H668" s="2" t="s">
        <v>74</v>
      </c>
      <c r="I668" s="2" t="s">
        <v>75</v>
      </c>
      <c r="J668" s="2" t="s">
        <v>76</v>
      </c>
      <c r="K668" s="2" t="s">
        <v>77</v>
      </c>
      <c r="L668" s="2" t="s">
        <v>99</v>
      </c>
      <c r="M668" s="2" t="s">
        <v>100</v>
      </c>
      <c r="N668" s="2" t="s">
        <v>700</v>
      </c>
      <c r="O668" s="2" t="s">
        <v>115</v>
      </c>
      <c r="P668" s="2" t="str">
        <f>"2170559176                    "</f>
        <v xml:space="preserve">2170559176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8.57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4</v>
      </c>
      <c r="BJ668" s="2">
        <v>3.4</v>
      </c>
      <c r="BK668" s="2">
        <v>4</v>
      </c>
      <c r="BL668" s="2">
        <v>83.45</v>
      </c>
      <c r="BM668" s="2">
        <v>11.68</v>
      </c>
      <c r="BN668" s="2">
        <v>95.13</v>
      </c>
      <c r="BO668" s="2">
        <v>95.13</v>
      </c>
      <c r="BP668" s="2"/>
      <c r="BQ668" s="2" t="s">
        <v>701</v>
      </c>
      <c r="BR668" s="2" t="s">
        <v>123</v>
      </c>
      <c r="BS668" s="3">
        <v>42837</v>
      </c>
      <c r="BT668" s="4">
        <v>0.41666666666666669</v>
      </c>
      <c r="BU668" s="2" t="s">
        <v>838</v>
      </c>
      <c r="BV668" s="2" t="s">
        <v>111</v>
      </c>
      <c r="BW668" s="2"/>
      <c r="BX668" s="2"/>
      <c r="BY668" s="2">
        <v>16965</v>
      </c>
      <c r="BZ668" s="2" t="s">
        <v>27</v>
      </c>
      <c r="CA668" s="2" t="s">
        <v>106</v>
      </c>
      <c r="CB668" s="2"/>
      <c r="CC668" s="2" t="s">
        <v>100</v>
      </c>
      <c r="CD668" s="2">
        <v>6001</v>
      </c>
      <c r="CE668" s="2" t="s">
        <v>135</v>
      </c>
      <c r="CF668" s="5">
        <v>42837</v>
      </c>
      <c r="CG668" s="2"/>
      <c r="CH668" s="2"/>
      <c r="CI668" s="2">
        <v>1</v>
      </c>
      <c r="CJ668" s="2">
        <v>1</v>
      </c>
      <c r="CK668" s="2">
        <v>21</v>
      </c>
      <c r="CL668" s="2" t="s">
        <v>86</v>
      </c>
      <c r="CM668" s="2"/>
    </row>
    <row r="669" spans="1:91">
      <c r="A669" s="2" t="s">
        <v>71</v>
      </c>
      <c r="B669" s="2" t="s">
        <v>72</v>
      </c>
      <c r="C669" s="2" t="s">
        <v>73</v>
      </c>
      <c r="D669" s="2"/>
      <c r="E669" s="2" t="str">
        <f>"FES1162541756"</f>
        <v>FES1162541756</v>
      </c>
      <c r="F669" s="3">
        <v>42830</v>
      </c>
      <c r="G669" s="2">
        <v>201710</v>
      </c>
      <c r="H669" s="2" t="s">
        <v>74</v>
      </c>
      <c r="I669" s="2" t="s">
        <v>75</v>
      </c>
      <c r="J669" s="2" t="s">
        <v>76</v>
      </c>
      <c r="K669" s="2" t="s">
        <v>77</v>
      </c>
      <c r="L669" s="2" t="s">
        <v>180</v>
      </c>
      <c r="M669" s="2" t="s">
        <v>181</v>
      </c>
      <c r="N669" s="2" t="s">
        <v>1133</v>
      </c>
      <c r="O669" s="2" t="s">
        <v>1014</v>
      </c>
      <c r="P669" s="2" t="str">
        <f>"2170555520                    "</f>
        <v xml:space="preserve">2170555520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24.11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12</v>
      </c>
      <c r="BJ669" s="2">
        <v>7.4</v>
      </c>
      <c r="BK669" s="2">
        <v>12</v>
      </c>
      <c r="BL669" s="2">
        <v>234.71</v>
      </c>
      <c r="BM669" s="2">
        <v>32.86</v>
      </c>
      <c r="BN669" s="2">
        <v>267.57</v>
      </c>
      <c r="BO669" s="2">
        <v>267.57</v>
      </c>
      <c r="BP669" s="2"/>
      <c r="BQ669" s="2" t="s">
        <v>1134</v>
      </c>
      <c r="BR669" s="2" t="s">
        <v>123</v>
      </c>
      <c r="BS669" s="3">
        <v>42831</v>
      </c>
      <c r="BT669" s="4">
        <v>0.4375</v>
      </c>
      <c r="BU669" s="2" t="s">
        <v>1241</v>
      </c>
      <c r="BV669" s="2" t="s">
        <v>111</v>
      </c>
      <c r="BW669" s="2"/>
      <c r="BX669" s="2"/>
      <c r="BY669" s="2">
        <v>37032.660000000003</v>
      </c>
      <c r="BZ669" s="2" t="s">
        <v>27</v>
      </c>
      <c r="CA669" s="2"/>
      <c r="CB669" s="2"/>
      <c r="CC669" s="2" t="s">
        <v>181</v>
      </c>
      <c r="CD669" s="2">
        <v>4064</v>
      </c>
      <c r="CE669" s="2" t="s">
        <v>89</v>
      </c>
      <c r="CF669" s="5">
        <v>42832</v>
      </c>
      <c r="CG669" s="2"/>
      <c r="CH669" s="2"/>
      <c r="CI669" s="2">
        <v>1</v>
      </c>
      <c r="CJ669" s="2">
        <v>1</v>
      </c>
      <c r="CK669" s="2">
        <v>31</v>
      </c>
      <c r="CL669" s="2" t="s">
        <v>86</v>
      </c>
      <c r="CM669" s="2"/>
    </row>
    <row r="670" spans="1:91">
      <c r="A670" s="2" t="s">
        <v>71</v>
      </c>
      <c r="B670" s="2" t="s">
        <v>72</v>
      </c>
      <c r="C670" s="2" t="s">
        <v>73</v>
      </c>
      <c r="D670" s="2"/>
      <c r="E670" s="2" t="str">
        <f>"FES1162541616"</f>
        <v>FES1162541616</v>
      </c>
      <c r="F670" s="3">
        <v>42830</v>
      </c>
      <c r="G670" s="2">
        <v>201710</v>
      </c>
      <c r="H670" s="2" t="s">
        <v>74</v>
      </c>
      <c r="I670" s="2" t="s">
        <v>75</v>
      </c>
      <c r="J670" s="2" t="s">
        <v>76</v>
      </c>
      <c r="K670" s="2" t="s">
        <v>77</v>
      </c>
      <c r="L670" s="2" t="s">
        <v>396</v>
      </c>
      <c r="M670" s="2" t="s">
        <v>397</v>
      </c>
      <c r="N670" s="2" t="s">
        <v>398</v>
      </c>
      <c r="O670" s="2" t="s">
        <v>115</v>
      </c>
      <c r="P670" s="2" t="str">
        <f>"2170557903                    "</f>
        <v xml:space="preserve">2170557903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20.36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7.3</v>
      </c>
      <c r="BJ670" s="2">
        <v>9.3000000000000007</v>
      </c>
      <c r="BK670" s="2">
        <v>9.5</v>
      </c>
      <c r="BL670" s="2">
        <v>198.2</v>
      </c>
      <c r="BM670" s="2">
        <v>27.75</v>
      </c>
      <c r="BN670" s="2">
        <v>225.95</v>
      </c>
      <c r="BO670" s="2">
        <v>225.95</v>
      </c>
      <c r="BP670" s="2"/>
      <c r="BQ670" s="2" t="s">
        <v>399</v>
      </c>
      <c r="BR670" s="2" t="s">
        <v>123</v>
      </c>
      <c r="BS670" s="3">
        <v>42831</v>
      </c>
      <c r="BT670" s="4">
        <v>0.4375</v>
      </c>
      <c r="BU670" s="2" t="s">
        <v>632</v>
      </c>
      <c r="BV670" s="2" t="s">
        <v>111</v>
      </c>
      <c r="BW670" s="2"/>
      <c r="BX670" s="2"/>
      <c r="BY670" s="2">
        <v>46712.74</v>
      </c>
      <c r="BZ670" s="2" t="s">
        <v>27</v>
      </c>
      <c r="CA670" s="2" t="s">
        <v>159</v>
      </c>
      <c r="CB670" s="2"/>
      <c r="CC670" s="2" t="s">
        <v>397</v>
      </c>
      <c r="CD670" s="2">
        <v>4300</v>
      </c>
      <c r="CE670" s="2" t="s">
        <v>135</v>
      </c>
      <c r="CF670" s="5">
        <v>42832</v>
      </c>
      <c r="CG670" s="2"/>
      <c r="CH670" s="2"/>
      <c r="CI670" s="2">
        <v>1</v>
      </c>
      <c r="CJ670" s="2">
        <v>1</v>
      </c>
      <c r="CK670" s="2">
        <v>21</v>
      </c>
      <c r="CL670" s="2" t="s">
        <v>86</v>
      </c>
      <c r="CM670" s="2"/>
    </row>
    <row r="671" spans="1:91">
      <c r="A671" s="2" t="s">
        <v>71</v>
      </c>
      <c r="B671" s="2" t="s">
        <v>72</v>
      </c>
      <c r="C671" s="2" t="s">
        <v>73</v>
      </c>
      <c r="D671" s="2"/>
      <c r="E671" s="2" t="str">
        <f>"FES1162543207"</f>
        <v>FES1162543207</v>
      </c>
      <c r="F671" s="3">
        <v>42837</v>
      </c>
      <c r="G671" s="2">
        <v>201710</v>
      </c>
      <c r="H671" s="2" t="s">
        <v>74</v>
      </c>
      <c r="I671" s="2" t="s">
        <v>75</v>
      </c>
      <c r="J671" s="2" t="s">
        <v>76</v>
      </c>
      <c r="K671" s="2" t="s">
        <v>77</v>
      </c>
      <c r="L671" s="2" t="s">
        <v>99</v>
      </c>
      <c r="M671" s="2" t="s">
        <v>100</v>
      </c>
      <c r="N671" s="2" t="s">
        <v>151</v>
      </c>
      <c r="O671" s="2" t="s">
        <v>115</v>
      </c>
      <c r="P671" s="2" t="str">
        <f>"2170561968                    "</f>
        <v xml:space="preserve">2170561968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6.43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0.4</v>
      </c>
      <c r="BJ671" s="2">
        <v>2.8</v>
      </c>
      <c r="BK671" s="2">
        <v>3</v>
      </c>
      <c r="BL671" s="2">
        <v>62.59</v>
      </c>
      <c r="BM671" s="2">
        <v>8.76</v>
      </c>
      <c r="BN671" s="2">
        <v>71.349999999999994</v>
      </c>
      <c r="BO671" s="2">
        <v>71.349999999999994</v>
      </c>
      <c r="BP671" s="2"/>
      <c r="BQ671" s="2" t="s">
        <v>152</v>
      </c>
      <c r="BR671" s="2" t="s">
        <v>84</v>
      </c>
      <c r="BS671" s="3">
        <v>42838</v>
      </c>
      <c r="BT671" s="4">
        <v>0.33680555555555558</v>
      </c>
      <c r="BU671" s="2" t="s">
        <v>245</v>
      </c>
      <c r="BV671" s="2" t="s">
        <v>111</v>
      </c>
      <c r="BW671" s="2"/>
      <c r="BX671" s="2"/>
      <c r="BY671" s="2">
        <v>13804.18</v>
      </c>
      <c r="BZ671" s="2" t="s">
        <v>27</v>
      </c>
      <c r="CA671" s="2"/>
      <c r="CB671" s="2"/>
      <c r="CC671" s="2" t="s">
        <v>100</v>
      </c>
      <c r="CD671" s="2">
        <v>6001</v>
      </c>
      <c r="CE671" s="2" t="s">
        <v>118</v>
      </c>
      <c r="CF671" s="5">
        <v>42843</v>
      </c>
      <c r="CG671" s="2"/>
      <c r="CH671" s="2"/>
      <c r="CI671" s="2">
        <v>1</v>
      </c>
      <c r="CJ671" s="2">
        <v>1</v>
      </c>
      <c r="CK671" s="2">
        <v>21</v>
      </c>
      <c r="CL671" s="2" t="s">
        <v>86</v>
      </c>
      <c r="CM671" s="2"/>
    </row>
    <row r="672" spans="1:91">
      <c r="A672" s="2" t="s">
        <v>71</v>
      </c>
      <c r="B672" s="2" t="s">
        <v>72</v>
      </c>
      <c r="C672" s="2" t="s">
        <v>73</v>
      </c>
      <c r="D672" s="2"/>
      <c r="E672" s="2" t="str">
        <f>"FES1162541947"</f>
        <v>FES1162541947</v>
      </c>
      <c r="F672" s="3">
        <v>42831</v>
      </c>
      <c r="G672" s="2">
        <v>201710</v>
      </c>
      <c r="H672" s="2" t="s">
        <v>74</v>
      </c>
      <c r="I672" s="2" t="s">
        <v>75</v>
      </c>
      <c r="J672" s="2" t="s">
        <v>76</v>
      </c>
      <c r="K672" s="2" t="s">
        <v>77</v>
      </c>
      <c r="L672" s="2" t="s">
        <v>598</v>
      </c>
      <c r="M672" s="2" t="s">
        <v>599</v>
      </c>
      <c r="N672" s="2" t="s">
        <v>600</v>
      </c>
      <c r="O672" s="2" t="s">
        <v>115</v>
      </c>
      <c r="P672" s="2" t="str">
        <f>"2170560937                    "</f>
        <v xml:space="preserve">2170560937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8.31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1</v>
      </c>
      <c r="BJ672" s="2">
        <v>0.2</v>
      </c>
      <c r="BK672" s="2">
        <v>1</v>
      </c>
      <c r="BL672" s="2">
        <v>80.849999999999994</v>
      </c>
      <c r="BM672" s="2">
        <v>11.32</v>
      </c>
      <c r="BN672" s="2">
        <v>92.17</v>
      </c>
      <c r="BO672" s="2">
        <v>92.17</v>
      </c>
      <c r="BP672" s="2"/>
      <c r="BQ672" s="2" t="s">
        <v>601</v>
      </c>
      <c r="BR672" s="2" t="s">
        <v>123</v>
      </c>
      <c r="BS672" s="3">
        <v>42832</v>
      </c>
      <c r="BT672" s="4">
        <v>0.62152777777777779</v>
      </c>
      <c r="BU672" s="2" t="s">
        <v>602</v>
      </c>
      <c r="BV672" s="2" t="s">
        <v>111</v>
      </c>
      <c r="BW672" s="2"/>
      <c r="BX672" s="2"/>
      <c r="BY672" s="2">
        <v>1200</v>
      </c>
      <c r="BZ672" s="2" t="s">
        <v>27</v>
      </c>
      <c r="CA672" s="2"/>
      <c r="CB672" s="2"/>
      <c r="CC672" s="2" t="s">
        <v>599</v>
      </c>
      <c r="CD672" s="2">
        <v>3370</v>
      </c>
      <c r="CE672" s="2" t="s">
        <v>144</v>
      </c>
      <c r="CF672" s="5">
        <v>42836</v>
      </c>
      <c r="CG672" s="2"/>
      <c r="CH672" s="2"/>
      <c r="CI672" s="2">
        <v>3</v>
      </c>
      <c r="CJ672" s="2">
        <v>1</v>
      </c>
      <c r="CK672" s="2">
        <v>23</v>
      </c>
      <c r="CL672" s="2" t="s">
        <v>86</v>
      </c>
      <c r="CM672" s="2"/>
    </row>
    <row r="673" spans="1:91">
      <c r="A673" s="2" t="s">
        <v>71</v>
      </c>
      <c r="B673" s="2" t="s">
        <v>72</v>
      </c>
      <c r="C673" s="2" t="s">
        <v>73</v>
      </c>
      <c r="D673" s="2"/>
      <c r="E673" s="2" t="str">
        <f>"FES1162541388"</f>
        <v>FES1162541388</v>
      </c>
      <c r="F673" s="3">
        <v>42829</v>
      </c>
      <c r="G673" s="2">
        <v>201710</v>
      </c>
      <c r="H673" s="2" t="s">
        <v>74</v>
      </c>
      <c r="I673" s="2" t="s">
        <v>75</v>
      </c>
      <c r="J673" s="2" t="s">
        <v>76</v>
      </c>
      <c r="K673" s="2" t="s">
        <v>77</v>
      </c>
      <c r="L673" s="2" t="s">
        <v>99</v>
      </c>
      <c r="M673" s="2" t="s">
        <v>100</v>
      </c>
      <c r="N673" s="2" t="s">
        <v>583</v>
      </c>
      <c r="O673" s="2" t="s">
        <v>115</v>
      </c>
      <c r="P673" s="2" t="str">
        <f>"2170560472                    "</f>
        <v xml:space="preserve">2170560472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4.42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2</v>
      </c>
      <c r="BJ673" s="2">
        <v>1.8</v>
      </c>
      <c r="BK673" s="2">
        <v>2</v>
      </c>
      <c r="BL673" s="2">
        <v>41.86</v>
      </c>
      <c r="BM673" s="2">
        <v>5.86</v>
      </c>
      <c r="BN673" s="2">
        <v>47.72</v>
      </c>
      <c r="BO673" s="2">
        <v>47.72</v>
      </c>
      <c r="BP673" s="2"/>
      <c r="BQ673" s="2" t="s">
        <v>584</v>
      </c>
      <c r="BR673" s="2" t="s">
        <v>123</v>
      </c>
      <c r="BS673" s="3">
        <v>42830</v>
      </c>
      <c r="BT673" s="4">
        <v>0.46666666666666662</v>
      </c>
      <c r="BU673" s="2" t="s">
        <v>585</v>
      </c>
      <c r="BV673" s="2" t="s">
        <v>86</v>
      </c>
      <c r="BW673" s="2" t="s">
        <v>96</v>
      </c>
      <c r="BX673" s="2" t="s">
        <v>1140</v>
      </c>
      <c r="BY673" s="2">
        <v>8803.08</v>
      </c>
      <c r="BZ673" s="2" t="s">
        <v>27</v>
      </c>
      <c r="CA673" s="2" t="s">
        <v>154</v>
      </c>
      <c r="CB673" s="2"/>
      <c r="CC673" s="2" t="s">
        <v>100</v>
      </c>
      <c r="CD673" s="2">
        <v>6001</v>
      </c>
      <c r="CE673" s="2" t="s">
        <v>135</v>
      </c>
      <c r="CF673" s="5">
        <v>42830</v>
      </c>
      <c r="CG673" s="2"/>
      <c r="CH673" s="2"/>
      <c r="CI673" s="2">
        <v>1</v>
      </c>
      <c r="CJ673" s="2">
        <v>1</v>
      </c>
      <c r="CK673" s="2">
        <v>21</v>
      </c>
      <c r="CL673" s="2" t="s">
        <v>86</v>
      </c>
      <c r="CM673" s="2"/>
    </row>
    <row r="674" spans="1:91">
      <c r="A674" s="2" t="s">
        <v>71</v>
      </c>
      <c r="B674" s="2" t="s">
        <v>72</v>
      </c>
      <c r="C674" s="2" t="s">
        <v>73</v>
      </c>
      <c r="D674" s="2"/>
      <c r="E674" s="2" t="str">
        <f>"FES1162542699"</f>
        <v>FES1162542699</v>
      </c>
      <c r="F674" s="3">
        <v>42836</v>
      </c>
      <c r="G674" s="2">
        <v>201710</v>
      </c>
      <c r="H674" s="2" t="s">
        <v>74</v>
      </c>
      <c r="I674" s="2" t="s">
        <v>75</v>
      </c>
      <c r="J674" s="2" t="s">
        <v>76</v>
      </c>
      <c r="K674" s="2" t="s">
        <v>77</v>
      </c>
      <c r="L674" s="2" t="s">
        <v>166</v>
      </c>
      <c r="M674" s="2" t="s">
        <v>167</v>
      </c>
      <c r="N674" s="2" t="s">
        <v>1259</v>
      </c>
      <c r="O674" s="2" t="s">
        <v>115</v>
      </c>
      <c r="P674" s="2" t="str">
        <f>"2170558753                    "</f>
        <v xml:space="preserve">2170558753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3.35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1.1000000000000001</v>
      </c>
      <c r="BJ674" s="2">
        <v>1.7</v>
      </c>
      <c r="BK674" s="2">
        <v>2</v>
      </c>
      <c r="BL674" s="2">
        <v>32.6</v>
      </c>
      <c r="BM674" s="2">
        <v>4.5599999999999996</v>
      </c>
      <c r="BN674" s="2">
        <v>37.159999999999997</v>
      </c>
      <c r="BO674" s="2">
        <v>37.159999999999997</v>
      </c>
      <c r="BP674" s="2"/>
      <c r="BQ674" s="2" t="s">
        <v>122</v>
      </c>
      <c r="BR674" s="2" t="s">
        <v>123</v>
      </c>
      <c r="BS674" s="3">
        <v>42837</v>
      </c>
      <c r="BT674" s="4">
        <v>0.41666666666666669</v>
      </c>
      <c r="BU674" s="2" t="s">
        <v>1260</v>
      </c>
      <c r="BV674" s="2" t="s">
        <v>111</v>
      </c>
      <c r="BW674" s="2"/>
      <c r="BX674" s="2"/>
      <c r="BY674" s="2">
        <v>8653.73</v>
      </c>
      <c r="BZ674" s="2" t="s">
        <v>27</v>
      </c>
      <c r="CA674" s="2"/>
      <c r="CB674" s="2"/>
      <c r="CC674" s="2" t="s">
        <v>167</v>
      </c>
      <c r="CD674" s="2">
        <v>1723</v>
      </c>
      <c r="CE674" s="2" t="s">
        <v>135</v>
      </c>
      <c r="CF674" s="5">
        <v>42838</v>
      </c>
      <c r="CG674" s="2"/>
      <c r="CH674" s="2"/>
      <c r="CI674" s="2">
        <v>1</v>
      </c>
      <c r="CJ674" s="2">
        <v>1</v>
      </c>
      <c r="CK674" s="2">
        <v>22</v>
      </c>
      <c r="CL674" s="2" t="s">
        <v>86</v>
      </c>
      <c r="CM674" s="2"/>
    </row>
    <row r="675" spans="1:91">
      <c r="A675" s="2" t="s">
        <v>71</v>
      </c>
      <c r="B675" s="2" t="s">
        <v>72</v>
      </c>
      <c r="C675" s="2" t="s">
        <v>73</v>
      </c>
      <c r="D675" s="2"/>
      <c r="E675" s="2" t="str">
        <f>"FES1162541823"</f>
        <v>FES1162541823</v>
      </c>
      <c r="F675" s="3">
        <v>42830</v>
      </c>
      <c r="G675" s="2">
        <v>201710</v>
      </c>
      <c r="H675" s="2" t="s">
        <v>74</v>
      </c>
      <c r="I675" s="2" t="s">
        <v>75</v>
      </c>
      <c r="J675" s="2" t="s">
        <v>76</v>
      </c>
      <c r="K675" s="2" t="s">
        <v>77</v>
      </c>
      <c r="L675" s="2" t="s">
        <v>131</v>
      </c>
      <c r="M675" s="2" t="s">
        <v>132</v>
      </c>
      <c r="N675" s="2" t="s">
        <v>1261</v>
      </c>
      <c r="O675" s="2" t="s">
        <v>115</v>
      </c>
      <c r="P675" s="2" t="str">
        <f>"2170559346                    "</f>
        <v xml:space="preserve">2170559346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4.29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1</v>
      </c>
      <c r="BJ675" s="2">
        <v>0.2</v>
      </c>
      <c r="BK675" s="2">
        <v>1</v>
      </c>
      <c r="BL675" s="2">
        <v>41.73</v>
      </c>
      <c r="BM675" s="2">
        <v>5.84</v>
      </c>
      <c r="BN675" s="2">
        <v>47.57</v>
      </c>
      <c r="BO675" s="2">
        <v>47.57</v>
      </c>
      <c r="BP675" s="2"/>
      <c r="BQ675" s="2" t="s">
        <v>129</v>
      </c>
      <c r="BR675" s="2" t="s">
        <v>123</v>
      </c>
      <c r="BS675" s="3">
        <v>42831</v>
      </c>
      <c r="BT675" s="4">
        <v>0.4375</v>
      </c>
      <c r="BU675" s="2" t="s">
        <v>1262</v>
      </c>
      <c r="BV675" s="2" t="s">
        <v>111</v>
      </c>
      <c r="BW675" s="2"/>
      <c r="BX675" s="2"/>
      <c r="BY675" s="2">
        <v>1200</v>
      </c>
      <c r="BZ675" s="2" t="s">
        <v>27</v>
      </c>
      <c r="CA675" s="2"/>
      <c r="CB675" s="2"/>
      <c r="CC675" s="2" t="s">
        <v>132</v>
      </c>
      <c r="CD675" s="2">
        <v>7530</v>
      </c>
      <c r="CE675" s="2" t="s">
        <v>118</v>
      </c>
      <c r="CF675" s="5">
        <v>42832</v>
      </c>
      <c r="CG675" s="2"/>
      <c r="CH675" s="2"/>
      <c r="CI675" s="2">
        <v>1</v>
      </c>
      <c r="CJ675" s="2">
        <v>1</v>
      </c>
      <c r="CK675" s="2">
        <v>21</v>
      </c>
      <c r="CL675" s="2" t="s">
        <v>86</v>
      </c>
      <c r="CM675" s="2"/>
    </row>
    <row r="676" spans="1:91">
      <c r="A676" s="2" t="s">
        <v>71</v>
      </c>
      <c r="B676" s="2" t="s">
        <v>72</v>
      </c>
      <c r="C676" s="2" t="s">
        <v>73</v>
      </c>
      <c r="D676" s="2"/>
      <c r="E676" s="2" t="str">
        <f>"FES1162543190"</f>
        <v>FES1162543190</v>
      </c>
      <c r="F676" s="3">
        <v>42837</v>
      </c>
      <c r="G676" s="2">
        <v>201710</v>
      </c>
      <c r="H676" s="2" t="s">
        <v>74</v>
      </c>
      <c r="I676" s="2" t="s">
        <v>75</v>
      </c>
      <c r="J676" s="2" t="s">
        <v>76</v>
      </c>
      <c r="K676" s="2" t="s">
        <v>77</v>
      </c>
      <c r="L676" s="2" t="s">
        <v>358</v>
      </c>
      <c r="M676" s="2" t="s">
        <v>359</v>
      </c>
      <c r="N676" s="2" t="s">
        <v>360</v>
      </c>
      <c r="O676" s="2" t="s">
        <v>115</v>
      </c>
      <c r="P676" s="2" t="str">
        <f>"2170561117                    "</f>
        <v xml:space="preserve">2170561117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4.29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1.2</v>
      </c>
      <c r="BJ676" s="2">
        <v>1.7</v>
      </c>
      <c r="BK676" s="2">
        <v>2</v>
      </c>
      <c r="BL676" s="2">
        <v>41.73</v>
      </c>
      <c r="BM676" s="2">
        <v>5.84</v>
      </c>
      <c r="BN676" s="2">
        <v>47.57</v>
      </c>
      <c r="BO676" s="2">
        <v>47.57</v>
      </c>
      <c r="BP676" s="2"/>
      <c r="BQ676" s="2" t="s">
        <v>361</v>
      </c>
      <c r="BR676" s="2" t="s">
        <v>84</v>
      </c>
      <c r="BS676" s="3">
        <v>42838</v>
      </c>
      <c r="BT676" s="4">
        <v>0.33333333333333331</v>
      </c>
      <c r="BU676" s="2" t="s">
        <v>362</v>
      </c>
      <c r="BV676" s="2" t="s">
        <v>111</v>
      </c>
      <c r="BW676" s="2"/>
      <c r="BX676" s="2"/>
      <c r="BY676" s="2">
        <v>8287.77</v>
      </c>
      <c r="BZ676" s="2" t="s">
        <v>27</v>
      </c>
      <c r="CA676" s="2" t="s">
        <v>159</v>
      </c>
      <c r="CB676" s="2"/>
      <c r="CC676" s="2" t="s">
        <v>359</v>
      </c>
      <c r="CD676" s="2">
        <v>6229</v>
      </c>
      <c r="CE676" s="2" t="s">
        <v>118</v>
      </c>
      <c r="CF676" s="5">
        <v>42843</v>
      </c>
      <c r="CG676" s="2"/>
      <c r="CH676" s="2"/>
      <c r="CI676" s="2">
        <v>1</v>
      </c>
      <c r="CJ676" s="2">
        <v>1</v>
      </c>
      <c r="CK676" s="2">
        <v>21</v>
      </c>
      <c r="CL676" s="2" t="s">
        <v>86</v>
      </c>
      <c r="CM676" s="2"/>
    </row>
    <row r="677" spans="1:91">
      <c r="A677" s="2" t="s">
        <v>71</v>
      </c>
      <c r="B677" s="2" t="s">
        <v>72</v>
      </c>
      <c r="C677" s="2" t="s">
        <v>73</v>
      </c>
      <c r="D677" s="2"/>
      <c r="E677" s="2" t="str">
        <f>"FES1162541917"</f>
        <v>FES1162541917</v>
      </c>
      <c r="F677" s="3">
        <v>42831</v>
      </c>
      <c r="G677" s="2">
        <v>201710</v>
      </c>
      <c r="H677" s="2" t="s">
        <v>74</v>
      </c>
      <c r="I677" s="2" t="s">
        <v>75</v>
      </c>
      <c r="J677" s="2" t="s">
        <v>76</v>
      </c>
      <c r="K677" s="2" t="s">
        <v>77</v>
      </c>
      <c r="L677" s="2" t="s">
        <v>609</v>
      </c>
      <c r="M677" s="2" t="s">
        <v>610</v>
      </c>
      <c r="N677" s="2" t="s">
        <v>1263</v>
      </c>
      <c r="O677" s="2" t="s">
        <v>115</v>
      </c>
      <c r="P677" s="2" t="str">
        <f>"2170560511                    "</f>
        <v xml:space="preserve">2170560511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4.29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1.9</v>
      </c>
      <c r="BJ677" s="2">
        <v>0.2</v>
      </c>
      <c r="BK677" s="2">
        <v>2</v>
      </c>
      <c r="BL677" s="2">
        <v>41.73</v>
      </c>
      <c r="BM677" s="2">
        <v>5.84</v>
      </c>
      <c r="BN677" s="2">
        <v>47.57</v>
      </c>
      <c r="BO677" s="2">
        <v>47.57</v>
      </c>
      <c r="BP677" s="2"/>
      <c r="BQ677" s="2" t="s">
        <v>1264</v>
      </c>
      <c r="BR677" s="2" t="s">
        <v>123</v>
      </c>
      <c r="BS677" s="3">
        <v>42832</v>
      </c>
      <c r="BT677" s="4">
        <v>0.5</v>
      </c>
      <c r="BU677" s="2" t="s">
        <v>1265</v>
      </c>
      <c r="BV677" s="2" t="s">
        <v>86</v>
      </c>
      <c r="BW677" s="2" t="s">
        <v>96</v>
      </c>
      <c r="BX677" s="2" t="s">
        <v>1266</v>
      </c>
      <c r="BY677" s="2">
        <v>1200</v>
      </c>
      <c r="BZ677" s="2" t="s">
        <v>27</v>
      </c>
      <c r="CA677" s="2"/>
      <c r="CB677" s="2"/>
      <c r="CC677" s="2" t="s">
        <v>610</v>
      </c>
      <c r="CD677" s="2">
        <v>1900</v>
      </c>
      <c r="CE677" s="2" t="s">
        <v>144</v>
      </c>
      <c r="CF677" s="5">
        <v>42835</v>
      </c>
      <c r="CG677" s="2"/>
      <c r="CH677" s="2"/>
      <c r="CI677" s="2">
        <v>1</v>
      </c>
      <c r="CJ677" s="2">
        <v>1</v>
      </c>
      <c r="CK677" s="2">
        <v>21</v>
      </c>
      <c r="CL677" s="2" t="s">
        <v>86</v>
      </c>
      <c r="CM677" s="2"/>
    </row>
    <row r="678" spans="1:91">
      <c r="A678" s="2" t="s">
        <v>71</v>
      </c>
      <c r="B678" s="2" t="s">
        <v>72</v>
      </c>
      <c r="C678" s="2" t="s">
        <v>73</v>
      </c>
      <c r="D678" s="2"/>
      <c r="E678" s="2" t="str">
        <f>"FES1162541405"</f>
        <v>FES1162541405</v>
      </c>
      <c r="F678" s="3">
        <v>42829</v>
      </c>
      <c r="G678" s="2">
        <v>201710</v>
      </c>
      <c r="H678" s="2" t="s">
        <v>74</v>
      </c>
      <c r="I678" s="2" t="s">
        <v>75</v>
      </c>
      <c r="J678" s="2" t="s">
        <v>76</v>
      </c>
      <c r="K678" s="2" t="s">
        <v>77</v>
      </c>
      <c r="L678" s="2" t="s">
        <v>598</v>
      </c>
      <c r="M678" s="2" t="s">
        <v>599</v>
      </c>
      <c r="N678" s="2" t="s">
        <v>600</v>
      </c>
      <c r="O678" s="2" t="s">
        <v>115</v>
      </c>
      <c r="P678" s="2" t="str">
        <f>"2170560440                    "</f>
        <v xml:space="preserve">2170560440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8.57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2</v>
      </c>
      <c r="BJ678" s="2">
        <v>1</v>
      </c>
      <c r="BK678" s="2">
        <v>2</v>
      </c>
      <c r="BL678" s="2">
        <v>81.11</v>
      </c>
      <c r="BM678" s="2">
        <v>11.36</v>
      </c>
      <c r="BN678" s="2">
        <v>92.47</v>
      </c>
      <c r="BO678" s="2">
        <v>92.47</v>
      </c>
      <c r="BP678" s="2"/>
      <c r="BQ678" s="2" t="s">
        <v>601</v>
      </c>
      <c r="BR678" s="2" t="s">
        <v>123</v>
      </c>
      <c r="BS678" s="3">
        <v>42830</v>
      </c>
      <c r="BT678" s="4">
        <v>0.59861111111111109</v>
      </c>
      <c r="BU678" s="2" t="s">
        <v>602</v>
      </c>
      <c r="BV678" s="2" t="s">
        <v>111</v>
      </c>
      <c r="BW678" s="2"/>
      <c r="BX678" s="2"/>
      <c r="BY678" s="2">
        <v>4943.51</v>
      </c>
      <c r="BZ678" s="2" t="s">
        <v>27</v>
      </c>
      <c r="CA678" s="2"/>
      <c r="CB678" s="2"/>
      <c r="CC678" s="2" t="s">
        <v>599</v>
      </c>
      <c r="CD678" s="2">
        <v>3370</v>
      </c>
      <c r="CE678" s="2" t="s">
        <v>135</v>
      </c>
      <c r="CF678" s="5">
        <v>42832</v>
      </c>
      <c r="CG678" s="2"/>
      <c r="CH678" s="2"/>
      <c r="CI678" s="2">
        <v>3</v>
      </c>
      <c r="CJ678" s="2">
        <v>1</v>
      </c>
      <c r="CK678" s="2">
        <v>23</v>
      </c>
      <c r="CL678" s="2" t="s">
        <v>86</v>
      </c>
      <c r="CM678" s="2"/>
    </row>
    <row r="679" spans="1:91">
      <c r="A679" s="2" t="s">
        <v>71</v>
      </c>
      <c r="B679" s="2" t="s">
        <v>72</v>
      </c>
      <c r="C679" s="2" t="s">
        <v>73</v>
      </c>
      <c r="D679" s="2"/>
      <c r="E679" s="2" t="str">
        <f>"FES1162542990"</f>
        <v>FES1162542990</v>
      </c>
      <c r="F679" s="3">
        <v>42836</v>
      </c>
      <c r="G679" s="2">
        <v>201710</v>
      </c>
      <c r="H679" s="2" t="s">
        <v>74</v>
      </c>
      <c r="I679" s="2" t="s">
        <v>75</v>
      </c>
      <c r="J679" s="2" t="s">
        <v>76</v>
      </c>
      <c r="K679" s="2" t="s">
        <v>77</v>
      </c>
      <c r="L679" s="2" t="s">
        <v>1032</v>
      </c>
      <c r="M679" s="2" t="s">
        <v>1033</v>
      </c>
      <c r="N679" s="2" t="s">
        <v>1034</v>
      </c>
      <c r="O679" s="2" t="s">
        <v>115</v>
      </c>
      <c r="P679" s="2" t="str">
        <f>"2170561778                    "</f>
        <v xml:space="preserve">2170561778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8.31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2</v>
      </c>
      <c r="BJ679" s="2">
        <v>0.8</v>
      </c>
      <c r="BK679" s="2">
        <v>2</v>
      </c>
      <c r="BL679" s="2">
        <v>80.849999999999994</v>
      </c>
      <c r="BM679" s="2">
        <v>11.32</v>
      </c>
      <c r="BN679" s="2">
        <v>92.17</v>
      </c>
      <c r="BO679" s="2">
        <v>92.17</v>
      </c>
      <c r="BP679" s="2"/>
      <c r="BQ679" s="2" t="s">
        <v>129</v>
      </c>
      <c r="BR679" s="2" t="s">
        <v>123</v>
      </c>
      <c r="BS679" s="3">
        <v>42837</v>
      </c>
      <c r="BT679" s="4">
        <v>0</v>
      </c>
      <c r="BU679" s="2" t="s">
        <v>1267</v>
      </c>
      <c r="BV679" s="2" t="s">
        <v>111</v>
      </c>
      <c r="BW679" s="2"/>
      <c r="BX679" s="2"/>
      <c r="BY679" s="2">
        <v>4095</v>
      </c>
      <c r="BZ679" s="2" t="s">
        <v>27</v>
      </c>
      <c r="CA679" s="2"/>
      <c r="CB679" s="2"/>
      <c r="CC679" s="2" t="s">
        <v>1033</v>
      </c>
      <c r="CD679" s="2">
        <v>5605</v>
      </c>
      <c r="CE679" s="2" t="s">
        <v>89</v>
      </c>
      <c r="CF679" s="5">
        <v>42843</v>
      </c>
      <c r="CG679" s="2"/>
      <c r="CH679" s="2"/>
      <c r="CI679" s="2">
        <v>4</v>
      </c>
      <c r="CJ679" s="2">
        <v>1</v>
      </c>
      <c r="CK679" s="2">
        <v>23</v>
      </c>
      <c r="CL679" s="2" t="s">
        <v>86</v>
      </c>
      <c r="CM679" s="2"/>
    </row>
    <row r="680" spans="1:91">
      <c r="A680" s="2" t="s">
        <v>71</v>
      </c>
      <c r="B680" s="2" t="s">
        <v>72</v>
      </c>
      <c r="C680" s="2" t="s">
        <v>73</v>
      </c>
      <c r="D680" s="2"/>
      <c r="E680" s="2" t="str">
        <f>"FES1162541833"</f>
        <v>FES1162541833</v>
      </c>
      <c r="F680" s="3">
        <v>42830</v>
      </c>
      <c r="G680" s="2">
        <v>201710</v>
      </c>
      <c r="H680" s="2" t="s">
        <v>74</v>
      </c>
      <c r="I680" s="2" t="s">
        <v>75</v>
      </c>
      <c r="J680" s="2" t="s">
        <v>76</v>
      </c>
      <c r="K680" s="2" t="s">
        <v>77</v>
      </c>
      <c r="L680" s="2" t="s">
        <v>131</v>
      </c>
      <c r="M680" s="2" t="s">
        <v>132</v>
      </c>
      <c r="N680" s="2" t="s">
        <v>353</v>
      </c>
      <c r="O680" s="2" t="s">
        <v>115</v>
      </c>
      <c r="P680" s="2" t="str">
        <f>"2170560849                    "</f>
        <v xml:space="preserve">2170560849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4.29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</v>
      </c>
      <c r="BJ680" s="2">
        <v>0.2</v>
      </c>
      <c r="BK680" s="2">
        <v>1</v>
      </c>
      <c r="BL680" s="2">
        <v>41.73</v>
      </c>
      <c r="BM680" s="2">
        <v>5.84</v>
      </c>
      <c r="BN680" s="2">
        <v>47.57</v>
      </c>
      <c r="BO680" s="2">
        <v>47.57</v>
      </c>
      <c r="BP680" s="2"/>
      <c r="BQ680" s="2" t="s">
        <v>83</v>
      </c>
      <c r="BR680" s="2" t="s">
        <v>123</v>
      </c>
      <c r="BS680" s="3">
        <v>42831</v>
      </c>
      <c r="BT680" s="4">
        <v>0.41666666666666669</v>
      </c>
      <c r="BU680" s="2" t="s">
        <v>1268</v>
      </c>
      <c r="BV680" s="2" t="s">
        <v>111</v>
      </c>
      <c r="BW680" s="2"/>
      <c r="BX680" s="2"/>
      <c r="BY680" s="2">
        <v>1200</v>
      </c>
      <c r="BZ680" s="2" t="s">
        <v>27</v>
      </c>
      <c r="CA680" s="2"/>
      <c r="CB680" s="2"/>
      <c r="CC680" s="2" t="s">
        <v>132</v>
      </c>
      <c r="CD680" s="2">
        <v>7460</v>
      </c>
      <c r="CE680" s="2" t="s">
        <v>118</v>
      </c>
      <c r="CF680" s="5">
        <v>42832</v>
      </c>
      <c r="CG680" s="2"/>
      <c r="CH680" s="2"/>
      <c r="CI680" s="2">
        <v>1</v>
      </c>
      <c r="CJ680" s="2">
        <v>1</v>
      </c>
      <c r="CK680" s="2">
        <v>21</v>
      </c>
      <c r="CL680" s="2" t="s">
        <v>86</v>
      </c>
      <c r="CM680" s="2"/>
    </row>
    <row r="681" spans="1:91">
      <c r="A681" s="2" t="s">
        <v>71</v>
      </c>
      <c r="B681" s="2" t="s">
        <v>72</v>
      </c>
      <c r="C681" s="2" t="s">
        <v>73</v>
      </c>
      <c r="D681" s="2"/>
      <c r="E681" s="2" t="str">
        <f>"FES1162541741"</f>
        <v>FES1162541741</v>
      </c>
      <c r="F681" s="3">
        <v>42830</v>
      </c>
      <c r="G681" s="2">
        <v>201710</v>
      </c>
      <c r="H681" s="2" t="s">
        <v>74</v>
      </c>
      <c r="I681" s="2" t="s">
        <v>75</v>
      </c>
      <c r="J681" s="2" t="s">
        <v>76</v>
      </c>
      <c r="K681" s="2" t="s">
        <v>77</v>
      </c>
      <c r="L681" s="2" t="s">
        <v>131</v>
      </c>
      <c r="M681" s="2" t="s">
        <v>132</v>
      </c>
      <c r="N681" s="2" t="s">
        <v>1269</v>
      </c>
      <c r="O681" s="2" t="s">
        <v>115</v>
      </c>
      <c r="P681" s="2" t="str">
        <f>"210557626                     "</f>
        <v xml:space="preserve">210557626 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28.94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10</v>
      </c>
      <c r="BJ681" s="2">
        <v>13.1</v>
      </c>
      <c r="BK681" s="2">
        <v>13.5</v>
      </c>
      <c r="BL681" s="2">
        <v>281.66000000000003</v>
      </c>
      <c r="BM681" s="2">
        <v>39.43</v>
      </c>
      <c r="BN681" s="2">
        <v>321.08999999999997</v>
      </c>
      <c r="BO681" s="2">
        <v>321.08999999999997</v>
      </c>
      <c r="BP681" s="2"/>
      <c r="BQ681" s="2" t="s">
        <v>129</v>
      </c>
      <c r="BR681" s="2" t="s">
        <v>123</v>
      </c>
      <c r="BS681" s="3">
        <v>42831</v>
      </c>
      <c r="BT681" s="4">
        <v>0.41666666666666669</v>
      </c>
      <c r="BU681" s="2" t="s">
        <v>245</v>
      </c>
      <c r="BV681" s="2" t="s">
        <v>111</v>
      </c>
      <c r="BW681" s="2"/>
      <c r="BX681" s="2"/>
      <c r="BY681" s="2">
        <v>65569</v>
      </c>
      <c r="BZ681" s="2" t="s">
        <v>27</v>
      </c>
      <c r="CA681" s="2"/>
      <c r="CB681" s="2"/>
      <c r="CC681" s="2" t="s">
        <v>132</v>
      </c>
      <c r="CD681" s="2">
        <v>7800</v>
      </c>
      <c r="CE681" s="2" t="s">
        <v>135</v>
      </c>
      <c r="CF681" s="5">
        <v>42832</v>
      </c>
      <c r="CG681" s="2"/>
      <c r="CH681" s="2"/>
      <c r="CI681" s="2">
        <v>1</v>
      </c>
      <c r="CJ681" s="2">
        <v>1</v>
      </c>
      <c r="CK681" s="2">
        <v>21</v>
      </c>
      <c r="CL681" s="2" t="s">
        <v>86</v>
      </c>
      <c r="CM681" s="2"/>
    </row>
    <row r="682" spans="1:91">
      <c r="A682" s="2" t="s">
        <v>71</v>
      </c>
      <c r="B682" s="2" t="s">
        <v>72</v>
      </c>
      <c r="C682" s="2" t="s">
        <v>73</v>
      </c>
      <c r="D682" s="2"/>
      <c r="E682" s="2" t="str">
        <f>"FES1162543289"</f>
        <v>FES1162543289</v>
      </c>
      <c r="F682" s="3">
        <v>42837</v>
      </c>
      <c r="G682" s="2">
        <v>201710</v>
      </c>
      <c r="H682" s="2" t="s">
        <v>74</v>
      </c>
      <c r="I682" s="2" t="s">
        <v>75</v>
      </c>
      <c r="J682" s="2" t="s">
        <v>76</v>
      </c>
      <c r="K682" s="2" t="s">
        <v>77</v>
      </c>
      <c r="L682" s="2" t="s">
        <v>160</v>
      </c>
      <c r="M682" s="2" t="s">
        <v>161</v>
      </c>
      <c r="N682" s="2" t="s">
        <v>623</v>
      </c>
      <c r="O682" s="2" t="s">
        <v>115</v>
      </c>
      <c r="P682" s="2" t="str">
        <f>"2170559883                    "</f>
        <v xml:space="preserve">2170559883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4.29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</v>
      </c>
      <c r="BJ682" s="2">
        <v>0.2</v>
      </c>
      <c r="BK682" s="2">
        <v>1</v>
      </c>
      <c r="BL682" s="2">
        <v>41.73</v>
      </c>
      <c r="BM682" s="2">
        <v>5.84</v>
      </c>
      <c r="BN682" s="2">
        <v>47.57</v>
      </c>
      <c r="BO682" s="2">
        <v>47.57</v>
      </c>
      <c r="BP682" s="2"/>
      <c r="BQ682" s="2" t="s">
        <v>116</v>
      </c>
      <c r="BR682" s="2" t="s">
        <v>84</v>
      </c>
      <c r="BS682" s="3">
        <v>42838</v>
      </c>
      <c r="BT682" s="4">
        <v>0.41666666666666669</v>
      </c>
      <c r="BU682" s="2" t="s">
        <v>624</v>
      </c>
      <c r="BV682" s="2" t="s">
        <v>111</v>
      </c>
      <c r="BW682" s="2"/>
      <c r="BX682" s="2"/>
      <c r="BY682" s="2">
        <v>1200</v>
      </c>
      <c r="BZ682" s="2" t="s">
        <v>27</v>
      </c>
      <c r="CA682" s="2"/>
      <c r="CB682" s="2"/>
      <c r="CC682" s="2" t="s">
        <v>161</v>
      </c>
      <c r="CD682" s="2">
        <v>5201</v>
      </c>
      <c r="CE682" s="2" t="s">
        <v>118</v>
      </c>
      <c r="CF682" s="5">
        <v>42843</v>
      </c>
      <c r="CG682" s="2"/>
      <c r="CH682" s="2"/>
      <c r="CI682" s="2">
        <v>1</v>
      </c>
      <c r="CJ682" s="2">
        <v>1</v>
      </c>
      <c r="CK682" s="2">
        <v>21</v>
      </c>
      <c r="CL682" s="2" t="s">
        <v>86</v>
      </c>
      <c r="CM682" s="2"/>
    </row>
    <row r="683" spans="1:91">
      <c r="A683" s="2" t="s">
        <v>71</v>
      </c>
      <c r="B683" s="2" t="s">
        <v>72</v>
      </c>
      <c r="C683" s="2" t="s">
        <v>73</v>
      </c>
      <c r="D683" s="2"/>
      <c r="E683" s="2" t="str">
        <f>"FES1162541921"</f>
        <v>FES1162541921</v>
      </c>
      <c r="F683" s="3">
        <v>42831</v>
      </c>
      <c r="G683" s="2">
        <v>201710</v>
      </c>
      <c r="H683" s="2" t="s">
        <v>74</v>
      </c>
      <c r="I683" s="2" t="s">
        <v>75</v>
      </c>
      <c r="J683" s="2" t="s">
        <v>76</v>
      </c>
      <c r="K683" s="2" t="s">
        <v>77</v>
      </c>
      <c r="L683" s="2" t="s">
        <v>180</v>
      </c>
      <c r="M683" s="2" t="s">
        <v>181</v>
      </c>
      <c r="N683" s="2" t="s">
        <v>1270</v>
      </c>
      <c r="O683" s="2" t="s">
        <v>115</v>
      </c>
      <c r="P683" s="2" t="str">
        <f>"2170560907                    "</f>
        <v xml:space="preserve">2170560907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4.29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1.4</v>
      </c>
      <c r="BJ683" s="2">
        <v>0.2</v>
      </c>
      <c r="BK683" s="2">
        <v>1.5</v>
      </c>
      <c r="BL683" s="2">
        <v>41.73</v>
      </c>
      <c r="BM683" s="2">
        <v>5.84</v>
      </c>
      <c r="BN683" s="2">
        <v>47.57</v>
      </c>
      <c r="BO683" s="2">
        <v>47.57</v>
      </c>
      <c r="BP683" s="2"/>
      <c r="BQ683" s="2" t="s">
        <v>122</v>
      </c>
      <c r="BR683" s="2" t="s">
        <v>123</v>
      </c>
      <c r="BS683" s="3">
        <v>42832</v>
      </c>
      <c r="BT683" s="4">
        <v>0.39930555555555558</v>
      </c>
      <c r="BU683" s="2" t="s">
        <v>245</v>
      </c>
      <c r="BV683" s="2" t="s">
        <v>111</v>
      </c>
      <c r="BW683" s="2"/>
      <c r="BX683" s="2"/>
      <c r="BY683" s="2">
        <v>1200</v>
      </c>
      <c r="BZ683" s="2" t="s">
        <v>27</v>
      </c>
      <c r="CA683" s="2"/>
      <c r="CB683" s="2"/>
      <c r="CC683" s="2" t="s">
        <v>181</v>
      </c>
      <c r="CD683" s="2">
        <v>4052</v>
      </c>
      <c r="CE683" s="2" t="s">
        <v>144</v>
      </c>
      <c r="CF683" s="5">
        <v>42835</v>
      </c>
      <c r="CG683" s="2"/>
      <c r="CH683" s="2"/>
      <c r="CI683" s="2">
        <v>1</v>
      </c>
      <c r="CJ683" s="2">
        <v>1</v>
      </c>
      <c r="CK683" s="2">
        <v>21</v>
      </c>
      <c r="CL683" s="2" t="s">
        <v>86</v>
      </c>
      <c r="CM683" s="2"/>
    </row>
    <row r="684" spans="1:91">
      <c r="A684" s="2" t="s">
        <v>71</v>
      </c>
      <c r="B684" s="2" t="s">
        <v>72</v>
      </c>
      <c r="C684" s="2" t="s">
        <v>73</v>
      </c>
      <c r="D684" s="2"/>
      <c r="E684" s="2" t="str">
        <f>"FES1162541373"</f>
        <v>FES1162541373</v>
      </c>
      <c r="F684" s="3">
        <v>42829</v>
      </c>
      <c r="G684" s="2">
        <v>201710</v>
      </c>
      <c r="H684" s="2" t="s">
        <v>74</v>
      </c>
      <c r="I684" s="2" t="s">
        <v>75</v>
      </c>
      <c r="J684" s="2" t="s">
        <v>76</v>
      </c>
      <c r="K684" s="2" t="s">
        <v>77</v>
      </c>
      <c r="L684" s="2" t="s">
        <v>234</v>
      </c>
      <c r="M684" s="2" t="s">
        <v>235</v>
      </c>
      <c r="N684" s="2" t="s">
        <v>326</v>
      </c>
      <c r="O684" s="2" t="s">
        <v>115</v>
      </c>
      <c r="P684" s="2" t="str">
        <f>"2170560470                    "</f>
        <v xml:space="preserve">2170560470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7.74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1.1000000000000001</v>
      </c>
      <c r="BJ684" s="2">
        <v>3.2</v>
      </c>
      <c r="BK684" s="2">
        <v>3.5</v>
      </c>
      <c r="BL684" s="2">
        <v>73.260000000000005</v>
      </c>
      <c r="BM684" s="2">
        <v>10.26</v>
      </c>
      <c r="BN684" s="2">
        <v>83.52</v>
      </c>
      <c r="BO684" s="2">
        <v>83.52</v>
      </c>
      <c r="BP684" s="2"/>
      <c r="BQ684" s="2" t="s">
        <v>442</v>
      </c>
      <c r="BR684" s="2" t="s">
        <v>123</v>
      </c>
      <c r="BS684" s="3">
        <v>42830</v>
      </c>
      <c r="BT684" s="4">
        <v>0.36805555555555558</v>
      </c>
      <c r="BU684" s="2" t="s">
        <v>245</v>
      </c>
      <c r="BV684" s="2" t="s">
        <v>111</v>
      </c>
      <c r="BW684" s="2"/>
      <c r="BX684" s="2"/>
      <c r="BY684" s="2">
        <v>16074.01</v>
      </c>
      <c r="BZ684" s="2" t="s">
        <v>27</v>
      </c>
      <c r="CA684" s="2"/>
      <c r="CB684" s="2"/>
      <c r="CC684" s="2" t="s">
        <v>235</v>
      </c>
      <c r="CD684" s="2">
        <v>6220</v>
      </c>
      <c r="CE684" s="2" t="s">
        <v>135</v>
      </c>
      <c r="CF684" s="5">
        <v>42832</v>
      </c>
      <c r="CG684" s="2"/>
      <c r="CH684" s="2"/>
      <c r="CI684" s="2">
        <v>1</v>
      </c>
      <c r="CJ684" s="2">
        <v>1</v>
      </c>
      <c r="CK684" s="2">
        <v>21</v>
      </c>
      <c r="CL684" s="2" t="s">
        <v>86</v>
      </c>
      <c r="CM684" s="2"/>
    </row>
    <row r="685" spans="1:91">
      <c r="A685" s="2" t="s">
        <v>71</v>
      </c>
      <c r="B685" s="2" t="s">
        <v>72</v>
      </c>
      <c r="C685" s="2" t="s">
        <v>73</v>
      </c>
      <c r="D685" s="2"/>
      <c r="E685" s="2" t="str">
        <f>"FES1162543009"</f>
        <v>FES1162543009</v>
      </c>
      <c r="F685" s="3">
        <v>42836</v>
      </c>
      <c r="G685" s="2">
        <v>201710</v>
      </c>
      <c r="H685" s="2" t="s">
        <v>74</v>
      </c>
      <c r="I685" s="2" t="s">
        <v>75</v>
      </c>
      <c r="J685" s="2" t="s">
        <v>76</v>
      </c>
      <c r="K685" s="2" t="s">
        <v>77</v>
      </c>
      <c r="L685" s="2" t="s">
        <v>358</v>
      </c>
      <c r="M685" s="2" t="s">
        <v>359</v>
      </c>
      <c r="N685" s="2" t="s">
        <v>360</v>
      </c>
      <c r="O685" s="2" t="s">
        <v>115</v>
      </c>
      <c r="P685" s="2" t="str">
        <f>"2170561795                    "</f>
        <v xml:space="preserve">2170561795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4.29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1</v>
      </c>
      <c r="BJ685" s="2">
        <v>0.2</v>
      </c>
      <c r="BK685" s="2">
        <v>1</v>
      </c>
      <c r="BL685" s="2">
        <v>41.73</v>
      </c>
      <c r="BM685" s="2">
        <v>5.84</v>
      </c>
      <c r="BN685" s="2">
        <v>47.57</v>
      </c>
      <c r="BO685" s="2">
        <v>47.57</v>
      </c>
      <c r="BP685" s="2"/>
      <c r="BQ685" s="2" t="s">
        <v>361</v>
      </c>
      <c r="BR685" s="2" t="s">
        <v>123</v>
      </c>
      <c r="BS685" s="3">
        <v>42837</v>
      </c>
      <c r="BT685" s="4">
        <v>0.31597222222222221</v>
      </c>
      <c r="BU685" s="2" t="s">
        <v>1271</v>
      </c>
      <c r="BV685" s="2" t="s">
        <v>111</v>
      </c>
      <c r="BW685" s="2"/>
      <c r="BX685" s="2"/>
      <c r="BY685" s="2">
        <v>1200</v>
      </c>
      <c r="BZ685" s="2" t="s">
        <v>27</v>
      </c>
      <c r="CA685" s="2"/>
      <c r="CB685" s="2"/>
      <c r="CC685" s="2" t="s">
        <v>359</v>
      </c>
      <c r="CD685" s="2">
        <v>6229</v>
      </c>
      <c r="CE685" s="2" t="s">
        <v>144</v>
      </c>
      <c r="CF685" s="5">
        <v>42838</v>
      </c>
      <c r="CG685" s="2"/>
      <c r="CH685" s="2"/>
      <c r="CI685" s="2">
        <v>1</v>
      </c>
      <c r="CJ685" s="2">
        <v>1</v>
      </c>
      <c r="CK685" s="2">
        <v>21</v>
      </c>
      <c r="CL685" s="2" t="s">
        <v>86</v>
      </c>
      <c r="CM685" s="2"/>
    </row>
    <row r="686" spans="1:91">
      <c r="A686" s="2" t="s">
        <v>71</v>
      </c>
      <c r="B686" s="2" t="s">
        <v>72</v>
      </c>
      <c r="C686" s="2" t="s">
        <v>73</v>
      </c>
      <c r="D686" s="2"/>
      <c r="E686" s="2" t="str">
        <f>"FES1162541805"</f>
        <v>FES1162541805</v>
      </c>
      <c r="F686" s="3">
        <v>42830</v>
      </c>
      <c r="G686" s="2">
        <v>201710</v>
      </c>
      <c r="H686" s="2" t="s">
        <v>74</v>
      </c>
      <c r="I686" s="2" t="s">
        <v>75</v>
      </c>
      <c r="J686" s="2" t="s">
        <v>76</v>
      </c>
      <c r="K686" s="2" t="s">
        <v>77</v>
      </c>
      <c r="L686" s="2" t="s">
        <v>131</v>
      </c>
      <c r="M686" s="2" t="s">
        <v>132</v>
      </c>
      <c r="N686" s="2" t="s">
        <v>384</v>
      </c>
      <c r="O686" s="2" t="s">
        <v>115</v>
      </c>
      <c r="P686" s="2" t="str">
        <f>"2170558738                    "</f>
        <v xml:space="preserve">2170558738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4.29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1</v>
      </c>
      <c r="BJ686" s="2">
        <v>0.2</v>
      </c>
      <c r="BK686" s="2">
        <v>1</v>
      </c>
      <c r="BL686" s="2">
        <v>41.73</v>
      </c>
      <c r="BM686" s="2">
        <v>5.84</v>
      </c>
      <c r="BN686" s="2">
        <v>47.57</v>
      </c>
      <c r="BO686" s="2">
        <v>47.57</v>
      </c>
      <c r="BP686" s="2"/>
      <c r="BQ686" s="2" t="s">
        <v>1272</v>
      </c>
      <c r="BR686" s="2" t="s">
        <v>123</v>
      </c>
      <c r="BS686" s="3">
        <v>42831</v>
      </c>
      <c r="BT686" s="4">
        <v>0.43402777777777773</v>
      </c>
      <c r="BU686" s="2" t="s">
        <v>1273</v>
      </c>
      <c r="BV686" s="2" t="s">
        <v>111</v>
      </c>
      <c r="BW686" s="2"/>
      <c r="BX686" s="2"/>
      <c r="BY686" s="2">
        <v>1200</v>
      </c>
      <c r="BZ686" s="2" t="s">
        <v>27</v>
      </c>
      <c r="CA686" s="2"/>
      <c r="CB686" s="2"/>
      <c r="CC686" s="2" t="s">
        <v>132</v>
      </c>
      <c r="CD686" s="2">
        <v>7530</v>
      </c>
      <c r="CE686" s="2" t="s">
        <v>118</v>
      </c>
      <c r="CF686" s="5">
        <v>42832</v>
      </c>
      <c r="CG686" s="2"/>
      <c r="CH686" s="2"/>
      <c r="CI686" s="2">
        <v>1</v>
      </c>
      <c r="CJ686" s="2">
        <v>1</v>
      </c>
      <c r="CK686" s="2">
        <v>21</v>
      </c>
      <c r="CL686" s="2" t="s">
        <v>86</v>
      </c>
      <c r="CM686" s="2"/>
    </row>
    <row r="687" spans="1:91">
      <c r="A687" s="2" t="s">
        <v>71</v>
      </c>
      <c r="B687" s="2" t="s">
        <v>72</v>
      </c>
      <c r="C687" s="2" t="s">
        <v>73</v>
      </c>
      <c r="D687" s="2"/>
      <c r="E687" s="2" t="str">
        <f>"FES1162543261"</f>
        <v>FES1162543261</v>
      </c>
      <c r="F687" s="3">
        <v>42837</v>
      </c>
      <c r="G687" s="2">
        <v>201710</v>
      </c>
      <c r="H687" s="2" t="s">
        <v>74</v>
      </c>
      <c r="I687" s="2" t="s">
        <v>75</v>
      </c>
      <c r="J687" s="2" t="s">
        <v>76</v>
      </c>
      <c r="K687" s="2" t="s">
        <v>77</v>
      </c>
      <c r="L687" s="2" t="s">
        <v>99</v>
      </c>
      <c r="M687" s="2" t="s">
        <v>100</v>
      </c>
      <c r="N687" s="2" t="s">
        <v>151</v>
      </c>
      <c r="O687" s="2" t="s">
        <v>115</v>
      </c>
      <c r="P687" s="2" t="str">
        <f>"2170559513                    "</f>
        <v xml:space="preserve">2170559513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4.29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1</v>
      </c>
      <c r="BJ687" s="2">
        <v>0.2</v>
      </c>
      <c r="BK687" s="2">
        <v>1</v>
      </c>
      <c r="BL687" s="2">
        <v>41.73</v>
      </c>
      <c r="BM687" s="2">
        <v>5.84</v>
      </c>
      <c r="BN687" s="2">
        <v>47.57</v>
      </c>
      <c r="BO687" s="2">
        <v>47.57</v>
      </c>
      <c r="BP687" s="2"/>
      <c r="BQ687" s="2" t="s">
        <v>152</v>
      </c>
      <c r="BR687" s="2" t="s">
        <v>84</v>
      </c>
      <c r="BS687" s="3">
        <v>42838</v>
      </c>
      <c r="BT687" s="4">
        <v>0.33680555555555558</v>
      </c>
      <c r="BU687" s="2" t="s">
        <v>245</v>
      </c>
      <c r="BV687" s="2" t="s">
        <v>111</v>
      </c>
      <c r="BW687" s="2"/>
      <c r="BX687" s="2"/>
      <c r="BY687" s="2">
        <v>1200</v>
      </c>
      <c r="BZ687" s="2" t="s">
        <v>27</v>
      </c>
      <c r="CA687" s="2"/>
      <c r="CB687" s="2"/>
      <c r="CC687" s="2" t="s">
        <v>100</v>
      </c>
      <c r="CD687" s="2">
        <v>6001</v>
      </c>
      <c r="CE687" s="2" t="s">
        <v>118</v>
      </c>
      <c r="CF687" s="5">
        <v>42843</v>
      </c>
      <c r="CG687" s="2"/>
      <c r="CH687" s="2"/>
      <c r="CI687" s="2">
        <v>1</v>
      </c>
      <c r="CJ687" s="2">
        <v>1</v>
      </c>
      <c r="CK687" s="2">
        <v>21</v>
      </c>
      <c r="CL687" s="2" t="s">
        <v>86</v>
      </c>
      <c r="CM687" s="2"/>
    </row>
    <row r="688" spans="1:91">
      <c r="A688" s="2" t="s">
        <v>71</v>
      </c>
      <c r="B688" s="2" t="s">
        <v>72</v>
      </c>
      <c r="C688" s="2" t="s">
        <v>73</v>
      </c>
      <c r="D688" s="2"/>
      <c r="E688" s="2" t="str">
        <f>"FES1162541927"</f>
        <v>FES1162541927</v>
      </c>
      <c r="F688" s="3">
        <v>42831</v>
      </c>
      <c r="G688" s="2">
        <v>201710</v>
      </c>
      <c r="H688" s="2" t="s">
        <v>74</v>
      </c>
      <c r="I688" s="2" t="s">
        <v>75</v>
      </c>
      <c r="J688" s="2" t="s">
        <v>76</v>
      </c>
      <c r="K688" s="2" t="s">
        <v>77</v>
      </c>
      <c r="L688" s="2" t="s">
        <v>176</v>
      </c>
      <c r="M688" s="2" t="s">
        <v>176</v>
      </c>
      <c r="N688" s="2" t="s">
        <v>460</v>
      </c>
      <c r="O688" s="2" t="s">
        <v>115</v>
      </c>
      <c r="P688" s="2" t="str">
        <f>"2170560914                    "</f>
        <v xml:space="preserve">2170560914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24.65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9</v>
      </c>
      <c r="BJ688" s="2">
        <v>11.1</v>
      </c>
      <c r="BK688" s="2">
        <v>11.5</v>
      </c>
      <c r="BL688" s="2">
        <v>239.93</v>
      </c>
      <c r="BM688" s="2">
        <v>33.590000000000003</v>
      </c>
      <c r="BN688" s="2">
        <v>273.52</v>
      </c>
      <c r="BO688" s="2">
        <v>273.52</v>
      </c>
      <c r="BP688" s="2"/>
      <c r="BQ688" s="2" t="s">
        <v>461</v>
      </c>
      <c r="BR688" s="2" t="s">
        <v>123</v>
      </c>
      <c r="BS688" s="3">
        <v>42832</v>
      </c>
      <c r="BT688" s="4">
        <v>0.49305555555555558</v>
      </c>
      <c r="BU688" s="2" t="s">
        <v>727</v>
      </c>
      <c r="BV688" s="2" t="s">
        <v>111</v>
      </c>
      <c r="BW688" s="2"/>
      <c r="BX688" s="2"/>
      <c r="BY688" s="2">
        <v>55742.400000000001</v>
      </c>
      <c r="BZ688" s="2" t="s">
        <v>27</v>
      </c>
      <c r="CA688" s="2"/>
      <c r="CB688" s="2"/>
      <c r="CC688" s="2" t="s">
        <v>176</v>
      </c>
      <c r="CD688" s="2">
        <v>7646</v>
      </c>
      <c r="CE688" s="2" t="s">
        <v>135</v>
      </c>
      <c r="CF688" s="5">
        <v>42835</v>
      </c>
      <c r="CG688" s="2"/>
      <c r="CH688" s="2"/>
      <c r="CI688" s="2">
        <v>1</v>
      </c>
      <c r="CJ688" s="2">
        <v>1</v>
      </c>
      <c r="CK688" s="2">
        <v>21</v>
      </c>
      <c r="CL688" s="2" t="s">
        <v>86</v>
      </c>
      <c r="CM688" s="2"/>
    </row>
    <row r="689" spans="1:91">
      <c r="A689" s="2" t="s">
        <v>71</v>
      </c>
      <c r="B689" s="2" t="s">
        <v>72</v>
      </c>
      <c r="C689" s="2" t="s">
        <v>73</v>
      </c>
      <c r="D689" s="2"/>
      <c r="E689" s="2" t="str">
        <f>"FES1162541389"</f>
        <v>FES1162541389</v>
      </c>
      <c r="F689" s="3">
        <v>42829</v>
      </c>
      <c r="G689" s="2">
        <v>201710</v>
      </c>
      <c r="H689" s="2" t="s">
        <v>74</v>
      </c>
      <c r="I689" s="2" t="s">
        <v>75</v>
      </c>
      <c r="J689" s="2" t="s">
        <v>76</v>
      </c>
      <c r="K689" s="2" t="s">
        <v>77</v>
      </c>
      <c r="L689" s="2" t="s">
        <v>99</v>
      </c>
      <c r="M689" s="2" t="s">
        <v>100</v>
      </c>
      <c r="N689" s="2" t="s">
        <v>926</v>
      </c>
      <c r="O689" s="2" t="s">
        <v>115</v>
      </c>
      <c r="P689" s="2" t="str">
        <f>"2170560476                    "</f>
        <v xml:space="preserve">2170560476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4.42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1.5</v>
      </c>
      <c r="BJ689" s="2">
        <v>1.2</v>
      </c>
      <c r="BK689" s="2">
        <v>1.5</v>
      </c>
      <c r="BL689" s="2">
        <v>41.86</v>
      </c>
      <c r="BM689" s="2">
        <v>5.86</v>
      </c>
      <c r="BN689" s="2">
        <v>47.72</v>
      </c>
      <c r="BO689" s="2">
        <v>47.72</v>
      </c>
      <c r="BP689" s="2"/>
      <c r="BQ689" s="2" t="s">
        <v>927</v>
      </c>
      <c r="BR689" s="2" t="s">
        <v>123</v>
      </c>
      <c r="BS689" s="3">
        <v>42830</v>
      </c>
      <c r="BT689" s="4">
        <v>0.47013888888888888</v>
      </c>
      <c r="BU689" s="2" t="s">
        <v>928</v>
      </c>
      <c r="BV689" s="2" t="s">
        <v>111</v>
      </c>
      <c r="BW689" s="2"/>
      <c r="BX689" s="2"/>
      <c r="BY689" s="2">
        <v>5869.86</v>
      </c>
      <c r="BZ689" s="2" t="s">
        <v>27</v>
      </c>
      <c r="CA689" s="2"/>
      <c r="CB689" s="2"/>
      <c r="CC689" s="2" t="s">
        <v>100</v>
      </c>
      <c r="CD689" s="2">
        <v>6100</v>
      </c>
      <c r="CE689" s="2" t="s">
        <v>135</v>
      </c>
      <c r="CF689" s="5">
        <v>42837</v>
      </c>
      <c r="CG689" s="2"/>
      <c r="CH689" s="2"/>
      <c r="CI689" s="2">
        <v>1</v>
      </c>
      <c r="CJ689" s="2">
        <v>1</v>
      </c>
      <c r="CK689" s="2">
        <v>21</v>
      </c>
      <c r="CL689" s="2" t="s">
        <v>86</v>
      </c>
      <c r="CM689" s="2"/>
    </row>
    <row r="690" spans="1:91">
      <c r="A690" s="2" t="s">
        <v>71</v>
      </c>
      <c r="B690" s="2" t="s">
        <v>72</v>
      </c>
      <c r="C690" s="2" t="s">
        <v>73</v>
      </c>
      <c r="D690" s="2"/>
      <c r="E690" s="2" t="str">
        <f>"FES1162542956"</f>
        <v>FES1162542956</v>
      </c>
      <c r="F690" s="3">
        <v>42836</v>
      </c>
      <c r="G690" s="2">
        <v>201710</v>
      </c>
      <c r="H690" s="2" t="s">
        <v>74</v>
      </c>
      <c r="I690" s="2" t="s">
        <v>75</v>
      </c>
      <c r="J690" s="2" t="s">
        <v>76</v>
      </c>
      <c r="K690" s="2" t="s">
        <v>77</v>
      </c>
      <c r="L690" s="2" t="s">
        <v>99</v>
      </c>
      <c r="M690" s="2" t="s">
        <v>100</v>
      </c>
      <c r="N690" s="2" t="s">
        <v>351</v>
      </c>
      <c r="O690" s="2" t="s">
        <v>115</v>
      </c>
      <c r="P690" s="2" t="str">
        <f>"2170561743                    "</f>
        <v xml:space="preserve">2170561743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4.29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</v>
      </c>
      <c r="BJ690" s="2">
        <v>0.2</v>
      </c>
      <c r="BK690" s="2">
        <v>1</v>
      </c>
      <c r="BL690" s="2">
        <v>41.73</v>
      </c>
      <c r="BM690" s="2">
        <v>5.84</v>
      </c>
      <c r="BN690" s="2">
        <v>47.57</v>
      </c>
      <c r="BO690" s="2">
        <v>47.57</v>
      </c>
      <c r="BP690" s="2"/>
      <c r="BQ690" s="2" t="s">
        <v>352</v>
      </c>
      <c r="BR690" s="2" t="s">
        <v>123</v>
      </c>
      <c r="BS690" s="3">
        <v>42837</v>
      </c>
      <c r="BT690" s="4">
        <v>0.44444444444444442</v>
      </c>
      <c r="BU690" s="2" t="s">
        <v>491</v>
      </c>
      <c r="BV690" s="2" t="s">
        <v>111</v>
      </c>
      <c r="BW690" s="2"/>
      <c r="BX690" s="2"/>
      <c r="BY690" s="2">
        <v>1200</v>
      </c>
      <c r="BZ690" s="2" t="s">
        <v>27</v>
      </c>
      <c r="CA690" s="2" t="s">
        <v>154</v>
      </c>
      <c r="CB690" s="2"/>
      <c r="CC690" s="2" t="s">
        <v>100</v>
      </c>
      <c r="CD690" s="2">
        <v>6001</v>
      </c>
      <c r="CE690" s="2" t="s">
        <v>144</v>
      </c>
      <c r="CF690" s="5">
        <v>42837</v>
      </c>
      <c r="CG690" s="2"/>
      <c r="CH690" s="2"/>
      <c r="CI690" s="2">
        <v>1</v>
      </c>
      <c r="CJ690" s="2">
        <v>1</v>
      </c>
      <c r="CK690" s="2">
        <v>21</v>
      </c>
      <c r="CL690" s="2" t="s">
        <v>86</v>
      </c>
      <c r="CM690" s="2"/>
    </row>
    <row r="691" spans="1:91">
      <c r="A691" s="2" t="s">
        <v>71</v>
      </c>
      <c r="B691" s="2" t="s">
        <v>72</v>
      </c>
      <c r="C691" s="2" t="s">
        <v>73</v>
      </c>
      <c r="D691" s="2"/>
      <c r="E691" s="2" t="str">
        <f>"FES1162541803"</f>
        <v>FES1162541803</v>
      </c>
      <c r="F691" s="3">
        <v>42830</v>
      </c>
      <c r="G691" s="2">
        <v>201710</v>
      </c>
      <c r="H691" s="2" t="s">
        <v>74</v>
      </c>
      <c r="I691" s="2" t="s">
        <v>75</v>
      </c>
      <c r="J691" s="2" t="s">
        <v>76</v>
      </c>
      <c r="K691" s="2" t="s">
        <v>77</v>
      </c>
      <c r="L691" s="2" t="s">
        <v>176</v>
      </c>
      <c r="M691" s="2" t="s">
        <v>176</v>
      </c>
      <c r="N691" s="2" t="s">
        <v>945</v>
      </c>
      <c r="O691" s="2" t="s">
        <v>115</v>
      </c>
      <c r="P691" s="2" t="str">
        <f>"2170557594                    "</f>
        <v xml:space="preserve">2170557594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4.29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1</v>
      </c>
      <c r="BJ691" s="2">
        <v>0.2</v>
      </c>
      <c r="BK691" s="2">
        <v>1</v>
      </c>
      <c r="BL691" s="2">
        <v>41.73</v>
      </c>
      <c r="BM691" s="2">
        <v>5.84</v>
      </c>
      <c r="BN691" s="2">
        <v>47.57</v>
      </c>
      <c r="BO691" s="2">
        <v>47.57</v>
      </c>
      <c r="BP691" s="2"/>
      <c r="BQ691" s="2" t="s">
        <v>129</v>
      </c>
      <c r="BR691" s="2" t="s">
        <v>123</v>
      </c>
      <c r="BS691" s="3">
        <v>42831</v>
      </c>
      <c r="BT691" s="4">
        <v>0.41666666666666669</v>
      </c>
      <c r="BU691" s="2" t="s">
        <v>946</v>
      </c>
      <c r="BV691" s="2" t="s">
        <v>111</v>
      </c>
      <c r="BW691" s="2"/>
      <c r="BX691" s="2"/>
      <c r="BY691" s="2">
        <v>1200</v>
      </c>
      <c r="BZ691" s="2" t="s">
        <v>27</v>
      </c>
      <c r="CA691" s="2"/>
      <c r="CB691" s="2"/>
      <c r="CC691" s="2" t="s">
        <v>176</v>
      </c>
      <c r="CD691" s="2">
        <v>7646</v>
      </c>
      <c r="CE691" s="2" t="s">
        <v>118</v>
      </c>
      <c r="CF691" s="5">
        <v>42832</v>
      </c>
      <c r="CG691" s="2"/>
      <c r="CH691" s="2"/>
      <c r="CI691" s="2">
        <v>1</v>
      </c>
      <c r="CJ691" s="2">
        <v>1</v>
      </c>
      <c r="CK691" s="2">
        <v>21</v>
      </c>
      <c r="CL691" s="2" t="s">
        <v>86</v>
      </c>
      <c r="CM691" s="2"/>
    </row>
    <row r="692" spans="1:91">
      <c r="A692" s="2" t="s">
        <v>71</v>
      </c>
      <c r="B692" s="2" t="s">
        <v>72</v>
      </c>
      <c r="C692" s="2" t="s">
        <v>73</v>
      </c>
      <c r="D692" s="2"/>
      <c r="E692" s="2" t="str">
        <f>"FES1162543256"</f>
        <v>FES1162543256</v>
      </c>
      <c r="F692" s="3">
        <v>42837</v>
      </c>
      <c r="G692" s="2">
        <v>201710</v>
      </c>
      <c r="H692" s="2" t="s">
        <v>74</v>
      </c>
      <c r="I692" s="2" t="s">
        <v>75</v>
      </c>
      <c r="J692" s="2" t="s">
        <v>76</v>
      </c>
      <c r="K692" s="2" t="s">
        <v>77</v>
      </c>
      <c r="L692" s="2" t="s">
        <v>99</v>
      </c>
      <c r="M692" s="2" t="s">
        <v>100</v>
      </c>
      <c r="N692" s="2" t="s">
        <v>1274</v>
      </c>
      <c r="O692" s="2" t="s">
        <v>115</v>
      </c>
      <c r="P692" s="2" t="str">
        <f>"2170559407                    "</f>
        <v xml:space="preserve">2170559407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4.29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</v>
      </c>
      <c r="BJ692" s="2">
        <v>0.2</v>
      </c>
      <c r="BK692" s="2">
        <v>1</v>
      </c>
      <c r="BL692" s="2">
        <v>41.73</v>
      </c>
      <c r="BM692" s="2">
        <v>5.84</v>
      </c>
      <c r="BN692" s="2">
        <v>47.57</v>
      </c>
      <c r="BO692" s="2">
        <v>47.57</v>
      </c>
      <c r="BP692" s="2"/>
      <c r="BQ692" s="2" t="s">
        <v>116</v>
      </c>
      <c r="BR692" s="2" t="s">
        <v>84</v>
      </c>
      <c r="BS692" s="3">
        <v>42838</v>
      </c>
      <c r="BT692" s="4">
        <v>0.43263888888888885</v>
      </c>
      <c r="BU692" s="2" t="s">
        <v>1275</v>
      </c>
      <c r="BV692" s="2" t="s">
        <v>111</v>
      </c>
      <c r="BW692" s="2"/>
      <c r="BX692" s="2"/>
      <c r="BY692" s="2">
        <v>1200</v>
      </c>
      <c r="BZ692" s="2" t="s">
        <v>27</v>
      </c>
      <c r="CA692" s="2" t="s">
        <v>154</v>
      </c>
      <c r="CB692" s="2"/>
      <c r="CC692" s="2" t="s">
        <v>100</v>
      </c>
      <c r="CD692" s="2">
        <v>6014</v>
      </c>
      <c r="CE692" s="2" t="s">
        <v>118</v>
      </c>
      <c r="CF692" s="5">
        <v>42838</v>
      </c>
      <c r="CG692" s="2"/>
      <c r="CH692" s="2"/>
      <c r="CI692" s="2">
        <v>1</v>
      </c>
      <c r="CJ692" s="2">
        <v>1</v>
      </c>
      <c r="CK692" s="2">
        <v>21</v>
      </c>
      <c r="CL692" s="2" t="s">
        <v>86</v>
      </c>
      <c r="CM692" s="2"/>
    </row>
    <row r="693" spans="1:91">
      <c r="A693" s="2" t="s">
        <v>71</v>
      </c>
      <c r="B693" s="2" t="s">
        <v>72</v>
      </c>
      <c r="C693" s="2" t="s">
        <v>73</v>
      </c>
      <c r="D693" s="2"/>
      <c r="E693" s="2" t="str">
        <f>"FES1162542010"</f>
        <v>FES1162542010</v>
      </c>
      <c r="F693" s="3">
        <v>42831</v>
      </c>
      <c r="G693" s="2">
        <v>201710</v>
      </c>
      <c r="H693" s="2" t="s">
        <v>74</v>
      </c>
      <c r="I693" s="2" t="s">
        <v>75</v>
      </c>
      <c r="J693" s="2" t="s">
        <v>76</v>
      </c>
      <c r="K693" s="2" t="s">
        <v>77</v>
      </c>
      <c r="L693" s="2" t="s">
        <v>131</v>
      </c>
      <c r="M693" s="2" t="s">
        <v>132</v>
      </c>
      <c r="N693" s="2" t="s">
        <v>1276</v>
      </c>
      <c r="O693" s="2" t="s">
        <v>115</v>
      </c>
      <c r="P693" s="2" t="str">
        <f>"2170558786                    "</f>
        <v xml:space="preserve">2170558786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51.44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24</v>
      </c>
      <c r="BJ693" s="2">
        <v>3.1</v>
      </c>
      <c r="BK693" s="2">
        <v>24</v>
      </c>
      <c r="BL693" s="2">
        <v>500.72</v>
      </c>
      <c r="BM693" s="2">
        <v>70.099999999999994</v>
      </c>
      <c r="BN693" s="2">
        <v>570.82000000000005</v>
      </c>
      <c r="BO693" s="2">
        <v>570.82000000000005</v>
      </c>
      <c r="BP693" s="2"/>
      <c r="BQ693" s="2" t="s">
        <v>129</v>
      </c>
      <c r="BR693" s="2" t="s">
        <v>123</v>
      </c>
      <c r="BS693" s="3">
        <v>42832</v>
      </c>
      <c r="BT693" s="4">
        <v>0.41666666666666669</v>
      </c>
      <c r="BU693" s="2" t="s">
        <v>1277</v>
      </c>
      <c r="BV693" s="2" t="s">
        <v>111</v>
      </c>
      <c r="BW693" s="2"/>
      <c r="BX693" s="2"/>
      <c r="BY693" s="2">
        <v>15505.73</v>
      </c>
      <c r="BZ693" s="2" t="s">
        <v>27</v>
      </c>
      <c r="CA693" s="2"/>
      <c r="CB693" s="2"/>
      <c r="CC693" s="2" t="s">
        <v>132</v>
      </c>
      <c r="CD693" s="2">
        <v>7405</v>
      </c>
      <c r="CE693" s="2" t="s">
        <v>287</v>
      </c>
      <c r="CF693" s="2"/>
      <c r="CG693" s="2"/>
      <c r="CH693" s="2"/>
      <c r="CI693" s="2">
        <v>1</v>
      </c>
      <c r="CJ693" s="2">
        <v>1</v>
      </c>
      <c r="CK693" s="2">
        <v>21</v>
      </c>
      <c r="CL693" s="2" t="s">
        <v>86</v>
      </c>
      <c r="CM693" s="2"/>
    </row>
    <row r="694" spans="1:91">
      <c r="A694" s="2" t="s">
        <v>71</v>
      </c>
      <c r="B694" s="2" t="s">
        <v>72</v>
      </c>
      <c r="C694" s="2" t="s">
        <v>73</v>
      </c>
      <c r="D694" s="2"/>
      <c r="E694" s="2" t="str">
        <f>"FES1162541401"</f>
        <v>FES1162541401</v>
      </c>
      <c r="F694" s="3">
        <v>42829</v>
      </c>
      <c r="G694" s="2">
        <v>201710</v>
      </c>
      <c r="H694" s="2" t="s">
        <v>74</v>
      </c>
      <c r="I694" s="2" t="s">
        <v>75</v>
      </c>
      <c r="J694" s="2" t="s">
        <v>76</v>
      </c>
      <c r="K694" s="2" t="s">
        <v>77</v>
      </c>
      <c r="L694" s="2" t="s">
        <v>900</v>
      </c>
      <c r="M694" s="2" t="s">
        <v>901</v>
      </c>
      <c r="N694" s="2" t="s">
        <v>902</v>
      </c>
      <c r="O694" s="2" t="s">
        <v>115</v>
      </c>
      <c r="P694" s="2" t="str">
        <f>"2170560385                    "</f>
        <v xml:space="preserve">2170560385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7.74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3.5</v>
      </c>
      <c r="BJ694" s="2">
        <v>1.4</v>
      </c>
      <c r="BK694" s="2">
        <v>3.5</v>
      </c>
      <c r="BL694" s="2">
        <v>73.260000000000005</v>
      </c>
      <c r="BM694" s="2">
        <v>10.26</v>
      </c>
      <c r="BN694" s="2">
        <v>83.52</v>
      </c>
      <c r="BO694" s="2">
        <v>83.52</v>
      </c>
      <c r="BP694" s="2"/>
      <c r="BQ694" s="2" t="s">
        <v>903</v>
      </c>
      <c r="BR694" s="2" t="s">
        <v>123</v>
      </c>
      <c r="BS694" s="3">
        <v>42830</v>
      </c>
      <c r="BT694" s="4">
        <v>0.4375</v>
      </c>
      <c r="BU694" s="2" t="s">
        <v>1278</v>
      </c>
      <c r="BV694" s="2" t="s">
        <v>111</v>
      </c>
      <c r="BW694" s="2"/>
      <c r="BX694" s="2"/>
      <c r="BY694" s="2">
        <v>6950</v>
      </c>
      <c r="BZ694" s="2" t="s">
        <v>27</v>
      </c>
      <c r="CA694" s="2"/>
      <c r="CB694" s="2"/>
      <c r="CC694" s="2" t="s">
        <v>901</v>
      </c>
      <c r="CD694" s="2">
        <v>4026</v>
      </c>
      <c r="CE694" s="2" t="s">
        <v>135</v>
      </c>
      <c r="CF694" s="5">
        <v>42831</v>
      </c>
      <c r="CG694" s="2"/>
      <c r="CH694" s="2"/>
      <c r="CI694" s="2">
        <v>1</v>
      </c>
      <c r="CJ694" s="2">
        <v>1</v>
      </c>
      <c r="CK694" s="2">
        <v>21</v>
      </c>
      <c r="CL694" s="2" t="s">
        <v>86</v>
      </c>
      <c r="CM694" s="2"/>
    </row>
    <row r="695" spans="1:91">
      <c r="A695" s="2" t="s">
        <v>71</v>
      </c>
      <c r="B695" s="2" t="s">
        <v>72</v>
      </c>
      <c r="C695" s="2" t="s">
        <v>73</v>
      </c>
      <c r="D695" s="2"/>
      <c r="E695" s="2" t="str">
        <f>"FES1162542970"</f>
        <v>FES1162542970</v>
      </c>
      <c r="F695" s="3">
        <v>42836</v>
      </c>
      <c r="G695" s="2">
        <v>201710</v>
      </c>
      <c r="H695" s="2" t="s">
        <v>74</v>
      </c>
      <c r="I695" s="2" t="s">
        <v>75</v>
      </c>
      <c r="J695" s="2" t="s">
        <v>76</v>
      </c>
      <c r="K695" s="2" t="s">
        <v>77</v>
      </c>
      <c r="L695" s="2" t="s">
        <v>900</v>
      </c>
      <c r="M695" s="2" t="s">
        <v>901</v>
      </c>
      <c r="N695" s="2" t="s">
        <v>902</v>
      </c>
      <c r="O695" s="2" t="s">
        <v>115</v>
      </c>
      <c r="P695" s="2" t="str">
        <f>"2170561741                    "</f>
        <v xml:space="preserve">2170561741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4.29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1</v>
      </c>
      <c r="BJ695" s="2">
        <v>0.2</v>
      </c>
      <c r="BK695" s="2">
        <v>1</v>
      </c>
      <c r="BL695" s="2">
        <v>41.73</v>
      </c>
      <c r="BM695" s="2">
        <v>5.84</v>
      </c>
      <c r="BN695" s="2">
        <v>47.57</v>
      </c>
      <c r="BO695" s="2">
        <v>47.57</v>
      </c>
      <c r="BP695" s="2"/>
      <c r="BQ695" s="2" t="s">
        <v>903</v>
      </c>
      <c r="BR695" s="2" t="s">
        <v>123</v>
      </c>
      <c r="BS695" s="3">
        <v>42837</v>
      </c>
      <c r="BT695" s="4">
        <v>0.4375</v>
      </c>
      <c r="BU695" s="2" t="s">
        <v>1279</v>
      </c>
      <c r="BV695" s="2" t="s">
        <v>111</v>
      </c>
      <c r="BW695" s="2"/>
      <c r="BX695" s="2"/>
      <c r="BY695" s="2">
        <v>1200</v>
      </c>
      <c r="BZ695" s="2" t="s">
        <v>27</v>
      </c>
      <c r="CA695" s="2"/>
      <c r="CB695" s="2"/>
      <c r="CC695" s="2" t="s">
        <v>901</v>
      </c>
      <c r="CD695" s="2">
        <v>4026</v>
      </c>
      <c r="CE695" s="2" t="s">
        <v>144</v>
      </c>
      <c r="CF695" s="5">
        <v>42843</v>
      </c>
      <c r="CG695" s="2"/>
      <c r="CH695" s="2"/>
      <c r="CI695" s="2">
        <v>1</v>
      </c>
      <c r="CJ695" s="2">
        <v>1</v>
      </c>
      <c r="CK695" s="2">
        <v>21</v>
      </c>
      <c r="CL695" s="2" t="s">
        <v>86</v>
      </c>
      <c r="CM695" s="2"/>
    </row>
    <row r="696" spans="1:91">
      <c r="A696" s="2" t="s">
        <v>71</v>
      </c>
      <c r="B696" s="2" t="s">
        <v>72</v>
      </c>
      <c r="C696" s="2" t="s">
        <v>73</v>
      </c>
      <c r="D696" s="2"/>
      <c r="E696" s="2" t="str">
        <f>"FES1162541824"</f>
        <v>FES1162541824</v>
      </c>
      <c r="F696" s="3">
        <v>42830</v>
      </c>
      <c r="G696" s="2">
        <v>201710</v>
      </c>
      <c r="H696" s="2" t="s">
        <v>74</v>
      </c>
      <c r="I696" s="2" t="s">
        <v>75</v>
      </c>
      <c r="J696" s="2" t="s">
        <v>76</v>
      </c>
      <c r="K696" s="2" t="s">
        <v>77</v>
      </c>
      <c r="L696" s="2" t="s">
        <v>131</v>
      </c>
      <c r="M696" s="2" t="s">
        <v>132</v>
      </c>
      <c r="N696" s="2" t="s">
        <v>1280</v>
      </c>
      <c r="O696" s="2" t="s">
        <v>115</v>
      </c>
      <c r="P696" s="2" t="str">
        <f>"2170559820                    "</f>
        <v xml:space="preserve">2170559820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12.86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6</v>
      </c>
      <c r="BJ696" s="2">
        <v>2.1</v>
      </c>
      <c r="BK696" s="2">
        <v>6</v>
      </c>
      <c r="BL696" s="2">
        <v>125.18</v>
      </c>
      <c r="BM696" s="2">
        <v>17.53</v>
      </c>
      <c r="BN696" s="2">
        <v>142.71</v>
      </c>
      <c r="BO696" s="2">
        <v>142.71</v>
      </c>
      <c r="BP696" s="2"/>
      <c r="BQ696" s="2" t="s">
        <v>116</v>
      </c>
      <c r="BR696" s="2" t="s">
        <v>123</v>
      </c>
      <c r="BS696" s="3">
        <v>42831</v>
      </c>
      <c r="BT696" s="4">
        <v>0.34722222222222227</v>
      </c>
      <c r="BU696" s="2" t="s">
        <v>1281</v>
      </c>
      <c r="BV696" s="2" t="s">
        <v>111</v>
      </c>
      <c r="BW696" s="2"/>
      <c r="BX696" s="2"/>
      <c r="BY696" s="2">
        <v>10646.69</v>
      </c>
      <c r="BZ696" s="2" t="s">
        <v>27</v>
      </c>
      <c r="CA696" s="2"/>
      <c r="CB696" s="2"/>
      <c r="CC696" s="2" t="s">
        <v>132</v>
      </c>
      <c r="CD696" s="2">
        <v>7530</v>
      </c>
      <c r="CE696" s="2" t="s">
        <v>89</v>
      </c>
      <c r="CF696" s="5">
        <v>42832</v>
      </c>
      <c r="CG696" s="2"/>
      <c r="CH696" s="2"/>
      <c r="CI696" s="2">
        <v>1</v>
      </c>
      <c r="CJ696" s="2">
        <v>1</v>
      </c>
      <c r="CK696" s="2">
        <v>21</v>
      </c>
      <c r="CL696" s="2" t="s">
        <v>86</v>
      </c>
      <c r="CM696" s="2"/>
    </row>
    <row r="697" spans="1:91">
      <c r="A697" s="2" t="s">
        <v>71</v>
      </c>
      <c r="B697" s="2" t="s">
        <v>72</v>
      </c>
      <c r="C697" s="2" t="s">
        <v>73</v>
      </c>
      <c r="D697" s="2"/>
      <c r="E697" s="2" t="str">
        <f>"FES1162543232"</f>
        <v>FES1162543232</v>
      </c>
      <c r="F697" s="3">
        <v>42837</v>
      </c>
      <c r="G697" s="2">
        <v>201710</v>
      </c>
      <c r="H697" s="2" t="s">
        <v>74</v>
      </c>
      <c r="I697" s="2" t="s">
        <v>75</v>
      </c>
      <c r="J697" s="2" t="s">
        <v>76</v>
      </c>
      <c r="K697" s="2" t="s">
        <v>77</v>
      </c>
      <c r="L697" s="2" t="s">
        <v>160</v>
      </c>
      <c r="M697" s="2" t="s">
        <v>161</v>
      </c>
      <c r="N697" s="2" t="s">
        <v>463</v>
      </c>
      <c r="O697" s="2" t="s">
        <v>115</v>
      </c>
      <c r="P697" s="2" t="str">
        <f>"2170558161                    "</f>
        <v xml:space="preserve">2170558161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4.29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0.3</v>
      </c>
      <c r="BJ697" s="2">
        <v>1.3</v>
      </c>
      <c r="BK697" s="2">
        <v>1.5</v>
      </c>
      <c r="BL697" s="2">
        <v>41.73</v>
      </c>
      <c r="BM697" s="2">
        <v>5.84</v>
      </c>
      <c r="BN697" s="2">
        <v>47.57</v>
      </c>
      <c r="BO697" s="2">
        <v>47.57</v>
      </c>
      <c r="BP697" s="2"/>
      <c r="BQ697" s="2" t="s">
        <v>129</v>
      </c>
      <c r="BR697" s="2" t="s">
        <v>84</v>
      </c>
      <c r="BS697" s="3">
        <v>42838</v>
      </c>
      <c r="BT697" s="4">
        <v>0.41666666666666669</v>
      </c>
      <c r="BU697" s="2" t="s">
        <v>223</v>
      </c>
      <c r="BV697" s="2" t="s">
        <v>111</v>
      </c>
      <c r="BW697" s="2"/>
      <c r="BX697" s="2"/>
      <c r="BY697" s="2">
        <v>6671.48</v>
      </c>
      <c r="BZ697" s="2" t="s">
        <v>27</v>
      </c>
      <c r="CA697" s="2"/>
      <c r="CB697" s="2"/>
      <c r="CC697" s="2" t="s">
        <v>161</v>
      </c>
      <c r="CD697" s="2">
        <v>5201</v>
      </c>
      <c r="CE697" s="2" t="s">
        <v>118</v>
      </c>
      <c r="CF697" s="5">
        <v>42843</v>
      </c>
      <c r="CG697" s="2"/>
      <c r="CH697" s="2"/>
      <c r="CI697" s="2">
        <v>1</v>
      </c>
      <c r="CJ697" s="2">
        <v>1</v>
      </c>
      <c r="CK697" s="2">
        <v>21</v>
      </c>
      <c r="CL697" s="2" t="s">
        <v>86</v>
      </c>
      <c r="CM697" s="2"/>
    </row>
    <row r="698" spans="1:91">
      <c r="A698" s="2" t="s">
        <v>71</v>
      </c>
      <c r="B698" s="2" t="s">
        <v>72</v>
      </c>
      <c r="C698" s="2" t="s">
        <v>73</v>
      </c>
      <c r="D698" s="2"/>
      <c r="E698" s="2" t="str">
        <f>"FES1162542107"</f>
        <v>FES1162542107</v>
      </c>
      <c r="F698" s="3">
        <v>42831</v>
      </c>
      <c r="G698" s="2">
        <v>201710</v>
      </c>
      <c r="H698" s="2" t="s">
        <v>74</v>
      </c>
      <c r="I698" s="2" t="s">
        <v>75</v>
      </c>
      <c r="J698" s="2" t="s">
        <v>76</v>
      </c>
      <c r="K698" s="2" t="s">
        <v>77</v>
      </c>
      <c r="L698" s="2" t="s">
        <v>131</v>
      </c>
      <c r="M698" s="2" t="s">
        <v>132</v>
      </c>
      <c r="N698" s="2" t="s">
        <v>1084</v>
      </c>
      <c r="O698" s="2" t="s">
        <v>115</v>
      </c>
      <c r="P698" s="2" t="str">
        <f>"2170560990                    "</f>
        <v xml:space="preserve">2170560990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5.36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2.1</v>
      </c>
      <c r="BJ698" s="2">
        <v>1.3</v>
      </c>
      <c r="BK698" s="2">
        <v>2.5</v>
      </c>
      <c r="BL698" s="2">
        <v>52.16</v>
      </c>
      <c r="BM698" s="2">
        <v>7.3</v>
      </c>
      <c r="BN698" s="2">
        <v>59.46</v>
      </c>
      <c r="BO698" s="2">
        <v>59.46</v>
      </c>
      <c r="BP698" s="2"/>
      <c r="BQ698" s="2" t="s">
        <v>1085</v>
      </c>
      <c r="BR698" s="2" t="s">
        <v>123</v>
      </c>
      <c r="BS698" s="3">
        <v>42832</v>
      </c>
      <c r="BT698" s="4">
        <v>0.41666666666666669</v>
      </c>
      <c r="BU698" s="2" t="s">
        <v>130</v>
      </c>
      <c r="BV698" s="2" t="s">
        <v>111</v>
      </c>
      <c r="BW698" s="2"/>
      <c r="BX698" s="2"/>
      <c r="BY698" s="2">
        <v>6463</v>
      </c>
      <c r="BZ698" s="2" t="s">
        <v>27</v>
      </c>
      <c r="CA698" s="2"/>
      <c r="CB698" s="2"/>
      <c r="CC698" s="2" t="s">
        <v>132</v>
      </c>
      <c r="CD698" s="2">
        <v>7441</v>
      </c>
      <c r="CE698" s="2" t="s">
        <v>144</v>
      </c>
      <c r="CF698" s="5">
        <v>42835</v>
      </c>
      <c r="CG698" s="2"/>
      <c r="CH698" s="2"/>
      <c r="CI698" s="2">
        <v>1</v>
      </c>
      <c r="CJ698" s="2">
        <v>1</v>
      </c>
      <c r="CK698" s="2">
        <v>21</v>
      </c>
      <c r="CL698" s="2" t="s">
        <v>86</v>
      </c>
      <c r="CM698" s="2"/>
    </row>
    <row r="699" spans="1:91">
      <c r="A699" s="2" t="s">
        <v>71</v>
      </c>
      <c r="B699" s="2" t="s">
        <v>72</v>
      </c>
      <c r="C699" s="2" t="s">
        <v>73</v>
      </c>
      <c r="D699" s="2"/>
      <c r="E699" s="2" t="str">
        <f>"FES1162541366"</f>
        <v>FES1162541366</v>
      </c>
      <c r="F699" s="3">
        <v>42829</v>
      </c>
      <c r="G699" s="2">
        <v>201710</v>
      </c>
      <c r="H699" s="2" t="s">
        <v>74</v>
      </c>
      <c r="I699" s="2" t="s">
        <v>75</v>
      </c>
      <c r="J699" s="2" t="s">
        <v>76</v>
      </c>
      <c r="K699" s="2" t="s">
        <v>77</v>
      </c>
      <c r="L699" s="2" t="s">
        <v>294</v>
      </c>
      <c r="M699" s="2" t="s">
        <v>295</v>
      </c>
      <c r="N699" s="2" t="s">
        <v>1282</v>
      </c>
      <c r="O699" s="2" t="s">
        <v>115</v>
      </c>
      <c r="P699" s="2" t="str">
        <f>"2170560450                    "</f>
        <v xml:space="preserve">2170560450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6.63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2.9</v>
      </c>
      <c r="BJ699" s="2">
        <v>1</v>
      </c>
      <c r="BK699" s="2">
        <v>3</v>
      </c>
      <c r="BL699" s="2">
        <v>62.79</v>
      </c>
      <c r="BM699" s="2">
        <v>8.7899999999999991</v>
      </c>
      <c r="BN699" s="2">
        <v>71.58</v>
      </c>
      <c r="BO699" s="2">
        <v>71.58</v>
      </c>
      <c r="BP699" s="2"/>
      <c r="BQ699" s="2" t="s">
        <v>116</v>
      </c>
      <c r="BR699" s="2" t="s">
        <v>123</v>
      </c>
      <c r="BS699" s="3">
        <v>42830</v>
      </c>
      <c r="BT699" s="4">
        <v>0.4375</v>
      </c>
      <c r="BU699" s="2" t="s">
        <v>130</v>
      </c>
      <c r="BV699" s="2" t="s">
        <v>111</v>
      </c>
      <c r="BW699" s="2"/>
      <c r="BX699" s="2"/>
      <c r="BY699" s="2">
        <v>4893.6400000000003</v>
      </c>
      <c r="BZ699" s="2" t="s">
        <v>27</v>
      </c>
      <c r="CA699" s="2"/>
      <c r="CB699" s="2"/>
      <c r="CC699" s="2" t="s">
        <v>295</v>
      </c>
      <c r="CD699" s="2">
        <v>3610</v>
      </c>
      <c r="CE699" s="2" t="s">
        <v>135</v>
      </c>
      <c r="CF699" s="5">
        <v>42831</v>
      </c>
      <c r="CG699" s="2"/>
      <c r="CH699" s="2"/>
      <c r="CI699" s="2">
        <v>1</v>
      </c>
      <c r="CJ699" s="2">
        <v>1</v>
      </c>
      <c r="CK699" s="2">
        <v>21</v>
      </c>
      <c r="CL699" s="2" t="s">
        <v>86</v>
      </c>
      <c r="CM699" s="2"/>
    </row>
    <row r="700" spans="1:91">
      <c r="A700" s="2" t="s">
        <v>71</v>
      </c>
      <c r="B700" s="2" t="s">
        <v>72</v>
      </c>
      <c r="C700" s="2" t="s">
        <v>73</v>
      </c>
      <c r="D700" s="2"/>
      <c r="E700" s="2" t="str">
        <f>"FES1162542059"</f>
        <v>FES1162542059</v>
      </c>
      <c r="F700" s="3">
        <v>42836</v>
      </c>
      <c r="G700" s="2">
        <v>201710</v>
      </c>
      <c r="H700" s="2" t="s">
        <v>74</v>
      </c>
      <c r="I700" s="2" t="s">
        <v>75</v>
      </c>
      <c r="J700" s="2" t="s">
        <v>76</v>
      </c>
      <c r="K700" s="2" t="s">
        <v>77</v>
      </c>
      <c r="L700" s="2" t="s">
        <v>267</v>
      </c>
      <c r="M700" s="2" t="s">
        <v>268</v>
      </c>
      <c r="N700" s="2" t="s">
        <v>1283</v>
      </c>
      <c r="O700" s="2" t="s">
        <v>115</v>
      </c>
      <c r="P700" s="2" t="str">
        <f>"2170557054                    "</f>
        <v xml:space="preserve">2170557054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3.35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32.6</v>
      </c>
      <c r="BM700" s="2">
        <v>4.5599999999999996</v>
      </c>
      <c r="BN700" s="2">
        <v>37.159999999999997</v>
      </c>
      <c r="BO700" s="2">
        <v>37.159999999999997</v>
      </c>
      <c r="BP700" s="2"/>
      <c r="BQ700" s="2" t="s">
        <v>122</v>
      </c>
      <c r="BR700" s="2" t="s">
        <v>123</v>
      </c>
      <c r="BS700" s="3">
        <v>42837</v>
      </c>
      <c r="BT700" s="4">
        <v>0.41666666666666669</v>
      </c>
      <c r="BU700" s="2" t="s">
        <v>198</v>
      </c>
      <c r="BV700" s="2" t="s">
        <v>111</v>
      </c>
      <c r="BW700" s="2"/>
      <c r="BX700" s="2"/>
      <c r="BY700" s="2">
        <v>1200</v>
      </c>
      <c r="BZ700" s="2" t="s">
        <v>27</v>
      </c>
      <c r="CA700" s="2"/>
      <c r="CB700" s="2"/>
      <c r="CC700" s="2" t="s">
        <v>268</v>
      </c>
      <c r="CD700" s="2">
        <v>1724</v>
      </c>
      <c r="CE700" s="2" t="s">
        <v>118</v>
      </c>
      <c r="CF700" s="5">
        <v>42838</v>
      </c>
      <c r="CG700" s="2"/>
      <c r="CH700" s="2"/>
      <c r="CI700" s="2">
        <v>1</v>
      </c>
      <c r="CJ700" s="2">
        <v>1</v>
      </c>
      <c r="CK700" s="2">
        <v>22</v>
      </c>
      <c r="CL700" s="2" t="s">
        <v>86</v>
      </c>
      <c r="CM700" s="2"/>
    </row>
    <row r="701" spans="1:91">
      <c r="A701" s="2" t="s">
        <v>71</v>
      </c>
      <c r="B701" s="2" t="s">
        <v>72</v>
      </c>
      <c r="C701" s="2" t="s">
        <v>73</v>
      </c>
      <c r="D701" s="2"/>
      <c r="E701" s="2" t="str">
        <f>"FES1162541840"</f>
        <v>FES1162541840</v>
      </c>
      <c r="F701" s="3">
        <v>42830</v>
      </c>
      <c r="G701" s="2">
        <v>201710</v>
      </c>
      <c r="H701" s="2" t="s">
        <v>74</v>
      </c>
      <c r="I701" s="2" t="s">
        <v>75</v>
      </c>
      <c r="J701" s="2" t="s">
        <v>76</v>
      </c>
      <c r="K701" s="2" t="s">
        <v>77</v>
      </c>
      <c r="L701" s="2" t="s">
        <v>99</v>
      </c>
      <c r="M701" s="2" t="s">
        <v>100</v>
      </c>
      <c r="N701" s="2" t="s">
        <v>513</v>
      </c>
      <c r="O701" s="2" t="s">
        <v>115</v>
      </c>
      <c r="P701" s="2" t="str">
        <f>"2170560854                    "</f>
        <v xml:space="preserve">2170560854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17.149999999999999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4</v>
      </c>
      <c r="BJ701" s="2">
        <v>7.6</v>
      </c>
      <c r="BK701" s="2">
        <v>8</v>
      </c>
      <c r="BL701" s="2">
        <v>166.91</v>
      </c>
      <c r="BM701" s="2">
        <v>23.37</v>
      </c>
      <c r="BN701" s="2">
        <v>190.28</v>
      </c>
      <c r="BO701" s="2">
        <v>190.28</v>
      </c>
      <c r="BP701" s="2"/>
      <c r="BQ701" s="2" t="s">
        <v>515</v>
      </c>
      <c r="BR701" s="2" t="s">
        <v>123</v>
      </c>
      <c r="BS701" s="3">
        <v>42831</v>
      </c>
      <c r="BT701" s="4">
        <v>0.41805555555555557</v>
      </c>
      <c r="BU701" s="2" t="s">
        <v>130</v>
      </c>
      <c r="BV701" s="2" t="s">
        <v>111</v>
      </c>
      <c r="BW701" s="2"/>
      <c r="BX701" s="2"/>
      <c r="BY701" s="2">
        <v>38118.879999999997</v>
      </c>
      <c r="BZ701" s="2" t="s">
        <v>27</v>
      </c>
      <c r="CA701" s="2"/>
      <c r="CB701" s="2"/>
      <c r="CC701" s="2" t="s">
        <v>100</v>
      </c>
      <c r="CD701" s="2">
        <v>6045</v>
      </c>
      <c r="CE701" s="2" t="s">
        <v>89</v>
      </c>
      <c r="CF701" s="5">
        <v>42832</v>
      </c>
      <c r="CG701" s="2"/>
      <c r="CH701" s="2"/>
      <c r="CI701" s="2">
        <v>1</v>
      </c>
      <c r="CJ701" s="2">
        <v>1</v>
      </c>
      <c r="CK701" s="2">
        <v>21</v>
      </c>
      <c r="CL701" s="2" t="s">
        <v>86</v>
      </c>
      <c r="CM701" s="2"/>
    </row>
    <row r="702" spans="1:91">
      <c r="A702" s="2" t="s">
        <v>71</v>
      </c>
      <c r="B702" s="2" t="s">
        <v>72</v>
      </c>
      <c r="C702" s="2" t="s">
        <v>73</v>
      </c>
      <c r="D702" s="2"/>
      <c r="E702" s="2" t="str">
        <f>"FES1162541663"</f>
        <v>FES1162541663</v>
      </c>
      <c r="F702" s="3">
        <v>42830</v>
      </c>
      <c r="G702" s="2">
        <v>201710</v>
      </c>
      <c r="H702" s="2" t="s">
        <v>74</v>
      </c>
      <c r="I702" s="2" t="s">
        <v>75</v>
      </c>
      <c r="J702" s="2" t="s">
        <v>76</v>
      </c>
      <c r="K702" s="2" t="s">
        <v>77</v>
      </c>
      <c r="L702" s="2" t="s">
        <v>609</v>
      </c>
      <c r="M702" s="2" t="s">
        <v>610</v>
      </c>
      <c r="N702" s="2" t="s">
        <v>982</v>
      </c>
      <c r="O702" s="2" t="s">
        <v>115</v>
      </c>
      <c r="P702" s="2" t="str">
        <f>"2170558580                    "</f>
        <v xml:space="preserve">2170558580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4.29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1</v>
      </c>
      <c r="BJ702" s="2">
        <v>0.2</v>
      </c>
      <c r="BK702" s="2">
        <v>1</v>
      </c>
      <c r="BL702" s="2">
        <v>41.73</v>
      </c>
      <c r="BM702" s="2">
        <v>5.84</v>
      </c>
      <c r="BN702" s="2">
        <v>47.57</v>
      </c>
      <c r="BO702" s="2">
        <v>47.57</v>
      </c>
      <c r="BP702" s="2"/>
      <c r="BQ702" s="2" t="s">
        <v>129</v>
      </c>
      <c r="BR702" s="2" t="s">
        <v>123</v>
      </c>
      <c r="BS702" s="3">
        <v>42831</v>
      </c>
      <c r="BT702" s="4">
        <v>0.5</v>
      </c>
      <c r="BU702" s="2" t="s">
        <v>983</v>
      </c>
      <c r="BV702" s="2" t="s">
        <v>86</v>
      </c>
      <c r="BW702" s="2"/>
      <c r="BX702" s="2"/>
      <c r="BY702" s="2">
        <v>1200</v>
      </c>
      <c r="BZ702" s="2" t="s">
        <v>27</v>
      </c>
      <c r="CA702" s="2"/>
      <c r="CB702" s="2"/>
      <c r="CC702" s="2" t="s">
        <v>610</v>
      </c>
      <c r="CD702" s="2">
        <v>1911</v>
      </c>
      <c r="CE702" s="2" t="s">
        <v>144</v>
      </c>
      <c r="CF702" s="5">
        <v>42833</v>
      </c>
      <c r="CG702" s="2"/>
      <c r="CH702" s="2"/>
      <c r="CI702" s="2">
        <v>1</v>
      </c>
      <c r="CJ702" s="2">
        <v>1</v>
      </c>
      <c r="CK702" s="2">
        <v>21</v>
      </c>
      <c r="CL702" s="2" t="s">
        <v>86</v>
      </c>
      <c r="CM702" s="2"/>
    </row>
    <row r="703" spans="1:91">
      <c r="A703" s="2" t="s">
        <v>71</v>
      </c>
      <c r="B703" s="2" t="s">
        <v>72</v>
      </c>
      <c r="C703" s="2" t="s">
        <v>73</v>
      </c>
      <c r="D703" s="2"/>
      <c r="E703" s="2" t="str">
        <f>"FES1162543164"</f>
        <v>FES1162543164</v>
      </c>
      <c r="F703" s="3">
        <v>42837</v>
      </c>
      <c r="G703" s="2">
        <v>201710</v>
      </c>
      <c r="H703" s="2" t="s">
        <v>74</v>
      </c>
      <c r="I703" s="2" t="s">
        <v>75</v>
      </c>
      <c r="J703" s="2" t="s">
        <v>76</v>
      </c>
      <c r="K703" s="2" t="s">
        <v>77</v>
      </c>
      <c r="L703" s="2" t="s">
        <v>358</v>
      </c>
      <c r="M703" s="2" t="s">
        <v>359</v>
      </c>
      <c r="N703" s="2" t="s">
        <v>360</v>
      </c>
      <c r="O703" s="2" t="s">
        <v>115</v>
      </c>
      <c r="P703" s="2" t="str">
        <f>"2170557875                    "</f>
        <v xml:space="preserve">2170557875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4.29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1</v>
      </c>
      <c r="BJ703" s="2">
        <v>0.2</v>
      </c>
      <c r="BK703" s="2">
        <v>1</v>
      </c>
      <c r="BL703" s="2">
        <v>41.73</v>
      </c>
      <c r="BM703" s="2">
        <v>5.84</v>
      </c>
      <c r="BN703" s="2">
        <v>47.57</v>
      </c>
      <c r="BO703" s="2">
        <v>47.57</v>
      </c>
      <c r="BP703" s="2"/>
      <c r="BQ703" s="2" t="s">
        <v>361</v>
      </c>
      <c r="BR703" s="2" t="s">
        <v>84</v>
      </c>
      <c r="BS703" s="3">
        <v>42838</v>
      </c>
      <c r="BT703" s="4">
        <v>0.33333333333333331</v>
      </c>
      <c r="BU703" s="2" t="s">
        <v>362</v>
      </c>
      <c r="BV703" s="2" t="s">
        <v>111</v>
      </c>
      <c r="BW703" s="2"/>
      <c r="BX703" s="2"/>
      <c r="BY703" s="2">
        <v>1200</v>
      </c>
      <c r="BZ703" s="2" t="s">
        <v>27</v>
      </c>
      <c r="CA703" s="2" t="s">
        <v>159</v>
      </c>
      <c r="CB703" s="2"/>
      <c r="CC703" s="2" t="s">
        <v>359</v>
      </c>
      <c r="CD703" s="2">
        <v>6229</v>
      </c>
      <c r="CE703" s="2" t="s">
        <v>118</v>
      </c>
      <c r="CF703" s="5">
        <v>42843</v>
      </c>
      <c r="CG703" s="2"/>
      <c r="CH703" s="2"/>
      <c r="CI703" s="2">
        <v>1</v>
      </c>
      <c r="CJ703" s="2">
        <v>1</v>
      </c>
      <c r="CK703" s="2">
        <v>21</v>
      </c>
      <c r="CL703" s="2" t="s">
        <v>86</v>
      </c>
      <c r="CM703" s="2"/>
    </row>
    <row r="704" spans="1:91">
      <c r="A704" s="2" t="s">
        <v>71</v>
      </c>
      <c r="B704" s="2" t="s">
        <v>72</v>
      </c>
      <c r="C704" s="2" t="s">
        <v>73</v>
      </c>
      <c r="D704" s="2"/>
      <c r="E704" s="2" t="str">
        <f>"FES1162542132"</f>
        <v>FES1162542132</v>
      </c>
      <c r="F704" s="3">
        <v>42831</v>
      </c>
      <c r="G704" s="2">
        <v>201710</v>
      </c>
      <c r="H704" s="2" t="s">
        <v>74</v>
      </c>
      <c r="I704" s="2" t="s">
        <v>75</v>
      </c>
      <c r="J704" s="2" t="s">
        <v>76</v>
      </c>
      <c r="K704" s="2" t="s">
        <v>77</v>
      </c>
      <c r="L704" s="2" t="s">
        <v>131</v>
      </c>
      <c r="M704" s="2" t="s">
        <v>132</v>
      </c>
      <c r="N704" s="2" t="s">
        <v>188</v>
      </c>
      <c r="O704" s="2" t="s">
        <v>115</v>
      </c>
      <c r="P704" s="2" t="str">
        <f>"2170561031                    "</f>
        <v xml:space="preserve">2170561031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4.29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1.4</v>
      </c>
      <c r="BJ704" s="2">
        <v>1.5</v>
      </c>
      <c r="BK704" s="2">
        <v>1.5</v>
      </c>
      <c r="BL704" s="2">
        <v>41.73</v>
      </c>
      <c r="BM704" s="2">
        <v>5.84</v>
      </c>
      <c r="BN704" s="2">
        <v>47.57</v>
      </c>
      <c r="BO704" s="2">
        <v>47.57</v>
      </c>
      <c r="BP704" s="2"/>
      <c r="BQ704" s="2" t="s">
        <v>83</v>
      </c>
      <c r="BR704" s="2" t="s">
        <v>123</v>
      </c>
      <c r="BS704" s="3">
        <v>42832</v>
      </c>
      <c r="BT704" s="4">
        <v>0.41666666666666669</v>
      </c>
      <c r="BU704" s="2" t="s">
        <v>1284</v>
      </c>
      <c r="BV704" s="2" t="s">
        <v>111</v>
      </c>
      <c r="BW704" s="2"/>
      <c r="BX704" s="2"/>
      <c r="BY704" s="2">
        <v>7709.46</v>
      </c>
      <c r="BZ704" s="2" t="s">
        <v>27</v>
      </c>
      <c r="CA704" s="2"/>
      <c r="CB704" s="2"/>
      <c r="CC704" s="2" t="s">
        <v>132</v>
      </c>
      <c r="CD704" s="2">
        <v>7460</v>
      </c>
      <c r="CE704" s="2" t="s">
        <v>135</v>
      </c>
      <c r="CF704" s="5">
        <v>42836</v>
      </c>
      <c r="CG704" s="2"/>
      <c r="CH704" s="2"/>
      <c r="CI704" s="2">
        <v>1</v>
      </c>
      <c r="CJ704" s="2">
        <v>1</v>
      </c>
      <c r="CK704" s="2">
        <v>21</v>
      </c>
      <c r="CL704" s="2" t="s">
        <v>86</v>
      </c>
      <c r="CM704" s="2"/>
    </row>
    <row r="705" spans="1:91">
      <c r="A705" s="2" t="s">
        <v>71</v>
      </c>
      <c r="B705" s="2" t="s">
        <v>72</v>
      </c>
      <c r="C705" s="2" t="s">
        <v>73</v>
      </c>
      <c r="D705" s="2"/>
      <c r="E705" s="2" t="str">
        <f>"FES1162542735"</f>
        <v>FES1162542735</v>
      </c>
      <c r="F705" s="3">
        <v>42836</v>
      </c>
      <c r="G705" s="2">
        <v>201710</v>
      </c>
      <c r="H705" s="2" t="s">
        <v>74</v>
      </c>
      <c r="I705" s="2" t="s">
        <v>75</v>
      </c>
      <c r="J705" s="2" t="s">
        <v>76</v>
      </c>
      <c r="K705" s="2" t="s">
        <v>77</v>
      </c>
      <c r="L705" s="2" t="s">
        <v>166</v>
      </c>
      <c r="M705" s="2" t="s">
        <v>167</v>
      </c>
      <c r="N705" s="2" t="s">
        <v>1285</v>
      </c>
      <c r="O705" s="2" t="s">
        <v>115</v>
      </c>
      <c r="P705" s="2" t="str">
        <f>"2170561616                    "</f>
        <v xml:space="preserve">2170561616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3.35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</v>
      </c>
      <c r="BJ705" s="2">
        <v>0.2</v>
      </c>
      <c r="BK705" s="2">
        <v>1</v>
      </c>
      <c r="BL705" s="2">
        <v>32.6</v>
      </c>
      <c r="BM705" s="2">
        <v>4.5599999999999996</v>
      </c>
      <c r="BN705" s="2">
        <v>37.159999999999997</v>
      </c>
      <c r="BO705" s="2">
        <v>37.159999999999997</v>
      </c>
      <c r="BP705" s="2"/>
      <c r="BQ705" s="2" t="s">
        <v>122</v>
      </c>
      <c r="BR705" s="2" t="s">
        <v>123</v>
      </c>
      <c r="BS705" s="3">
        <v>42837</v>
      </c>
      <c r="BT705" s="4">
        <v>0.4201388888888889</v>
      </c>
      <c r="BU705" s="2" t="s">
        <v>124</v>
      </c>
      <c r="BV705" s="2" t="s">
        <v>111</v>
      </c>
      <c r="BW705" s="2"/>
      <c r="BX705" s="2"/>
      <c r="BY705" s="2">
        <v>1200</v>
      </c>
      <c r="BZ705" s="2" t="s">
        <v>27</v>
      </c>
      <c r="CA705" s="2"/>
      <c r="CB705" s="2"/>
      <c r="CC705" s="2" t="s">
        <v>167</v>
      </c>
      <c r="CD705" s="2">
        <v>2197</v>
      </c>
      <c r="CE705" s="2" t="s">
        <v>118</v>
      </c>
      <c r="CF705" s="5">
        <v>42838</v>
      </c>
      <c r="CG705" s="2"/>
      <c r="CH705" s="2"/>
      <c r="CI705" s="2">
        <v>1</v>
      </c>
      <c r="CJ705" s="2">
        <v>1</v>
      </c>
      <c r="CK705" s="2">
        <v>22</v>
      </c>
      <c r="CL705" s="2" t="s">
        <v>86</v>
      </c>
      <c r="CM705" s="2"/>
    </row>
    <row r="706" spans="1:91">
      <c r="A706" s="2" t="s">
        <v>71</v>
      </c>
      <c r="B706" s="2" t="s">
        <v>72</v>
      </c>
      <c r="C706" s="2" t="s">
        <v>73</v>
      </c>
      <c r="D706" s="2"/>
      <c r="E706" s="2" t="str">
        <f>"FES1162541828"</f>
        <v>FES1162541828</v>
      </c>
      <c r="F706" s="3">
        <v>42830</v>
      </c>
      <c r="G706" s="2">
        <v>201710</v>
      </c>
      <c r="H706" s="2" t="s">
        <v>74</v>
      </c>
      <c r="I706" s="2" t="s">
        <v>75</v>
      </c>
      <c r="J706" s="2" t="s">
        <v>76</v>
      </c>
      <c r="K706" s="2" t="s">
        <v>77</v>
      </c>
      <c r="L706" s="2" t="s">
        <v>99</v>
      </c>
      <c r="M706" s="2" t="s">
        <v>100</v>
      </c>
      <c r="N706" s="2" t="s">
        <v>843</v>
      </c>
      <c r="O706" s="2" t="s">
        <v>115</v>
      </c>
      <c r="P706" s="2" t="str">
        <f>"2170560631                    "</f>
        <v xml:space="preserve">2170560631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10.72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5</v>
      </c>
      <c r="BJ706" s="2">
        <v>2</v>
      </c>
      <c r="BK706" s="2">
        <v>5</v>
      </c>
      <c r="BL706" s="2">
        <v>104.32</v>
      </c>
      <c r="BM706" s="2">
        <v>14.6</v>
      </c>
      <c r="BN706" s="2">
        <v>118.92</v>
      </c>
      <c r="BO706" s="2">
        <v>118.92</v>
      </c>
      <c r="BP706" s="2"/>
      <c r="BQ706" s="2" t="s">
        <v>844</v>
      </c>
      <c r="BR706" s="2" t="s">
        <v>123</v>
      </c>
      <c r="BS706" s="3">
        <v>42831</v>
      </c>
      <c r="BT706" s="4">
        <v>0.37291666666666662</v>
      </c>
      <c r="BU706" s="2" t="s">
        <v>845</v>
      </c>
      <c r="BV706" s="2" t="s">
        <v>111</v>
      </c>
      <c r="BW706" s="2"/>
      <c r="BX706" s="2"/>
      <c r="BY706" s="2">
        <v>9784.32</v>
      </c>
      <c r="BZ706" s="2" t="s">
        <v>27</v>
      </c>
      <c r="CA706" s="2" t="s">
        <v>154</v>
      </c>
      <c r="CB706" s="2"/>
      <c r="CC706" s="2" t="s">
        <v>100</v>
      </c>
      <c r="CD706" s="2">
        <v>6001</v>
      </c>
      <c r="CE706" s="2" t="s">
        <v>89</v>
      </c>
      <c r="CF706" s="5">
        <v>42831</v>
      </c>
      <c r="CG706" s="2"/>
      <c r="CH706" s="2"/>
      <c r="CI706" s="2">
        <v>1</v>
      </c>
      <c r="CJ706" s="2">
        <v>1</v>
      </c>
      <c r="CK706" s="2">
        <v>21</v>
      </c>
      <c r="CL706" s="2" t="s">
        <v>86</v>
      </c>
      <c r="CM706" s="2"/>
    </row>
    <row r="707" spans="1:91">
      <c r="A707" s="2" t="s">
        <v>71</v>
      </c>
      <c r="B707" s="2" t="s">
        <v>72</v>
      </c>
      <c r="C707" s="2" t="s">
        <v>73</v>
      </c>
      <c r="D707" s="2"/>
      <c r="E707" s="2" t="str">
        <f>"FES1162541608"</f>
        <v>FES1162541608</v>
      </c>
      <c r="F707" s="3">
        <v>42830</v>
      </c>
      <c r="G707" s="2">
        <v>201710</v>
      </c>
      <c r="H707" s="2" t="s">
        <v>74</v>
      </c>
      <c r="I707" s="2" t="s">
        <v>75</v>
      </c>
      <c r="J707" s="2" t="s">
        <v>76</v>
      </c>
      <c r="K707" s="2" t="s">
        <v>77</v>
      </c>
      <c r="L707" s="2" t="s">
        <v>139</v>
      </c>
      <c r="M707" s="2" t="s">
        <v>140</v>
      </c>
      <c r="N707" s="2" t="s">
        <v>421</v>
      </c>
      <c r="O707" s="2" t="s">
        <v>115</v>
      </c>
      <c r="P707" s="2" t="str">
        <f>"2170557701                    "</f>
        <v xml:space="preserve">2170557701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4.29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1</v>
      </c>
      <c r="BJ707" s="2">
        <v>0.2</v>
      </c>
      <c r="BK707" s="2">
        <v>1</v>
      </c>
      <c r="BL707" s="2">
        <v>41.73</v>
      </c>
      <c r="BM707" s="2">
        <v>5.84</v>
      </c>
      <c r="BN707" s="2">
        <v>47.57</v>
      </c>
      <c r="BO707" s="2">
        <v>47.57</v>
      </c>
      <c r="BP707" s="2"/>
      <c r="BQ707" s="2" t="s">
        <v>422</v>
      </c>
      <c r="BR707" s="2" t="s">
        <v>123</v>
      </c>
      <c r="BS707" s="3">
        <v>42831</v>
      </c>
      <c r="BT707" s="4">
        <v>0.61111111111111105</v>
      </c>
      <c r="BU707" s="2" t="s">
        <v>1286</v>
      </c>
      <c r="BV707" s="2" t="s">
        <v>86</v>
      </c>
      <c r="BW707" s="2" t="s">
        <v>164</v>
      </c>
      <c r="BX707" s="2" t="s">
        <v>786</v>
      </c>
      <c r="BY707" s="2">
        <v>1200</v>
      </c>
      <c r="BZ707" s="2" t="s">
        <v>27</v>
      </c>
      <c r="CA707" s="2"/>
      <c r="CB707" s="2"/>
      <c r="CC707" s="2" t="s">
        <v>140</v>
      </c>
      <c r="CD707" s="2">
        <v>157</v>
      </c>
      <c r="CE707" s="2" t="s">
        <v>144</v>
      </c>
      <c r="CF707" s="5">
        <v>42835</v>
      </c>
      <c r="CG707" s="2"/>
      <c r="CH707" s="2"/>
      <c r="CI707" s="2">
        <v>0</v>
      </c>
      <c r="CJ707" s="2">
        <v>0</v>
      </c>
      <c r="CK707" s="2">
        <v>21</v>
      </c>
      <c r="CL707" s="2" t="s">
        <v>86</v>
      </c>
      <c r="CM707" s="2"/>
    </row>
    <row r="708" spans="1:91">
      <c r="A708" s="2" t="s">
        <v>71</v>
      </c>
      <c r="B708" s="2" t="s">
        <v>72</v>
      </c>
      <c r="C708" s="2" t="s">
        <v>73</v>
      </c>
      <c r="D708" s="2"/>
      <c r="E708" s="2" t="str">
        <f>"FES1162543231"</f>
        <v>FES1162543231</v>
      </c>
      <c r="F708" s="3">
        <v>42837</v>
      </c>
      <c r="G708" s="2">
        <v>201710</v>
      </c>
      <c r="H708" s="2" t="s">
        <v>74</v>
      </c>
      <c r="I708" s="2" t="s">
        <v>75</v>
      </c>
      <c r="J708" s="2" t="s">
        <v>76</v>
      </c>
      <c r="K708" s="2" t="s">
        <v>77</v>
      </c>
      <c r="L708" s="2" t="s">
        <v>358</v>
      </c>
      <c r="M708" s="2" t="s">
        <v>359</v>
      </c>
      <c r="N708" s="2" t="s">
        <v>360</v>
      </c>
      <c r="O708" s="2" t="s">
        <v>115</v>
      </c>
      <c r="P708" s="2" t="str">
        <f>"217055752                     "</f>
        <v xml:space="preserve">217055752 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4.29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1</v>
      </c>
      <c r="BJ708" s="2">
        <v>0.2</v>
      </c>
      <c r="BK708" s="2">
        <v>1</v>
      </c>
      <c r="BL708" s="2">
        <v>41.73</v>
      </c>
      <c r="BM708" s="2">
        <v>5.84</v>
      </c>
      <c r="BN708" s="2">
        <v>47.57</v>
      </c>
      <c r="BO708" s="2">
        <v>47.57</v>
      </c>
      <c r="BP708" s="2"/>
      <c r="BQ708" s="2" t="s">
        <v>361</v>
      </c>
      <c r="BR708" s="2" t="s">
        <v>84</v>
      </c>
      <c r="BS708" s="3">
        <v>42838</v>
      </c>
      <c r="BT708" s="4">
        <v>0.33333333333333331</v>
      </c>
      <c r="BU708" s="2" t="s">
        <v>362</v>
      </c>
      <c r="BV708" s="2" t="s">
        <v>111</v>
      </c>
      <c r="BW708" s="2"/>
      <c r="BX708" s="2"/>
      <c r="BY708" s="2">
        <v>1200</v>
      </c>
      <c r="BZ708" s="2" t="s">
        <v>27</v>
      </c>
      <c r="CA708" s="2" t="s">
        <v>159</v>
      </c>
      <c r="CB708" s="2"/>
      <c r="CC708" s="2" t="s">
        <v>359</v>
      </c>
      <c r="CD708" s="2">
        <v>6229</v>
      </c>
      <c r="CE708" s="2" t="s">
        <v>118</v>
      </c>
      <c r="CF708" s="5">
        <v>42843</v>
      </c>
      <c r="CG708" s="2"/>
      <c r="CH708" s="2"/>
      <c r="CI708" s="2">
        <v>1</v>
      </c>
      <c r="CJ708" s="2">
        <v>1</v>
      </c>
      <c r="CK708" s="2">
        <v>21</v>
      </c>
      <c r="CL708" s="2" t="s">
        <v>86</v>
      </c>
      <c r="CM708" s="2"/>
    </row>
    <row r="709" spans="1:91">
      <c r="A709" s="2" t="s">
        <v>71</v>
      </c>
      <c r="B709" s="2" t="s">
        <v>72</v>
      </c>
      <c r="C709" s="2" t="s">
        <v>73</v>
      </c>
      <c r="D709" s="2"/>
      <c r="E709" s="2" t="str">
        <f>"FES1162542034"</f>
        <v>FES1162542034</v>
      </c>
      <c r="F709" s="3">
        <v>42831</v>
      </c>
      <c r="G709" s="2">
        <v>201710</v>
      </c>
      <c r="H709" s="2" t="s">
        <v>74</v>
      </c>
      <c r="I709" s="2" t="s">
        <v>75</v>
      </c>
      <c r="J709" s="2" t="s">
        <v>76</v>
      </c>
      <c r="K709" s="2" t="s">
        <v>77</v>
      </c>
      <c r="L709" s="2" t="s">
        <v>74</v>
      </c>
      <c r="M709" s="2" t="s">
        <v>75</v>
      </c>
      <c r="N709" s="2" t="s">
        <v>1287</v>
      </c>
      <c r="O709" s="2" t="s">
        <v>115</v>
      </c>
      <c r="P709" s="2" t="str">
        <f>"2170560970                    "</f>
        <v xml:space="preserve">2170560970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3.35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1</v>
      </c>
      <c r="BJ709" s="2">
        <v>0.2</v>
      </c>
      <c r="BK709" s="2">
        <v>1</v>
      </c>
      <c r="BL709" s="2">
        <v>32.6</v>
      </c>
      <c r="BM709" s="2">
        <v>4.5599999999999996</v>
      </c>
      <c r="BN709" s="2">
        <v>37.159999999999997</v>
      </c>
      <c r="BO709" s="2">
        <v>37.159999999999997</v>
      </c>
      <c r="BP709" s="2"/>
      <c r="BQ709" s="2" t="s">
        <v>1288</v>
      </c>
      <c r="BR709" s="2" t="s">
        <v>123</v>
      </c>
      <c r="BS709" s="3">
        <v>42832</v>
      </c>
      <c r="BT709" s="4">
        <v>0.41319444444444442</v>
      </c>
      <c r="BU709" s="2" t="s">
        <v>1289</v>
      </c>
      <c r="BV709" s="2" t="s">
        <v>111</v>
      </c>
      <c r="BW709" s="2"/>
      <c r="BX709" s="2"/>
      <c r="BY709" s="2">
        <v>1200</v>
      </c>
      <c r="BZ709" s="2" t="s">
        <v>27</v>
      </c>
      <c r="CA709" s="2" t="s">
        <v>159</v>
      </c>
      <c r="CB709" s="2"/>
      <c r="CC709" s="2" t="s">
        <v>75</v>
      </c>
      <c r="CD709" s="2">
        <v>1609</v>
      </c>
      <c r="CE709" s="2" t="s">
        <v>118</v>
      </c>
      <c r="CF709" s="5">
        <v>42835</v>
      </c>
      <c r="CG709" s="2"/>
      <c r="CH709" s="2"/>
      <c r="CI709" s="2">
        <v>1</v>
      </c>
      <c r="CJ709" s="2">
        <v>1</v>
      </c>
      <c r="CK709" s="2">
        <v>22</v>
      </c>
      <c r="CL709" s="2" t="s">
        <v>86</v>
      </c>
      <c r="CM709" s="2"/>
    </row>
    <row r="710" spans="1:91">
      <c r="A710" s="2" t="s">
        <v>71</v>
      </c>
      <c r="B710" s="2" t="s">
        <v>72</v>
      </c>
      <c r="C710" s="2" t="s">
        <v>73</v>
      </c>
      <c r="D710" s="2"/>
      <c r="E710" s="2" t="str">
        <f>"FES1162541288"</f>
        <v>FES1162541288</v>
      </c>
      <c r="F710" s="3">
        <v>42829</v>
      </c>
      <c r="G710" s="2">
        <v>201710</v>
      </c>
      <c r="H710" s="2" t="s">
        <v>74</v>
      </c>
      <c r="I710" s="2" t="s">
        <v>75</v>
      </c>
      <c r="J710" s="2" t="s">
        <v>76</v>
      </c>
      <c r="K710" s="2" t="s">
        <v>77</v>
      </c>
      <c r="L710" s="2" t="s">
        <v>180</v>
      </c>
      <c r="M710" s="2" t="s">
        <v>181</v>
      </c>
      <c r="N710" s="2" t="s">
        <v>706</v>
      </c>
      <c r="O710" s="2" t="s">
        <v>115</v>
      </c>
      <c r="P710" s="2" t="str">
        <f>"2170560352                    "</f>
        <v xml:space="preserve">2170560352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4.42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1</v>
      </c>
      <c r="BJ710" s="2">
        <v>0.2</v>
      </c>
      <c r="BK710" s="2">
        <v>1</v>
      </c>
      <c r="BL710" s="2">
        <v>41.86</v>
      </c>
      <c r="BM710" s="2">
        <v>5.86</v>
      </c>
      <c r="BN710" s="2">
        <v>47.72</v>
      </c>
      <c r="BO710" s="2">
        <v>47.72</v>
      </c>
      <c r="BP710" s="2"/>
      <c r="BQ710" s="2" t="s">
        <v>707</v>
      </c>
      <c r="BR710" s="2" t="s">
        <v>123</v>
      </c>
      <c r="BS710" s="3">
        <v>42830</v>
      </c>
      <c r="BT710" s="4">
        <v>0.4375</v>
      </c>
      <c r="BU710" s="2" t="s">
        <v>1290</v>
      </c>
      <c r="BV710" s="2" t="s">
        <v>111</v>
      </c>
      <c r="BW710" s="2"/>
      <c r="BX710" s="2"/>
      <c r="BY710" s="2">
        <v>1200</v>
      </c>
      <c r="BZ710" s="2" t="s">
        <v>27</v>
      </c>
      <c r="CA710" s="2"/>
      <c r="CB710" s="2"/>
      <c r="CC710" s="2" t="s">
        <v>181</v>
      </c>
      <c r="CD710" s="2">
        <v>4052</v>
      </c>
      <c r="CE710" s="2" t="s">
        <v>144</v>
      </c>
      <c r="CF710" s="5">
        <v>42831</v>
      </c>
      <c r="CG710" s="2"/>
      <c r="CH710" s="2"/>
      <c r="CI710" s="2">
        <v>1</v>
      </c>
      <c r="CJ710" s="2">
        <v>1</v>
      </c>
      <c r="CK710" s="2">
        <v>21</v>
      </c>
      <c r="CL710" s="2" t="s">
        <v>86</v>
      </c>
      <c r="CM710" s="2"/>
    </row>
    <row r="711" spans="1:91">
      <c r="A711" s="2" t="s">
        <v>71</v>
      </c>
      <c r="B711" s="2" t="s">
        <v>72</v>
      </c>
      <c r="C711" s="2" t="s">
        <v>73</v>
      </c>
      <c r="D711" s="2"/>
      <c r="E711" s="2" t="str">
        <f>"FES1162542935"</f>
        <v>FES1162542935</v>
      </c>
      <c r="F711" s="3">
        <v>42836</v>
      </c>
      <c r="G711" s="2">
        <v>201710</v>
      </c>
      <c r="H711" s="2" t="s">
        <v>74</v>
      </c>
      <c r="I711" s="2" t="s">
        <v>75</v>
      </c>
      <c r="J711" s="2" t="s">
        <v>76</v>
      </c>
      <c r="K711" s="2" t="s">
        <v>77</v>
      </c>
      <c r="L711" s="2" t="s">
        <v>160</v>
      </c>
      <c r="M711" s="2" t="s">
        <v>161</v>
      </c>
      <c r="N711" s="2" t="s">
        <v>623</v>
      </c>
      <c r="O711" s="2" t="s">
        <v>115</v>
      </c>
      <c r="P711" s="2" t="str">
        <f>"2170559883                    "</f>
        <v xml:space="preserve">2170559883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4.29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1</v>
      </c>
      <c r="BJ711" s="2">
        <v>0.2</v>
      </c>
      <c r="BK711" s="2">
        <v>1</v>
      </c>
      <c r="BL711" s="2">
        <v>41.73</v>
      </c>
      <c r="BM711" s="2">
        <v>5.84</v>
      </c>
      <c r="BN711" s="2">
        <v>47.57</v>
      </c>
      <c r="BO711" s="2">
        <v>47.57</v>
      </c>
      <c r="BP711" s="2"/>
      <c r="BQ711" s="2" t="s">
        <v>116</v>
      </c>
      <c r="BR711" s="2" t="s">
        <v>123</v>
      </c>
      <c r="BS711" s="3">
        <v>42837</v>
      </c>
      <c r="BT711" s="4">
        <v>0.41666666666666669</v>
      </c>
      <c r="BU711" s="2" t="s">
        <v>1291</v>
      </c>
      <c r="BV711" s="2" t="s">
        <v>111</v>
      </c>
      <c r="BW711" s="2"/>
      <c r="BX711" s="2"/>
      <c r="BY711" s="2">
        <v>1200</v>
      </c>
      <c r="BZ711" s="2" t="s">
        <v>27</v>
      </c>
      <c r="CA711" s="2"/>
      <c r="CB711" s="2"/>
      <c r="CC711" s="2" t="s">
        <v>161</v>
      </c>
      <c r="CD711" s="2">
        <v>5201</v>
      </c>
      <c r="CE711" s="2" t="s">
        <v>144</v>
      </c>
      <c r="CF711" s="5">
        <v>42838</v>
      </c>
      <c r="CG711" s="2"/>
      <c r="CH711" s="2"/>
      <c r="CI711" s="2">
        <v>1</v>
      </c>
      <c r="CJ711" s="2">
        <v>1</v>
      </c>
      <c r="CK711" s="2">
        <v>21</v>
      </c>
      <c r="CL711" s="2" t="s">
        <v>86</v>
      </c>
      <c r="CM711" s="2"/>
    </row>
    <row r="712" spans="1:91">
      <c r="A712" s="2" t="s">
        <v>71</v>
      </c>
      <c r="B712" s="2" t="s">
        <v>72</v>
      </c>
      <c r="C712" s="2" t="s">
        <v>73</v>
      </c>
      <c r="D712" s="2"/>
      <c r="E712" s="2" t="str">
        <f>"FES1162541825"</f>
        <v>FES1162541825</v>
      </c>
      <c r="F712" s="3">
        <v>42830</v>
      </c>
      <c r="G712" s="2">
        <v>201710</v>
      </c>
      <c r="H712" s="2" t="s">
        <v>74</v>
      </c>
      <c r="I712" s="2" t="s">
        <v>75</v>
      </c>
      <c r="J712" s="2" t="s">
        <v>76</v>
      </c>
      <c r="K712" s="2" t="s">
        <v>77</v>
      </c>
      <c r="L712" s="2" t="s">
        <v>234</v>
      </c>
      <c r="M712" s="2" t="s">
        <v>235</v>
      </c>
      <c r="N712" s="2" t="s">
        <v>236</v>
      </c>
      <c r="O712" s="2" t="s">
        <v>115</v>
      </c>
      <c r="P712" s="2" t="str">
        <f>"2170559925                    "</f>
        <v xml:space="preserve">2170559925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4.29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2</v>
      </c>
      <c r="BJ712" s="2">
        <v>0.9</v>
      </c>
      <c r="BK712" s="2">
        <v>2</v>
      </c>
      <c r="BL712" s="2">
        <v>41.73</v>
      </c>
      <c r="BM712" s="2">
        <v>5.84</v>
      </c>
      <c r="BN712" s="2">
        <v>47.57</v>
      </c>
      <c r="BO712" s="2">
        <v>47.57</v>
      </c>
      <c r="BP712" s="2"/>
      <c r="BQ712" s="2" t="s">
        <v>285</v>
      </c>
      <c r="BR712" s="2" t="s">
        <v>123</v>
      </c>
      <c r="BS712" s="3">
        <v>42831</v>
      </c>
      <c r="BT712" s="4">
        <v>0.66319444444444442</v>
      </c>
      <c r="BU712" s="2" t="s">
        <v>245</v>
      </c>
      <c r="BV712" s="2" t="s">
        <v>86</v>
      </c>
      <c r="BW712" s="2"/>
      <c r="BX712" s="2"/>
      <c r="BY712" s="2">
        <v>4560</v>
      </c>
      <c r="BZ712" s="2" t="s">
        <v>27</v>
      </c>
      <c r="CA712" s="2"/>
      <c r="CB712" s="2"/>
      <c r="CC712" s="2" t="s">
        <v>235</v>
      </c>
      <c r="CD712" s="2">
        <v>6220</v>
      </c>
      <c r="CE712" s="2" t="s">
        <v>89</v>
      </c>
      <c r="CF712" s="5">
        <v>42832</v>
      </c>
      <c r="CG712" s="2"/>
      <c r="CH712" s="2"/>
      <c r="CI712" s="2">
        <v>1</v>
      </c>
      <c r="CJ712" s="2">
        <v>1</v>
      </c>
      <c r="CK712" s="2">
        <v>21</v>
      </c>
      <c r="CL712" s="2" t="s">
        <v>86</v>
      </c>
      <c r="CM712" s="2"/>
    </row>
    <row r="713" spans="1:91">
      <c r="A713" s="2" t="s">
        <v>71</v>
      </c>
      <c r="B713" s="2" t="s">
        <v>72</v>
      </c>
      <c r="C713" s="2" t="s">
        <v>73</v>
      </c>
      <c r="D713" s="2"/>
      <c r="E713" s="2" t="str">
        <f>"FES1162543169"</f>
        <v>FES1162543169</v>
      </c>
      <c r="F713" s="3">
        <v>42837</v>
      </c>
      <c r="G713" s="2">
        <v>201710</v>
      </c>
      <c r="H713" s="2" t="s">
        <v>74</v>
      </c>
      <c r="I713" s="2" t="s">
        <v>75</v>
      </c>
      <c r="J713" s="2" t="s">
        <v>76</v>
      </c>
      <c r="K713" s="2" t="s">
        <v>77</v>
      </c>
      <c r="L713" s="2" t="s">
        <v>358</v>
      </c>
      <c r="M713" s="2" t="s">
        <v>359</v>
      </c>
      <c r="N713" s="2" t="s">
        <v>360</v>
      </c>
      <c r="O713" s="2" t="s">
        <v>115</v>
      </c>
      <c r="P713" s="2" t="str">
        <f>"2170557885                    "</f>
        <v xml:space="preserve">2170557885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4.29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1</v>
      </c>
      <c r="BJ713" s="2">
        <v>0.2</v>
      </c>
      <c r="BK713" s="2">
        <v>1</v>
      </c>
      <c r="BL713" s="2">
        <v>41.73</v>
      </c>
      <c r="BM713" s="2">
        <v>5.84</v>
      </c>
      <c r="BN713" s="2">
        <v>47.57</v>
      </c>
      <c r="BO713" s="2">
        <v>47.57</v>
      </c>
      <c r="BP713" s="2"/>
      <c r="BQ713" s="2" t="s">
        <v>361</v>
      </c>
      <c r="BR713" s="2" t="s">
        <v>84</v>
      </c>
      <c r="BS713" s="3">
        <v>42838</v>
      </c>
      <c r="BT713" s="4">
        <v>0.33333333333333331</v>
      </c>
      <c r="BU713" s="2" t="s">
        <v>362</v>
      </c>
      <c r="BV713" s="2" t="s">
        <v>111</v>
      </c>
      <c r="BW713" s="2"/>
      <c r="BX713" s="2"/>
      <c r="BY713" s="2">
        <v>1200</v>
      </c>
      <c r="BZ713" s="2" t="s">
        <v>27</v>
      </c>
      <c r="CA713" s="2" t="s">
        <v>159</v>
      </c>
      <c r="CB713" s="2"/>
      <c r="CC713" s="2" t="s">
        <v>359</v>
      </c>
      <c r="CD713" s="2">
        <v>6229</v>
      </c>
      <c r="CE713" s="2" t="s">
        <v>118</v>
      </c>
      <c r="CF713" s="5">
        <v>42843</v>
      </c>
      <c r="CG713" s="2"/>
      <c r="CH713" s="2"/>
      <c r="CI713" s="2">
        <v>1</v>
      </c>
      <c r="CJ713" s="2">
        <v>1</v>
      </c>
      <c r="CK713" s="2">
        <v>21</v>
      </c>
      <c r="CL713" s="2" t="s">
        <v>86</v>
      </c>
      <c r="CM713" s="2"/>
    </row>
    <row r="714" spans="1:91">
      <c r="A714" s="2" t="s">
        <v>71</v>
      </c>
      <c r="B714" s="2" t="s">
        <v>72</v>
      </c>
      <c r="C714" s="2" t="s">
        <v>73</v>
      </c>
      <c r="D714" s="2"/>
      <c r="E714" s="2" t="str">
        <f>"FES1162542105"</f>
        <v>FES1162542105</v>
      </c>
      <c r="F714" s="3">
        <v>42831</v>
      </c>
      <c r="G714" s="2">
        <v>201710</v>
      </c>
      <c r="H714" s="2" t="s">
        <v>74</v>
      </c>
      <c r="I714" s="2" t="s">
        <v>75</v>
      </c>
      <c r="J714" s="2" t="s">
        <v>76</v>
      </c>
      <c r="K714" s="2" t="s">
        <v>77</v>
      </c>
      <c r="L714" s="2" t="s">
        <v>131</v>
      </c>
      <c r="M714" s="2" t="s">
        <v>132</v>
      </c>
      <c r="N714" s="2" t="s">
        <v>1292</v>
      </c>
      <c r="O714" s="2" t="s">
        <v>115</v>
      </c>
      <c r="P714" s="2" t="str">
        <f>"2170560988                    "</f>
        <v xml:space="preserve">2170560988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7.5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2</v>
      </c>
      <c r="BJ714" s="2">
        <v>3.3</v>
      </c>
      <c r="BK714" s="2">
        <v>3.5</v>
      </c>
      <c r="BL714" s="2">
        <v>73.02</v>
      </c>
      <c r="BM714" s="2">
        <v>10.220000000000001</v>
      </c>
      <c r="BN714" s="2">
        <v>83.24</v>
      </c>
      <c r="BO714" s="2">
        <v>83.24</v>
      </c>
      <c r="BP714" s="2"/>
      <c r="BQ714" s="2" t="s">
        <v>129</v>
      </c>
      <c r="BR714" s="2" t="s">
        <v>123</v>
      </c>
      <c r="BS714" s="3">
        <v>42832</v>
      </c>
      <c r="BT714" s="4">
        <v>0.4513888888888889</v>
      </c>
      <c r="BU714" s="2" t="s">
        <v>1293</v>
      </c>
      <c r="BV714" s="2" t="s">
        <v>111</v>
      </c>
      <c r="BW714" s="2"/>
      <c r="BX714" s="2"/>
      <c r="BY714" s="2">
        <v>16649.86</v>
      </c>
      <c r="BZ714" s="2" t="s">
        <v>27</v>
      </c>
      <c r="CA714" s="2"/>
      <c r="CB714" s="2"/>
      <c r="CC714" s="2" t="s">
        <v>132</v>
      </c>
      <c r="CD714" s="2">
        <v>7493</v>
      </c>
      <c r="CE714" s="2" t="s">
        <v>135</v>
      </c>
      <c r="CF714" s="5">
        <v>42835</v>
      </c>
      <c r="CG714" s="2"/>
      <c r="CH714" s="2"/>
      <c r="CI714" s="2">
        <v>1</v>
      </c>
      <c r="CJ714" s="2">
        <v>1</v>
      </c>
      <c r="CK714" s="2">
        <v>21</v>
      </c>
      <c r="CL714" s="2" t="s">
        <v>86</v>
      </c>
      <c r="CM714" s="2"/>
    </row>
    <row r="715" spans="1:91">
      <c r="A715" s="2" t="s">
        <v>71</v>
      </c>
      <c r="B715" s="2" t="s">
        <v>72</v>
      </c>
      <c r="C715" s="2" t="s">
        <v>73</v>
      </c>
      <c r="D715" s="2"/>
      <c r="E715" s="2" t="str">
        <f>"FES1162541313"</f>
        <v>FES1162541313</v>
      </c>
      <c r="F715" s="3">
        <v>42829</v>
      </c>
      <c r="G715" s="2">
        <v>201710</v>
      </c>
      <c r="H715" s="2" t="s">
        <v>74</v>
      </c>
      <c r="I715" s="2" t="s">
        <v>75</v>
      </c>
      <c r="J715" s="2" t="s">
        <v>76</v>
      </c>
      <c r="K715" s="2" t="s">
        <v>77</v>
      </c>
      <c r="L715" s="2" t="s">
        <v>91</v>
      </c>
      <c r="M715" s="2" t="s">
        <v>92</v>
      </c>
      <c r="N715" s="2" t="s">
        <v>1294</v>
      </c>
      <c r="O715" s="2" t="s">
        <v>115</v>
      </c>
      <c r="P715" s="2" t="str">
        <f>"2170560384                    "</f>
        <v xml:space="preserve">2170560384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3.45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2</v>
      </c>
      <c r="BJ715" s="2">
        <v>3.2</v>
      </c>
      <c r="BK715" s="2">
        <v>4</v>
      </c>
      <c r="BL715" s="2">
        <v>32.700000000000003</v>
      </c>
      <c r="BM715" s="2">
        <v>4.58</v>
      </c>
      <c r="BN715" s="2">
        <v>37.28</v>
      </c>
      <c r="BO715" s="2">
        <v>37.28</v>
      </c>
      <c r="BP715" s="2"/>
      <c r="BQ715" s="2"/>
      <c r="BR715" s="2" t="s">
        <v>123</v>
      </c>
      <c r="BS715" s="3">
        <v>42830</v>
      </c>
      <c r="BT715" s="4">
        <v>0.41666666666666669</v>
      </c>
      <c r="BU715" s="2" t="s">
        <v>1295</v>
      </c>
      <c r="BV715" s="2" t="s">
        <v>111</v>
      </c>
      <c r="BW715" s="2"/>
      <c r="BX715" s="2"/>
      <c r="BY715" s="2">
        <v>16184</v>
      </c>
      <c r="BZ715" s="2" t="s">
        <v>27</v>
      </c>
      <c r="CA715" s="2" t="s">
        <v>159</v>
      </c>
      <c r="CB715" s="2"/>
      <c r="CC715" s="2" t="s">
        <v>92</v>
      </c>
      <c r="CD715" s="2">
        <v>1422</v>
      </c>
      <c r="CE715" s="2" t="s">
        <v>172</v>
      </c>
      <c r="CF715" s="5">
        <v>42832</v>
      </c>
      <c r="CG715" s="2"/>
      <c r="CH715" s="2"/>
      <c r="CI715" s="2">
        <v>1</v>
      </c>
      <c r="CJ715" s="2">
        <v>1</v>
      </c>
      <c r="CK715" s="2">
        <v>22</v>
      </c>
      <c r="CL715" s="2" t="s">
        <v>86</v>
      </c>
      <c r="CM715" s="2"/>
    </row>
    <row r="716" spans="1:91">
      <c r="A716" s="2" t="s">
        <v>71</v>
      </c>
      <c r="B716" s="2" t="s">
        <v>72</v>
      </c>
      <c r="C716" s="2" t="s">
        <v>73</v>
      </c>
      <c r="D716" s="2"/>
      <c r="E716" s="2" t="str">
        <f>"FES1162542919"</f>
        <v>FES1162542919</v>
      </c>
      <c r="F716" s="3">
        <v>42836</v>
      </c>
      <c r="G716" s="2">
        <v>201710</v>
      </c>
      <c r="H716" s="2" t="s">
        <v>74</v>
      </c>
      <c r="I716" s="2" t="s">
        <v>75</v>
      </c>
      <c r="J716" s="2" t="s">
        <v>76</v>
      </c>
      <c r="K716" s="2" t="s">
        <v>77</v>
      </c>
      <c r="L716" s="2" t="s">
        <v>99</v>
      </c>
      <c r="M716" s="2" t="s">
        <v>100</v>
      </c>
      <c r="N716" s="2" t="s">
        <v>700</v>
      </c>
      <c r="O716" s="2" t="s">
        <v>115</v>
      </c>
      <c r="P716" s="2" t="str">
        <f>"2170559302                    "</f>
        <v xml:space="preserve">2170559302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4.29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1</v>
      </c>
      <c r="BJ716" s="2">
        <v>0.2</v>
      </c>
      <c r="BK716" s="2">
        <v>1</v>
      </c>
      <c r="BL716" s="2">
        <v>41.73</v>
      </c>
      <c r="BM716" s="2">
        <v>5.84</v>
      </c>
      <c r="BN716" s="2">
        <v>47.57</v>
      </c>
      <c r="BO716" s="2">
        <v>47.57</v>
      </c>
      <c r="BP716" s="2"/>
      <c r="BQ716" s="2" t="s">
        <v>701</v>
      </c>
      <c r="BR716" s="2" t="s">
        <v>123</v>
      </c>
      <c r="BS716" s="3">
        <v>42837</v>
      </c>
      <c r="BT716" s="4">
        <v>0.41666666666666669</v>
      </c>
      <c r="BU716" s="2" t="s">
        <v>702</v>
      </c>
      <c r="BV716" s="2" t="s">
        <v>111</v>
      </c>
      <c r="BW716" s="2"/>
      <c r="BX716" s="2"/>
      <c r="BY716" s="2">
        <v>1200</v>
      </c>
      <c r="BZ716" s="2" t="s">
        <v>27</v>
      </c>
      <c r="CA716" s="2" t="s">
        <v>106</v>
      </c>
      <c r="CB716" s="2"/>
      <c r="CC716" s="2" t="s">
        <v>100</v>
      </c>
      <c r="CD716" s="2">
        <v>6001</v>
      </c>
      <c r="CE716" s="2" t="s">
        <v>144</v>
      </c>
      <c r="CF716" s="5">
        <v>42837</v>
      </c>
      <c r="CG716" s="2"/>
      <c r="CH716" s="2"/>
      <c r="CI716" s="2">
        <v>1</v>
      </c>
      <c r="CJ716" s="2">
        <v>1</v>
      </c>
      <c r="CK716" s="2">
        <v>21</v>
      </c>
      <c r="CL716" s="2" t="s">
        <v>86</v>
      </c>
      <c r="CM716" s="2"/>
    </row>
    <row r="717" spans="1:91">
      <c r="A717" s="2" t="s">
        <v>71</v>
      </c>
      <c r="B717" s="2" t="s">
        <v>72</v>
      </c>
      <c r="C717" s="2" t="s">
        <v>73</v>
      </c>
      <c r="D717" s="2"/>
      <c r="E717" s="2" t="str">
        <f>"FES1162541826"</f>
        <v>FES1162541826</v>
      </c>
      <c r="F717" s="3">
        <v>42830</v>
      </c>
      <c r="G717" s="2">
        <v>201710</v>
      </c>
      <c r="H717" s="2" t="s">
        <v>74</v>
      </c>
      <c r="I717" s="2" t="s">
        <v>75</v>
      </c>
      <c r="J717" s="2" t="s">
        <v>76</v>
      </c>
      <c r="K717" s="2" t="s">
        <v>77</v>
      </c>
      <c r="L717" s="2" t="s">
        <v>99</v>
      </c>
      <c r="M717" s="2" t="s">
        <v>100</v>
      </c>
      <c r="N717" s="2" t="s">
        <v>108</v>
      </c>
      <c r="O717" s="2" t="s">
        <v>115</v>
      </c>
      <c r="P717" s="2" t="str">
        <f>"2170560370                    "</f>
        <v xml:space="preserve">2170560370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4.29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1</v>
      </c>
      <c r="BJ717" s="2">
        <v>0.2</v>
      </c>
      <c r="BK717" s="2">
        <v>1</v>
      </c>
      <c r="BL717" s="2">
        <v>41.73</v>
      </c>
      <c r="BM717" s="2">
        <v>5.84</v>
      </c>
      <c r="BN717" s="2">
        <v>47.57</v>
      </c>
      <c r="BO717" s="2">
        <v>47.57</v>
      </c>
      <c r="BP717" s="2"/>
      <c r="BQ717" s="2" t="s">
        <v>109</v>
      </c>
      <c r="BR717" s="2" t="s">
        <v>123</v>
      </c>
      <c r="BS717" s="3">
        <v>42831</v>
      </c>
      <c r="BT717" s="4">
        <v>0.41666666666666669</v>
      </c>
      <c r="BU717" s="2" t="s">
        <v>110</v>
      </c>
      <c r="BV717" s="2" t="s">
        <v>111</v>
      </c>
      <c r="BW717" s="2"/>
      <c r="BX717" s="2"/>
      <c r="BY717" s="2">
        <v>1200</v>
      </c>
      <c r="BZ717" s="2" t="s">
        <v>27</v>
      </c>
      <c r="CA717" s="2" t="s">
        <v>106</v>
      </c>
      <c r="CB717" s="2"/>
      <c r="CC717" s="2" t="s">
        <v>100</v>
      </c>
      <c r="CD717" s="2">
        <v>6001</v>
      </c>
      <c r="CE717" s="2" t="s">
        <v>118</v>
      </c>
      <c r="CF717" s="5">
        <v>42831</v>
      </c>
      <c r="CG717" s="2"/>
      <c r="CH717" s="2"/>
      <c r="CI717" s="2">
        <v>1</v>
      </c>
      <c r="CJ717" s="2">
        <v>1</v>
      </c>
      <c r="CK717" s="2">
        <v>21</v>
      </c>
      <c r="CL717" s="2" t="s">
        <v>86</v>
      </c>
      <c r="CM717" s="2"/>
    </row>
    <row r="718" spans="1:91">
      <c r="A718" s="2" t="s">
        <v>71</v>
      </c>
      <c r="B718" s="2" t="s">
        <v>72</v>
      </c>
      <c r="C718" s="2" t="s">
        <v>73</v>
      </c>
      <c r="D718" s="2"/>
      <c r="E718" s="2" t="str">
        <f>"FES1162541496"</f>
        <v>FES1162541496</v>
      </c>
      <c r="F718" s="3">
        <v>42830</v>
      </c>
      <c r="G718" s="2">
        <v>201710</v>
      </c>
      <c r="H718" s="2" t="s">
        <v>74</v>
      </c>
      <c r="I718" s="2" t="s">
        <v>75</v>
      </c>
      <c r="J718" s="2" t="s">
        <v>76</v>
      </c>
      <c r="K718" s="2" t="s">
        <v>77</v>
      </c>
      <c r="L718" s="2" t="s">
        <v>139</v>
      </c>
      <c r="M718" s="2" t="s">
        <v>140</v>
      </c>
      <c r="N718" s="2" t="s">
        <v>1296</v>
      </c>
      <c r="O718" s="2" t="s">
        <v>115</v>
      </c>
      <c r="P718" s="2" t="str">
        <f>"2170560586                    "</f>
        <v xml:space="preserve">2170560586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4.29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</v>
      </c>
      <c r="BJ718" s="2">
        <v>0.2</v>
      </c>
      <c r="BK718" s="2">
        <v>1</v>
      </c>
      <c r="BL718" s="2">
        <v>41.73</v>
      </c>
      <c r="BM718" s="2">
        <v>5.84</v>
      </c>
      <c r="BN718" s="2">
        <v>47.57</v>
      </c>
      <c r="BO718" s="2">
        <v>47.57</v>
      </c>
      <c r="BP718" s="2"/>
      <c r="BQ718" s="2" t="s">
        <v>1297</v>
      </c>
      <c r="BR718" s="2" t="s">
        <v>123</v>
      </c>
      <c r="BS718" s="3">
        <v>42831</v>
      </c>
      <c r="BT718" s="4">
        <v>0.39097222222222222</v>
      </c>
      <c r="BU718" s="2" t="s">
        <v>1298</v>
      </c>
      <c r="BV718" s="2" t="s">
        <v>111</v>
      </c>
      <c r="BW718" s="2"/>
      <c r="BX718" s="2"/>
      <c r="BY718" s="2">
        <v>1200</v>
      </c>
      <c r="BZ718" s="2" t="s">
        <v>27</v>
      </c>
      <c r="CA718" s="2"/>
      <c r="CB718" s="2"/>
      <c r="CC718" s="2" t="s">
        <v>140</v>
      </c>
      <c r="CD718" s="2">
        <v>157</v>
      </c>
      <c r="CE718" s="2" t="s">
        <v>144</v>
      </c>
      <c r="CF718" s="5">
        <v>42835</v>
      </c>
      <c r="CG718" s="2"/>
      <c r="CH718" s="2"/>
      <c r="CI718" s="2">
        <v>0</v>
      </c>
      <c r="CJ718" s="2">
        <v>0</v>
      </c>
      <c r="CK718" s="2">
        <v>21</v>
      </c>
      <c r="CL718" s="2" t="s">
        <v>86</v>
      </c>
      <c r="CM718" s="2"/>
    </row>
    <row r="719" spans="1:91">
      <c r="A719" s="2" t="s">
        <v>71</v>
      </c>
      <c r="B719" s="2" t="s">
        <v>72</v>
      </c>
      <c r="C719" s="2" t="s">
        <v>73</v>
      </c>
      <c r="D719" s="2"/>
      <c r="E719" s="2" t="str">
        <f>"FES1162543219"</f>
        <v>FES1162543219</v>
      </c>
      <c r="F719" s="3">
        <v>42837</v>
      </c>
      <c r="G719" s="2">
        <v>201710</v>
      </c>
      <c r="H719" s="2" t="s">
        <v>74</v>
      </c>
      <c r="I719" s="2" t="s">
        <v>75</v>
      </c>
      <c r="J719" s="2" t="s">
        <v>76</v>
      </c>
      <c r="K719" s="2" t="s">
        <v>77</v>
      </c>
      <c r="L719" s="2" t="s">
        <v>99</v>
      </c>
      <c r="M719" s="2" t="s">
        <v>100</v>
      </c>
      <c r="N719" s="2" t="s">
        <v>108</v>
      </c>
      <c r="O719" s="2" t="s">
        <v>115</v>
      </c>
      <c r="P719" s="2" t="str">
        <f>"2170561982                    "</f>
        <v xml:space="preserve">2170561982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5.36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2.1</v>
      </c>
      <c r="BJ719" s="2">
        <v>1.4</v>
      </c>
      <c r="BK719" s="2">
        <v>2.5</v>
      </c>
      <c r="BL719" s="2">
        <v>52.16</v>
      </c>
      <c r="BM719" s="2">
        <v>7.3</v>
      </c>
      <c r="BN719" s="2">
        <v>59.46</v>
      </c>
      <c r="BO719" s="2">
        <v>59.46</v>
      </c>
      <c r="BP719" s="2"/>
      <c r="BQ719" s="2" t="s">
        <v>109</v>
      </c>
      <c r="BR719" s="2" t="s">
        <v>84</v>
      </c>
      <c r="BS719" s="3">
        <v>42838</v>
      </c>
      <c r="BT719" s="4">
        <v>0.375</v>
      </c>
      <c r="BU719" s="2" t="s">
        <v>110</v>
      </c>
      <c r="BV719" s="2" t="s">
        <v>111</v>
      </c>
      <c r="BW719" s="2"/>
      <c r="BX719" s="2"/>
      <c r="BY719" s="2">
        <v>7237.33</v>
      </c>
      <c r="BZ719" s="2" t="s">
        <v>27</v>
      </c>
      <c r="CA719" s="2" t="s">
        <v>106</v>
      </c>
      <c r="CB719" s="2"/>
      <c r="CC719" s="2" t="s">
        <v>100</v>
      </c>
      <c r="CD719" s="2">
        <v>6001</v>
      </c>
      <c r="CE719" s="2" t="s">
        <v>118</v>
      </c>
      <c r="CF719" s="5">
        <v>42838</v>
      </c>
      <c r="CG719" s="2"/>
      <c r="CH719" s="2"/>
      <c r="CI719" s="2">
        <v>1</v>
      </c>
      <c r="CJ719" s="2">
        <v>1</v>
      </c>
      <c r="CK719" s="2">
        <v>21</v>
      </c>
      <c r="CL719" s="2" t="s">
        <v>86</v>
      </c>
      <c r="CM719" s="2"/>
    </row>
    <row r="720" spans="1:91">
      <c r="A720" s="2" t="s">
        <v>71</v>
      </c>
      <c r="B720" s="2" t="s">
        <v>72</v>
      </c>
      <c r="C720" s="2" t="s">
        <v>73</v>
      </c>
      <c r="D720" s="2"/>
      <c r="E720" s="2" t="str">
        <f>"009932187249"</f>
        <v>009932187249</v>
      </c>
      <c r="F720" s="3">
        <v>42831</v>
      </c>
      <c r="G720" s="2">
        <v>201710</v>
      </c>
      <c r="H720" s="2" t="s">
        <v>74</v>
      </c>
      <c r="I720" s="2" t="s">
        <v>75</v>
      </c>
      <c r="J720" s="2" t="s">
        <v>76</v>
      </c>
      <c r="K720" s="2" t="s">
        <v>77</v>
      </c>
      <c r="L720" s="2" t="s">
        <v>166</v>
      </c>
      <c r="M720" s="2" t="s">
        <v>167</v>
      </c>
      <c r="N720" s="2" t="s">
        <v>1245</v>
      </c>
      <c r="O720" s="2" t="s">
        <v>115</v>
      </c>
      <c r="P720" s="2" t="str">
        <f>"1162541358                    "</f>
        <v xml:space="preserve">1162541358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3.35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2</v>
      </c>
      <c r="BJ720" s="2">
        <v>0.2</v>
      </c>
      <c r="BK720" s="2">
        <v>2</v>
      </c>
      <c r="BL720" s="2">
        <v>32.6</v>
      </c>
      <c r="BM720" s="2">
        <v>4.5599999999999996</v>
      </c>
      <c r="BN720" s="2">
        <v>37.159999999999997</v>
      </c>
      <c r="BO720" s="2">
        <v>37.159999999999997</v>
      </c>
      <c r="BP720" s="2"/>
      <c r="BQ720" s="2" t="s">
        <v>122</v>
      </c>
      <c r="BR720" s="2" t="s">
        <v>123</v>
      </c>
      <c r="BS720" s="3">
        <v>42835</v>
      </c>
      <c r="BT720" s="4">
        <v>0.43402777777777773</v>
      </c>
      <c r="BU720" s="2" t="s">
        <v>1299</v>
      </c>
      <c r="BV720" s="2" t="s">
        <v>86</v>
      </c>
      <c r="BW720" s="2" t="s">
        <v>164</v>
      </c>
      <c r="BX720" s="2" t="s">
        <v>309</v>
      </c>
      <c r="BY720" s="2">
        <v>1200</v>
      </c>
      <c r="BZ720" s="2" t="s">
        <v>27</v>
      </c>
      <c r="CA720" s="2"/>
      <c r="CB720" s="2"/>
      <c r="CC720" s="2" t="s">
        <v>167</v>
      </c>
      <c r="CD720" s="2">
        <v>2090</v>
      </c>
      <c r="CE720" s="2" t="s">
        <v>118</v>
      </c>
      <c r="CF720" s="5">
        <v>42836</v>
      </c>
      <c r="CG720" s="2"/>
      <c r="CH720" s="2"/>
      <c r="CI720" s="2">
        <v>1</v>
      </c>
      <c r="CJ720" s="2">
        <v>2</v>
      </c>
      <c r="CK720" s="2">
        <v>22</v>
      </c>
      <c r="CL720" s="2" t="s">
        <v>86</v>
      </c>
      <c r="CM720" s="2"/>
    </row>
    <row r="721" spans="1:91">
      <c r="A721" s="2" t="s">
        <v>71</v>
      </c>
      <c r="B721" s="2" t="s">
        <v>72</v>
      </c>
      <c r="C721" s="2" t="s">
        <v>73</v>
      </c>
      <c r="D721" s="2"/>
      <c r="E721" s="2" t="str">
        <f>"FES1162541320"</f>
        <v>FES1162541320</v>
      </c>
      <c r="F721" s="3">
        <v>42829</v>
      </c>
      <c r="G721" s="2">
        <v>201710</v>
      </c>
      <c r="H721" s="2" t="s">
        <v>74</v>
      </c>
      <c r="I721" s="2" t="s">
        <v>75</v>
      </c>
      <c r="J721" s="2" t="s">
        <v>76</v>
      </c>
      <c r="K721" s="2" t="s">
        <v>77</v>
      </c>
      <c r="L721" s="2" t="s">
        <v>516</v>
      </c>
      <c r="M721" s="2" t="s">
        <v>517</v>
      </c>
      <c r="N721" s="2" t="s">
        <v>1300</v>
      </c>
      <c r="O721" s="2" t="s">
        <v>115</v>
      </c>
      <c r="P721" s="2" t="str">
        <f>"2170560395                    "</f>
        <v xml:space="preserve">2170560395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3.45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7</v>
      </c>
      <c r="BJ721" s="2">
        <v>3.2</v>
      </c>
      <c r="BK721" s="2">
        <v>7</v>
      </c>
      <c r="BL721" s="2">
        <v>32.700000000000003</v>
      </c>
      <c r="BM721" s="2">
        <v>4.58</v>
      </c>
      <c r="BN721" s="2">
        <v>37.28</v>
      </c>
      <c r="BO721" s="2">
        <v>37.28</v>
      </c>
      <c r="BP721" s="2"/>
      <c r="BQ721" s="2" t="s">
        <v>122</v>
      </c>
      <c r="BR721" s="2" t="s">
        <v>123</v>
      </c>
      <c r="BS721" s="3">
        <v>42830</v>
      </c>
      <c r="BT721" s="4">
        <v>0.37847222222222227</v>
      </c>
      <c r="BU721" s="2" t="s">
        <v>1301</v>
      </c>
      <c r="BV721" s="2" t="s">
        <v>111</v>
      </c>
      <c r="BW721" s="2"/>
      <c r="BX721" s="2"/>
      <c r="BY721" s="2">
        <v>16119.36</v>
      </c>
      <c r="BZ721" s="2" t="s">
        <v>27</v>
      </c>
      <c r="CA721" s="2"/>
      <c r="CB721" s="2"/>
      <c r="CC721" s="2" t="s">
        <v>517</v>
      </c>
      <c r="CD721" s="2">
        <v>1459</v>
      </c>
      <c r="CE721" s="2" t="s">
        <v>89</v>
      </c>
      <c r="CF721" s="5">
        <v>42832</v>
      </c>
      <c r="CG721" s="2"/>
      <c r="CH721" s="2"/>
      <c r="CI721" s="2">
        <v>1</v>
      </c>
      <c r="CJ721" s="2">
        <v>1</v>
      </c>
      <c r="CK721" s="2">
        <v>22</v>
      </c>
      <c r="CL721" s="2" t="s">
        <v>86</v>
      </c>
      <c r="CM721" s="2"/>
    </row>
    <row r="722" spans="1:91">
      <c r="A722" s="2" t="s">
        <v>71</v>
      </c>
      <c r="B722" s="2" t="s">
        <v>72</v>
      </c>
      <c r="C722" s="2" t="s">
        <v>73</v>
      </c>
      <c r="D722" s="2"/>
      <c r="E722" s="2" t="str">
        <f>"FES1162542886"</f>
        <v>FES1162542886</v>
      </c>
      <c r="F722" s="3">
        <v>42836</v>
      </c>
      <c r="G722" s="2">
        <v>201710</v>
      </c>
      <c r="H722" s="2" t="s">
        <v>74</v>
      </c>
      <c r="I722" s="2" t="s">
        <v>75</v>
      </c>
      <c r="J722" s="2" t="s">
        <v>76</v>
      </c>
      <c r="K722" s="2" t="s">
        <v>77</v>
      </c>
      <c r="L722" s="2" t="s">
        <v>99</v>
      </c>
      <c r="M722" s="2" t="s">
        <v>100</v>
      </c>
      <c r="N722" s="2" t="s">
        <v>151</v>
      </c>
      <c r="O722" s="2" t="s">
        <v>115</v>
      </c>
      <c r="P722" s="2" t="str">
        <f>"2170557009                    "</f>
        <v xml:space="preserve">2170557009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4.29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1</v>
      </c>
      <c r="BJ722" s="2">
        <v>1.8</v>
      </c>
      <c r="BK722" s="2">
        <v>2</v>
      </c>
      <c r="BL722" s="2">
        <v>41.73</v>
      </c>
      <c r="BM722" s="2">
        <v>5.84</v>
      </c>
      <c r="BN722" s="2">
        <v>47.57</v>
      </c>
      <c r="BO722" s="2">
        <v>47.57</v>
      </c>
      <c r="BP722" s="2"/>
      <c r="BQ722" s="2" t="s">
        <v>152</v>
      </c>
      <c r="BR722" s="2" t="s">
        <v>123</v>
      </c>
      <c r="BS722" s="3">
        <v>42837</v>
      </c>
      <c r="BT722" s="4">
        <v>0.33333333333333331</v>
      </c>
      <c r="BU722" s="2" t="s">
        <v>153</v>
      </c>
      <c r="BV722" s="2" t="s">
        <v>111</v>
      </c>
      <c r="BW722" s="2"/>
      <c r="BX722" s="2"/>
      <c r="BY722" s="2">
        <v>8895.1</v>
      </c>
      <c r="BZ722" s="2" t="s">
        <v>27</v>
      </c>
      <c r="CA722" s="2" t="s">
        <v>154</v>
      </c>
      <c r="CB722" s="2"/>
      <c r="CC722" s="2" t="s">
        <v>100</v>
      </c>
      <c r="CD722" s="2">
        <v>6001</v>
      </c>
      <c r="CE722" s="2" t="s">
        <v>144</v>
      </c>
      <c r="CF722" s="5">
        <v>42837</v>
      </c>
      <c r="CG722" s="2"/>
      <c r="CH722" s="2"/>
      <c r="CI722" s="2">
        <v>1</v>
      </c>
      <c r="CJ722" s="2">
        <v>1</v>
      </c>
      <c r="CK722" s="2">
        <v>21</v>
      </c>
      <c r="CL722" s="2" t="s">
        <v>86</v>
      </c>
      <c r="CM722" s="2"/>
    </row>
    <row r="723" spans="1:91">
      <c r="A723" s="2" t="s">
        <v>71</v>
      </c>
      <c r="B723" s="2" t="s">
        <v>72</v>
      </c>
      <c r="C723" s="2" t="s">
        <v>73</v>
      </c>
      <c r="D723" s="2"/>
      <c r="E723" s="2" t="str">
        <f>"FES1162541846"</f>
        <v>FES1162541846</v>
      </c>
      <c r="F723" s="3">
        <v>42830</v>
      </c>
      <c r="G723" s="2">
        <v>201710</v>
      </c>
      <c r="H723" s="2" t="s">
        <v>74</v>
      </c>
      <c r="I723" s="2" t="s">
        <v>75</v>
      </c>
      <c r="J723" s="2" t="s">
        <v>76</v>
      </c>
      <c r="K723" s="2" t="s">
        <v>77</v>
      </c>
      <c r="L723" s="2" t="s">
        <v>99</v>
      </c>
      <c r="M723" s="2" t="s">
        <v>100</v>
      </c>
      <c r="N723" s="2" t="s">
        <v>583</v>
      </c>
      <c r="O723" s="2" t="s">
        <v>115</v>
      </c>
      <c r="P723" s="2" t="str">
        <f>"2170560857                    "</f>
        <v xml:space="preserve">2170560857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4.29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1</v>
      </c>
      <c r="BJ723" s="2">
        <v>0.2</v>
      </c>
      <c r="BK723" s="2">
        <v>1</v>
      </c>
      <c r="BL723" s="2">
        <v>41.73</v>
      </c>
      <c r="BM723" s="2">
        <v>5.84</v>
      </c>
      <c r="BN723" s="2">
        <v>47.57</v>
      </c>
      <c r="BO723" s="2">
        <v>47.57</v>
      </c>
      <c r="BP723" s="2"/>
      <c r="BQ723" s="2" t="s">
        <v>584</v>
      </c>
      <c r="BR723" s="2" t="s">
        <v>123</v>
      </c>
      <c r="BS723" s="3">
        <v>42831</v>
      </c>
      <c r="BT723" s="4">
        <v>0.30902777777777779</v>
      </c>
      <c r="BU723" s="2" t="s">
        <v>130</v>
      </c>
      <c r="BV723" s="2" t="s">
        <v>111</v>
      </c>
      <c r="BW723" s="2"/>
      <c r="BX723" s="2"/>
      <c r="BY723" s="2">
        <v>1200</v>
      </c>
      <c r="BZ723" s="2" t="s">
        <v>27</v>
      </c>
      <c r="CA723" s="2"/>
      <c r="CB723" s="2"/>
      <c r="CC723" s="2" t="s">
        <v>100</v>
      </c>
      <c r="CD723" s="2">
        <v>6001</v>
      </c>
      <c r="CE723" s="2" t="s">
        <v>118</v>
      </c>
      <c r="CF723" s="5">
        <v>42832</v>
      </c>
      <c r="CG723" s="2"/>
      <c r="CH723" s="2"/>
      <c r="CI723" s="2">
        <v>1</v>
      </c>
      <c r="CJ723" s="2">
        <v>1</v>
      </c>
      <c r="CK723" s="2">
        <v>21</v>
      </c>
      <c r="CL723" s="2" t="s">
        <v>86</v>
      </c>
      <c r="CM723" s="2"/>
    </row>
    <row r="724" spans="1:91">
      <c r="A724" s="2" t="s">
        <v>71</v>
      </c>
      <c r="B724" s="2" t="s">
        <v>72</v>
      </c>
      <c r="C724" s="2" t="s">
        <v>73</v>
      </c>
      <c r="D724" s="2"/>
      <c r="E724" s="2" t="str">
        <f>"FES1162541498"</f>
        <v>FES1162541498</v>
      </c>
      <c r="F724" s="3">
        <v>42830</v>
      </c>
      <c r="G724" s="2">
        <v>201710</v>
      </c>
      <c r="H724" s="2" t="s">
        <v>74</v>
      </c>
      <c r="I724" s="2" t="s">
        <v>75</v>
      </c>
      <c r="J724" s="2" t="s">
        <v>76</v>
      </c>
      <c r="K724" s="2" t="s">
        <v>77</v>
      </c>
      <c r="L724" s="2" t="s">
        <v>131</v>
      </c>
      <c r="M724" s="2" t="s">
        <v>132</v>
      </c>
      <c r="N724" s="2" t="s">
        <v>1302</v>
      </c>
      <c r="O724" s="2" t="s">
        <v>115</v>
      </c>
      <c r="P724" s="2" t="str">
        <f>"2170560591                    "</f>
        <v xml:space="preserve">2170560591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31.08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14.1</v>
      </c>
      <c r="BJ724" s="2">
        <v>4.4000000000000004</v>
      </c>
      <c r="BK724" s="2">
        <v>14.5</v>
      </c>
      <c r="BL724" s="2">
        <v>302.52</v>
      </c>
      <c r="BM724" s="2">
        <v>42.35</v>
      </c>
      <c r="BN724" s="2">
        <v>344.87</v>
      </c>
      <c r="BO724" s="2">
        <v>344.87</v>
      </c>
      <c r="BP724" s="2"/>
      <c r="BQ724" s="2" t="s">
        <v>1303</v>
      </c>
      <c r="BR724" s="2" t="s">
        <v>123</v>
      </c>
      <c r="BS724" s="3">
        <v>42831</v>
      </c>
      <c r="BT724" s="4">
        <v>0.43055555555555558</v>
      </c>
      <c r="BU724" s="2" t="s">
        <v>1304</v>
      </c>
      <c r="BV724" s="2" t="s">
        <v>111</v>
      </c>
      <c r="BW724" s="2"/>
      <c r="BX724" s="2"/>
      <c r="BY724" s="2">
        <v>22056.35</v>
      </c>
      <c r="BZ724" s="2" t="s">
        <v>27</v>
      </c>
      <c r="CA724" s="2"/>
      <c r="CB724" s="2"/>
      <c r="CC724" s="2" t="s">
        <v>132</v>
      </c>
      <c r="CD724" s="2">
        <v>7500</v>
      </c>
      <c r="CE724" s="2" t="s">
        <v>135</v>
      </c>
      <c r="CF724" s="2"/>
      <c r="CG724" s="2"/>
      <c r="CH724" s="2"/>
      <c r="CI724" s="2">
        <v>1</v>
      </c>
      <c r="CJ724" s="2">
        <v>1</v>
      </c>
      <c r="CK724" s="2">
        <v>21</v>
      </c>
      <c r="CL724" s="2" t="s">
        <v>86</v>
      </c>
      <c r="CM724" s="2"/>
    </row>
    <row r="725" spans="1:91">
      <c r="A725" s="2" t="s">
        <v>71</v>
      </c>
      <c r="B725" s="2" t="s">
        <v>72</v>
      </c>
      <c r="C725" s="2" t="s">
        <v>73</v>
      </c>
      <c r="D725" s="2"/>
      <c r="E725" s="2" t="str">
        <f>"FES1162543193"</f>
        <v>FES1162543193</v>
      </c>
      <c r="F725" s="3">
        <v>42837</v>
      </c>
      <c r="G725" s="2">
        <v>201710</v>
      </c>
      <c r="H725" s="2" t="s">
        <v>74</v>
      </c>
      <c r="I725" s="2" t="s">
        <v>75</v>
      </c>
      <c r="J725" s="2" t="s">
        <v>76</v>
      </c>
      <c r="K725" s="2" t="s">
        <v>77</v>
      </c>
      <c r="L725" s="2" t="s">
        <v>99</v>
      </c>
      <c r="M725" s="2" t="s">
        <v>100</v>
      </c>
      <c r="N725" s="2" t="s">
        <v>848</v>
      </c>
      <c r="O725" s="2" t="s">
        <v>115</v>
      </c>
      <c r="P725" s="2" t="str">
        <f>"2170561953                    "</f>
        <v xml:space="preserve">2170561953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4.29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1</v>
      </c>
      <c r="BJ725" s="2">
        <v>0.2</v>
      </c>
      <c r="BK725" s="2">
        <v>1</v>
      </c>
      <c r="BL725" s="2">
        <v>41.73</v>
      </c>
      <c r="BM725" s="2">
        <v>5.84</v>
      </c>
      <c r="BN725" s="2">
        <v>47.57</v>
      </c>
      <c r="BO725" s="2">
        <v>47.57</v>
      </c>
      <c r="BP725" s="2"/>
      <c r="BQ725" s="2" t="s">
        <v>849</v>
      </c>
      <c r="BR725" s="2" t="s">
        <v>84</v>
      </c>
      <c r="BS725" s="3">
        <v>42838</v>
      </c>
      <c r="BT725" s="4">
        <v>0.28472222222222221</v>
      </c>
      <c r="BU725" s="2" t="s">
        <v>1305</v>
      </c>
      <c r="BV725" s="2" t="s">
        <v>111</v>
      </c>
      <c r="BW725" s="2"/>
      <c r="BX725" s="2"/>
      <c r="BY725" s="2">
        <v>1200</v>
      </c>
      <c r="BZ725" s="2" t="s">
        <v>27</v>
      </c>
      <c r="CA725" s="2" t="s">
        <v>106</v>
      </c>
      <c r="CB725" s="2"/>
      <c r="CC725" s="2" t="s">
        <v>100</v>
      </c>
      <c r="CD725" s="2">
        <v>6012</v>
      </c>
      <c r="CE725" s="2" t="s">
        <v>118</v>
      </c>
      <c r="CF725" s="5">
        <v>42838</v>
      </c>
      <c r="CG725" s="2"/>
      <c r="CH725" s="2"/>
      <c r="CI725" s="2">
        <v>1</v>
      </c>
      <c r="CJ725" s="2">
        <v>1</v>
      </c>
      <c r="CK725" s="2">
        <v>21</v>
      </c>
      <c r="CL725" s="2" t="s">
        <v>86</v>
      </c>
      <c r="CM725" s="2"/>
    </row>
    <row r="726" spans="1:91">
      <c r="A726" s="2" t="s">
        <v>71</v>
      </c>
      <c r="B726" s="2" t="s">
        <v>72</v>
      </c>
      <c r="C726" s="2" t="s">
        <v>73</v>
      </c>
      <c r="D726" s="2"/>
      <c r="E726" s="2" t="str">
        <f>"FES1162541956"</f>
        <v>FES1162541956</v>
      </c>
      <c r="F726" s="3">
        <v>42831</v>
      </c>
      <c r="G726" s="2">
        <v>201710</v>
      </c>
      <c r="H726" s="2" t="s">
        <v>74</v>
      </c>
      <c r="I726" s="2" t="s">
        <v>75</v>
      </c>
      <c r="J726" s="2" t="s">
        <v>76</v>
      </c>
      <c r="K726" s="2" t="s">
        <v>77</v>
      </c>
      <c r="L726" s="2" t="s">
        <v>131</v>
      </c>
      <c r="M726" s="2" t="s">
        <v>132</v>
      </c>
      <c r="N726" s="2" t="s">
        <v>188</v>
      </c>
      <c r="O726" s="2" t="s">
        <v>115</v>
      </c>
      <c r="P726" s="2" t="str">
        <f>"2170560950                    "</f>
        <v xml:space="preserve">2170560950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10.72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4.5999999999999996</v>
      </c>
      <c r="BJ726" s="2">
        <v>3.5</v>
      </c>
      <c r="BK726" s="2">
        <v>5</v>
      </c>
      <c r="BL726" s="2">
        <v>104.32</v>
      </c>
      <c r="BM726" s="2">
        <v>14.6</v>
      </c>
      <c r="BN726" s="2">
        <v>118.92</v>
      </c>
      <c r="BO726" s="2">
        <v>118.92</v>
      </c>
      <c r="BP726" s="2"/>
      <c r="BQ726" s="2" t="s">
        <v>83</v>
      </c>
      <c r="BR726" s="2" t="s">
        <v>123</v>
      </c>
      <c r="BS726" s="3">
        <v>42832</v>
      </c>
      <c r="BT726" s="4">
        <v>0.41666666666666669</v>
      </c>
      <c r="BU726" s="2" t="s">
        <v>1284</v>
      </c>
      <c r="BV726" s="2" t="s">
        <v>111</v>
      </c>
      <c r="BW726" s="2"/>
      <c r="BX726" s="2"/>
      <c r="BY726" s="2">
        <v>17378.900000000001</v>
      </c>
      <c r="BZ726" s="2" t="s">
        <v>27</v>
      </c>
      <c r="CA726" s="2"/>
      <c r="CB726" s="2"/>
      <c r="CC726" s="2" t="s">
        <v>132</v>
      </c>
      <c r="CD726" s="2">
        <v>7460</v>
      </c>
      <c r="CE726" s="2" t="s">
        <v>135</v>
      </c>
      <c r="CF726" s="5">
        <v>42836</v>
      </c>
      <c r="CG726" s="2"/>
      <c r="CH726" s="2"/>
      <c r="CI726" s="2">
        <v>1</v>
      </c>
      <c r="CJ726" s="2">
        <v>1</v>
      </c>
      <c r="CK726" s="2">
        <v>21</v>
      </c>
      <c r="CL726" s="2" t="s">
        <v>86</v>
      </c>
      <c r="CM726" s="2"/>
    </row>
    <row r="727" spans="1:91">
      <c r="A727" s="2" t="s">
        <v>71</v>
      </c>
      <c r="B727" s="2" t="s">
        <v>72</v>
      </c>
      <c r="C727" s="2" t="s">
        <v>73</v>
      </c>
      <c r="D727" s="2"/>
      <c r="E727" s="2" t="str">
        <f>"FES1162541364"</f>
        <v>FES1162541364</v>
      </c>
      <c r="F727" s="3">
        <v>42829</v>
      </c>
      <c r="G727" s="2">
        <v>201710</v>
      </c>
      <c r="H727" s="2" t="s">
        <v>74</v>
      </c>
      <c r="I727" s="2" t="s">
        <v>75</v>
      </c>
      <c r="J727" s="2" t="s">
        <v>76</v>
      </c>
      <c r="K727" s="2" t="s">
        <v>77</v>
      </c>
      <c r="L727" s="2" t="s">
        <v>187</v>
      </c>
      <c r="M727" s="2" t="s">
        <v>146</v>
      </c>
      <c r="N727" s="2" t="s">
        <v>1306</v>
      </c>
      <c r="O727" s="2" t="s">
        <v>115</v>
      </c>
      <c r="P727" s="2" t="str">
        <f>"2170560442                    "</f>
        <v xml:space="preserve">2170560442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4.42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2</v>
      </c>
      <c r="BJ727" s="2">
        <v>1</v>
      </c>
      <c r="BK727" s="2">
        <v>2</v>
      </c>
      <c r="BL727" s="2">
        <v>41.86</v>
      </c>
      <c r="BM727" s="2">
        <v>5.86</v>
      </c>
      <c r="BN727" s="2">
        <v>47.72</v>
      </c>
      <c r="BO727" s="2">
        <v>47.72</v>
      </c>
      <c r="BP727" s="2"/>
      <c r="BQ727" s="2" t="s">
        <v>1307</v>
      </c>
      <c r="BR727" s="2" t="s">
        <v>123</v>
      </c>
      <c r="BS727" s="3">
        <v>42830</v>
      </c>
      <c r="BT727" s="4">
        <v>0.43888888888888888</v>
      </c>
      <c r="BU727" s="2" t="s">
        <v>1308</v>
      </c>
      <c r="BV727" s="2" t="s">
        <v>111</v>
      </c>
      <c r="BW727" s="2"/>
      <c r="BX727" s="2"/>
      <c r="BY727" s="2">
        <v>4909.0600000000004</v>
      </c>
      <c r="BZ727" s="2" t="s">
        <v>27</v>
      </c>
      <c r="CA727" s="2"/>
      <c r="CB727" s="2"/>
      <c r="CC727" s="2" t="s">
        <v>146</v>
      </c>
      <c r="CD727" s="2">
        <v>117</v>
      </c>
      <c r="CE727" s="2" t="s">
        <v>135</v>
      </c>
      <c r="CF727" s="5">
        <v>42832</v>
      </c>
      <c r="CG727" s="2"/>
      <c r="CH727" s="2"/>
      <c r="CI727" s="2">
        <v>0</v>
      </c>
      <c r="CJ727" s="2">
        <v>0</v>
      </c>
      <c r="CK727" s="2">
        <v>21</v>
      </c>
      <c r="CL727" s="2" t="s">
        <v>86</v>
      </c>
      <c r="CM727" s="2"/>
    </row>
    <row r="728" spans="1:91">
      <c r="A728" s="2" t="s">
        <v>71</v>
      </c>
      <c r="B728" s="2" t="s">
        <v>72</v>
      </c>
      <c r="C728" s="2" t="s">
        <v>73</v>
      </c>
      <c r="D728" s="2"/>
      <c r="E728" s="2" t="str">
        <f>"FES1162542875"</f>
        <v>FES1162542875</v>
      </c>
      <c r="F728" s="3">
        <v>42836</v>
      </c>
      <c r="G728" s="2">
        <v>201710</v>
      </c>
      <c r="H728" s="2" t="s">
        <v>74</v>
      </c>
      <c r="I728" s="2" t="s">
        <v>75</v>
      </c>
      <c r="J728" s="2" t="s">
        <v>76</v>
      </c>
      <c r="K728" s="2" t="s">
        <v>77</v>
      </c>
      <c r="L728" s="2" t="s">
        <v>1032</v>
      </c>
      <c r="M728" s="2" t="s">
        <v>1033</v>
      </c>
      <c r="N728" s="2" t="s">
        <v>1309</v>
      </c>
      <c r="O728" s="2" t="s">
        <v>115</v>
      </c>
      <c r="P728" s="2" t="str">
        <f>"2170561714                    "</f>
        <v xml:space="preserve">2170561714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8.31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1</v>
      </c>
      <c r="BJ728" s="2">
        <v>0.2</v>
      </c>
      <c r="BK728" s="2">
        <v>1</v>
      </c>
      <c r="BL728" s="2">
        <v>80.849999999999994</v>
      </c>
      <c r="BM728" s="2">
        <v>11.32</v>
      </c>
      <c r="BN728" s="2">
        <v>92.17</v>
      </c>
      <c r="BO728" s="2">
        <v>92.17</v>
      </c>
      <c r="BP728" s="2"/>
      <c r="BQ728" s="2" t="s">
        <v>129</v>
      </c>
      <c r="BR728" s="2" t="s">
        <v>123</v>
      </c>
      <c r="BS728" s="3">
        <v>42837</v>
      </c>
      <c r="BT728" s="4">
        <v>0.60416666666666663</v>
      </c>
      <c r="BU728" s="2" t="s">
        <v>1310</v>
      </c>
      <c r="BV728" s="2" t="s">
        <v>111</v>
      </c>
      <c r="BW728" s="2"/>
      <c r="BX728" s="2"/>
      <c r="BY728" s="2">
        <v>1200</v>
      </c>
      <c r="BZ728" s="2" t="s">
        <v>27</v>
      </c>
      <c r="CA728" s="2"/>
      <c r="CB728" s="2"/>
      <c r="CC728" s="2" t="s">
        <v>1033</v>
      </c>
      <c r="CD728" s="2">
        <v>5605</v>
      </c>
      <c r="CE728" s="2" t="s">
        <v>118</v>
      </c>
      <c r="CF728" s="5">
        <v>42843</v>
      </c>
      <c r="CG728" s="2"/>
      <c r="CH728" s="2"/>
      <c r="CI728" s="2">
        <v>4</v>
      </c>
      <c r="CJ728" s="2">
        <v>1</v>
      </c>
      <c r="CK728" s="2">
        <v>23</v>
      </c>
      <c r="CL728" s="2" t="s">
        <v>86</v>
      </c>
      <c r="CM728" s="2"/>
    </row>
    <row r="729" spans="1:91">
      <c r="A729" s="2" t="s">
        <v>71</v>
      </c>
      <c r="B729" s="2" t="s">
        <v>72</v>
      </c>
      <c r="C729" s="2" t="s">
        <v>73</v>
      </c>
      <c r="D729" s="2"/>
      <c r="E729" s="2" t="str">
        <f>"FES1162541837"</f>
        <v>FES1162541837</v>
      </c>
      <c r="F729" s="3">
        <v>42830</v>
      </c>
      <c r="G729" s="2">
        <v>201710</v>
      </c>
      <c r="H729" s="2" t="s">
        <v>74</v>
      </c>
      <c r="I729" s="2" t="s">
        <v>75</v>
      </c>
      <c r="J729" s="2" t="s">
        <v>76</v>
      </c>
      <c r="K729" s="2" t="s">
        <v>77</v>
      </c>
      <c r="L729" s="2" t="s">
        <v>234</v>
      </c>
      <c r="M729" s="2" t="s">
        <v>235</v>
      </c>
      <c r="N729" s="2" t="s">
        <v>236</v>
      </c>
      <c r="O729" s="2" t="s">
        <v>115</v>
      </c>
      <c r="P729" s="2" t="str">
        <f>"21705608474                   "</f>
        <v xml:space="preserve">21705608474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4.29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1</v>
      </c>
      <c r="BJ729" s="2">
        <v>0.2</v>
      </c>
      <c r="BK729" s="2">
        <v>1</v>
      </c>
      <c r="BL729" s="2">
        <v>41.73</v>
      </c>
      <c r="BM729" s="2">
        <v>5.84</v>
      </c>
      <c r="BN729" s="2">
        <v>47.57</v>
      </c>
      <c r="BO729" s="2">
        <v>47.57</v>
      </c>
      <c r="BP729" s="2"/>
      <c r="BQ729" s="2" t="s">
        <v>285</v>
      </c>
      <c r="BR729" s="2" t="s">
        <v>123</v>
      </c>
      <c r="BS729" s="3">
        <v>42831</v>
      </c>
      <c r="BT729" s="4">
        <v>0.36805555555555558</v>
      </c>
      <c r="BU729" s="2" t="s">
        <v>130</v>
      </c>
      <c r="BV729" s="2" t="s">
        <v>111</v>
      </c>
      <c r="BW729" s="2"/>
      <c r="BX729" s="2"/>
      <c r="BY729" s="2">
        <v>1200</v>
      </c>
      <c r="BZ729" s="2" t="s">
        <v>27</v>
      </c>
      <c r="CA729" s="2"/>
      <c r="CB729" s="2"/>
      <c r="CC729" s="2" t="s">
        <v>235</v>
      </c>
      <c r="CD729" s="2">
        <v>6220</v>
      </c>
      <c r="CE729" s="2" t="s">
        <v>118</v>
      </c>
      <c r="CF729" s="5">
        <v>42832</v>
      </c>
      <c r="CG729" s="2"/>
      <c r="CH729" s="2"/>
      <c r="CI729" s="2">
        <v>1</v>
      </c>
      <c r="CJ729" s="2">
        <v>1</v>
      </c>
      <c r="CK729" s="2">
        <v>21</v>
      </c>
      <c r="CL729" s="2" t="s">
        <v>86</v>
      </c>
      <c r="CM729" s="2"/>
    </row>
    <row r="730" spans="1:91">
      <c r="A730" s="2" t="s">
        <v>71</v>
      </c>
      <c r="B730" s="2" t="s">
        <v>72</v>
      </c>
      <c r="C730" s="2" t="s">
        <v>73</v>
      </c>
      <c r="D730" s="2"/>
      <c r="E730" s="2" t="str">
        <f>"FES1162541542"</f>
        <v>FES1162541542</v>
      </c>
      <c r="F730" s="3">
        <v>42830</v>
      </c>
      <c r="G730" s="2">
        <v>201710</v>
      </c>
      <c r="H730" s="2" t="s">
        <v>74</v>
      </c>
      <c r="I730" s="2" t="s">
        <v>75</v>
      </c>
      <c r="J730" s="2" t="s">
        <v>76</v>
      </c>
      <c r="K730" s="2" t="s">
        <v>77</v>
      </c>
      <c r="L730" s="2" t="s">
        <v>220</v>
      </c>
      <c r="M730" s="2" t="s">
        <v>221</v>
      </c>
      <c r="N730" s="2" t="s">
        <v>1311</v>
      </c>
      <c r="O730" s="2" t="s">
        <v>115</v>
      </c>
      <c r="P730" s="2" t="str">
        <f>"2170560623                    "</f>
        <v xml:space="preserve">2170560623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12.86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6</v>
      </c>
      <c r="BJ730" s="2">
        <v>1.5</v>
      </c>
      <c r="BK730" s="2">
        <v>6</v>
      </c>
      <c r="BL730" s="2">
        <v>125.18</v>
      </c>
      <c r="BM730" s="2">
        <v>17.53</v>
      </c>
      <c r="BN730" s="2">
        <v>142.71</v>
      </c>
      <c r="BO730" s="2">
        <v>142.71</v>
      </c>
      <c r="BP730" s="2"/>
      <c r="BQ730" s="2" t="s">
        <v>1312</v>
      </c>
      <c r="BR730" s="2" t="s">
        <v>123</v>
      </c>
      <c r="BS730" s="3">
        <v>42831</v>
      </c>
      <c r="BT730" s="4">
        <v>0.41666666666666669</v>
      </c>
      <c r="BU730" s="2" t="s">
        <v>452</v>
      </c>
      <c r="BV730" s="2" t="s">
        <v>111</v>
      </c>
      <c r="BW730" s="2"/>
      <c r="BX730" s="2"/>
      <c r="BY730" s="2">
        <v>7727.23</v>
      </c>
      <c r="BZ730" s="2" t="s">
        <v>27</v>
      </c>
      <c r="CA730" s="2"/>
      <c r="CB730" s="2"/>
      <c r="CC730" s="2" t="s">
        <v>221</v>
      </c>
      <c r="CD730" s="2">
        <v>6536</v>
      </c>
      <c r="CE730" s="2" t="s">
        <v>135</v>
      </c>
      <c r="CF730" s="5">
        <v>42832</v>
      </c>
      <c r="CG730" s="2"/>
      <c r="CH730" s="2"/>
      <c r="CI730" s="2">
        <v>1</v>
      </c>
      <c r="CJ730" s="2">
        <v>1</v>
      </c>
      <c r="CK730" s="2">
        <v>21</v>
      </c>
      <c r="CL730" s="2" t="s">
        <v>86</v>
      </c>
      <c r="CM730" s="2"/>
    </row>
    <row r="731" spans="1:91">
      <c r="A731" s="2" t="s">
        <v>71</v>
      </c>
      <c r="B731" s="2" t="s">
        <v>72</v>
      </c>
      <c r="C731" s="2" t="s">
        <v>73</v>
      </c>
      <c r="D731" s="2"/>
      <c r="E731" s="2" t="str">
        <f>"FES1162543343"</f>
        <v>FES1162543343</v>
      </c>
      <c r="F731" s="3">
        <v>42837</v>
      </c>
      <c r="G731" s="2">
        <v>201710</v>
      </c>
      <c r="H731" s="2" t="s">
        <v>74</v>
      </c>
      <c r="I731" s="2" t="s">
        <v>75</v>
      </c>
      <c r="J731" s="2" t="s">
        <v>76</v>
      </c>
      <c r="K731" s="2" t="s">
        <v>77</v>
      </c>
      <c r="L731" s="2" t="s">
        <v>166</v>
      </c>
      <c r="M731" s="2" t="s">
        <v>167</v>
      </c>
      <c r="N731" s="2" t="s">
        <v>486</v>
      </c>
      <c r="O731" s="2" t="s">
        <v>115</v>
      </c>
      <c r="P731" s="2" t="str">
        <f>"2170562020                    "</f>
        <v xml:space="preserve">2170562020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3.35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6</v>
      </c>
      <c r="BJ731" s="2">
        <v>3.3</v>
      </c>
      <c r="BK731" s="2">
        <v>6</v>
      </c>
      <c r="BL731" s="2">
        <v>32.6</v>
      </c>
      <c r="BM731" s="2">
        <v>4.5599999999999996</v>
      </c>
      <c r="BN731" s="2">
        <v>37.159999999999997</v>
      </c>
      <c r="BO731" s="2">
        <v>37.159999999999997</v>
      </c>
      <c r="BP731" s="2"/>
      <c r="BQ731" s="2" t="s">
        <v>487</v>
      </c>
      <c r="BR731" s="2" t="s">
        <v>84</v>
      </c>
      <c r="BS731" s="3">
        <v>42838</v>
      </c>
      <c r="BT731" s="4">
        <v>0.41666666666666669</v>
      </c>
      <c r="BU731" s="2" t="s">
        <v>290</v>
      </c>
      <c r="BV731" s="2" t="s">
        <v>111</v>
      </c>
      <c r="BW731" s="2"/>
      <c r="BX731" s="2"/>
      <c r="BY731" s="2">
        <v>16720.63</v>
      </c>
      <c r="BZ731" s="2" t="s">
        <v>27</v>
      </c>
      <c r="CA731" s="2"/>
      <c r="CB731" s="2"/>
      <c r="CC731" s="2" t="s">
        <v>167</v>
      </c>
      <c r="CD731" s="2">
        <v>2013</v>
      </c>
      <c r="CE731" s="2" t="s">
        <v>89</v>
      </c>
      <c r="CF731" s="5">
        <v>42843</v>
      </c>
      <c r="CG731" s="2"/>
      <c r="CH731" s="2"/>
      <c r="CI731" s="2">
        <v>1</v>
      </c>
      <c r="CJ731" s="2">
        <v>1</v>
      </c>
      <c r="CK731" s="2">
        <v>22</v>
      </c>
      <c r="CL731" s="2" t="s">
        <v>86</v>
      </c>
      <c r="CM731" s="2"/>
    </row>
    <row r="732" spans="1:91">
      <c r="A732" s="2" t="s">
        <v>71</v>
      </c>
      <c r="B732" s="2" t="s">
        <v>72</v>
      </c>
      <c r="C732" s="2" t="s">
        <v>73</v>
      </c>
      <c r="D732" s="2"/>
      <c r="E732" s="2" t="str">
        <f>"FES1162542039"</f>
        <v>FES1162542039</v>
      </c>
      <c r="F732" s="3">
        <v>42831</v>
      </c>
      <c r="G732" s="2">
        <v>201710</v>
      </c>
      <c r="H732" s="2" t="s">
        <v>74</v>
      </c>
      <c r="I732" s="2" t="s">
        <v>75</v>
      </c>
      <c r="J732" s="2" t="s">
        <v>76</v>
      </c>
      <c r="K732" s="2" t="s">
        <v>77</v>
      </c>
      <c r="L732" s="2" t="s">
        <v>112</v>
      </c>
      <c r="M732" s="2" t="s">
        <v>113</v>
      </c>
      <c r="N732" s="2" t="s">
        <v>1313</v>
      </c>
      <c r="O732" s="2" t="s">
        <v>115</v>
      </c>
      <c r="P732" s="2" t="str">
        <f>"2170556985                    "</f>
        <v xml:space="preserve">2170556985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7.5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3.3</v>
      </c>
      <c r="BJ732" s="2">
        <v>1.1000000000000001</v>
      </c>
      <c r="BK732" s="2">
        <v>3.5</v>
      </c>
      <c r="BL732" s="2">
        <v>73.02</v>
      </c>
      <c r="BM732" s="2">
        <v>10.220000000000001</v>
      </c>
      <c r="BN732" s="2">
        <v>83.24</v>
      </c>
      <c r="BO732" s="2">
        <v>83.24</v>
      </c>
      <c r="BP732" s="2"/>
      <c r="BQ732" s="2" t="s">
        <v>116</v>
      </c>
      <c r="BR732" s="2" t="s">
        <v>123</v>
      </c>
      <c r="BS732" s="3">
        <v>42832</v>
      </c>
      <c r="BT732" s="4">
        <v>0.375</v>
      </c>
      <c r="BU732" s="2" t="s">
        <v>1314</v>
      </c>
      <c r="BV732" s="2" t="s">
        <v>111</v>
      </c>
      <c r="BW732" s="2"/>
      <c r="BX732" s="2"/>
      <c r="BY732" s="2">
        <v>5540.98</v>
      </c>
      <c r="BZ732" s="2" t="s">
        <v>27</v>
      </c>
      <c r="CA732" s="2"/>
      <c r="CB732" s="2"/>
      <c r="CC732" s="2" t="s">
        <v>113</v>
      </c>
      <c r="CD732" s="2">
        <v>3680</v>
      </c>
      <c r="CE732" s="2" t="s">
        <v>135</v>
      </c>
      <c r="CF732" s="5">
        <v>42835</v>
      </c>
      <c r="CG732" s="2"/>
      <c r="CH732" s="2"/>
      <c r="CI732" s="2">
        <v>1</v>
      </c>
      <c r="CJ732" s="2">
        <v>1</v>
      </c>
      <c r="CK732" s="2">
        <v>21</v>
      </c>
      <c r="CL732" s="2" t="s">
        <v>86</v>
      </c>
      <c r="CM732" s="2"/>
    </row>
    <row r="733" spans="1:91">
      <c r="A733" s="2" t="s">
        <v>71</v>
      </c>
      <c r="B733" s="2" t="s">
        <v>72</v>
      </c>
      <c r="C733" s="2" t="s">
        <v>73</v>
      </c>
      <c r="D733" s="2"/>
      <c r="E733" s="2" t="str">
        <f>"FES1162542972"</f>
        <v>FES1162542972</v>
      </c>
      <c r="F733" s="3">
        <v>42836</v>
      </c>
      <c r="G733" s="2">
        <v>201710</v>
      </c>
      <c r="H733" s="2" t="s">
        <v>74</v>
      </c>
      <c r="I733" s="2" t="s">
        <v>75</v>
      </c>
      <c r="J733" s="2" t="s">
        <v>76</v>
      </c>
      <c r="K733" s="2" t="s">
        <v>77</v>
      </c>
      <c r="L733" s="2" t="s">
        <v>112</v>
      </c>
      <c r="M733" s="2" t="s">
        <v>113</v>
      </c>
      <c r="N733" s="2" t="s">
        <v>114</v>
      </c>
      <c r="O733" s="2" t="s">
        <v>115</v>
      </c>
      <c r="P733" s="2" t="str">
        <f>"2170561758                    "</f>
        <v xml:space="preserve">2170561758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4.29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</v>
      </c>
      <c r="BJ733" s="2">
        <v>0.2</v>
      </c>
      <c r="BK733" s="2">
        <v>1</v>
      </c>
      <c r="BL733" s="2">
        <v>41.73</v>
      </c>
      <c r="BM733" s="2">
        <v>5.84</v>
      </c>
      <c r="BN733" s="2">
        <v>47.57</v>
      </c>
      <c r="BO733" s="2">
        <v>47.57</v>
      </c>
      <c r="BP733" s="2"/>
      <c r="BQ733" s="2" t="s">
        <v>116</v>
      </c>
      <c r="BR733" s="2" t="s">
        <v>123</v>
      </c>
      <c r="BS733" s="3">
        <v>42837</v>
      </c>
      <c r="BT733" s="4">
        <v>0.375</v>
      </c>
      <c r="BU733" s="2" t="s">
        <v>533</v>
      </c>
      <c r="BV733" s="2" t="s">
        <v>111</v>
      </c>
      <c r="BW733" s="2"/>
      <c r="BX733" s="2"/>
      <c r="BY733" s="2">
        <v>1200</v>
      </c>
      <c r="BZ733" s="2" t="s">
        <v>27</v>
      </c>
      <c r="CA733" s="2"/>
      <c r="CB733" s="2"/>
      <c r="CC733" s="2" t="s">
        <v>113</v>
      </c>
      <c r="CD733" s="2">
        <v>3201</v>
      </c>
      <c r="CE733" s="2" t="s">
        <v>144</v>
      </c>
      <c r="CF733" s="5">
        <v>42843</v>
      </c>
      <c r="CG733" s="2"/>
      <c r="CH733" s="2"/>
      <c r="CI733" s="2">
        <v>1</v>
      </c>
      <c r="CJ733" s="2">
        <v>1</v>
      </c>
      <c r="CK733" s="2">
        <v>21</v>
      </c>
      <c r="CL733" s="2" t="s">
        <v>86</v>
      </c>
      <c r="CM733" s="2"/>
    </row>
    <row r="734" spans="1:91">
      <c r="A734" s="2" t="s">
        <v>71</v>
      </c>
      <c r="B734" s="2" t="s">
        <v>72</v>
      </c>
      <c r="C734" s="2" t="s">
        <v>73</v>
      </c>
      <c r="D734" s="2"/>
      <c r="E734" s="2" t="str">
        <f>"FES1162541838"</f>
        <v>FES1162541838</v>
      </c>
      <c r="F734" s="3">
        <v>42830</v>
      </c>
      <c r="G734" s="2">
        <v>201710</v>
      </c>
      <c r="H734" s="2" t="s">
        <v>74</v>
      </c>
      <c r="I734" s="2" t="s">
        <v>75</v>
      </c>
      <c r="J734" s="2" t="s">
        <v>76</v>
      </c>
      <c r="K734" s="2" t="s">
        <v>77</v>
      </c>
      <c r="L734" s="2" t="s">
        <v>99</v>
      </c>
      <c r="M734" s="2" t="s">
        <v>100</v>
      </c>
      <c r="N734" s="2" t="s">
        <v>1315</v>
      </c>
      <c r="O734" s="2" t="s">
        <v>115</v>
      </c>
      <c r="P734" s="2" t="str">
        <f>"2170560846                    "</f>
        <v xml:space="preserve">2170560846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4.29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1</v>
      </c>
      <c r="BJ734" s="2">
        <v>0.2</v>
      </c>
      <c r="BK734" s="2">
        <v>1</v>
      </c>
      <c r="BL734" s="2">
        <v>41.73</v>
      </c>
      <c r="BM734" s="2">
        <v>5.84</v>
      </c>
      <c r="BN734" s="2">
        <v>47.57</v>
      </c>
      <c r="BO734" s="2">
        <v>47.57</v>
      </c>
      <c r="BP734" s="2"/>
      <c r="BQ734" s="2" t="s">
        <v>1316</v>
      </c>
      <c r="BR734" s="2" t="s">
        <v>123</v>
      </c>
      <c r="BS734" s="3">
        <v>42831</v>
      </c>
      <c r="BT734" s="4">
        <v>0.3743055555555555</v>
      </c>
      <c r="BU734" s="2" t="s">
        <v>130</v>
      </c>
      <c r="BV734" s="2" t="s">
        <v>111</v>
      </c>
      <c r="BW734" s="2"/>
      <c r="BX734" s="2"/>
      <c r="BY734" s="2">
        <v>1200</v>
      </c>
      <c r="BZ734" s="2" t="s">
        <v>27</v>
      </c>
      <c r="CA734" s="2"/>
      <c r="CB734" s="2"/>
      <c r="CC734" s="2" t="s">
        <v>100</v>
      </c>
      <c r="CD734" s="2">
        <v>6001</v>
      </c>
      <c r="CE734" s="2" t="s">
        <v>118</v>
      </c>
      <c r="CF734" s="5">
        <v>42832</v>
      </c>
      <c r="CG734" s="2"/>
      <c r="CH734" s="2"/>
      <c r="CI734" s="2">
        <v>1</v>
      </c>
      <c r="CJ734" s="2">
        <v>1</v>
      </c>
      <c r="CK734" s="2">
        <v>21</v>
      </c>
      <c r="CL734" s="2" t="s">
        <v>86</v>
      </c>
      <c r="CM734" s="2"/>
    </row>
    <row r="735" spans="1:91">
      <c r="A735" s="2" t="s">
        <v>71</v>
      </c>
      <c r="B735" s="2" t="s">
        <v>72</v>
      </c>
      <c r="C735" s="2" t="s">
        <v>73</v>
      </c>
      <c r="D735" s="2"/>
      <c r="E735" s="2" t="str">
        <f>"FES1162541557"</f>
        <v>FES1162541557</v>
      </c>
      <c r="F735" s="3">
        <v>42830</v>
      </c>
      <c r="G735" s="2">
        <v>201710</v>
      </c>
      <c r="H735" s="2" t="s">
        <v>74</v>
      </c>
      <c r="I735" s="2" t="s">
        <v>75</v>
      </c>
      <c r="J735" s="2" t="s">
        <v>76</v>
      </c>
      <c r="K735" s="2" t="s">
        <v>77</v>
      </c>
      <c r="L735" s="2" t="s">
        <v>166</v>
      </c>
      <c r="M735" s="2" t="s">
        <v>167</v>
      </c>
      <c r="N735" s="2" t="s">
        <v>168</v>
      </c>
      <c r="O735" s="2" t="s">
        <v>115</v>
      </c>
      <c r="P735" s="2" t="str">
        <f>"2170560644                    "</f>
        <v xml:space="preserve">2170560644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3.35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1</v>
      </c>
      <c r="BJ735" s="2">
        <v>0.2</v>
      </c>
      <c r="BK735" s="2">
        <v>1</v>
      </c>
      <c r="BL735" s="2">
        <v>32.6</v>
      </c>
      <c r="BM735" s="2">
        <v>4.5599999999999996</v>
      </c>
      <c r="BN735" s="2">
        <v>37.159999999999997</v>
      </c>
      <c r="BO735" s="2">
        <v>37.159999999999997</v>
      </c>
      <c r="BP735" s="2"/>
      <c r="BQ735" s="2" t="s">
        <v>169</v>
      </c>
      <c r="BR735" s="2" t="s">
        <v>123</v>
      </c>
      <c r="BS735" s="3">
        <v>42831</v>
      </c>
      <c r="BT735" s="4">
        <v>0.38680555555555557</v>
      </c>
      <c r="BU735" s="2" t="s">
        <v>823</v>
      </c>
      <c r="BV735" s="2" t="s">
        <v>111</v>
      </c>
      <c r="BW735" s="2"/>
      <c r="BX735" s="2"/>
      <c r="BY735" s="2">
        <v>1200</v>
      </c>
      <c r="BZ735" s="2" t="s">
        <v>27</v>
      </c>
      <c r="CA735" s="2" t="s">
        <v>171</v>
      </c>
      <c r="CB735" s="2"/>
      <c r="CC735" s="2" t="s">
        <v>167</v>
      </c>
      <c r="CD735" s="2">
        <v>2094</v>
      </c>
      <c r="CE735" s="2" t="s">
        <v>118</v>
      </c>
      <c r="CF735" s="5">
        <v>42832</v>
      </c>
      <c r="CG735" s="2"/>
      <c r="CH735" s="2"/>
      <c r="CI735" s="2">
        <v>1</v>
      </c>
      <c r="CJ735" s="2">
        <v>1</v>
      </c>
      <c r="CK735" s="2">
        <v>22</v>
      </c>
      <c r="CL735" s="2" t="s">
        <v>86</v>
      </c>
      <c r="CM735" s="2"/>
    </row>
    <row r="736" spans="1:91">
      <c r="A736" s="2" t="s">
        <v>71</v>
      </c>
      <c r="B736" s="2" t="s">
        <v>72</v>
      </c>
      <c r="C736" s="2" t="s">
        <v>73</v>
      </c>
      <c r="D736" s="2"/>
      <c r="E736" s="2" t="str">
        <f>"FES1162543277"</f>
        <v>FES1162543277</v>
      </c>
      <c r="F736" s="3">
        <v>42837</v>
      </c>
      <c r="G736" s="2">
        <v>201710</v>
      </c>
      <c r="H736" s="2" t="s">
        <v>74</v>
      </c>
      <c r="I736" s="2" t="s">
        <v>75</v>
      </c>
      <c r="J736" s="2" t="s">
        <v>76</v>
      </c>
      <c r="K736" s="2" t="s">
        <v>77</v>
      </c>
      <c r="L736" s="2" t="s">
        <v>166</v>
      </c>
      <c r="M736" s="2" t="s">
        <v>167</v>
      </c>
      <c r="N736" s="2" t="s">
        <v>168</v>
      </c>
      <c r="O736" s="2" t="s">
        <v>115</v>
      </c>
      <c r="P736" s="2" t="str">
        <f>"2170559707                    "</f>
        <v xml:space="preserve">2170559707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3.35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3</v>
      </c>
      <c r="BJ736" s="2">
        <v>1.4</v>
      </c>
      <c r="BK736" s="2">
        <v>3</v>
      </c>
      <c r="BL736" s="2">
        <v>32.6</v>
      </c>
      <c r="BM736" s="2">
        <v>4.5599999999999996</v>
      </c>
      <c r="BN736" s="2">
        <v>37.159999999999997</v>
      </c>
      <c r="BO736" s="2">
        <v>37.159999999999997</v>
      </c>
      <c r="BP736" s="2"/>
      <c r="BQ736" s="2" t="s">
        <v>169</v>
      </c>
      <c r="BR736" s="2" t="s">
        <v>84</v>
      </c>
      <c r="BS736" s="3">
        <v>42838</v>
      </c>
      <c r="BT736" s="4">
        <v>0.38611111111111113</v>
      </c>
      <c r="BU736" s="2" t="s">
        <v>1317</v>
      </c>
      <c r="BV736" s="2" t="s">
        <v>111</v>
      </c>
      <c r="BW736" s="2"/>
      <c r="BX736" s="2"/>
      <c r="BY736" s="2">
        <v>6991.42</v>
      </c>
      <c r="BZ736" s="2" t="s">
        <v>27</v>
      </c>
      <c r="CA736" s="2" t="s">
        <v>171</v>
      </c>
      <c r="CB736" s="2"/>
      <c r="CC736" s="2" t="s">
        <v>167</v>
      </c>
      <c r="CD736" s="2">
        <v>2094</v>
      </c>
      <c r="CE736" s="2" t="s">
        <v>89</v>
      </c>
      <c r="CF736" s="5">
        <v>42838</v>
      </c>
      <c r="CG736" s="2"/>
      <c r="CH736" s="2"/>
      <c r="CI736" s="2">
        <v>1</v>
      </c>
      <c r="CJ736" s="2">
        <v>1</v>
      </c>
      <c r="CK736" s="2">
        <v>22</v>
      </c>
      <c r="CL736" s="2" t="s">
        <v>86</v>
      </c>
      <c r="CM736" s="2"/>
    </row>
    <row r="737" spans="1:91">
      <c r="A737" s="2" t="s">
        <v>71</v>
      </c>
      <c r="B737" s="2" t="s">
        <v>72</v>
      </c>
      <c r="C737" s="2" t="s">
        <v>73</v>
      </c>
      <c r="D737" s="2"/>
      <c r="E737" s="2" t="str">
        <f>"FES1162542125"</f>
        <v>FES1162542125</v>
      </c>
      <c r="F737" s="3">
        <v>42831</v>
      </c>
      <c r="G737" s="2">
        <v>201710</v>
      </c>
      <c r="H737" s="2" t="s">
        <v>74</v>
      </c>
      <c r="I737" s="2" t="s">
        <v>75</v>
      </c>
      <c r="J737" s="2" t="s">
        <v>76</v>
      </c>
      <c r="K737" s="2" t="s">
        <v>77</v>
      </c>
      <c r="L737" s="2" t="s">
        <v>131</v>
      </c>
      <c r="M737" s="2" t="s">
        <v>132</v>
      </c>
      <c r="N737" s="2" t="s">
        <v>1280</v>
      </c>
      <c r="O737" s="2" t="s">
        <v>115</v>
      </c>
      <c r="P737" s="2" t="str">
        <f>"2170561017                    "</f>
        <v xml:space="preserve">2170561017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4.29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1.9</v>
      </c>
      <c r="BJ737" s="2">
        <v>1.4</v>
      </c>
      <c r="BK737" s="2">
        <v>2</v>
      </c>
      <c r="BL737" s="2">
        <v>41.73</v>
      </c>
      <c r="BM737" s="2">
        <v>5.84</v>
      </c>
      <c r="BN737" s="2">
        <v>47.57</v>
      </c>
      <c r="BO737" s="2">
        <v>47.57</v>
      </c>
      <c r="BP737" s="2"/>
      <c r="BQ737" s="2" t="s">
        <v>116</v>
      </c>
      <c r="BR737" s="2" t="s">
        <v>123</v>
      </c>
      <c r="BS737" s="3">
        <v>42832</v>
      </c>
      <c r="BT737" s="4">
        <v>0.36805555555555558</v>
      </c>
      <c r="BU737" s="2" t="s">
        <v>1281</v>
      </c>
      <c r="BV737" s="2" t="s">
        <v>111</v>
      </c>
      <c r="BW737" s="2"/>
      <c r="BX737" s="2"/>
      <c r="BY737" s="2">
        <v>7195.39</v>
      </c>
      <c r="BZ737" s="2" t="s">
        <v>27</v>
      </c>
      <c r="CA737" s="2"/>
      <c r="CB737" s="2"/>
      <c r="CC737" s="2" t="s">
        <v>132</v>
      </c>
      <c r="CD737" s="2">
        <v>7530</v>
      </c>
      <c r="CE737" s="2" t="s">
        <v>144</v>
      </c>
      <c r="CF737" s="5">
        <v>42835</v>
      </c>
      <c r="CG737" s="2"/>
      <c r="CH737" s="2"/>
      <c r="CI737" s="2">
        <v>1</v>
      </c>
      <c r="CJ737" s="2">
        <v>1</v>
      </c>
      <c r="CK737" s="2">
        <v>21</v>
      </c>
      <c r="CL737" s="2" t="s">
        <v>86</v>
      </c>
      <c r="CM737" s="2"/>
    </row>
    <row r="738" spans="1:91">
      <c r="A738" s="2" t="s">
        <v>71</v>
      </c>
      <c r="B738" s="2" t="s">
        <v>72</v>
      </c>
      <c r="C738" s="2" t="s">
        <v>73</v>
      </c>
      <c r="D738" s="2"/>
      <c r="E738" s="2" t="str">
        <f>"FES1162541334"</f>
        <v>FES1162541334</v>
      </c>
      <c r="F738" s="3">
        <v>42829</v>
      </c>
      <c r="G738" s="2">
        <v>201710</v>
      </c>
      <c r="H738" s="2" t="s">
        <v>74</v>
      </c>
      <c r="I738" s="2" t="s">
        <v>75</v>
      </c>
      <c r="J738" s="2" t="s">
        <v>76</v>
      </c>
      <c r="K738" s="2" t="s">
        <v>77</v>
      </c>
      <c r="L738" s="2" t="s">
        <v>220</v>
      </c>
      <c r="M738" s="2" t="s">
        <v>221</v>
      </c>
      <c r="N738" s="2" t="s">
        <v>168</v>
      </c>
      <c r="O738" s="2" t="s">
        <v>255</v>
      </c>
      <c r="P738" s="2" t="str">
        <f>"2170560409                    "</f>
        <v xml:space="preserve">2170560409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351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45.87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1</v>
      </c>
      <c r="BJ738" s="2">
        <v>0.2</v>
      </c>
      <c r="BK738" s="2">
        <v>1</v>
      </c>
      <c r="BL738" s="2">
        <v>434.31</v>
      </c>
      <c r="BM738" s="2">
        <v>60.8</v>
      </c>
      <c r="BN738" s="2">
        <v>495.11</v>
      </c>
      <c r="BO738" s="2">
        <v>495.11</v>
      </c>
      <c r="BP738" s="2" t="s">
        <v>1318</v>
      </c>
      <c r="BQ738" s="2" t="s">
        <v>1319</v>
      </c>
      <c r="BR738" s="2" t="s">
        <v>123</v>
      </c>
      <c r="BS738" s="3">
        <v>42830</v>
      </c>
      <c r="BT738" s="4">
        <v>0.375</v>
      </c>
      <c r="BU738" s="2" t="s">
        <v>1320</v>
      </c>
      <c r="BV738" s="2" t="s">
        <v>86</v>
      </c>
      <c r="BW738" s="2"/>
      <c r="BX738" s="2"/>
      <c r="BY738" s="2">
        <v>1200</v>
      </c>
      <c r="BZ738" s="2" t="s">
        <v>1321</v>
      </c>
      <c r="CA738" s="2"/>
      <c r="CB738" s="2"/>
      <c r="CC738" s="2" t="s">
        <v>221</v>
      </c>
      <c r="CD738" s="2">
        <v>6536</v>
      </c>
      <c r="CE738" s="2" t="s">
        <v>144</v>
      </c>
      <c r="CF738" s="5">
        <v>42832</v>
      </c>
      <c r="CG738" s="2"/>
      <c r="CH738" s="2"/>
      <c r="CI738" s="2">
        <v>0</v>
      </c>
      <c r="CJ738" s="2">
        <v>1</v>
      </c>
      <c r="CK738" s="2">
        <v>21</v>
      </c>
      <c r="CL738" s="2" t="s">
        <v>86</v>
      </c>
      <c r="CM738" s="2"/>
    </row>
    <row r="739" spans="1:91">
      <c r="A739" s="2" t="s">
        <v>71</v>
      </c>
      <c r="B739" s="2" t="s">
        <v>72</v>
      </c>
      <c r="C739" s="2" t="s">
        <v>73</v>
      </c>
      <c r="D739" s="2"/>
      <c r="E739" s="2" t="str">
        <f>"FES1162542872"</f>
        <v>FES1162542872</v>
      </c>
      <c r="F739" s="3">
        <v>42836</v>
      </c>
      <c r="G739" s="2">
        <v>201710</v>
      </c>
      <c r="H739" s="2" t="s">
        <v>74</v>
      </c>
      <c r="I739" s="2" t="s">
        <v>75</v>
      </c>
      <c r="J739" s="2" t="s">
        <v>76</v>
      </c>
      <c r="K739" s="2" t="s">
        <v>77</v>
      </c>
      <c r="L739" s="2" t="s">
        <v>160</v>
      </c>
      <c r="M739" s="2" t="s">
        <v>161</v>
      </c>
      <c r="N739" s="2" t="s">
        <v>1053</v>
      </c>
      <c r="O739" s="2" t="s">
        <v>115</v>
      </c>
      <c r="P739" s="2" t="str">
        <f>"2170561672                    "</f>
        <v xml:space="preserve">2170561672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4.29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</v>
      </c>
      <c r="BJ739" s="2">
        <v>0.2</v>
      </c>
      <c r="BK739" s="2">
        <v>1</v>
      </c>
      <c r="BL739" s="2">
        <v>41.73</v>
      </c>
      <c r="BM739" s="2">
        <v>5.84</v>
      </c>
      <c r="BN739" s="2">
        <v>47.57</v>
      </c>
      <c r="BO739" s="2">
        <v>47.57</v>
      </c>
      <c r="BP739" s="2"/>
      <c r="BQ739" s="2" t="s">
        <v>122</v>
      </c>
      <c r="BR739" s="2" t="s">
        <v>123</v>
      </c>
      <c r="BS739" s="3">
        <v>42837</v>
      </c>
      <c r="BT739" s="4">
        <v>0.41666666666666669</v>
      </c>
      <c r="BU739" s="2" t="s">
        <v>1054</v>
      </c>
      <c r="BV739" s="2" t="s">
        <v>111</v>
      </c>
      <c r="BW739" s="2"/>
      <c r="BX739" s="2"/>
      <c r="BY739" s="2">
        <v>1200</v>
      </c>
      <c r="BZ739" s="2" t="s">
        <v>27</v>
      </c>
      <c r="CA739" s="2"/>
      <c r="CB739" s="2"/>
      <c r="CC739" s="2" t="s">
        <v>161</v>
      </c>
      <c r="CD739" s="2">
        <v>5201</v>
      </c>
      <c r="CE739" s="2" t="s">
        <v>144</v>
      </c>
      <c r="CF739" s="5">
        <v>42838</v>
      </c>
      <c r="CG739" s="2"/>
      <c r="CH739" s="2"/>
      <c r="CI739" s="2">
        <v>1</v>
      </c>
      <c r="CJ739" s="2">
        <v>1</v>
      </c>
      <c r="CK739" s="2">
        <v>21</v>
      </c>
      <c r="CL739" s="2" t="s">
        <v>86</v>
      </c>
      <c r="CM739" s="2"/>
    </row>
    <row r="740" spans="1:91">
      <c r="A740" s="2" t="s">
        <v>71</v>
      </c>
      <c r="B740" s="2" t="s">
        <v>72</v>
      </c>
      <c r="C740" s="2" t="s">
        <v>73</v>
      </c>
      <c r="D740" s="2"/>
      <c r="E740" s="2" t="str">
        <f>"FES1162541769"</f>
        <v>FES1162541769</v>
      </c>
      <c r="F740" s="3">
        <v>42830</v>
      </c>
      <c r="G740" s="2">
        <v>201710</v>
      </c>
      <c r="H740" s="2" t="s">
        <v>74</v>
      </c>
      <c r="I740" s="2" t="s">
        <v>75</v>
      </c>
      <c r="J740" s="2" t="s">
        <v>76</v>
      </c>
      <c r="K740" s="2" t="s">
        <v>77</v>
      </c>
      <c r="L740" s="2" t="s">
        <v>1322</v>
      </c>
      <c r="M740" s="2" t="s">
        <v>1323</v>
      </c>
      <c r="N740" s="2" t="s">
        <v>1324</v>
      </c>
      <c r="O740" s="2" t="s">
        <v>115</v>
      </c>
      <c r="P740" s="2" t="str">
        <f>"2170560770                    "</f>
        <v xml:space="preserve">2170560770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8.31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1</v>
      </c>
      <c r="BJ740" s="2">
        <v>0.2</v>
      </c>
      <c r="BK740" s="2">
        <v>1</v>
      </c>
      <c r="BL740" s="2">
        <v>80.849999999999994</v>
      </c>
      <c r="BM740" s="2">
        <v>11.32</v>
      </c>
      <c r="BN740" s="2">
        <v>92.17</v>
      </c>
      <c r="BO740" s="2">
        <v>92.17</v>
      </c>
      <c r="BP740" s="2"/>
      <c r="BQ740" s="2" t="s">
        <v>83</v>
      </c>
      <c r="BR740" s="2" t="s">
        <v>123</v>
      </c>
      <c r="BS740" s="3">
        <v>42831</v>
      </c>
      <c r="BT740" s="4">
        <v>0.54166666666666663</v>
      </c>
      <c r="BU740" s="2" t="s">
        <v>1325</v>
      </c>
      <c r="BV740" s="2" t="s">
        <v>111</v>
      </c>
      <c r="BW740" s="2"/>
      <c r="BX740" s="2"/>
      <c r="BY740" s="2">
        <v>1200</v>
      </c>
      <c r="BZ740" s="2" t="s">
        <v>27</v>
      </c>
      <c r="CA740" s="2"/>
      <c r="CB740" s="2"/>
      <c r="CC740" s="2" t="s">
        <v>1323</v>
      </c>
      <c r="CD740" s="2">
        <v>4170</v>
      </c>
      <c r="CE740" s="2" t="s">
        <v>118</v>
      </c>
      <c r="CF740" s="5">
        <v>42833</v>
      </c>
      <c r="CG740" s="2"/>
      <c r="CH740" s="2"/>
      <c r="CI740" s="2">
        <v>1</v>
      </c>
      <c r="CJ740" s="2">
        <v>1</v>
      </c>
      <c r="CK740" s="2">
        <v>23</v>
      </c>
      <c r="CL740" s="2" t="s">
        <v>86</v>
      </c>
      <c r="CM740" s="2"/>
    </row>
    <row r="741" spans="1:91">
      <c r="A741" s="2" t="s">
        <v>71</v>
      </c>
      <c r="B741" s="2" t="s">
        <v>72</v>
      </c>
      <c r="C741" s="2" t="s">
        <v>73</v>
      </c>
      <c r="D741" s="2"/>
      <c r="E741" s="2" t="str">
        <f>"FES1162541628"</f>
        <v>FES1162541628</v>
      </c>
      <c r="F741" s="3">
        <v>42830</v>
      </c>
      <c r="G741" s="2">
        <v>201710</v>
      </c>
      <c r="H741" s="2" t="s">
        <v>74</v>
      </c>
      <c r="I741" s="2" t="s">
        <v>75</v>
      </c>
      <c r="J741" s="2" t="s">
        <v>76</v>
      </c>
      <c r="K741" s="2" t="s">
        <v>77</v>
      </c>
      <c r="L741" s="2" t="s">
        <v>166</v>
      </c>
      <c r="M741" s="2" t="s">
        <v>167</v>
      </c>
      <c r="N741" s="2" t="s">
        <v>329</v>
      </c>
      <c r="O741" s="2" t="s">
        <v>115</v>
      </c>
      <c r="P741" s="2" t="str">
        <f>"2170558083                    "</f>
        <v xml:space="preserve">2170558083 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3.35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1</v>
      </c>
      <c r="BJ741" s="2">
        <v>0.2</v>
      </c>
      <c r="BK741" s="2">
        <v>1</v>
      </c>
      <c r="BL741" s="2">
        <v>32.6</v>
      </c>
      <c r="BM741" s="2">
        <v>4.5599999999999996</v>
      </c>
      <c r="BN741" s="2">
        <v>37.159999999999997</v>
      </c>
      <c r="BO741" s="2">
        <v>37.159999999999997</v>
      </c>
      <c r="BP741" s="2"/>
      <c r="BQ741" s="2" t="s">
        <v>330</v>
      </c>
      <c r="BR741" s="2" t="s">
        <v>123</v>
      </c>
      <c r="BS741" s="3">
        <v>42831</v>
      </c>
      <c r="BT741" s="4">
        <v>0.35416666666666669</v>
      </c>
      <c r="BU741" s="2" t="s">
        <v>198</v>
      </c>
      <c r="BV741" s="2" t="s">
        <v>111</v>
      </c>
      <c r="BW741" s="2"/>
      <c r="BX741" s="2"/>
      <c r="BY741" s="2">
        <v>1200</v>
      </c>
      <c r="BZ741" s="2" t="s">
        <v>27</v>
      </c>
      <c r="CA741" s="2"/>
      <c r="CB741" s="2"/>
      <c r="CC741" s="2" t="s">
        <v>167</v>
      </c>
      <c r="CD741" s="2">
        <v>2090</v>
      </c>
      <c r="CE741" s="2" t="s">
        <v>118</v>
      </c>
      <c r="CF741" s="5">
        <v>42832</v>
      </c>
      <c r="CG741" s="2"/>
      <c r="CH741" s="2"/>
      <c r="CI741" s="2">
        <v>1</v>
      </c>
      <c r="CJ741" s="2">
        <v>1</v>
      </c>
      <c r="CK741" s="2">
        <v>22</v>
      </c>
      <c r="CL741" s="2" t="s">
        <v>86</v>
      </c>
      <c r="CM741" s="2"/>
    </row>
    <row r="742" spans="1:91">
      <c r="A742" s="2" t="s">
        <v>71</v>
      </c>
      <c r="B742" s="2" t="s">
        <v>72</v>
      </c>
      <c r="C742" s="2" t="s">
        <v>73</v>
      </c>
      <c r="D742" s="2"/>
      <c r="E742" s="2" t="str">
        <f>"FES1162543348"</f>
        <v>FES1162543348</v>
      </c>
      <c r="F742" s="3">
        <v>42837</v>
      </c>
      <c r="G742" s="2">
        <v>201710</v>
      </c>
      <c r="H742" s="2" t="s">
        <v>74</v>
      </c>
      <c r="I742" s="2" t="s">
        <v>75</v>
      </c>
      <c r="J742" s="2" t="s">
        <v>76</v>
      </c>
      <c r="K742" s="2" t="s">
        <v>77</v>
      </c>
      <c r="L742" s="2" t="s">
        <v>1326</v>
      </c>
      <c r="M742" s="2" t="s">
        <v>1326</v>
      </c>
      <c r="N742" s="2" t="s">
        <v>1327</v>
      </c>
      <c r="O742" s="2" t="s">
        <v>115</v>
      </c>
      <c r="P742" s="2" t="str">
        <f>"2170562027                    "</f>
        <v xml:space="preserve">2170562027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21.43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5.0999999999999996</v>
      </c>
      <c r="BJ742" s="2">
        <v>3.4</v>
      </c>
      <c r="BK742" s="2">
        <v>5.5</v>
      </c>
      <c r="BL742" s="2">
        <v>208.63</v>
      </c>
      <c r="BM742" s="2">
        <v>29.21</v>
      </c>
      <c r="BN742" s="2">
        <v>237.84</v>
      </c>
      <c r="BO742" s="2">
        <v>237.84</v>
      </c>
      <c r="BP742" s="2"/>
      <c r="BQ742" s="2" t="s">
        <v>116</v>
      </c>
      <c r="BR742" s="2" t="s">
        <v>84</v>
      </c>
      <c r="BS742" s="3">
        <v>42843</v>
      </c>
      <c r="BT742" s="4">
        <v>0.54166666666666663</v>
      </c>
      <c r="BU742" s="2" t="s">
        <v>1328</v>
      </c>
      <c r="BV742" s="2" t="s">
        <v>111</v>
      </c>
      <c r="BW742" s="2"/>
      <c r="BX742" s="2"/>
      <c r="BY742" s="2">
        <v>16859.66</v>
      </c>
      <c r="BZ742" s="2" t="s">
        <v>27</v>
      </c>
      <c r="CA742" s="2"/>
      <c r="CB742" s="2"/>
      <c r="CC742" s="2" t="s">
        <v>1326</v>
      </c>
      <c r="CD742" s="2">
        <v>5470</v>
      </c>
      <c r="CE742" s="2" t="s">
        <v>89</v>
      </c>
      <c r="CF742" s="5">
        <v>42849</v>
      </c>
      <c r="CG742" s="2"/>
      <c r="CH742" s="2"/>
      <c r="CI742" s="2">
        <v>4</v>
      </c>
      <c r="CJ742" s="2">
        <v>4</v>
      </c>
      <c r="CK742" s="2">
        <v>23</v>
      </c>
      <c r="CL742" s="2" t="s">
        <v>86</v>
      </c>
      <c r="CM742" s="2"/>
    </row>
    <row r="743" spans="1:91">
      <c r="A743" s="2" t="s">
        <v>71</v>
      </c>
      <c r="B743" s="2" t="s">
        <v>72</v>
      </c>
      <c r="C743" s="2" t="s">
        <v>73</v>
      </c>
      <c r="D743" s="2"/>
      <c r="E743" s="2" t="str">
        <f>"FES1162542041"</f>
        <v>FES1162542041</v>
      </c>
      <c r="F743" s="3">
        <v>42831</v>
      </c>
      <c r="G743" s="2">
        <v>201710</v>
      </c>
      <c r="H743" s="2" t="s">
        <v>74</v>
      </c>
      <c r="I743" s="2" t="s">
        <v>75</v>
      </c>
      <c r="J743" s="2" t="s">
        <v>76</v>
      </c>
      <c r="K743" s="2" t="s">
        <v>77</v>
      </c>
      <c r="L743" s="2" t="s">
        <v>180</v>
      </c>
      <c r="M743" s="2" t="s">
        <v>181</v>
      </c>
      <c r="N743" s="2" t="s">
        <v>605</v>
      </c>
      <c r="O743" s="2" t="s">
        <v>115</v>
      </c>
      <c r="P743" s="2" t="str">
        <f>"2170558707                    "</f>
        <v xml:space="preserve">2170558707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94.31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2</v>
      </c>
      <c r="BI743" s="2">
        <v>19.7</v>
      </c>
      <c r="BJ743" s="2">
        <v>43.7</v>
      </c>
      <c r="BK743" s="2">
        <v>44</v>
      </c>
      <c r="BL743" s="2">
        <v>917.99</v>
      </c>
      <c r="BM743" s="2">
        <v>128.52000000000001</v>
      </c>
      <c r="BN743" s="2">
        <v>1046.51</v>
      </c>
      <c r="BO743" s="2">
        <v>1046.51</v>
      </c>
      <c r="BP743" s="2"/>
      <c r="BQ743" s="2" t="s">
        <v>606</v>
      </c>
      <c r="BR743" s="2" t="s">
        <v>123</v>
      </c>
      <c r="BS743" s="3">
        <v>42835</v>
      </c>
      <c r="BT743" s="4">
        <v>0.4375</v>
      </c>
      <c r="BU743" s="2" t="s">
        <v>607</v>
      </c>
      <c r="BV743" s="2" t="s">
        <v>86</v>
      </c>
      <c r="BW743" s="2" t="s">
        <v>164</v>
      </c>
      <c r="BX743" s="2" t="s">
        <v>88</v>
      </c>
      <c r="BY743" s="2">
        <v>218620.77</v>
      </c>
      <c r="BZ743" s="2" t="s">
        <v>27</v>
      </c>
      <c r="CA743" s="2"/>
      <c r="CB743" s="2"/>
      <c r="CC743" s="2" t="s">
        <v>181</v>
      </c>
      <c r="CD743" s="2">
        <v>4001</v>
      </c>
      <c r="CE743" s="2" t="s">
        <v>1232</v>
      </c>
      <c r="CF743" s="5">
        <v>42836</v>
      </c>
      <c r="CG743" s="2"/>
      <c r="CH743" s="2"/>
      <c r="CI743" s="2">
        <v>1</v>
      </c>
      <c r="CJ743" s="2">
        <v>2</v>
      </c>
      <c r="CK743" s="2">
        <v>21</v>
      </c>
      <c r="CL743" s="2" t="s">
        <v>86</v>
      </c>
      <c r="CM743" s="2"/>
    </row>
    <row r="744" spans="1:91">
      <c r="A744" s="2" t="s">
        <v>71</v>
      </c>
      <c r="B744" s="2" t="s">
        <v>72</v>
      </c>
      <c r="C744" s="2" t="s">
        <v>73</v>
      </c>
      <c r="D744" s="2"/>
      <c r="E744" s="2" t="str">
        <f>"FES1162541365"</f>
        <v>FES1162541365</v>
      </c>
      <c r="F744" s="3">
        <v>42829</v>
      </c>
      <c r="G744" s="2">
        <v>201710</v>
      </c>
      <c r="H744" s="2" t="s">
        <v>74</v>
      </c>
      <c r="I744" s="2" t="s">
        <v>75</v>
      </c>
      <c r="J744" s="2" t="s">
        <v>76</v>
      </c>
      <c r="K744" s="2" t="s">
        <v>77</v>
      </c>
      <c r="L744" s="2" t="s">
        <v>234</v>
      </c>
      <c r="M744" s="2" t="s">
        <v>235</v>
      </c>
      <c r="N744" s="2" t="s">
        <v>326</v>
      </c>
      <c r="O744" s="2" t="s">
        <v>115</v>
      </c>
      <c r="P744" s="2" t="str">
        <f>"2170560449                    "</f>
        <v xml:space="preserve">2170560449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4.42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1.2</v>
      </c>
      <c r="BJ744" s="2">
        <v>0.2</v>
      </c>
      <c r="BK744" s="2">
        <v>1.5</v>
      </c>
      <c r="BL744" s="2">
        <v>41.86</v>
      </c>
      <c r="BM744" s="2">
        <v>5.86</v>
      </c>
      <c r="BN744" s="2">
        <v>47.72</v>
      </c>
      <c r="BO744" s="2">
        <v>47.72</v>
      </c>
      <c r="BP744" s="2"/>
      <c r="BQ744" s="2" t="s">
        <v>442</v>
      </c>
      <c r="BR744" s="2" t="s">
        <v>123</v>
      </c>
      <c r="BS744" s="3">
        <v>42830</v>
      </c>
      <c r="BT744" s="4">
        <v>0.36805555555555558</v>
      </c>
      <c r="BU744" s="2" t="s">
        <v>245</v>
      </c>
      <c r="BV744" s="2" t="s">
        <v>111</v>
      </c>
      <c r="BW744" s="2"/>
      <c r="BX744" s="2"/>
      <c r="BY744" s="2">
        <v>1200</v>
      </c>
      <c r="BZ744" s="2" t="s">
        <v>27</v>
      </c>
      <c r="CA744" s="2"/>
      <c r="CB744" s="2"/>
      <c r="CC744" s="2" t="s">
        <v>235</v>
      </c>
      <c r="CD744" s="2">
        <v>6220</v>
      </c>
      <c r="CE744" s="2" t="s">
        <v>144</v>
      </c>
      <c r="CF744" s="5">
        <v>42832</v>
      </c>
      <c r="CG744" s="2"/>
      <c r="CH744" s="2"/>
      <c r="CI744" s="2">
        <v>1</v>
      </c>
      <c r="CJ744" s="2">
        <v>1</v>
      </c>
      <c r="CK744" s="2">
        <v>21</v>
      </c>
      <c r="CL744" s="2" t="s">
        <v>86</v>
      </c>
      <c r="CM744" s="2"/>
    </row>
    <row r="745" spans="1:91">
      <c r="A745" s="2" t="s">
        <v>71</v>
      </c>
      <c r="B745" s="2" t="s">
        <v>72</v>
      </c>
      <c r="C745" s="2" t="s">
        <v>73</v>
      </c>
      <c r="D745" s="2"/>
      <c r="E745" s="2" t="str">
        <f>"FES1162542924"</f>
        <v>FES1162542924</v>
      </c>
      <c r="F745" s="3">
        <v>42836</v>
      </c>
      <c r="G745" s="2">
        <v>201710</v>
      </c>
      <c r="H745" s="2" t="s">
        <v>74</v>
      </c>
      <c r="I745" s="2" t="s">
        <v>75</v>
      </c>
      <c r="J745" s="2" t="s">
        <v>76</v>
      </c>
      <c r="K745" s="2" t="s">
        <v>77</v>
      </c>
      <c r="L745" s="2" t="s">
        <v>1032</v>
      </c>
      <c r="M745" s="2" t="s">
        <v>1033</v>
      </c>
      <c r="N745" s="2" t="s">
        <v>1034</v>
      </c>
      <c r="O745" s="2" t="s">
        <v>115</v>
      </c>
      <c r="P745" s="2" t="str">
        <f>"2170559400                    "</f>
        <v xml:space="preserve">2170559400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8.31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1</v>
      </c>
      <c r="BJ745" s="2">
        <v>0.2</v>
      </c>
      <c r="BK745" s="2">
        <v>1</v>
      </c>
      <c r="BL745" s="2">
        <v>80.849999999999994</v>
      </c>
      <c r="BM745" s="2">
        <v>11.32</v>
      </c>
      <c r="BN745" s="2">
        <v>92.17</v>
      </c>
      <c r="BO745" s="2">
        <v>92.17</v>
      </c>
      <c r="BP745" s="2"/>
      <c r="BQ745" s="2" t="s">
        <v>129</v>
      </c>
      <c r="BR745" s="2" t="s">
        <v>123</v>
      </c>
      <c r="BS745" s="3">
        <v>42837</v>
      </c>
      <c r="BT745" s="4">
        <v>0</v>
      </c>
      <c r="BU745" s="2" t="s">
        <v>1267</v>
      </c>
      <c r="BV745" s="2" t="s">
        <v>111</v>
      </c>
      <c r="BW745" s="2"/>
      <c r="BX745" s="2"/>
      <c r="BY745" s="2">
        <v>1200</v>
      </c>
      <c r="BZ745" s="2" t="s">
        <v>27</v>
      </c>
      <c r="CA745" s="2"/>
      <c r="CB745" s="2"/>
      <c r="CC745" s="2" t="s">
        <v>1033</v>
      </c>
      <c r="CD745" s="2">
        <v>5605</v>
      </c>
      <c r="CE745" s="2" t="s">
        <v>118</v>
      </c>
      <c r="CF745" s="5">
        <v>42843</v>
      </c>
      <c r="CG745" s="2"/>
      <c r="CH745" s="2"/>
      <c r="CI745" s="2">
        <v>4</v>
      </c>
      <c r="CJ745" s="2">
        <v>1</v>
      </c>
      <c r="CK745" s="2">
        <v>23</v>
      </c>
      <c r="CL745" s="2" t="s">
        <v>86</v>
      </c>
      <c r="CM745" s="2"/>
    </row>
    <row r="746" spans="1:91">
      <c r="A746" s="2" t="s">
        <v>71</v>
      </c>
      <c r="B746" s="2" t="s">
        <v>72</v>
      </c>
      <c r="C746" s="2" t="s">
        <v>73</v>
      </c>
      <c r="D746" s="2"/>
      <c r="E746" s="2" t="str">
        <f>"FES1162541831"</f>
        <v>FES1162541831</v>
      </c>
      <c r="F746" s="3">
        <v>42830</v>
      </c>
      <c r="G746" s="2">
        <v>201710</v>
      </c>
      <c r="H746" s="2" t="s">
        <v>74</v>
      </c>
      <c r="I746" s="2" t="s">
        <v>75</v>
      </c>
      <c r="J746" s="2" t="s">
        <v>76</v>
      </c>
      <c r="K746" s="2" t="s">
        <v>77</v>
      </c>
      <c r="L746" s="2" t="s">
        <v>180</v>
      </c>
      <c r="M746" s="2" t="s">
        <v>181</v>
      </c>
      <c r="N746" s="2" t="s">
        <v>320</v>
      </c>
      <c r="O746" s="2" t="s">
        <v>115</v>
      </c>
      <c r="P746" s="2" t="str">
        <f>"2170560835                    "</f>
        <v xml:space="preserve">2170560835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4.29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1.6</v>
      </c>
      <c r="BJ746" s="2">
        <v>0.2</v>
      </c>
      <c r="BK746" s="2">
        <v>2</v>
      </c>
      <c r="BL746" s="2">
        <v>41.73</v>
      </c>
      <c r="BM746" s="2">
        <v>5.84</v>
      </c>
      <c r="BN746" s="2">
        <v>47.57</v>
      </c>
      <c r="BO746" s="2">
        <v>47.57</v>
      </c>
      <c r="BP746" s="2"/>
      <c r="BQ746" s="2" t="s">
        <v>129</v>
      </c>
      <c r="BR746" s="2" t="s">
        <v>123</v>
      </c>
      <c r="BS746" s="3">
        <v>42831</v>
      </c>
      <c r="BT746" s="4">
        <v>0.43402777777777773</v>
      </c>
      <c r="BU746" s="2" t="s">
        <v>721</v>
      </c>
      <c r="BV746" s="2" t="s">
        <v>111</v>
      </c>
      <c r="BW746" s="2"/>
      <c r="BX746" s="2"/>
      <c r="BY746" s="2">
        <v>1200</v>
      </c>
      <c r="BZ746" s="2" t="s">
        <v>27</v>
      </c>
      <c r="CA746" s="2"/>
      <c r="CB746" s="2"/>
      <c r="CC746" s="2" t="s">
        <v>181</v>
      </c>
      <c r="CD746" s="2">
        <v>4051</v>
      </c>
      <c r="CE746" s="2" t="s">
        <v>118</v>
      </c>
      <c r="CF746" s="5">
        <v>42832</v>
      </c>
      <c r="CG746" s="2"/>
      <c r="CH746" s="2"/>
      <c r="CI746" s="2">
        <v>1</v>
      </c>
      <c r="CJ746" s="2">
        <v>1</v>
      </c>
      <c r="CK746" s="2">
        <v>21</v>
      </c>
      <c r="CL746" s="2" t="s">
        <v>86</v>
      </c>
      <c r="CM746" s="2"/>
    </row>
    <row r="747" spans="1:91">
      <c r="A747" s="2" t="s">
        <v>71</v>
      </c>
      <c r="B747" s="2" t="s">
        <v>72</v>
      </c>
      <c r="C747" s="2" t="s">
        <v>73</v>
      </c>
      <c r="D747" s="2"/>
      <c r="E747" s="2" t="str">
        <f>"FES1162541782"</f>
        <v>FES1162541782</v>
      </c>
      <c r="F747" s="3">
        <v>42830</v>
      </c>
      <c r="G747" s="2">
        <v>201710</v>
      </c>
      <c r="H747" s="2" t="s">
        <v>74</v>
      </c>
      <c r="I747" s="2" t="s">
        <v>75</v>
      </c>
      <c r="J747" s="2" t="s">
        <v>76</v>
      </c>
      <c r="K747" s="2" t="s">
        <v>77</v>
      </c>
      <c r="L747" s="2" t="s">
        <v>358</v>
      </c>
      <c r="M747" s="2" t="s">
        <v>359</v>
      </c>
      <c r="N747" s="2" t="s">
        <v>1329</v>
      </c>
      <c r="O747" s="2" t="s">
        <v>115</v>
      </c>
      <c r="P747" s="2" t="str">
        <f>"2170560792                    "</f>
        <v xml:space="preserve">2170560792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4.29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1</v>
      </c>
      <c r="BJ747" s="2">
        <v>0.2</v>
      </c>
      <c r="BK747" s="2">
        <v>1</v>
      </c>
      <c r="BL747" s="2">
        <v>41.73</v>
      </c>
      <c r="BM747" s="2">
        <v>5.84</v>
      </c>
      <c r="BN747" s="2">
        <v>47.57</v>
      </c>
      <c r="BO747" s="2">
        <v>47.57</v>
      </c>
      <c r="BP747" s="2"/>
      <c r="BQ747" s="2"/>
      <c r="BR747" s="2" t="s">
        <v>123</v>
      </c>
      <c r="BS747" s="3">
        <v>42831</v>
      </c>
      <c r="BT747" s="4">
        <v>0.37361111111111112</v>
      </c>
      <c r="BU747" s="2" t="s">
        <v>1330</v>
      </c>
      <c r="BV747" s="2" t="s">
        <v>111</v>
      </c>
      <c r="BW747" s="2"/>
      <c r="BX747" s="2"/>
      <c r="BY747" s="2">
        <v>1200</v>
      </c>
      <c r="BZ747" s="2" t="s">
        <v>27</v>
      </c>
      <c r="CA747" s="2"/>
      <c r="CB747" s="2"/>
      <c r="CC747" s="2" t="s">
        <v>359</v>
      </c>
      <c r="CD747" s="2">
        <v>6229</v>
      </c>
      <c r="CE747" s="2" t="s">
        <v>144</v>
      </c>
      <c r="CF747" s="5">
        <v>42832</v>
      </c>
      <c r="CG747" s="2"/>
      <c r="CH747" s="2"/>
      <c r="CI747" s="2">
        <v>1</v>
      </c>
      <c r="CJ747" s="2">
        <v>1</v>
      </c>
      <c r="CK747" s="2">
        <v>21</v>
      </c>
      <c r="CL747" s="2" t="s">
        <v>86</v>
      </c>
      <c r="CM747" s="2"/>
    </row>
    <row r="748" spans="1:91">
      <c r="A748" s="2" t="s">
        <v>71</v>
      </c>
      <c r="B748" s="2" t="s">
        <v>72</v>
      </c>
      <c r="C748" s="2" t="s">
        <v>73</v>
      </c>
      <c r="D748" s="2"/>
      <c r="E748" s="2" t="str">
        <f>"FES1162543163"</f>
        <v>FES1162543163</v>
      </c>
      <c r="F748" s="3">
        <v>42837</v>
      </c>
      <c r="G748" s="2">
        <v>201710</v>
      </c>
      <c r="H748" s="2" t="s">
        <v>74</v>
      </c>
      <c r="I748" s="2" t="s">
        <v>75</v>
      </c>
      <c r="J748" s="2" t="s">
        <v>76</v>
      </c>
      <c r="K748" s="2" t="s">
        <v>77</v>
      </c>
      <c r="L748" s="2" t="s">
        <v>358</v>
      </c>
      <c r="M748" s="2" t="s">
        <v>359</v>
      </c>
      <c r="N748" s="2" t="s">
        <v>360</v>
      </c>
      <c r="O748" s="2" t="s">
        <v>115</v>
      </c>
      <c r="P748" s="2" t="str">
        <f>"2170557784                    "</f>
        <v xml:space="preserve">2170557784 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17.149999999999999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8</v>
      </c>
      <c r="BJ748" s="2">
        <v>4.9000000000000004</v>
      </c>
      <c r="BK748" s="2">
        <v>8</v>
      </c>
      <c r="BL748" s="2">
        <v>166.91</v>
      </c>
      <c r="BM748" s="2">
        <v>23.37</v>
      </c>
      <c r="BN748" s="2">
        <v>190.28</v>
      </c>
      <c r="BO748" s="2">
        <v>190.28</v>
      </c>
      <c r="BP748" s="2"/>
      <c r="BQ748" s="2" t="s">
        <v>361</v>
      </c>
      <c r="BR748" s="2" t="s">
        <v>84</v>
      </c>
      <c r="BS748" s="3">
        <v>42838</v>
      </c>
      <c r="BT748" s="4">
        <v>0.33333333333333331</v>
      </c>
      <c r="BU748" s="2" t="s">
        <v>362</v>
      </c>
      <c r="BV748" s="2" t="s">
        <v>111</v>
      </c>
      <c r="BW748" s="2"/>
      <c r="BX748" s="2"/>
      <c r="BY748" s="2">
        <v>24336</v>
      </c>
      <c r="BZ748" s="2" t="s">
        <v>27</v>
      </c>
      <c r="CA748" s="2" t="s">
        <v>159</v>
      </c>
      <c r="CB748" s="2"/>
      <c r="CC748" s="2" t="s">
        <v>359</v>
      </c>
      <c r="CD748" s="2">
        <v>6229</v>
      </c>
      <c r="CE748" s="2" t="s">
        <v>89</v>
      </c>
      <c r="CF748" s="5">
        <v>42843</v>
      </c>
      <c r="CG748" s="2"/>
      <c r="CH748" s="2"/>
      <c r="CI748" s="2">
        <v>1</v>
      </c>
      <c r="CJ748" s="2">
        <v>1</v>
      </c>
      <c r="CK748" s="2">
        <v>21</v>
      </c>
      <c r="CL748" s="2" t="s">
        <v>86</v>
      </c>
      <c r="CM748" s="2"/>
    </row>
    <row r="749" spans="1:91">
      <c r="A749" s="2" t="s">
        <v>71</v>
      </c>
      <c r="B749" s="2" t="s">
        <v>72</v>
      </c>
      <c r="C749" s="2" t="s">
        <v>73</v>
      </c>
      <c r="D749" s="2"/>
      <c r="E749" s="2" t="str">
        <f>"FES1162541918"</f>
        <v>FES1162541918</v>
      </c>
      <c r="F749" s="3">
        <v>42831</v>
      </c>
      <c r="G749" s="2">
        <v>201710</v>
      </c>
      <c r="H749" s="2" t="s">
        <v>74</v>
      </c>
      <c r="I749" s="2" t="s">
        <v>75</v>
      </c>
      <c r="J749" s="2" t="s">
        <v>76</v>
      </c>
      <c r="K749" s="2" t="s">
        <v>77</v>
      </c>
      <c r="L749" s="2" t="s">
        <v>91</v>
      </c>
      <c r="M749" s="2" t="s">
        <v>92</v>
      </c>
      <c r="N749" s="2" t="s">
        <v>356</v>
      </c>
      <c r="O749" s="2" t="s">
        <v>115</v>
      </c>
      <c r="P749" s="2" t="str">
        <f>"2170560890                    "</f>
        <v xml:space="preserve">2170560890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3.35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1</v>
      </c>
      <c r="BJ749" s="2">
        <v>0.2</v>
      </c>
      <c r="BK749" s="2">
        <v>1</v>
      </c>
      <c r="BL749" s="2">
        <v>32.6</v>
      </c>
      <c r="BM749" s="2">
        <v>4.5599999999999996</v>
      </c>
      <c r="BN749" s="2">
        <v>37.159999999999997</v>
      </c>
      <c r="BO749" s="2">
        <v>37.159999999999997</v>
      </c>
      <c r="BP749" s="2"/>
      <c r="BQ749" s="2" t="s">
        <v>122</v>
      </c>
      <c r="BR749" s="2" t="s">
        <v>123</v>
      </c>
      <c r="BS749" s="3">
        <v>42832</v>
      </c>
      <c r="BT749" s="4">
        <v>0.41666666666666669</v>
      </c>
      <c r="BU749" s="2" t="s">
        <v>357</v>
      </c>
      <c r="BV749" s="2" t="s">
        <v>111</v>
      </c>
      <c r="BW749" s="2"/>
      <c r="BX749" s="2"/>
      <c r="BY749" s="2">
        <v>1200</v>
      </c>
      <c r="BZ749" s="2" t="s">
        <v>27</v>
      </c>
      <c r="CA749" s="2"/>
      <c r="CB749" s="2"/>
      <c r="CC749" s="2" t="s">
        <v>92</v>
      </c>
      <c r="CD749" s="2">
        <v>1422</v>
      </c>
      <c r="CE749" s="2" t="s">
        <v>118</v>
      </c>
      <c r="CF749" s="5">
        <v>42835</v>
      </c>
      <c r="CG749" s="2"/>
      <c r="CH749" s="2"/>
      <c r="CI749" s="2">
        <v>1</v>
      </c>
      <c r="CJ749" s="2">
        <v>1</v>
      </c>
      <c r="CK749" s="2">
        <v>22</v>
      </c>
      <c r="CL749" s="2" t="s">
        <v>86</v>
      </c>
      <c r="CM749" s="2"/>
    </row>
    <row r="750" spans="1:91">
      <c r="A750" s="2" t="s">
        <v>71</v>
      </c>
      <c r="B750" s="2" t="s">
        <v>72</v>
      </c>
      <c r="C750" s="2" t="s">
        <v>73</v>
      </c>
      <c r="D750" s="2"/>
      <c r="E750" s="2" t="str">
        <f>"FES1162541298"</f>
        <v>FES1162541298</v>
      </c>
      <c r="F750" s="3">
        <v>42829</v>
      </c>
      <c r="G750" s="2">
        <v>201710</v>
      </c>
      <c r="H750" s="2" t="s">
        <v>74</v>
      </c>
      <c r="I750" s="2" t="s">
        <v>75</v>
      </c>
      <c r="J750" s="2" t="s">
        <v>76</v>
      </c>
      <c r="K750" s="2" t="s">
        <v>77</v>
      </c>
      <c r="L750" s="2" t="s">
        <v>166</v>
      </c>
      <c r="M750" s="2" t="s">
        <v>167</v>
      </c>
      <c r="N750" s="2" t="s">
        <v>168</v>
      </c>
      <c r="O750" s="2" t="s">
        <v>115</v>
      </c>
      <c r="P750" s="2" t="str">
        <f>"2170560366                    "</f>
        <v xml:space="preserve">2170560366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3.45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1</v>
      </c>
      <c r="BJ750" s="2">
        <v>0.2</v>
      </c>
      <c r="BK750" s="2">
        <v>1</v>
      </c>
      <c r="BL750" s="2">
        <v>32.700000000000003</v>
      </c>
      <c r="BM750" s="2">
        <v>4.58</v>
      </c>
      <c r="BN750" s="2">
        <v>37.28</v>
      </c>
      <c r="BO750" s="2">
        <v>37.28</v>
      </c>
      <c r="BP750" s="2"/>
      <c r="BQ750" s="2" t="s">
        <v>169</v>
      </c>
      <c r="BR750" s="2" t="s">
        <v>123</v>
      </c>
      <c r="BS750" s="3">
        <v>42830</v>
      </c>
      <c r="BT750" s="4">
        <v>0.42777777777777781</v>
      </c>
      <c r="BU750" s="2" t="s">
        <v>198</v>
      </c>
      <c r="BV750" s="2" t="s">
        <v>111</v>
      </c>
      <c r="BW750" s="2"/>
      <c r="BX750" s="2"/>
      <c r="BY750" s="2">
        <v>1200</v>
      </c>
      <c r="BZ750" s="2" t="s">
        <v>27</v>
      </c>
      <c r="CA750" s="2" t="s">
        <v>171</v>
      </c>
      <c r="CB750" s="2"/>
      <c r="CC750" s="2" t="s">
        <v>167</v>
      </c>
      <c r="CD750" s="2">
        <v>2094</v>
      </c>
      <c r="CE750" s="2" t="s">
        <v>118</v>
      </c>
      <c r="CF750" s="5">
        <v>42830</v>
      </c>
      <c r="CG750" s="2"/>
      <c r="CH750" s="2"/>
      <c r="CI750" s="2">
        <v>1</v>
      </c>
      <c r="CJ750" s="2">
        <v>1</v>
      </c>
      <c r="CK750" s="2">
        <v>22</v>
      </c>
      <c r="CL750" s="2" t="s">
        <v>86</v>
      </c>
      <c r="CM750" s="2"/>
    </row>
    <row r="751" spans="1:91">
      <c r="A751" s="2" t="s">
        <v>71</v>
      </c>
      <c r="B751" s="2" t="s">
        <v>72</v>
      </c>
      <c r="C751" s="2" t="s">
        <v>73</v>
      </c>
      <c r="D751" s="2"/>
      <c r="E751" s="2" t="str">
        <f>"FES1162542978"</f>
        <v>FES1162542978</v>
      </c>
      <c r="F751" s="3">
        <v>42836</v>
      </c>
      <c r="G751" s="2">
        <v>201710</v>
      </c>
      <c r="H751" s="2" t="s">
        <v>74</v>
      </c>
      <c r="I751" s="2" t="s">
        <v>75</v>
      </c>
      <c r="J751" s="2" t="s">
        <v>76</v>
      </c>
      <c r="K751" s="2" t="s">
        <v>77</v>
      </c>
      <c r="L751" s="2" t="s">
        <v>900</v>
      </c>
      <c r="M751" s="2" t="s">
        <v>901</v>
      </c>
      <c r="N751" s="2" t="s">
        <v>902</v>
      </c>
      <c r="O751" s="2" t="s">
        <v>115</v>
      </c>
      <c r="P751" s="2" t="str">
        <f>"2170560920                    "</f>
        <v xml:space="preserve">2170560920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4.29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1</v>
      </c>
      <c r="BJ751" s="2">
        <v>0.2</v>
      </c>
      <c r="BK751" s="2">
        <v>1</v>
      </c>
      <c r="BL751" s="2">
        <v>41.73</v>
      </c>
      <c r="BM751" s="2">
        <v>5.84</v>
      </c>
      <c r="BN751" s="2">
        <v>47.57</v>
      </c>
      <c r="BO751" s="2">
        <v>47.57</v>
      </c>
      <c r="BP751" s="2"/>
      <c r="BQ751" s="2" t="s">
        <v>903</v>
      </c>
      <c r="BR751" s="2" t="s">
        <v>123</v>
      </c>
      <c r="BS751" s="3">
        <v>42837</v>
      </c>
      <c r="BT751" s="4">
        <v>0.4375</v>
      </c>
      <c r="BU751" s="2" t="s">
        <v>767</v>
      </c>
      <c r="BV751" s="2" t="s">
        <v>111</v>
      </c>
      <c r="BW751" s="2"/>
      <c r="BX751" s="2"/>
      <c r="BY751" s="2">
        <v>1200</v>
      </c>
      <c r="BZ751" s="2" t="s">
        <v>27</v>
      </c>
      <c r="CA751" s="2"/>
      <c r="CB751" s="2"/>
      <c r="CC751" s="2" t="s">
        <v>901</v>
      </c>
      <c r="CD751" s="2">
        <v>4026</v>
      </c>
      <c r="CE751" s="2" t="s">
        <v>144</v>
      </c>
      <c r="CF751" s="5">
        <v>42843</v>
      </c>
      <c r="CG751" s="2"/>
      <c r="CH751" s="2"/>
      <c r="CI751" s="2">
        <v>1</v>
      </c>
      <c r="CJ751" s="2">
        <v>1</v>
      </c>
      <c r="CK751" s="2">
        <v>21</v>
      </c>
      <c r="CL751" s="2" t="s">
        <v>86</v>
      </c>
      <c r="CM751" s="2"/>
    </row>
    <row r="752" spans="1:91">
      <c r="A752" s="2" t="s">
        <v>71</v>
      </c>
      <c r="B752" s="2" t="s">
        <v>72</v>
      </c>
      <c r="C752" s="2" t="s">
        <v>73</v>
      </c>
      <c r="D752" s="2"/>
      <c r="E752" s="2" t="str">
        <f>"FES1162541696"</f>
        <v>FES1162541696</v>
      </c>
      <c r="F752" s="3">
        <v>42830</v>
      </c>
      <c r="G752" s="2">
        <v>201710</v>
      </c>
      <c r="H752" s="2" t="s">
        <v>74</v>
      </c>
      <c r="I752" s="2" t="s">
        <v>75</v>
      </c>
      <c r="J752" s="2" t="s">
        <v>76</v>
      </c>
      <c r="K752" s="2" t="s">
        <v>77</v>
      </c>
      <c r="L752" s="2" t="s">
        <v>322</v>
      </c>
      <c r="M752" s="2" t="s">
        <v>323</v>
      </c>
      <c r="N752" s="2" t="s">
        <v>947</v>
      </c>
      <c r="O752" s="2" t="s">
        <v>115</v>
      </c>
      <c r="P752" s="2" t="str">
        <f>"2170560602                    "</f>
        <v xml:space="preserve">2170560602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3.35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1</v>
      </c>
      <c r="BJ752" s="2">
        <v>0.2</v>
      </c>
      <c r="BK752" s="2">
        <v>1</v>
      </c>
      <c r="BL752" s="2">
        <v>32.6</v>
      </c>
      <c r="BM752" s="2">
        <v>4.5599999999999996</v>
      </c>
      <c r="BN752" s="2">
        <v>37.159999999999997</v>
      </c>
      <c r="BO752" s="2">
        <v>37.159999999999997</v>
      </c>
      <c r="BP752" s="2"/>
      <c r="BQ752" s="2" t="s">
        <v>948</v>
      </c>
      <c r="BR752" s="2" t="s">
        <v>123</v>
      </c>
      <c r="BS752" s="3">
        <v>42831</v>
      </c>
      <c r="BT752" s="4">
        <v>0.3125</v>
      </c>
      <c r="BU752" s="2" t="s">
        <v>949</v>
      </c>
      <c r="BV752" s="2" t="s">
        <v>111</v>
      </c>
      <c r="BW752" s="2"/>
      <c r="BX752" s="2"/>
      <c r="BY752" s="2">
        <v>1200</v>
      </c>
      <c r="BZ752" s="2" t="s">
        <v>27</v>
      </c>
      <c r="CA752" s="2" t="s">
        <v>159</v>
      </c>
      <c r="CB752" s="2"/>
      <c r="CC752" s="2" t="s">
        <v>323</v>
      </c>
      <c r="CD752" s="2">
        <v>1682</v>
      </c>
      <c r="CE752" s="2" t="s">
        <v>118</v>
      </c>
      <c r="CF752" s="5">
        <v>42832</v>
      </c>
      <c r="CG752" s="2"/>
      <c r="CH752" s="2"/>
      <c r="CI752" s="2">
        <v>1</v>
      </c>
      <c r="CJ752" s="2">
        <v>1</v>
      </c>
      <c r="CK752" s="2">
        <v>22</v>
      </c>
      <c r="CL752" s="2" t="s">
        <v>86</v>
      </c>
      <c r="CM752" s="2"/>
    </row>
    <row r="753" spans="1:91">
      <c r="A753" s="2" t="s">
        <v>71</v>
      </c>
      <c r="B753" s="2" t="s">
        <v>72</v>
      </c>
      <c r="C753" s="2" t="s">
        <v>73</v>
      </c>
      <c r="D753" s="2"/>
      <c r="E753" s="2" t="str">
        <f>"FES1162541614"</f>
        <v>FES1162541614</v>
      </c>
      <c r="F753" s="3">
        <v>42830</v>
      </c>
      <c r="G753" s="2">
        <v>201710</v>
      </c>
      <c r="H753" s="2" t="s">
        <v>74</v>
      </c>
      <c r="I753" s="2" t="s">
        <v>75</v>
      </c>
      <c r="J753" s="2" t="s">
        <v>76</v>
      </c>
      <c r="K753" s="2" t="s">
        <v>77</v>
      </c>
      <c r="L753" s="2" t="s">
        <v>396</v>
      </c>
      <c r="M753" s="2" t="s">
        <v>397</v>
      </c>
      <c r="N753" s="2" t="s">
        <v>500</v>
      </c>
      <c r="O753" s="2" t="s">
        <v>115</v>
      </c>
      <c r="P753" s="2" t="str">
        <f>"2170557893                    "</f>
        <v xml:space="preserve">2170557893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13.93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2</v>
      </c>
      <c r="BI753" s="2">
        <v>6.5</v>
      </c>
      <c r="BJ753" s="2">
        <v>4.7</v>
      </c>
      <c r="BK753" s="2">
        <v>6.5</v>
      </c>
      <c r="BL753" s="2">
        <v>135.61000000000001</v>
      </c>
      <c r="BM753" s="2">
        <v>18.989999999999998</v>
      </c>
      <c r="BN753" s="2">
        <v>154.6</v>
      </c>
      <c r="BO753" s="2">
        <v>154.6</v>
      </c>
      <c r="BP753" s="2"/>
      <c r="BQ753" s="2" t="s">
        <v>501</v>
      </c>
      <c r="BR753" s="2" t="s">
        <v>123</v>
      </c>
      <c r="BS753" s="3">
        <v>42831</v>
      </c>
      <c r="BT753" s="4">
        <v>0.4375</v>
      </c>
      <c r="BU753" s="2" t="s">
        <v>1331</v>
      </c>
      <c r="BV753" s="2" t="s">
        <v>111</v>
      </c>
      <c r="BW753" s="2"/>
      <c r="BX753" s="2"/>
      <c r="BY753" s="2">
        <v>23530.83</v>
      </c>
      <c r="BZ753" s="2" t="s">
        <v>27</v>
      </c>
      <c r="CA753" s="2"/>
      <c r="CB753" s="2"/>
      <c r="CC753" s="2" t="s">
        <v>397</v>
      </c>
      <c r="CD753" s="2">
        <v>4302</v>
      </c>
      <c r="CE753" s="2" t="s">
        <v>1232</v>
      </c>
      <c r="CF753" s="5">
        <v>42832</v>
      </c>
      <c r="CG753" s="2"/>
      <c r="CH753" s="2"/>
      <c r="CI753" s="2">
        <v>1</v>
      </c>
      <c r="CJ753" s="2">
        <v>1</v>
      </c>
      <c r="CK753" s="2">
        <v>21</v>
      </c>
      <c r="CL753" s="2" t="s">
        <v>86</v>
      </c>
      <c r="CM753" s="2"/>
    </row>
    <row r="754" spans="1:91">
      <c r="A754" s="2" t="s">
        <v>71</v>
      </c>
      <c r="B754" s="2" t="s">
        <v>72</v>
      </c>
      <c r="C754" s="2" t="s">
        <v>73</v>
      </c>
      <c r="D754" s="2"/>
      <c r="E754" s="2" t="str">
        <f>"FES1162543257"</f>
        <v>FES1162543257</v>
      </c>
      <c r="F754" s="3">
        <v>42837</v>
      </c>
      <c r="G754" s="2">
        <v>201710</v>
      </c>
      <c r="H754" s="2" t="s">
        <v>74</v>
      </c>
      <c r="I754" s="2" t="s">
        <v>75</v>
      </c>
      <c r="J754" s="2" t="s">
        <v>76</v>
      </c>
      <c r="K754" s="2" t="s">
        <v>77</v>
      </c>
      <c r="L754" s="2" t="s">
        <v>131</v>
      </c>
      <c r="M754" s="2" t="s">
        <v>132</v>
      </c>
      <c r="N754" s="2" t="s">
        <v>677</v>
      </c>
      <c r="O754" s="2" t="s">
        <v>115</v>
      </c>
      <c r="P754" s="2" t="str">
        <f>"2170559430                    "</f>
        <v xml:space="preserve">2170559430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7.5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2.2999999999999998</v>
      </c>
      <c r="BJ754" s="2">
        <v>3.4</v>
      </c>
      <c r="BK754" s="2">
        <v>3.5</v>
      </c>
      <c r="BL754" s="2">
        <v>73.02</v>
      </c>
      <c r="BM754" s="2">
        <v>10.220000000000001</v>
      </c>
      <c r="BN754" s="2">
        <v>83.24</v>
      </c>
      <c r="BO754" s="2">
        <v>83.24</v>
      </c>
      <c r="BP754" s="2"/>
      <c r="BQ754" s="2" t="s">
        <v>678</v>
      </c>
      <c r="BR754" s="2" t="s">
        <v>84</v>
      </c>
      <c r="BS754" s="3">
        <v>42838</v>
      </c>
      <c r="BT754" s="4">
        <v>0.40972222222222227</v>
      </c>
      <c r="BU754" s="2" t="s">
        <v>1332</v>
      </c>
      <c r="BV754" s="2" t="s">
        <v>111</v>
      </c>
      <c r="BW754" s="2"/>
      <c r="BX754" s="2"/>
      <c r="BY754" s="2">
        <v>16890.3</v>
      </c>
      <c r="BZ754" s="2" t="s">
        <v>27</v>
      </c>
      <c r="CA754" s="2"/>
      <c r="CB754" s="2"/>
      <c r="CC754" s="2" t="s">
        <v>132</v>
      </c>
      <c r="CD754" s="2">
        <v>7800</v>
      </c>
      <c r="CE754" s="2" t="s">
        <v>89</v>
      </c>
      <c r="CF754" s="5">
        <v>42843</v>
      </c>
      <c r="CG754" s="2"/>
      <c r="CH754" s="2"/>
      <c r="CI754" s="2">
        <v>1</v>
      </c>
      <c r="CJ754" s="2">
        <v>1</v>
      </c>
      <c r="CK754" s="2">
        <v>21</v>
      </c>
      <c r="CL754" s="2" t="s">
        <v>86</v>
      </c>
      <c r="CM754" s="2"/>
    </row>
    <row r="755" spans="1:91">
      <c r="A755" s="2" t="s">
        <v>71</v>
      </c>
      <c r="B755" s="2" t="s">
        <v>72</v>
      </c>
      <c r="C755" s="2" t="s">
        <v>73</v>
      </c>
      <c r="D755" s="2"/>
      <c r="E755" s="2" t="str">
        <f>"FES1162542167"</f>
        <v>FES1162542167</v>
      </c>
      <c r="F755" s="3">
        <v>42831</v>
      </c>
      <c r="G755" s="2">
        <v>201710</v>
      </c>
      <c r="H755" s="2" t="s">
        <v>74</v>
      </c>
      <c r="I755" s="2" t="s">
        <v>75</v>
      </c>
      <c r="J755" s="2" t="s">
        <v>76</v>
      </c>
      <c r="K755" s="2" t="s">
        <v>77</v>
      </c>
      <c r="L755" s="2" t="s">
        <v>1333</v>
      </c>
      <c r="M755" s="2" t="s">
        <v>1334</v>
      </c>
      <c r="N755" s="2" t="s">
        <v>1335</v>
      </c>
      <c r="O755" s="2" t="s">
        <v>115</v>
      </c>
      <c r="P755" s="2" t="str">
        <f>"2170561068                    "</f>
        <v xml:space="preserve">2170561068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8.31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2</v>
      </c>
      <c r="BJ755" s="2">
        <v>1</v>
      </c>
      <c r="BK755" s="2">
        <v>2</v>
      </c>
      <c r="BL755" s="2">
        <v>80.849999999999994</v>
      </c>
      <c r="BM755" s="2">
        <v>11.32</v>
      </c>
      <c r="BN755" s="2">
        <v>92.17</v>
      </c>
      <c r="BO755" s="2">
        <v>92.17</v>
      </c>
      <c r="BP755" s="2"/>
      <c r="BQ755" s="2" t="s">
        <v>116</v>
      </c>
      <c r="BR755" s="2" t="s">
        <v>123</v>
      </c>
      <c r="BS755" s="3">
        <v>42832</v>
      </c>
      <c r="BT755" s="4">
        <v>0.54166666666666663</v>
      </c>
      <c r="BU755" s="2" t="s">
        <v>266</v>
      </c>
      <c r="BV755" s="2" t="s">
        <v>111</v>
      </c>
      <c r="BW755" s="2"/>
      <c r="BX755" s="2"/>
      <c r="BY755" s="2">
        <v>4981.25</v>
      </c>
      <c r="BZ755" s="2" t="s">
        <v>27</v>
      </c>
      <c r="CA755" s="2"/>
      <c r="CB755" s="2"/>
      <c r="CC755" s="2" t="s">
        <v>1334</v>
      </c>
      <c r="CD755" s="2">
        <v>4449</v>
      </c>
      <c r="CE755" s="2" t="s">
        <v>135</v>
      </c>
      <c r="CF755" s="5">
        <v>42835</v>
      </c>
      <c r="CG755" s="2"/>
      <c r="CH755" s="2"/>
      <c r="CI755" s="2">
        <v>1</v>
      </c>
      <c r="CJ755" s="2">
        <v>1</v>
      </c>
      <c r="CK755" s="2">
        <v>23</v>
      </c>
      <c r="CL755" s="2" t="s">
        <v>86</v>
      </c>
      <c r="CM755" s="2"/>
    </row>
    <row r="756" spans="1:91">
      <c r="A756" s="2" t="s">
        <v>71</v>
      </c>
      <c r="B756" s="2" t="s">
        <v>72</v>
      </c>
      <c r="C756" s="2" t="s">
        <v>73</v>
      </c>
      <c r="D756" s="2"/>
      <c r="E756" s="2" t="str">
        <f>"FES1162541319"</f>
        <v>FES1162541319</v>
      </c>
      <c r="F756" s="3">
        <v>42829</v>
      </c>
      <c r="G756" s="2">
        <v>201710</v>
      </c>
      <c r="H756" s="2" t="s">
        <v>74</v>
      </c>
      <c r="I756" s="2" t="s">
        <v>75</v>
      </c>
      <c r="J756" s="2" t="s">
        <v>76</v>
      </c>
      <c r="K756" s="2" t="s">
        <v>77</v>
      </c>
      <c r="L756" s="2" t="s">
        <v>166</v>
      </c>
      <c r="M756" s="2" t="s">
        <v>167</v>
      </c>
      <c r="N756" s="2" t="s">
        <v>168</v>
      </c>
      <c r="O756" s="2" t="s">
        <v>115</v>
      </c>
      <c r="P756" s="2" t="str">
        <f>"2170560394                    "</f>
        <v xml:space="preserve">2170560394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3.45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</v>
      </c>
      <c r="BJ756" s="2">
        <v>0.2</v>
      </c>
      <c r="BK756" s="2">
        <v>1</v>
      </c>
      <c r="BL756" s="2">
        <v>32.700000000000003</v>
      </c>
      <c r="BM756" s="2">
        <v>4.58</v>
      </c>
      <c r="BN756" s="2">
        <v>37.28</v>
      </c>
      <c r="BO756" s="2">
        <v>37.28</v>
      </c>
      <c r="BP756" s="2"/>
      <c r="BQ756" s="2" t="s">
        <v>169</v>
      </c>
      <c r="BR756" s="2" t="s">
        <v>123</v>
      </c>
      <c r="BS756" s="3">
        <v>42830</v>
      </c>
      <c r="BT756" s="4">
        <v>0.42777777777777781</v>
      </c>
      <c r="BU756" s="2" t="s">
        <v>198</v>
      </c>
      <c r="BV756" s="2" t="s">
        <v>111</v>
      </c>
      <c r="BW756" s="2"/>
      <c r="BX756" s="2"/>
      <c r="BY756" s="2">
        <v>1200</v>
      </c>
      <c r="BZ756" s="2" t="s">
        <v>27</v>
      </c>
      <c r="CA756" s="2" t="s">
        <v>171</v>
      </c>
      <c r="CB756" s="2"/>
      <c r="CC756" s="2" t="s">
        <v>167</v>
      </c>
      <c r="CD756" s="2">
        <v>2094</v>
      </c>
      <c r="CE756" s="2" t="s">
        <v>118</v>
      </c>
      <c r="CF756" s="5">
        <v>42830</v>
      </c>
      <c r="CG756" s="2"/>
      <c r="CH756" s="2"/>
      <c r="CI756" s="2">
        <v>1</v>
      </c>
      <c r="CJ756" s="2">
        <v>1</v>
      </c>
      <c r="CK756" s="2">
        <v>22</v>
      </c>
      <c r="CL756" s="2" t="s">
        <v>86</v>
      </c>
      <c r="CM756" s="2"/>
    </row>
    <row r="757" spans="1:91">
      <c r="A757" s="2" t="s">
        <v>71</v>
      </c>
      <c r="B757" s="2" t="s">
        <v>72</v>
      </c>
      <c r="C757" s="2" t="s">
        <v>73</v>
      </c>
      <c r="D757" s="2"/>
      <c r="E757" s="2" t="str">
        <f>"FES1162542981"</f>
        <v>FES1162542981</v>
      </c>
      <c r="F757" s="3">
        <v>42836</v>
      </c>
      <c r="G757" s="2">
        <v>201710</v>
      </c>
      <c r="H757" s="2" t="s">
        <v>74</v>
      </c>
      <c r="I757" s="2" t="s">
        <v>75</v>
      </c>
      <c r="J757" s="2" t="s">
        <v>76</v>
      </c>
      <c r="K757" s="2" t="s">
        <v>77</v>
      </c>
      <c r="L757" s="2" t="s">
        <v>180</v>
      </c>
      <c r="M757" s="2" t="s">
        <v>181</v>
      </c>
      <c r="N757" s="2" t="s">
        <v>80</v>
      </c>
      <c r="O757" s="2" t="s">
        <v>115</v>
      </c>
      <c r="P757" s="2" t="str">
        <f>"2170561766                    "</f>
        <v xml:space="preserve">2170561766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4.29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1</v>
      </c>
      <c r="BJ757" s="2">
        <v>0.2</v>
      </c>
      <c r="BK757" s="2">
        <v>1</v>
      </c>
      <c r="BL757" s="2">
        <v>41.73</v>
      </c>
      <c r="BM757" s="2">
        <v>5.84</v>
      </c>
      <c r="BN757" s="2">
        <v>47.57</v>
      </c>
      <c r="BO757" s="2">
        <v>47.57</v>
      </c>
      <c r="BP757" s="2"/>
      <c r="BQ757" s="2" t="s">
        <v>122</v>
      </c>
      <c r="BR757" s="2" t="s">
        <v>123</v>
      </c>
      <c r="BS757" s="3">
        <v>42837</v>
      </c>
      <c r="BT757" s="4">
        <v>0.4375</v>
      </c>
      <c r="BU757" s="2" t="s">
        <v>1336</v>
      </c>
      <c r="BV757" s="2" t="s">
        <v>111</v>
      </c>
      <c r="BW757" s="2"/>
      <c r="BX757" s="2"/>
      <c r="BY757" s="2">
        <v>1200</v>
      </c>
      <c r="BZ757" s="2" t="s">
        <v>27</v>
      </c>
      <c r="CA757" s="2" t="s">
        <v>159</v>
      </c>
      <c r="CB757" s="2"/>
      <c r="CC757" s="2" t="s">
        <v>181</v>
      </c>
      <c r="CD757" s="2">
        <v>4052</v>
      </c>
      <c r="CE757" s="2" t="s">
        <v>144</v>
      </c>
      <c r="CF757" s="5">
        <v>42843</v>
      </c>
      <c r="CG757" s="2"/>
      <c r="CH757" s="2"/>
      <c r="CI757" s="2">
        <v>1</v>
      </c>
      <c r="CJ757" s="2">
        <v>1</v>
      </c>
      <c r="CK757" s="2">
        <v>21</v>
      </c>
      <c r="CL757" s="2" t="s">
        <v>86</v>
      </c>
      <c r="CM757" s="2"/>
    </row>
    <row r="758" spans="1:91">
      <c r="A758" s="2" t="s">
        <v>71</v>
      </c>
      <c r="B758" s="2" t="s">
        <v>72</v>
      </c>
      <c r="C758" s="2" t="s">
        <v>73</v>
      </c>
      <c r="D758" s="2"/>
      <c r="E758" s="2" t="str">
        <f>"FES1162541810"</f>
        <v>FES1162541810</v>
      </c>
      <c r="F758" s="3">
        <v>42830</v>
      </c>
      <c r="G758" s="2">
        <v>201710</v>
      </c>
      <c r="H758" s="2" t="s">
        <v>74</v>
      </c>
      <c r="I758" s="2" t="s">
        <v>75</v>
      </c>
      <c r="J758" s="2" t="s">
        <v>76</v>
      </c>
      <c r="K758" s="2" t="s">
        <v>77</v>
      </c>
      <c r="L758" s="2" t="s">
        <v>166</v>
      </c>
      <c r="M758" s="2" t="s">
        <v>167</v>
      </c>
      <c r="N758" s="2" t="s">
        <v>942</v>
      </c>
      <c r="O758" s="2" t="s">
        <v>115</v>
      </c>
      <c r="P758" s="2" t="str">
        <f>"2170560821                    "</f>
        <v xml:space="preserve">2170560821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3.35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32.6</v>
      </c>
      <c r="BM758" s="2">
        <v>4.5599999999999996</v>
      </c>
      <c r="BN758" s="2">
        <v>37.159999999999997</v>
      </c>
      <c r="BO758" s="2">
        <v>37.159999999999997</v>
      </c>
      <c r="BP758" s="2"/>
      <c r="BQ758" s="2" t="s">
        <v>943</v>
      </c>
      <c r="BR758" s="2" t="s">
        <v>123</v>
      </c>
      <c r="BS758" s="3">
        <v>42831</v>
      </c>
      <c r="BT758" s="4">
        <v>0.41597222222222219</v>
      </c>
      <c r="BU758" s="2" t="s">
        <v>1337</v>
      </c>
      <c r="BV758" s="2" t="s">
        <v>111</v>
      </c>
      <c r="BW758" s="2"/>
      <c r="BX758" s="2"/>
      <c r="BY758" s="2">
        <v>1200</v>
      </c>
      <c r="BZ758" s="2" t="s">
        <v>27</v>
      </c>
      <c r="CA758" s="2" t="s">
        <v>159</v>
      </c>
      <c r="CB758" s="2"/>
      <c r="CC758" s="2" t="s">
        <v>167</v>
      </c>
      <c r="CD758" s="2">
        <v>2065</v>
      </c>
      <c r="CE758" s="2" t="s">
        <v>118</v>
      </c>
      <c r="CF758" s="5">
        <v>42832</v>
      </c>
      <c r="CG758" s="2"/>
      <c r="CH758" s="2"/>
      <c r="CI758" s="2">
        <v>1</v>
      </c>
      <c r="CJ758" s="2">
        <v>1</v>
      </c>
      <c r="CK758" s="2">
        <v>22</v>
      </c>
      <c r="CL758" s="2" t="s">
        <v>86</v>
      </c>
      <c r="CM758" s="2"/>
    </row>
    <row r="759" spans="1:91">
      <c r="A759" s="2" t="s">
        <v>71</v>
      </c>
      <c r="B759" s="2" t="s">
        <v>72</v>
      </c>
      <c r="C759" s="2" t="s">
        <v>73</v>
      </c>
      <c r="D759" s="2"/>
      <c r="E759" s="2" t="str">
        <f>"FES1162541552"</f>
        <v>FES1162541552</v>
      </c>
      <c r="F759" s="3">
        <v>42830</v>
      </c>
      <c r="G759" s="2">
        <v>201710</v>
      </c>
      <c r="H759" s="2" t="s">
        <v>74</v>
      </c>
      <c r="I759" s="2" t="s">
        <v>75</v>
      </c>
      <c r="J759" s="2" t="s">
        <v>76</v>
      </c>
      <c r="K759" s="2" t="s">
        <v>77</v>
      </c>
      <c r="L759" s="2" t="s">
        <v>131</v>
      </c>
      <c r="M759" s="2" t="s">
        <v>132</v>
      </c>
      <c r="N759" s="2" t="s">
        <v>384</v>
      </c>
      <c r="O759" s="2" t="s">
        <v>115</v>
      </c>
      <c r="P759" s="2" t="str">
        <f>"2170560637                    "</f>
        <v xml:space="preserve">2170560637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9.65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4.2</v>
      </c>
      <c r="BJ759" s="2">
        <v>1.7</v>
      </c>
      <c r="BK759" s="2">
        <v>4.5</v>
      </c>
      <c r="BL759" s="2">
        <v>93.89</v>
      </c>
      <c r="BM759" s="2">
        <v>13.14</v>
      </c>
      <c r="BN759" s="2">
        <v>107.03</v>
      </c>
      <c r="BO759" s="2">
        <v>107.03</v>
      </c>
      <c r="BP759" s="2"/>
      <c r="BQ759" s="2" t="s">
        <v>468</v>
      </c>
      <c r="BR759" s="2" t="s">
        <v>123</v>
      </c>
      <c r="BS759" s="3">
        <v>42831</v>
      </c>
      <c r="BT759" s="4">
        <v>0.41666666666666669</v>
      </c>
      <c r="BU759" s="2" t="s">
        <v>469</v>
      </c>
      <c r="BV759" s="2" t="s">
        <v>111</v>
      </c>
      <c r="BW759" s="2"/>
      <c r="BX759" s="2"/>
      <c r="BY759" s="2">
        <v>8591.34</v>
      </c>
      <c r="BZ759" s="2" t="s">
        <v>27</v>
      </c>
      <c r="CA759" s="2"/>
      <c r="CB759" s="2"/>
      <c r="CC759" s="2" t="s">
        <v>132</v>
      </c>
      <c r="CD759" s="2">
        <v>7405</v>
      </c>
      <c r="CE759" s="2" t="s">
        <v>135</v>
      </c>
      <c r="CF759" s="5">
        <v>42833</v>
      </c>
      <c r="CG759" s="2"/>
      <c r="CH759" s="2"/>
      <c r="CI759" s="2">
        <v>1</v>
      </c>
      <c r="CJ759" s="2">
        <v>1</v>
      </c>
      <c r="CK759" s="2">
        <v>21</v>
      </c>
      <c r="CL759" s="2" t="s">
        <v>86</v>
      </c>
      <c r="CM759" s="2"/>
    </row>
    <row r="760" spans="1:91">
      <c r="A760" s="2" t="s">
        <v>71</v>
      </c>
      <c r="B760" s="2" t="s">
        <v>72</v>
      </c>
      <c r="C760" s="2" t="s">
        <v>73</v>
      </c>
      <c r="D760" s="2"/>
      <c r="E760" s="2" t="str">
        <f>"FES1162543177"</f>
        <v>FES1162543177</v>
      </c>
      <c r="F760" s="3">
        <v>42837</v>
      </c>
      <c r="G760" s="2">
        <v>201710</v>
      </c>
      <c r="H760" s="2" t="s">
        <v>74</v>
      </c>
      <c r="I760" s="2" t="s">
        <v>75</v>
      </c>
      <c r="J760" s="2" t="s">
        <v>76</v>
      </c>
      <c r="K760" s="2" t="s">
        <v>77</v>
      </c>
      <c r="L760" s="2" t="s">
        <v>131</v>
      </c>
      <c r="M760" s="2" t="s">
        <v>132</v>
      </c>
      <c r="N760" s="2" t="s">
        <v>1338</v>
      </c>
      <c r="O760" s="2" t="s">
        <v>115</v>
      </c>
      <c r="P760" s="2" t="str">
        <f>"2170559817                    "</f>
        <v xml:space="preserve">2170559817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4.29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1</v>
      </c>
      <c r="BJ760" s="2">
        <v>0.2</v>
      </c>
      <c r="BK760" s="2">
        <v>1</v>
      </c>
      <c r="BL760" s="2">
        <v>41.73</v>
      </c>
      <c r="BM760" s="2">
        <v>5.84</v>
      </c>
      <c r="BN760" s="2">
        <v>47.57</v>
      </c>
      <c r="BO760" s="2">
        <v>47.57</v>
      </c>
      <c r="BP760" s="2"/>
      <c r="BQ760" s="2" t="s">
        <v>1339</v>
      </c>
      <c r="BR760" s="2" t="s">
        <v>84</v>
      </c>
      <c r="BS760" s="3">
        <v>42838</v>
      </c>
      <c r="BT760" s="4">
        <v>0.33333333333333331</v>
      </c>
      <c r="BU760" s="2" t="s">
        <v>1340</v>
      </c>
      <c r="BV760" s="2" t="s">
        <v>111</v>
      </c>
      <c r="BW760" s="2"/>
      <c r="BX760" s="2"/>
      <c r="BY760" s="2">
        <v>1200</v>
      </c>
      <c r="BZ760" s="2" t="s">
        <v>27</v>
      </c>
      <c r="CA760" s="2"/>
      <c r="CB760" s="2"/>
      <c r="CC760" s="2" t="s">
        <v>132</v>
      </c>
      <c r="CD760" s="2">
        <v>7530</v>
      </c>
      <c r="CE760" s="2" t="s">
        <v>118</v>
      </c>
      <c r="CF760" s="5">
        <v>42843</v>
      </c>
      <c r="CG760" s="2"/>
      <c r="CH760" s="2"/>
      <c r="CI760" s="2">
        <v>1</v>
      </c>
      <c r="CJ760" s="2">
        <v>1</v>
      </c>
      <c r="CK760" s="2">
        <v>21</v>
      </c>
      <c r="CL760" s="2" t="s">
        <v>86</v>
      </c>
      <c r="CM760" s="2"/>
    </row>
    <row r="761" spans="1:91">
      <c r="A761" s="2" t="s">
        <v>71</v>
      </c>
      <c r="B761" s="2" t="s">
        <v>72</v>
      </c>
      <c r="C761" s="2" t="s">
        <v>73</v>
      </c>
      <c r="D761" s="2"/>
      <c r="E761" s="2" t="str">
        <f>"FES1162542161"</f>
        <v>FES1162542161</v>
      </c>
      <c r="F761" s="3">
        <v>42831</v>
      </c>
      <c r="G761" s="2">
        <v>201710</v>
      </c>
      <c r="H761" s="2" t="s">
        <v>74</v>
      </c>
      <c r="I761" s="2" t="s">
        <v>75</v>
      </c>
      <c r="J761" s="2" t="s">
        <v>76</v>
      </c>
      <c r="K761" s="2" t="s">
        <v>77</v>
      </c>
      <c r="L761" s="2" t="s">
        <v>1333</v>
      </c>
      <c r="M761" s="2" t="s">
        <v>1334</v>
      </c>
      <c r="N761" s="2" t="s">
        <v>1335</v>
      </c>
      <c r="O761" s="2" t="s">
        <v>115</v>
      </c>
      <c r="P761" s="2" t="str">
        <f>"2170561060                    "</f>
        <v xml:space="preserve">2170561060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8.31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1</v>
      </c>
      <c r="BJ761" s="2">
        <v>1.4</v>
      </c>
      <c r="BK761" s="2">
        <v>1.5</v>
      </c>
      <c r="BL761" s="2">
        <v>80.849999999999994</v>
      </c>
      <c r="BM761" s="2">
        <v>11.32</v>
      </c>
      <c r="BN761" s="2">
        <v>92.17</v>
      </c>
      <c r="BO761" s="2">
        <v>92.17</v>
      </c>
      <c r="BP761" s="2"/>
      <c r="BQ761" s="2" t="s">
        <v>116</v>
      </c>
      <c r="BR761" s="2" t="s">
        <v>123</v>
      </c>
      <c r="BS761" s="3">
        <v>42832</v>
      </c>
      <c r="BT761" s="4">
        <v>0.54166666666666663</v>
      </c>
      <c r="BU761" s="2" t="s">
        <v>266</v>
      </c>
      <c r="BV761" s="2" t="s">
        <v>111</v>
      </c>
      <c r="BW761" s="2"/>
      <c r="BX761" s="2"/>
      <c r="BY761" s="2">
        <v>6760.16</v>
      </c>
      <c r="BZ761" s="2" t="s">
        <v>27</v>
      </c>
      <c r="CA761" s="2"/>
      <c r="CB761" s="2"/>
      <c r="CC761" s="2" t="s">
        <v>1334</v>
      </c>
      <c r="CD761" s="2">
        <v>4449</v>
      </c>
      <c r="CE761" s="2" t="s">
        <v>144</v>
      </c>
      <c r="CF761" s="5">
        <v>42835</v>
      </c>
      <c r="CG761" s="2"/>
      <c r="CH761" s="2"/>
      <c r="CI761" s="2">
        <v>1</v>
      </c>
      <c r="CJ761" s="2">
        <v>1</v>
      </c>
      <c r="CK761" s="2">
        <v>23</v>
      </c>
      <c r="CL761" s="2" t="s">
        <v>86</v>
      </c>
      <c r="CM761" s="2"/>
    </row>
    <row r="762" spans="1:91">
      <c r="A762" s="2" t="s">
        <v>71</v>
      </c>
      <c r="B762" s="2" t="s">
        <v>72</v>
      </c>
      <c r="C762" s="2" t="s">
        <v>73</v>
      </c>
      <c r="D762" s="2"/>
      <c r="E762" s="2" t="str">
        <f>"FES1162541324"</f>
        <v>FES1162541324</v>
      </c>
      <c r="F762" s="3">
        <v>42829</v>
      </c>
      <c r="G762" s="2">
        <v>201710</v>
      </c>
      <c r="H762" s="2" t="s">
        <v>74</v>
      </c>
      <c r="I762" s="2" t="s">
        <v>75</v>
      </c>
      <c r="J762" s="2" t="s">
        <v>76</v>
      </c>
      <c r="K762" s="2" t="s">
        <v>77</v>
      </c>
      <c r="L762" s="2" t="s">
        <v>1341</v>
      </c>
      <c r="M762" s="2" t="s">
        <v>1341</v>
      </c>
      <c r="N762" s="2" t="s">
        <v>1342</v>
      </c>
      <c r="O762" s="2" t="s">
        <v>115</v>
      </c>
      <c r="P762" s="2" t="str">
        <f>"2170560399                    "</f>
        <v xml:space="preserve">2170560399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4.42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1</v>
      </c>
      <c r="BJ762" s="2">
        <v>0.2</v>
      </c>
      <c r="BK762" s="2">
        <v>1</v>
      </c>
      <c r="BL762" s="2">
        <v>41.86</v>
      </c>
      <c r="BM762" s="2">
        <v>5.86</v>
      </c>
      <c r="BN762" s="2">
        <v>47.72</v>
      </c>
      <c r="BO762" s="2">
        <v>47.72</v>
      </c>
      <c r="BP762" s="2"/>
      <c r="BQ762" s="2" t="s">
        <v>116</v>
      </c>
      <c r="BR762" s="2" t="s">
        <v>123</v>
      </c>
      <c r="BS762" s="3">
        <v>42831</v>
      </c>
      <c r="BT762" s="4">
        <v>0</v>
      </c>
      <c r="BU762" s="2" t="s">
        <v>1343</v>
      </c>
      <c r="BV762" s="2" t="s">
        <v>111</v>
      </c>
      <c r="BW762" s="2"/>
      <c r="BX762" s="2"/>
      <c r="BY762" s="2">
        <v>1200</v>
      </c>
      <c r="BZ762" s="2" t="s">
        <v>27</v>
      </c>
      <c r="CA762" s="2"/>
      <c r="CB762" s="2"/>
      <c r="CC762" s="2" t="s">
        <v>1341</v>
      </c>
      <c r="CD762" s="2">
        <v>6835</v>
      </c>
      <c r="CE762" s="2" t="s">
        <v>118</v>
      </c>
      <c r="CF762" s="5">
        <v>42835</v>
      </c>
      <c r="CG762" s="2"/>
      <c r="CH762" s="2"/>
      <c r="CI762" s="2">
        <v>3</v>
      </c>
      <c r="CJ762" s="2">
        <v>2</v>
      </c>
      <c r="CK762" s="2">
        <v>21</v>
      </c>
      <c r="CL762" s="2" t="s">
        <v>86</v>
      </c>
      <c r="CM762" s="2"/>
    </row>
    <row r="763" spans="1:91">
      <c r="A763" s="2" t="s">
        <v>71</v>
      </c>
      <c r="B763" s="2" t="s">
        <v>72</v>
      </c>
      <c r="C763" s="2" t="s">
        <v>73</v>
      </c>
      <c r="D763" s="2"/>
      <c r="E763" s="2" t="str">
        <f>"FES1162543066"</f>
        <v>FES1162543066</v>
      </c>
      <c r="F763" s="3">
        <v>42836</v>
      </c>
      <c r="G763" s="2">
        <v>201710</v>
      </c>
      <c r="H763" s="2" t="s">
        <v>74</v>
      </c>
      <c r="I763" s="2" t="s">
        <v>75</v>
      </c>
      <c r="J763" s="2" t="s">
        <v>76</v>
      </c>
      <c r="K763" s="2" t="s">
        <v>77</v>
      </c>
      <c r="L763" s="2" t="s">
        <v>900</v>
      </c>
      <c r="M763" s="2" t="s">
        <v>901</v>
      </c>
      <c r="N763" s="2" t="s">
        <v>902</v>
      </c>
      <c r="O763" s="2" t="s">
        <v>115</v>
      </c>
      <c r="P763" s="2" t="str">
        <f>"2170561850                    "</f>
        <v xml:space="preserve">2170561850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4.29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1</v>
      </c>
      <c r="BJ763" s="2">
        <v>1.6</v>
      </c>
      <c r="BK763" s="2">
        <v>2</v>
      </c>
      <c r="BL763" s="2">
        <v>41.73</v>
      </c>
      <c r="BM763" s="2">
        <v>5.84</v>
      </c>
      <c r="BN763" s="2">
        <v>47.57</v>
      </c>
      <c r="BO763" s="2">
        <v>47.57</v>
      </c>
      <c r="BP763" s="2"/>
      <c r="BQ763" s="2" t="s">
        <v>903</v>
      </c>
      <c r="BR763" s="2" t="s">
        <v>123</v>
      </c>
      <c r="BS763" s="3">
        <v>42837</v>
      </c>
      <c r="BT763" s="4">
        <v>0.54166666666666663</v>
      </c>
      <c r="BU763" s="2" t="s">
        <v>1279</v>
      </c>
      <c r="BV763" s="2" t="s">
        <v>86</v>
      </c>
      <c r="BW763" s="2" t="s">
        <v>164</v>
      </c>
      <c r="BX763" s="2" t="s">
        <v>88</v>
      </c>
      <c r="BY763" s="2">
        <v>8168.64</v>
      </c>
      <c r="BZ763" s="2" t="s">
        <v>27</v>
      </c>
      <c r="CA763" s="2"/>
      <c r="CB763" s="2"/>
      <c r="CC763" s="2" t="s">
        <v>901</v>
      </c>
      <c r="CD763" s="2">
        <v>4026</v>
      </c>
      <c r="CE763" s="2" t="s">
        <v>144</v>
      </c>
      <c r="CF763" s="5">
        <v>42843</v>
      </c>
      <c r="CG763" s="2"/>
      <c r="CH763" s="2"/>
      <c r="CI763" s="2">
        <v>1</v>
      </c>
      <c r="CJ763" s="2">
        <v>1</v>
      </c>
      <c r="CK763" s="2">
        <v>21</v>
      </c>
      <c r="CL763" s="2" t="s">
        <v>86</v>
      </c>
      <c r="CM763" s="2"/>
    </row>
    <row r="764" spans="1:91">
      <c r="A764" s="2" t="s">
        <v>71</v>
      </c>
      <c r="B764" s="2" t="s">
        <v>72</v>
      </c>
      <c r="C764" s="2" t="s">
        <v>73</v>
      </c>
      <c r="D764" s="2"/>
      <c r="E764" s="2" t="str">
        <f>"FES1162541783"</f>
        <v>FES1162541783</v>
      </c>
      <c r="F764" s="3">
        <v>42830</v>
      </c>
      <c r="G764" s="2">
        <v>201710</v>
      </c>
      <c r="H764" s="2" t="s">
        <v>74</v>
      </c>
      <c r="I764" s="2" t="s">
        <v>75</v>
      </c>
      <c r="J764" s="2" t="s">
        <v>76</v>
      </c>
      <c r="K764" s="2" t="s">
        <v>77</v>
      </c>
      <c r="L764" s="2" t="s">
        <v>74</v>
      </c>
      <c r="M764" s="2" t="s">
        <v>75</v>
      </c>
      <c r="N764" s="2" t="s">
        <v>534</v>
      </c>
      <c r="O764" s="2" t="s">
        <v>115</v>
      </c>
      <c r="P764" s="2" t="str">
        <f>"2170560794                    "</f>
        <v xml:space="preserve">2170560794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3.35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1</v>
      </c>
      <c r="BJ764" s="2">
        <v>0.2</v>
      </c>
      <c r="BK764" s="2">
        <v>1</v>
      </c>
      <c r="BL764" s="2">
        <v>32.6</v>
      </c>
      <c r="BM764" s="2">
        <v>4.5599999999999996</v>
      </c>
      <c r="BN764" s="2">
        <v>37.159999999999997</v>
      </c>
      <c r="BO764" s="2">
        <v>37.159999999999997</v>
      </c>
      <c r="BP764" s="2"/>
      <c r="BQ764" s="2" t="s">
        <v>535</v>
      </c>
      <c r="BR764" s="2" t="s">
        <v>123</v>
      </c>
      <c r="BS764" s="3">
        <v>42831</v>
      </c>
      <c r="BT764" s="4">
        <v>0.33333333333333331</v>
      </c>
      <c r="BU764" s="2" t="s">
        <v>536</v>
      </c>
      <c r="BV764" s="2" t="s">
        <v>111</v>
      </c>
      <c r="BW764" s="2"/>
      <c r="BX764" s="2"/>
      <c r="BY764" s="2">
        <v>1200</v>
      </c>
      <c r="BZ764" s="2" t="s">
        <v>27</v>
      </c>
      <c r="CA764" s="2"/>
      <c r="CB764" s="2"/>
      <c r="CC764" s="2" t="s">
        <v>75</v>
      </c>
      <c r="CD764" s="2">
        <v>1601</v>
      </c>
      <c r="CE764" s="2" t="s">
        <v>118</v>
      </c>
      <c r="CF764" s="5">
        <v>42832</v>
      </c>
      <c r="CG764" s="2"/>
      <c r="CH764" s="2"/>
      <c r="CI764" s="2">
        <v>1</v>
      </c>
      <c r="CJ764" s="2">
        <v>1</v>
      </c>
      <c r="CK764" s="2">
        <v>22</v>
      </c>
      <c r="CL764" s="2" t="s">
        <v>86</v>
      </c>
      <c r="CM764" s="2"/>
    </row>
    <row r="765" spans="1:91">
      <c r="A765" s="2" t="s">
        <v>71</v>
      </c>
      <c r="B765" s="2" t="s">
        <v>72</v>
      </c>
      <c r="C765" s="2" t="s">
        <v>73</v>
      </c>
      <c r="D765" s="2"/>
      <c r="E765" s="2" t="str">
        <f>"FES1162541507"</f>
        <v>FES1162541507</v>
      </c>
      <c r="F765" s="3">
        <v>42830</v>
      </c>
      <c r="G765" s="2">
        <v>201710</v>
      </c>
      <c r="H765" s="2" t="s">
        <v>74</v>
      </c>
      <c r="I765" s="2" t="s">
        <v>75</v>
      </c>
      <c r="J765" s="2" t="s">
        <v>76</v>
      </c>
      <c r="K765" s="2" t="s">
        <v>77</v>
      </c>
      <c r="L765" s="2" t="s">
        <v>112</v>
      </c>
      <c r="M765" s="2" t="s">
        <v>113</v>
      </c>
      <c r="N765" s="2" t="s">
        <v>208</v>
      </c>
      <c r="O765" s="2" t="s">
        <v>115</v>
      </c>
      <c r="P765" s="2" t="str">
        <f>"2170560611                    "</f>
        <v xml:space="preserve">2170560611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9.65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4</v>
      </c>
      <c r="BJ765" s="2">
        <v>4.2</v>
      </c>
      <c r="BK765" s="2">
        <v>4.5</v>
      </c>
      <c r="BL765" s="2">
        <v>93.89</v>
      </c>
      <c r="BM765" s="2">
        <v>13.14</v>
      </c>
      <c r="BN765" s="2">
        <v>107.03</v>
      </c>
      <c r="BO765" s="2">
        <v>107.03</v>
      </c>
      <c r="BP765" s="2"/>
      <c r="BQ765" s="2" t="s">
        <v>122</v>
      </c>
      <c r="BR765" s="2" t="s">
        <v>123</v>
      </c>
      <c r="BS765" s="3">
        <v>42831</v>
      </c>
      <c r="BT765" s="4">
        <v>0.3888888888888889</v>
      </c>
      <c r="BU765" s="2" t="s">
        <v>1344</v>
      </c>
      <c r="BV765" s="2" t="s">
        <v>111</v>
      </c>
      <c r="BW765" s="2"/>
      <c r="BX765" s="2"/>
      <c r="BY765" s="2">
        <v>21060</v>
      </c>
      <c r="BZ765" s="2" t="s">
        <v>27</v>
      </c>
      <c r="CA765" s="2"/>
      <c r="CB765" s="2"/>
      <c r="CC765" s="2" t="s">
        <v>113</v>
      </c>
      <c r="CD765" s="2">
        <v>3201</v>
      </c>
      <c r="CE765" s="2" t="s">
        <v>135</v>
      </c>
      <c r="CF765" s="5">
        <v>42833</v>
      </c>
      <c r="CG765" s="2"/>
      <c r="CH765" s="2"/>
      <c r="CI765" s="2">
        <v>1</v>
      </c>
      <c r="CJ765" s="2">
        <v>1</v>
      </c>
      <c r="CK765" s="2">
        <v>21</v>
      </c>
      <c r="CL765" s="2" t="s">
        <v>86</v>
      </c>
      <c r="CM765" s="2"/>
    </row>
    <row r="766" spans="1:91">
      <c r="A766" s="2" t="s">
        <v>71</v>
      </c>
      <c r="B766" s="2" t="s">
        <v>72</v>
      </c>
      <c r="C766" s="2" t="s">
        <v>73</v>
      </c>
      <c r="D766" s="2"/>
      <c r="E766" s="2" t="str">
        <f>"FES1162543421"</f>
        <v>FES1162543421</v>
      </c>
      <c r="F766" s="3">
        <v>42837</v>
      </c>
      <c r="G766" s="2">
        <v>201710</v>
      </c>
      <c r="H766" s="2" t="s">
        <v>74</v>
      </c>
      <c r="I766" s="2" t="s">
        <v>75</v>
      </c>
      <c r="J766" s="2" t="s">
        <v>76</v>
      </c>
      <c r="K766" s="2" t="s">
        <v>77</v>
      </c>
      <c r="L766" s="2" t="s">
        <v>131</v>
      </c>
      <c r="M766" s="2" t="s">
        <v>132</v>
      </c>
      <c r="N766" s="2" t="s">
        <v>384</v>
      </c>
      <c r="O766" s="2" t="s">
        <v>115</v>
      </c>
      <c r="P766" s="2" t="str">
        <f>"2170562111                    "</f>
        <v xml:space="preserve">2170562111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4.29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1</v>
      </c>
      <c r="BJ766" s="2">
        <v>0.2</v>
      </c>
      <c r="BK766" s="2">
        <v>1</v>
      </c>
      <c r="BL766" s="2">
        <v>41.73</v>
      </c>
      <c r="BM766" s="2">
        <v>5.84</v>
      </c>
      <c r="BN766" s="2">
        <v>47.57</v>
      </c>
      <c r="BO766" s="2">
        <v>47.57</v>
      </c>
      <c r="BP766" s="2"/>
      <c r="BQ766" s="2" t="s">
        <v>1272</v>
      </c>
      <c r="BR766" s="2" t="s">
        <v>84</v>
      </c>
      <c r="BS766" s="3">
        <v>42838</v>
      </c>
      <c r="BT766" s="4">
        <v>0.375</v>
      </c>
      <c r="BU766" s="2" t="s">
        <v>1345</v>
      </c>
      <c r="BV766" s="2" t="s">
        <v>111</v>
      </c>
      <c r="BW766" s="2"/>
      <c r="BX766" s="2"/>
      <c r="BY766" s="2">
        <v>1200</v>
      </c>
      <c r="BZ766" s="2" t="s">
        <v>27</v>
      </c>
      <c r="CA766" s="2"/>
      <c r="CB766" s="2"/>
      <c r="CC766" s="2" t="s">
        <v>132</v>
      </c>
      <c r="CD766" s="2">
        <v>7530</v>
      </c>
      <c r="CE766" s="2" t="s">
        <v>118</v>
      </c>
      <c r="CF766" s="5">
        <v>42843</v>
      </c>
      <c r="CG766" s="2"/>
      <c r="CH766" s="2"/>
      <c r="CI766" s="2">
        <v>1</v>
      </c>
      <c r="CJ766" s="2">
        <v>1</v>
      </c>
      <c r="CK766" s="2">
        <v>21</v>
      </c>
      <c r="CL766" s="2" t="s">
        <v>86</v>
      </c>
      <c r="CM766" s="2"/>
    </row>
    <row r="767" spans="1:91">
      <c r="A767" s="2" t="s">
        <v>71</v>
      </c>
      <c r="B767" s="2" t="s">
        <v>72</v>
      </c>
      <c r="C767" s="2" t="s">
        <v>73</v>
      </c>
      <c r="D767" s="2"/>
      <c r="E767" s="2" t="str">
        <f>"FES1162542128"</f>
        <v>FES1162542128</v>
      </c>
      <c r="F767" s="3">
        <v>42831</v>
      </c>
      <c r="G767" s="2">
        <v>201710</v>
      </c>
      <c r="H767" s="2" t="s">
        <v>74</v>
      </c>
      <c r="I767" s="2" t="s">
        <v>75</v>
      </c>
      <c r="J767" s="2" t="s">
        <v>76</v>
      </c>
      <c r="K767" s="2" t="s">
        <v>77</v>
      </c>
      <c r="L767" s="2" t="s">
        <v>294</v>
      </c>
      <c r="M767" s="2" t="s">
        <v>295</v>
      </c>
      <c r="N767" s="2" t="s">
        <v>1346</v>
      </c>
      <c r="O767" s="2" t="s">
        <v>115</v>
      </c>
      <c r="P767" s="2" t="str">
        <f>"2170561024                    "</f>
        <v xml:space="preserve">2170561024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4.29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1</v>
      </c>
      <c r="BJ767" s="2">
        <v>0.2</v>
      </c>
      <c r="BK767" s="2">
        <v>1</v>
      </c>
      <c r="BL767" s="2">
        <v>41.73</v>
      </c>
      <c r="BM767" s="2">
        <v>5.84</v>
      </c>
      <c r="BN767" s="2">
        <v>47.57</v>
      </c>
      <c r="BO767" s="2">
        <v>47.57</v>
      </c>
      <c r="BP767" s="2"/>
      <c r="BQ767" s="2" t="s">
        <v>1347</v>
      </c>
      <c r="BR767" s="2" t="s">
        <v>123</v>
      </c>
      <c r="BS767" s="3">
        <v>42832</v>
      </c>
      <c r="BT767" s="4">
        <v>0.4375</v>
      </c>
      <c r="BU767" s="2" t="s">
        <v>1348</v>
      </c>
      <c r="BV767" s="2" t="s">
        <v>111</v>
      </c>
      <c r="BW767" s="2"/>
      <c r="BX767" s="2"/>
      <c r="BY767" s="2">
        <v>1200</v>
      </c>
      <c r="BZ767" s="2" t="s">
        <v>27</v>
      </c>
      <c r="CA767" s="2"/>
      <c r="CB767" s="2"/>
      <c r="CC767" s="2" t="s">
        <v>295</v>
      </c>
      <c r="CD767" s="2">
        <v>3610</v>
      </c>
      <c r="CE767" s="2" t="s">
        <v>144</v>
      </c>
      <c r="CF767" s="5">
        <v>42835</v>
      </c>
      <c r="CG767" s="2"/>
      <c r="CH767" s="2"/>
      <c r="CI767" s="2">
        <v>1</v>
      </c>
      <c r="CJ767" s="2">
        <v>1</v>
      </c>
      <c r="CK767" s="2">
        <v>21</v>
      </c>
      <c r="CL767" s="2" t="s">
        <v>86</v>
      </c>
      <c r="CM767" s="2"/>
    </row>
    <row r="768" spans="1:91">
      <c r="A768" s="2" t="s">
        <v>71</v>
      </c>
      <c r="B768" s="2" t="s">
        <v>72</v>
      </c>
      <c r="C768" s="2" t="s">
        <v>73</v>
      </c>
      <c r="D768" s="2"/>
      <c r="E768" s="2" t="str">
        <f>"FES1162541372"</f>
        <v>FES1162541372</v>
      </c>
      <c r="F768" s="3">
        <v>42829</v>
      </c>
      <c r="G768" s="2">
        <v>201710</v>
      </c>
      <c r="H768" s="2" t="s">
        <v>74</v>
      </c>
      <c r="I768" s="2" t="s">
        <v>75</v>
      </c>
      <c r="J768" s="2" t="s">
        <v>76</v>
      </c>
      <c r="K768" s="2" t="s">
        <v>77</v>
      </c>
      <c r="L768" s="2" t="s">
        <v>1349</v>
      </c>
      <c r="M768" s="2" t="s">
        <v>1350</v>
      </c>
      <c r="N768" s="2" t="s">
        <v>1351</v>
      </c>
      <c r="O768" s="2" t="s">
        <v>115</v>
      </c>
      <c r="P768" s="2" t="str">
        <f>"2170560465                    "</f>
        <v xml:space="preserve">2170560465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6.22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1</v>
      </c>
      <c r="BJ768" s="2">
        <v>0.2</v>
      </c>
      <c r="BK768" s="2">
        <v>1</v>
      </c>
      <c r="BL768" s="2">
        <v>58.87</v>
      </c>
      <c r="BM768" s="2">
        <v>8.24</v>
      </c>
      <c r="BN768" s="2">
        <v>67.11</v>
      </c>
      <c r="BO768" s="2">
        <v>67.11</v>
      </c>
      <c r="BP768" s="2"/>
      <c r="BQ768" s="2" t="s">
        <v>562</v>
      </c>
      <c r="BR768" s="2" t="s">
        <v>123</v>
      </c>
      <c r="BS768" s="3">
        <v>42830</v>
      </c>
      <c r="BT768" s="4">
        <v>0.41666666666666669</v>
      </c>
      <c r="BU768" s="2" t="s">
        <v>1352</v>
      </c>
      <c r="BV768" s="2" t="s">
        <v>111</v>
      </c>
      <c r="BW768" s="2"/>
      <c r="BX768" s="2"/>
      <c r="BY768" s="2">
        <v>1200</v>
      </c>
      <c r="BZ768" s="2" t="s">
        <v>27</v>
      </c>
      <c r="CA768" s="2"/>
      <c r="CB768" s="2"/>
      <c r="CC768" s="2" t="s">
        <v>1350</v>
      </c>
      <c r="CD768" s="2">
        <v>1034</v>
      </c>
      <c r="CE768" s="2" t="s">
        <v>144</v>
      </c>
      <c r="CF768" s="5">
        <v>42833</v>
      </c>
      <c r="CG768" s="2"/>
      <c r="CH768" s="2"/>
      <c r="CI768" s="2">
        <v>1</v>
      </c>
      <c r="CJ768" s="2">
        <v>1</v>
      </c>
      <c r="CK768" s="2">
        <v>24</v>
      </c>
      <c r="CL768" s="2" t="s">
        <v>86</v>
      </c>
      <c r="CM768" s="2"/>
    </row>
    <row r="769" spans="1:91">
      <c r="A769" s="2" t="s">
        <v>71</v>
      </c>
      <c r="B769" s="2" t="s">
        <v>72</v>
      </c>
      <c r="C769" s="2" t="s">
        <v>73</v>
      </c>
      <c r="D769" s="2"/>
      <c r="E769" s="2" t="str">
        <f>"FES1162542854"</f>
        <v>FES1162542854</v>
      </c>
      <c r="F769" s="3">
        <v>42836</v>
      </c>
      <c r="G769" s="2">
        <v>201710</v>
      </c>
      <c r="H769" s="2" t="s">
        <v>74</v>
      </c>
      <c r="I769" s="2" t="s">
        <v>75</v>
      </c>
      <c r="J769" s="2" t="s">
        <v>76</v>
      </c>
      <c r="K769" s="2" t="s">
        <v>77</v>
      </c>
      <c r="L769" s="2" t="s">
        <v>516</v>
      </c>
      <c r="M769" s="2" t="s">
        <v>517</v>
      </c>
      <c r="N769" s="2" t="s">
        <v>1300</v>
      </c>
      <c r="O769" s="2" t="s">
        <v>115</v>
      </c>
      <c r="P769" s="2" t="str">
        <f>"2170558798                    "</f>
        <v xml:space="preserve">2170558798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3.35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1</v>
      </c>
      <c r="BJ769" s="2">
        <v>0.2</v>
      </c>
      <c r="BK769" s="2">
        <v>1</v>
      </c>
      <c r="BL769" s="2">
        <v>32.6</v>
      </c>
      <c r="BM769" s="2">
        <v>4.5599999999999996</v>
      </c>
      <c r="BN769" s="2">
        <v>37.159999999999997</v>
      </c>
      <c r="BO769" s="2">
        <v>37.159999999999997</v>
      </c>
      <c r="BP769" s="2"/>
      <c r="BQ769" s="2" t="s">
        <v>122</v>
      </c>
      <c r="BR769" s="2" t="s">
        <v>123</v>
      </c>
      <c r="BS769" s="3">
        <v>42837</v>
      </c>
      <c r="BT769" s="4">
        <v>0.38541666666666669</v>
      </c>
      <c r="BU769" s="2" t="s">
        <v>1353</v>
      </c>
      <c r="BV769" s="2" t="s">
        <v>111</v>
      </c>
      <c r="BW769" s="2"/>
      <c r="BX769" s="2"/>
      <c r="BY769" s="2">
        <v>1200</v>
      </c>
      <c r="BZ769" s="2" t="s">
        <v>27</v>
      </c>
      <c r="CA769" s="2"/>
      <c r="CB769" s="2"/>
      <c r="CC769" s="2" t="s">
        <v>517</v>
      </c>
      <c r="CD769" s="2">
        <v>1459</v>
      </c>
      <c r="CE769" s="2" t="s">
        <v>118</v>
      </c>
      <c r="CF769" s="5">
        <v>42838</v>
      </c>
      <c r="CG769" s="2"/>
      <c r="CH769" s="2"/>
      <c r="CI769" s="2">
        <v>1</v>
      </c>
      <c r="CJ769" s="2">
        <v>1</v>
      </c>
      <c r="CK769" s="2">
        <v>22</v>
      </c>
      <c r="CL769" s="2" t="s">
        <v>86</v>
      </c>
      <c r="CM769" s="2"/>
    </row>
    <row r="770" spans="1:91">
      <c r="A770" s="2" t="s">
        <v>71</v>
      </c>
      <c r="B770" s="2" t="s">
        <v>72</v>
      </c>
      <c r="C770" s="2" t="s">
        <v>73</v>
      </c>
      <c r="D770" s="2"/>
      <c r="E770" s="2" t="str">
        <f>"FES1162541717"</f>
        <v>FES1162541717</v>
      </c>
      <c r="F770" s="3">
        <v>42830</v>
      </c>
      <c r="G770" s="2">
        <v>201710</v>
      </c>
      <c r="H770" s="2" t="s">
        <v>74</v>
      </c>
      <c r="I770" s="2" t="s">
        <v>75</v>
      </c>
      <c r="J770" s="2" t="s">
        <v>76</v>
      </c>
      <c r="K770" s="2" t="s">
        <v>77</v>
      </c>
      <c r="L770" s="2" t="s">
        <v>516</v>
      </c>
      <c r="M770" s="2" t="s">
        <v>517</v>
      </c>
      <c r="N770" s="2" t="s">
        <v>1354</v>
      </c>
      <c r="O770" s="2" t="s">
        <v>115</v>
      </c>
      <c r="P770" s="2" t="str">
        <f>"21705607189                   "</f>
        <v xml:space="preserve">21705607189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3.35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</v>
      </c>
      <c r="BJ770" s="2">
        <v>0.2</v>
      </c>
      <c r="BK770" s="2">
        <v>1</v>
      </c>
      <c r="BL770" s="2">
        <v>32.6</v>
      </c>
      <c r="BM770" s="2">
        <v>4.5599999999999996</v>
      </c>
      <c r="BN770" s="2">
        <v>37.159999999999997</v>
      </c>
      <c r="BO770" s="2">
        <v>37.159999999999997</v>
      </c>
      <c r="BP770" s="2"/>
      <c r="BQ770" s="2" t="s">
        <v>1355</v>
      </c>
      <c r="BR770" s="2" t="s">
        <v>123</v>
      </c>
      <c r="BS770" s="3">
        <v>42831</v>
      </c>
      <c r="BT770" s="4">
        <v>0.28472222222222221</v>
      </c>
      <c r="BU770" s="2" t="s">
        <v>1289</v>
      </c>
      <c r="BV770" s="2" t="s">
        <v>111</v>
      </c>
      <c r="BW770" s="2"/>
      <c r="BX770" s="2"/>
      <c r="BY770" s="2">
        <v>1200</v>
      </c>
      <c r="BZ770" s="2" t="s">
        <v>27</v>
      </c>
      <c r="CA770" s="2" t="s">
        <v>159</v>
      </c>
      <c r="CB770" s="2"/>
      <c r="CC770" s="2" t="s">
        <v>517</v>
      </c>
      <c r="CD770" s="2">
        <v>1459</v>
      </c>
      <c r="CE770" s="2" t="s">
        <v>118</v>
      </c>
      <c r="CF770" s="5">
        <v>42832</v>
      </c>
      <c r="CG770" s="2"/>
      <c r="CH770" s="2"/>
      <c r="CI770" s="2">
        <v>1</v>
      </c>
      <c r="CJ770" s="2">
        <v>1</v>
      </c>
      <c r="CK770" s="2">
        <v>22</v>
      </c>
      <c r="CL770" s="2" t="s">
        <v>86</v>
      </c>
      <c r="CM770" s="2"/>
    </row>
    <row r="771" spans="1:91">
      <c r="A771" s="2" t="s">
        <v>71</v>
      </c>
      <c r="B771" s="2" t="s">
        <v>72</v>
      </c>
      <c r="C771" s="2" t="s">
        <v>73</v>
      </c>
      <c r="D771" s="2"/>
      <c r="E771" s="2" t="str">
        <f>"FES1162543161"</f>
        <v>FES1162543161</v>
      </c>
      <c r="F771" s="3">
        <v>42837</v>
      </c>
      <c r="G771" s="2">
        <v>201710</v>
      </c>
      <c r="H771" s="2" t="s">
        <v>74</v>
      </c>
      <c r="I771" s="2" t="s">
        <v>75</v>
      </c>
      <c r="J771" s="2" t="s">
        <v>76</v>
      </c>
      <c r="K771" s="2" t="s">
        <v>77</v>
      </c>
      <c r="L771" s="2" t="s">
        <v>294</v>
      </c>
      <c r="M771" s="2" t="s">
        <v>295</v>
      </c>
      <c r="N771" s="2" t="s">
        <v>1356</v>
      </c>
      <c r="O771" s="2" t="s">
        <v>115</v>
      </c>
      <c r="P771" s="2" t="str">
        <f>"2170561950                    "</f>
        <v xml:space="preserve">2170561950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19.29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9</v>
      </c>
      <c r="BJ771" s="2">
        <v>3</v>
      </c>
      <c r="BK771" s="2">
        <v>9</v>
      </c>
      <c r="BL771" s="2">
        <v>187.77</v>
      </c>
      <c r="BM771" s="2">
        <v>26.29</v>
      </c>
      <c r="BN771" s="2">
        <v>214.06</v>
      </c>
      <c r="BO771" s="2">
        <v>214.06</v>
      </c>
      <c r="BP771" s="2"/>
      <c r="BQ771" s="2" t="s">
        <v>129</v>
      </c>
      <c r="BR771" s="2" t="s">
        <v>84</v>
      </c>
      <c r="BS771" s="3">
        <v>42838</v>
      </c>
      <c r="BT771" s="4">
        <v>0.4375</v>
      </c>
      <c r="BU771" s="2" t="s">
        <v>245</v>
      </c>
      <c r="BV771" s="2" t="s">
        <v>111</v>
      </c>
      <c r="BW771" s="2"/>
      <c r="BX771" s="2"/>
      <c r="BY771" s="2">
        <v>15171.73</v>
      </c>
      <c r="BZ771" s="2" t="s">
        <v>27</v>
      </c>
      <c r="CA771" s="2"/>
      <c r="CB771" s="2"/>
      <c r="CC771" s="2" t="s">
        <v>295</v>
      </c>
      <c r="CD771" s="2">
        <v>3610</v>
      </c>
      <c r="CE771" s="2" t="s">
        <v>89</v>
      </c>
      <c r="CF771" s="5">
        <v>42843</v>
      </c>
      <c r="CG771" s="2"/>
      <c r="CH771" s="2"/>
      <c r="CI771" s="2">
        <v>1</v>
      </c>
      <c r="CJ771" s="2">
        <v>1</v>
      </c>
      <c r="CK771" s="2">
        <v>21</v>
      </c>
      <c r="CL771" s="2" t="s">
        <v>86</v>
      </c>
      <c r="CM771" s="2"/>
    </row>
    <row r="772" spans="1:91">
      <c r="A772" s="2" t="s">
        <v>71</v>
      </c>
      <c r="B772" s="2" t="s">
        <v>72</v>
      </c>
      <c r="C772" s="2" t="s">
        <v>73</v>
      </c>
      <c r="D772" s="2"/>
      <c r="E772" s="2" t="str">
        <f>"FES116252060"</f>
        <v>FES116252060</v>
      </c>
      <c r="F772" s="3">
        <v>42831</v>
      </c>
      <c r="G772" s="2">
        <v>201710</v>
      </c>
      <c r="H772" s="2" t="s">
        <v>74</v>
      </c>
      <c r="I772" s="2" t="s">
        <v>75</v>
      </c>
      <c r="J772" s="2" t="s">
        <v>76</v>
      </c>
      <c r="K772" s="2" t="s">
        <v>77</v>
      </c>
      <c r="L772" s="2" t="s">
        <v>496</v>
      </c>
      <c r="M772" s="2" t="s">
        <v>497</v>
      </c>
      <c r="N772" s="2" t="s">
        <v>1357</v>
      </c>
      <c r="O772" s="2" t="s">
        <v>115</v>
      </c>
      <c r="P772" s="2" t="str">
        <f>"2170557099                    "</f>
        <v xml:space="preserve">2170557099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3.35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1</v>
      </c>
      <c r="BJ772" s="2">
        <v>0.7</v>
      </c>
      <c r="BK772" s="2">
        <v>1</v>
      </c>
      <c r="BL772" s="2">
        <v>32.6</v>
      </c>
      <c r="BM772" s="2">
        <v>4.5599999999999996</v>
      </c>
      <c r="BN772" s="2">
        <v>37.159999999999997</v>
      </c>
      <c r="BO772" s="2">
        <v>37.159999999999997</v>
      </c>
      <c r="BP772" s="2"/>
      <c r="BQ772" s="2" t="s">
        <v>1358</v>
      </c>
      <c r="BR772" s="2" t="s">
        <v>123</v>
      </c>
      <c r="BS772" s="3">
        <v>42832</v>
      </c>
      <c r="BT772" s="4">
        <v>0.43055555555555558</v>
      </c>
      <c r="BU772" s="2" t="s">
        <v>1359</v>
      </c>
      <c r="BV772" s="2" t="s">
        <v>111</v>
      </c>
      <c r="BW772" s="2"/>
      <c r="BX772" s="2"/>
      <c r="BY772" s="2">
        <v>3686.4</v>
      </c>
      <c r="BZ772" s="2" t="s">
        <v>27</v>
      </c>
      <c r="CA772" s="2"/>
      <c r="CB772" s="2"/>
      <c r="CC772" s="2" t="s">
        <v>497</v>
      </c>
      <c r="CD772" s="2">
        <v>1559</v>
      </c>
      <c r="CE772" s="2" t="s">
        <v>89</v>
      </c>
      <c r="CF772" s="2"/>
      <c r="CG772" s="2"/>
      <c r="CH772" s="2"/>
      <c r="CI772" s="2">
        <v>1</v>
      </c>
      <c r="CJ772" s="2">
        <v>1</v>
      </c>
      <c r="CK772" s="2">
        <v>22</v>
      </c>
      <c r="CL772" s="2" t="s">
        <v>86</v>
      </c>
      <c r="CM772" s="2"/>
    </row>
    <row r="773" spans="1:91">
      <c r="A773" s="2" t="s">
        <v>71</v>
      </c>
      <c r="B773" s="2" t="s">
        <v>72</v>
      </c>
      <c r="C773" s="2" t="s">
        <v>73</v>
      </c>
      <c r="D773" s="2"/>
      <c r="E773" s="2" t="str">
        <f>"FES1162541208"</f>
        <v>FES1162541208</v>
      </c>
      <c r="F773" s="3">
        <v>42829</v>
      </c>
      <c r="G773" s="2">
        <v>201710</v>
      </c>
      <c r="H773" s="2" t="s">
        <v>74</v>
      </c>
      <c r="I773" s="2" t="s">
        <v>75</v>
      </c>
      <c r="J773" s="2" t="s">
        <v>76</v>
      </c>
      <c r="K773" s="2" t="s">
        <v>77</v>
      </c>
      <c r="L773" s="2" t="s">
        <v>1360</v>
      </c>
      <c r="M773" s="2" t="s">
        <v>1361</v>
      </c>
      <c r="N773" s="2" t="s">
        <v>1362</v>
      </c>
      <c r="O773" s="2" t="s">
        <v>115</v>
      </c>
      <c r="P773" s="2" t="str">
        <f>"2170560312                    "</f>
        <v xml:space="preserve">2170560312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8.57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1</v>
      </c>
      <c r="BJ773" s="2">
        <v>0.2</v>
      </c>
      <c r="BK773" s="2">
        <v>1</v>
      </c>
      <c r="BL773" s="2">
        <v>81.11</v>
      </c>
      <c r="BM773" s="2">
        <v>11.36</v>
      </c>
      <c r="BN773" s="2">
        <v>92.47</v>
      </c>
      <c r="BO773" s="2">
        <v>92.47</v>
      </c>
      <c r="BP773" s="2"/>
      <c r="BQ773" s="2"/>
      <c r="BR773" s="2" t="s">
        <v>123</v>
      </c>
      <c r="BS773" s="3">
        <v>42835</v>
      </c>
      <c r="BT773" s="4">
        <v>0.62708333333333333</v>
      </c>
      <c r="BU773" s="2" t="s">
        <v>1363</v>
      </c>
      <c r="BV773" s="2" t="s">
        <v>86</v>
      </c>
      <c r="BW773" s="2" t="s">
        <v>164</v>
      </c>
      <c r="BX773" s="2" t="s">
        <v>1364</v>
      </c>
      <c r="BY773" s="2">
        <v>1200</v>
      </c>
      <c r="BZ773" s="2" t="s">
        <v>27</v>
      </c>
      <c r="CA773" s="2"/>
      <c r="CB773" s="2"/>
      <c r="CC773" s="2" t="s">
        <v>1361</v>
      </c>
      <c r="CD773" s="2">
        <v>8860</v>
      </c>
      <c r="CE773" s="2" t="s">
        <v>144</v>
      </c>
      <c r="CF773" s="5">
        <v>42843</v>
      </c>
      <c r="CG773" s="2"/>
      <c r="CH773" s="2"/>
      <c r="CI773" s="2">
        <v>3</v>
      </c>
      <c r="CJ773" s="2">
        <v>4</v>
      </c>
      <c r="CK773" s="2">
        <v>23</v>
      </c>
      <c r="CL773" s="2" t="s">
        <v>86</v>
      </c>
      <c r="CM773" s="2"/>
    </row>
    <row r="774" spans="1:91">
      <c r="A774" s="2" t="s">
        <v>71</v>
      </c>
      <c r="B774" s="2" t="s">
        <v>72</v>
      </c>
      <c r="C774" s="2" t="s">
        <v>73</v>
      </c>
      <c r="D774" s="2"/>
      <c r="E774" s="2" t="str">
        <f>"FES1162543072"</f>
        <v>FES1162543072</v>
      </c>
      <c r="F774" s="3">
        <v>42836</v>
      </c>
      <c r="G774" s="2">
        <v>201710</v>
      </c>
      <c r="H774" s="2" t="s">
        <v>74</v>
      </c>
      <c r="I774" s="2" t="s">
        <v>75</v>
      </c>
      <c r="J774" s="2" t="s">
        <v>76</v>
      </c>
      <c r="K774" s="2" t="s">
        <v>77</v>
      </c>
      <c r="L774" s="2" t="s">
        <v>112</v>
      </c>
      <c r="M774" s="2" t="s">
        <v>113</v>
      </c>
      <c r="N774" s="2" t="s">
        <v>1365</v>
      </c>
      <c r="O774" s="2" t="s">
        <v>115</v>
      </c>
      <c r="P774" s="2" t="str">
        <f>"2170561858                    "</f>
        <v xml:space="preserve">2170561858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4.29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1</v>
      </c>
      <c r="BJ774" s="2">
        <v>0.2</v>
      </c>
      <c r="BK774" s="2">
        <v>1</v>
      </c>
      <c r="BL774" s="2">
        <v>41.73</v>
      </c>
      <c r="BM774" s="2">
        <v>5.84</v>
      </c>
      <c r="BN774" s="2">
        <v>47.57</v>
      </c>
      <c r="BO774" s="2">
        <v>47.57</v>
      </c>
      <c r="BP774" s="2"/>
      <c r="BQ774" s="2" t="s">
        <v>1366</v>
      </c>
      <c r="BR774" s="2" t="s">
        <v>123</v>
      </c>
      <c r="BS774" s="3">
        <v>42837</v>
      </c>
      <c r="BT774" s="4">
        <v>0.36805555555555558</v>
      </c>
      <c r="BU774" s="2" t="s">
        <v>1367</v>
      </c>
      <c r="BV774" s="2" t="s">
        <v>111</v>
      </c>
      <c r="BW774" s="2"/>
      <c r="BX774" s="2"/>
      <c r="BY774" s="2">
        <v>1200</v>
      </c>
      <c r="BZ774" s="2" t="s">
        <v>27</v>
      </c>
      <c r="CA774" s="2"/>
      <c r="CB774" s="2"/>
      <c r="CC774" s="2" t="s">
        <v>113</v>
      </c>
      <c r="CD774" s="2">
        <v>3201</v>
      </c>
      <c r="CE774" s="2" t="s">
        <v>144</v>
      </c>
      <c r="CF774" s="5">
        <v>42843</v>
      </c>
      <c r="CG774" s="2"/>
      <c r="CH774" s="2"/>
      <c r="CI774" s="2">
        <v>1</v>
      </c>
      <c r="CJ774" s="2">
        <v>1</v>
      </c>
      <c r="CK774" s="2">
        <v>21</v>
      </c>
      <c r="CL774" s="2" t="s">
        <v>86</v>
      </c>
      <c r="CM774" s="2"/>
    </row>
    <row r="775" spans="1:91">
      <c r="A775" s="2" t="s">
        <v>71</v>
      </c>
      <c r="B775" s="2" t="s">
        <v>72</v>
      </c>
      <c r="C775" s="2" t="s">
        <v>73</v>
      </c>
      <c r="D775" s="2"/>
      <c r="E775" s="2" t="str">
        <f>"FES1162541794"</f>
        <v>FES1162541794</v>
      </c>
      <c r="F775" s="3">
        <v>42830</v>
      </c>
      <c r="G775" s="2">
        <v>201710</v>
      </c>
      <c r="H775" s="2" t="s">
        <v>74</v>
      </c>
      <c r="I775" s="2" t="s">
        <v>75</v>
      </c>
      <c r="J775" s="2" t="s">
        <v>76</v>
      </c>
      <c r="K775" s="2" t="s">
        <v>77</v>
      </c>
      <c r="L775" s="2" t="s">
        <v>260</v>
      </c>
      <c r="M775" s="2" t="s">
        <v>261</v>
      </c>
      <c r="N775" s="2" t="s">
        <v>262</v>
      </c>
      <c r="O775" s="2" t="s">
        <v>115</v>
      </c>
      <c r="P775" s="2" t="str">
        <f>"2170560804                    "</f>
        <v xml:space="preserve">2170560804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3.35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</v>
      </c>
      <c r="BJ775" s="2">
        <v>0.2</v>
      </c>
      <c r="BK775" s="2">
        <v>1</v>
      </c>
      <c r="BL775" s="2">
        <v>32.6</v>
      </c>
      <c r="BM775" s="2">
        <v>4.5599999999999996</v>
      </c>
      <c r="BN775" s="2">
        <v>37.159999999999997</v>
      </c>
      <c r="BO775" s="2">
        <v>37.159999999999997</v>
      </c>
      <c r="BP775" s="2"/>
      <c r="BQ775" s="2" t="s">
        <v>638</v>
      </c>
      <c r="BR775" s="2" t="s">
        <v>123</v>
      </c>
      <c r="BS775" s="3">
        <v>42831</v>
      </c>
      <c r="BT775" s="4">
        <v>0.30902777777777779</v>
      </c>
      <c r="BU775" s="2" t="s">
        <v>1117</v>
      </c>
      <c r="BV775" s="2" t="s">
        <v>111</v>
      </c>
      <c r="BW775" s="2"/>
      <c r="BX775" s="2"/>
      <c r="BY775" s="2">
        <v>1200</v>
      </c>
      <c r="BZ775" s="2" t="s">
        <v>27</v>
      </c>
      <c r="CA775" s="2"/>
      <c r="CB775" s="2"/>
      <c r="CC775" s="2" t="s">
        <v>261</v>
      </c>
      <c r="CD775" s="2">
        <v>1451</v>
      </c>
      <c r="CE775" s="2" t="s">
        <v>118</v>
      </c>
      <c r="CF775" s="5">
        <v>42832</v>
      </c>
      <c r="CG775" s="2"/>
      <c r="CH775" s="2"/>
      <c r="CI775" s="2">
        <v>1</v>
      </c>
      <c r="CJ775" s="2">
        <v>1</v>
      </c>
      <c r="CK775" s="2">
        <v>22</v>
      </c>
      <c r="CL775" s="2" t="s">
        <v>86</v>
      </c>
      <c r="CM775" s="2"/>
    </row>
    <row r="776" spans="1:91">
      <c r="A776" s="2" t="s">
        <v>71</v>
      </c>
      <c r="B776" s="2" t="s">
        <v>72</v>
      </c>
      <c r="C776" s="2" t="s">
        <v>73</v>
      </c>
      <c r="D776" s="2"/>
      <c r="E776" s="2" t="str">
        <f>"FES1162543179"</f>
        <v>FES1162543179</v>
      </c>
      <c r="F776" s="3">
        <v>42837</v>
      </c>
      <c r="G776" s="2">
        <v>201710</v>
      </c>
      <c r="H776" s="2" t="s">
        <v>74</v>
      </c>
      <c r="I776" s="2" t="s">
        <v>75</v>
      </c>
      <c r="J776" s="2" t="s">
        <v>76</v>
      </c>
      <c r="K776" s="2" t="s">
        <v>77</v>
      </c>
      <c r="L776" s="2" t="s">
        <v>506</v>
      </c>
      <c r="M776" s="2" t="s">
        <v>507</v>
      </c>
      <c r="N776" s="2" t="s">
        <v>1368</v>
      </c>
      <c r="O776" s="2" t="s">
        <v>115</v>
      </c>
      <c r="P776" s="2" t="str">
        <f>"2170559834                    "</f>
        <v xml:space="preserve">2170559834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8.31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1</v>
      </c>
      <c r="BI776" s="2">
        <v>1</v>
      </c>
      <c r="BJ776" s="2">
        <v>0.2</v>
      </c>
      <c r="BK776" s="2">
        <v>1</v>
      </c>
      <c r="BL776" s="2">
        <v>80.849999999999994</v>
      </c>
      <c r="BM776" s="2">
        <v>11.32</v>
      </c>
      <c r="BN776" s="2">
        <v>92.17</v>
      </c>
      <c r="BO776" s="2">
        <v>92.17</v>
      </c>
      <c r="BP776" s="2"/>
      <c r="BQ776" s="2" t="s">
        <v>83</v>
      </c>
      <c r="BR776" s="2" t="s">
        <v>84</v>
      </c>
      <c r="BS776" s="3">
        <v>42843</v>
      </c>
      <c r="BT776" s="4">
        <v>0.41666666666666669</v>
      </c>
      <c r="BU776" s="2" t="s">
        <v>1369</v>
      </c>
      <c r="BV776" s="2" t="s">
        <v>86</v>
      </c>
      <c r="BW776" s="2" t="s">
        <v>87</v>
      </c>
      <c r="BX776" s="2" t="s">
        <v>1370</v>
      </c>
      <c r="BY776" s="2">
        <v>1200</v>
      </c>
      <c r="BZ776" s="2" t="s">
        <v>27</v>
      </c>
      <c r="CA776" s="2"/>
      <c r="CB776" s="2"/>
      <c r="CC776" s="2" t="s">
        <v>507</v>
      </c>
      <c r="CD776" s="2">
        <v>7380</v>
      </c>
      <c r="CE776" s="2" t="s">
        <v>118</v>
      </c>
      <c r="CF776" s="5">
        <v>42845</v>
      </c>
      <c r="CG776" s="2"/>
      <c r="CH776" s="2"/>
      <c r="CI776" s="2">
        <v>3</v>
      </c>
      <c r="CJ776" s="2">
        <v>4</v>
      </c>
      <c r="CK776" s="2">
        <v>23</v>
      </c>
      <c r="CL776" s="2" t="s">
        <v>86</v>
      </c>
      <c r="CM776" s="2"/>
    </row>
    <row r="777" spans="1:91">
      <c r="A777" s="2" t="s">
        <v>71</v>
      </c>
      <c r="B777" s="2" t="s">
        <v>72</v>
      </c>
      <c r="C777" s="2" t="s">
        <v>73</v>
      </c>
      <c r="D777" s="2"/>
      <c r="E777" s="2" t="str">
        <f>"FES1162541898"</f>
        <v>FES1162541898</v>
      </c>
      <c r="F777" s="3">
        <v>42831</v>
      </c>
      <c r="G777" s="2">
        <v>201710</v>
      </c>
      <c r="H777" s="2" t="s">
        <v>74</v>
      </c>
      <c r="I777" s="2" t="s">
        <v>75</v>
      </c>
      <c r="J777" s="2" t="s">
        <v>76</v>
      </c>
      <c r="K777" s="2" t="s">
        <v>77</v>
      </c>
      <c r="L777" s="2" t="s">
        <v>260</v>
      </c>
      <c r="M777" s="2" t="s">
        <v>261</v>
      </c>
      <c r="N777" s="2" t="s">
        <v>1371</v>
      </c>
      <c r="O777" s="2" t="s">
        <v>115</v>
      </c>
      <c r="P777" s="2" t="str">
        <f>"2170558618                    "</f>
        <v xml:space="preserve">2170558618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3.35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1</v>
      </c>
      <c r="BJ777" s="2">
        <v>0.2</v>
      </c>
      <c r="BK777" s="2">
        <v>1</v>
      </c>
      <c r="BL777" s="2">
        <v>32.6</v>
      </c>
      <c r="BM777" s="2">
        <v>4.5599999999999996</v>
      </c>
      <c r="BN777" s="2">
        <v>37.159999999999997</v>
      </c>
      <c r="BO777" s="2">
        <v>37.159999999999997</v>
      </c>
      <c r="BP777" s="2"/>
      <c r="BQ777" s="2" t="s">
        <v>1372</v>
      </c>
      <c r="BR777" s="2" t="s">
        <v>123</v>
      </c>
      <c r="BS777" s="3">
        <v>42832</v>
      </c>
      <c r="BT777" s="4">
        <v>0.37152777777777773</v>
      </c>
      <c r="BU777" s="2" t="s">
        <v>1373</v>
      </c>
      <c r="BV777" s="2" t="s">
        <v>111</v>
      </c>
      <c r="BW777" s="2"/>
      <c r="BX777" s="2"/>
      <c r="BY777" s="2">
        <v>1200</v>
      </c>
      <c r="BZ777" s="2" t="s">
        <v>27</v>
      </c>
      <c r="CA777" s="2"/>
      <c r="CB777" s="2"/>
      <c r="CC777" s="2" t="s">
        <v>261</v>
      </c>
      <c r="CD777" s="2">
        <v>1451</v>
      </c>
      <c r="CE777" s="2" t="s">
        <v>118</v>
      </c>
      <c r="CF777" s="5">
        <v>42835</v>
      </c>
      <c r="CG777" s="2"/>
      <c r="CH777" s="2"/>
      <c r="CI777" s="2">
        <v>1</v>
      </c>
      <c r="CJ777" s="2">
        <v>1</v>
      </c>
      <c r="CK777" s="2">
        <v>22</v>
      </c>
      <c r="CL777" s="2" t="s">
        <v>86</v>
      </c>
      <c r="CM777" s="2"/>
    </row>
    <row r="778" spans="1:91">
      <c r="A778" s="2" t="s">
        <v>71</v>
      </c>
      <c r="B778" s="2" t="s">
        <v>72</v>
      </c>
      <c r="C778" s="2" t="s">
        <v>73</v>
      </c>
      <c r="D778" s="2"/>
      <c r="E778" s="2" t="str">
        <f>"FES1162541325"</f>
        <v>FES1162541325</v>
      </c>
      <c r="F778" s="3">
        <v>42829</v>
      </c>
      <c r="G778" s="2">
        <v>201710</v>
      </c>
      <c r="H778" s="2" t="s">
        <v>74</v>
      </c>
      <c r="I778" s="2" t="s">
        <v>75</v>
      </c>
      <c r="J778" s="2" t="s">
        <v>76</v>
      </c>
      <c r="K778" s="2" t="s">
        <v>77</v>
      </c>
      <c r="L778" s="2" t="s">
        <v>131</v>
      </c>
      <c r="M778" s="2" t="s">
        <v>132</v>
      </c>
      <c r="N778" s="2" t="s">
        <v>1374</v>
      </c>
      <c r="O778" s="2" t="s">
        <v>115</v>
      </c>
      <c r="P778" s="2" t="str">
        <f>"2170560400                    "</f>
        <v xml:space="preserve">2170560400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4.42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1</v>
      </c>
      <c r="BJ778" s="2">
        <v>0.2</v>
      </c>
      <c r="BK778" s="2">
        <v>1</v>
      </c>
      <c r="BL778" s="2">
        <v>41.86</v>
      </c>
      <c r="BM778" s="2">
        <v>5.86</v>
      </c>
      <c r="BN778" s="2">
        <v>47.72</v>
      </c>
      <c r="BO778" s="2">
        <v>47.72</v>
      </c>
      <c r="BP778" s="2"/>
      <c r="BQ778" s="2"/>
      <c r="BR778" s="2" t="s">
        <v>123</v>
      </c>
      <c r="BS778" s="3">
        <v>42830</v>
      </c>
      <c r="BT778" s="4">
        <v>0.3347222222222222</v>
      </c>
      <c r="BU778" s="2" t="s">
        <v>1375</v>
      </c>
      <c r="BV778" s="2" t="s">
        <v>111</v>
      </c>
      <c r="BW778" s="2"/>
      <c r="BX778" s="2"/>
      <c r="BY778" s="2">
        <v>1200</v>
      </c>
      <c r="BZ778" s="2" t="s">
        <v>27</v>
      </c>
      <c r="CA778" s="2"/>
      <c r="CB778" s="2"/>
      <c r="CC778" s="2" t="s">
        <v>132</v>
      </c>
      <c r="CD778" s="2">
        <v>7530</v>
      </c>
      <c r="CE778" s="2" t="s">
        <v>144</v>
      </c>
      <c r="CF778" s="5">
        <v>42831</v>
      </c>
      <c r="CG778" s="2"/>
      <c r="CH778" s="2"/>
      <c r="CI778" s="2">
        <v>1</v>
      </c>
      <c r="CJ778" s="2">
        <v>1</v>
      </c>
      <c r="CK778" s="2">
        <v>21</v>
      </c>
      <c r="CL778" s="2" t="s">
        <v>86</v>
      </c>
      <c r="CM778" s="2"/>
    </row>
    <row r="779" spans="1:91">
      <c r="A779" s="2" t="s">
        <v>71</v>
      </c>
      <c r="B779" s="2" t="s">
        <v>72</v>
      </c>
      <c r="C779" s="2" t="s">
        <v>73</v>
      </c>
      <c r="D779" s="2"/>
      <c r="E779" s="2" t="str">
        <f>"FES1162542979"</f>
        <v>FES1162542979</v>
      </c>
      <c r="F779" s="3">
        <v>42836</v>
      </c>
      <c r="G779" s="2">
        <v>201710</v>
      </c>
      <c r="H779" s="2" t="s">
        <v>74</v>
      </c>
      <c r="I779" s="2" t="s">
        <v>75</v>
      </c>
      <c r="J779" s="2" t="s">
        <v>76</v>
      </c>
      <c r="K779" s="2" t="s">
        <v>77</v>
      </c>
      <c r="L779" s="2" t="s">
        <v>99</v>
      </c>
      <c r="M779" s="2" t="s">
        <v>100</v>
      </c>
      <c r="N779" s="2" t="s">
        <v>1057</v>
      </c>
      <c r="O779" s="2" t="s">
        <v>115</v>
      </c>
      <c r="P779" s="2" t="str">
        <f>"2170561469                    "</f>
        <v xml:space="preserve">2170561469 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5.36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1.7</v>
      </c>
      <c r="BJ779" s="2">
        <v>2.2999999999999998</v>
      </c>
      <c r="BK779" s="2">
        <v>2.5</v>
      </c>
      <c r="BL779" s="2">
        <v>52.16</v>
      </c>
      <c r="BM779" s="2">
        <v>7.3</v>
      </c>
      <c r="BN779" s="2">
        <v>59.46</v>
      </c>
      <c r="BO779" s="2">
        <v>59.46</v>
      </c>
      <c r="BP779" s="2"/>
      <c r="BQ779" s="2" t="s">
        <v>1058</v>
      </c>
      <c r="BR779" s="2" t="s">
        <v>123</v>
      </c>
      <c r="BS779" s="3">
        <v>42837</v>
      </c>
      <c r="BT779" s="4">
        <v>0.36319444444444443</v>
      </c>
      <c r="BU779" s="2" t="s">
        <v>1223</v>
      </c>
      <c r="BV779" s="2" t="s">
        <v>111</v>
      </c>
      <c r="BW779" s="2"/>
      <c r="BX779" s="2"/>
      <c r="BY779" s="2">
        <v>11503.36</v>
      </c>
      <c r="BZ779" s="2" t="s">
        <v>27</v>
      </c>
      <c r="CA779" s="2" t="s">
        <v>154</v>
      </c>
      <c r="CB779" s="2"/>
      <c r="CC779" s="2" t="s">
        <v>100</v>
      </c>
      <c r="CD779" s="2">
        <v>6001</v>
      </c>
      <c r="CE779" s="2" t="s">
        <v>144</v>
      </c>
      <c r="CF779" s="5">
        <v>42837</v>
      </c>
      <c r="CG779" s="2"/>
      <c r="CH779" s="2"/>
      <c r="CI779" s="2">
        <v>1</v>
      </c>
      <c r="CJ779" s="2">
        <v>1</v>
      </c>
      <c r="CK779" s="2">
        <v>21</v>
      </c>
      <c r="CL779" s="2" t="s">
        <v>86</v>
      </c>
      <c r="CM779" s="2"/>
    </row>
    <row r="780" spans="1:91">
      <c r="A780" s="2" t="s">
        <v>71</v>
      </c>
      <c r="B780" s="2" t="s">
        <v>72</v>
      </c>
      <c r="C780" s="2" t="s">
        <v>73</v>
      </c>
      <c r="D780" s="2"/>
      <c r="E780" s="2" t="str">
        <f>"FES1162541811"</f>
        <v>FES1162541811</v>
      </c>
      <c r="F780" s="3">
        <v>42830</v>
      </c>
      <c r="G780" s="2">
        <v>201710</v>
      </c>
      <c r="H780" s="2" t="s">
        <v>74</v>
      </c>
      <c r="I780" s="2" t="s">
        <v>75</v>
      </c>
      <c r="J780" s="2" t="s">
        <v>76</v>
      </c>
      <c r="K780" s="2" t="s">
        <v>77</v>
      </c>
      <c r="L780" s="2" t="s">
        <v>166</v>
      </c>
      <c r="M780" s="2" t="s">
        <v>167</v>
      </c>
      <c r="N780" s="2" t="s">
        <v>942</v>
      </c>
      <c r="O780" s="2" t="s">
        <v>115</v>
      </c>
      <c r="P780" s="2" t="str">
        <f>"2170560822                    "</f>
        <v xml:space="preserve">2170560822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3.35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1</v>
      </c>
      <c r="BJ780" s="2">
        <v>0.2</v>
      </c>
      <c r="BK780" s="2">
        <v>1</v>
      </c>
      <c r="BL780" s="2">
        <v>32.6</v>
      </c>
      <c r="BM780" s="2">
        <v>4.5599999999999996</v>
      </c>
      <c r="BN780" s="2">
        <v>37.159999999999997</v>
      </c>
      <c r="BO780" s="2">
        <v>37.159999999999997</v>
      </c>
      <c r="BP780" s="2"/>
      <c r="BQ780" s="2" t="s">
        <v>943</v>
      </c>
      <c r="BR780" s="2" t="s">
        <v>123</v>
      </c>
      <c r="BS780" s="3">
        <v>42831</v>
      </c>
      <c r="BT780" s="4">
        <v>0.41597222222222219</v>
      </c>
      <c r="BU780" s="2" t="s">
        <v>1337</v>
      </c>
      <c r="BV780" s="2" t="s">
        <v>111</v>
      </c>
      <c r="BW780" s="2"/>
      <c r="BX780" s="2"/>
      <c r="BY780" s="2">
        <v>1200</v>
      </c>
      <c r="BZ780" s="2" t="s">
        <v>27</v>
      </c>
      <c r="CA780" s="2" t="s">
        <v>159</v>
      </c>
      <c r="CB780" s="2"/>
      <c r="CC780" s="2" t="s">
        <v>167</v>
      </c>
      <c r="CD780" s="2">
        <v>2065</v>
      </c>
      <c r="CE780" s="2" t="s">
        <v>118</v>
      </c>
      <c r="CF780" s="5">
        <v>42832</v>
      </c>
      <c r="CG780" s="2"/>
      <c r="CH780" s="2"/>
      <c r="CI780" s="2">
        <v>1</v>
      </c>
      <c r="CJ780" s="2">
        <v>1</v>
      </c>
      <c r="CK780" s="2">
        <v>22</v>
      </c>
      <c r="CL780" s="2" t="s">
        <v>86</v>
      </c>
      <c r="CM780" s="2"/>
    </row>
    <row r="781" spans="1:91">
      <c r="A781" s="2" t="s">
        <v>71</v>
      </c>
      <c r="B781" s="2" t="s">
        <v>72</v>
      </c>
      <c r="C781" s="2" t="s">
        <v>73</v>
      </c>
      <c r="D781" s="2"/>
      <c r="E781" s="2" t="str">
        <f>"FES1162541705"</f>
        <v>FES1162541705</v>
      </c>
      <c r="F781" s="3">
        <v>42830</v>
      </c>
      <c r="G781" s="2">
        <v>201710</v>
      </c>
      <c r="H781" s="2" t="s">
        <v>74</v>
      </c>
      <c r="I781" s="2" t="s">
        <v>75</v>
      </c>
      <c r="J781" s="2" t="s">
        <v>76</v>
      </c>
      <c r="K781" s="2" t="s">
        <v>77</v>
      </c>
      <c r="L781" s="2" t="s">
        <v>99</v>
      </c>
      <c r="M781" s="2" t="s">
        <v>100</v>
      </c>
      <c r="N781" s="2" t="s">
        <v>108</v>
      </c>
      <c r="O781" s="2" t="s">
        <v>115</v>
      </c>
      <c r="P781" s="2" t="str">
        <f>"2170554614                    "</f>
        <v xml:space="preserve">2170554614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4.29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1</v>
      </c>
      <c r="BJ781" s="2">
        <v>1.8</v>
      </c>
      <c r="BK781" s="2">
        <v>2</v>
      </c>
      <c r="BL781" s="2">
        <v>41.73</v>
      </c>
      <c r="BM781" s="2">
        <v>5.84</v>
      </c>
      <c r="BN781" s="2">
        <v>47.57</v>
      </c>
      <c r="BO781" s="2">
        <v>47.57</v>
      </c>
      <c r="BP781" s="2"/>
      <c r="BQ781" s="2" t="s">
        <v>109</v>
      </c>
      <c r="BR781" s="2" t="s">
        <v>123</v>
      </c>
      <c r="BS781" s="3">
        <v>42831</v>
      </c>
      <c r="BT781" s="4">
        <v>0.41666666666666669</v>
      </c>
      <c r="BU781" s="2" t="s">
        <v>110</v>
      </c>
      <c r="BV781" s="2" t="s">
        <v>111</v>
      </c>
      <c r="BW781" s="2"/>
      <c r="BX781" s="2"/>
      <c r="BY781" s="2">
        <v>8908.42</v>
      </c>
      <c r="BZ781" s="2" t="s">
        <v>27</v>
      </c>
      <c r="CA781" s="2" t="s">
        <v>106</v>
      </c>
      <c r="CB781" s="2"/>
      <c r="CC781" s="2" t="s">
        <v>100</v>
      </c>
      <c r="CD781" s="2">
        <v>6001</v>
      </c>
      <c r="CE781" s="2" t="s">
        <v>144</v>
      </c>
      <c r="CF781" s="5">
        <v>42831</v>
      </c>
      <c r="CG781" s="2"/>
      <c r="CH781" s="2"/>
      <c r="CI781" s="2">
        <v>1</v>
      </c>
      <c r="CJ781" s="2">
        <v>1</v>
      </c>
      <c r="CK781" s="2">
        <v>21</v>
      </c>
      <c r="CL781" s="2" t="s">
        <v>86</v>
      </c>
      <c r="CM781" s="2"/>
    </row>
    <row r="782" spans="1:91">
      <c r="A782" s="2" t="s">
        <v>71</v>
      </c>
      <c r="B782" s="2" t="s">
        <v>72</v>
      </c>
      <c r="C782" s="2" t="s">
        <v>73</v>
      </c>
      <c r="D782" s="2"/>
      <c r="E782" s="2" t="str">
        <f>"FES1162543273"</f>
        <v>FES1162543273</v>
      </c>
      <c r="F782" s="3">
        <v>42837</v>
      </c>
      <c r="G782" s="2">
        <v>201710</v>
      </c>
      <c r="H782" s="2" t="s">
        <v>74</v>
      </c>
      <c r="I782" s="2" t="s">
        <v>75</v>
      </c>
      <c r="J782" s="2" t="s">
        <v>76</v>
      </c>
      <c r="K782" s="2" t="s">
        <v>77</v>
      </c>
      <c r="L782" s="2" t="s">
        <v>131</v>
      </c>
      <c r="M782" s="2" t="s">
        <v>132</v>
      </c>
      <c r="N782" s="2" t="s">
        <v>1376</v>
      </c>
      <c r="O782" s="2" t="s">
        <v>115</v>
      </c>
      <c r="P782" s="2" t="str">
        <f>"2170559641                    "</f>
        <v xml:space="preserve">2170559641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4.29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0.2</v>
      </c>
      <c r="BJ782" s="2">
        <v>1.2</v>
      </c>
      <c r="BK782" s="2">
        <v>1.5</v>
      </c>
      <c r="BL782" s="2">
        <v>41.73</v>
      </c>
      <c r="BM782" s="2">
        <v>5.84</v>
      </c>
      <c r="BN782" s="2">
        <v>47.57</v>
      </c>
      <c r="BO782" s="2">
        <v>47.57</v>
      </c>
      <c r="BP782" s="2"/>
      <c r="BQ782" s="2" t="s">
        <v>1377</v>
      </c>
      <c r="BR782" s="2" t="s">
        <v>84</v>
      </c>
      <c r="BS782" s="3">
        <v>42838</v>
      </c>
      <c r="BT782" s="4">
        <v>0.40625</v>
      </c>
      <c r="BU782" s="2" t="s">
        <v>1378</v>
      </c>
      <c r="BV782" s="2" t="s">
        <v>111</v>
      </c>
      <c r="BW782" s="2"/>
      <c r="BX782" s="2"/>
      <c r="BY782" s="2">
        <v>5759.52</v>
      </c>
      <c r="BZ782" s="2" t="s">
        <v>27</v>
      </c>
      <c r="CA782" s="2"/>
      <c r="CB782" s="2"/>
      <c r="CC782" s="2" t="s">
        <v>132</v>
      </c>
      <c r="CD782" s="2">
        <v>7975</v>
      </c>
      <c r="CE782" s="2" t="s">
        <v>118</v>
      </c>
      <c r="CF782" s="5">
        <v>42843</v>
      </c>
      <c r="CG782" s="2"/>
      <c r="CH782" s="2"/>
      <c r="CI782" s="2">
        <v>1</v>
      </c>
      <c r="CJ782" s="2">
        <v>1</v>
      </c>
      <c r="CK782" s="2">
        <v>21</v>
      </c>
      <c r="CL782" s="2" t="s">
        <v>86</v>
      </c>
      <c r="CM782" s="2"/>
    </row>
    <row r="783" spans="1:91">
      <c r="A783" s="2" t="s">
        <v>71</v>
      </c>
      <c r="B783" s="2" t="s">
        <v>72</v>
      </c>
      <c r="C783" s="2" t="s">
        <v>73</v>
      </c>
      <c r="D783" s="2"/>
      <c r="E783" s="2" t="str">
        <f>"FES1162541916"</f>
        <v>FES1162541916</v>
      </c>
      <c r="F783" s="3">
        <v>42831</v>
      </c>
      <c r="G783" s="2">
        <v>201710</v>
      </c>
      <c r="H783" s="2" t="s">
        <v>74</v>
      </c>
      <c r="I783" s="2" t="s">
        <v>75</v>
      </c>
      <c r="J783" s="2" t="s">
        <v>76</v>
      </c>
      <c r="K783" s="2" t="s">
        <v>77</v>
      </c>
      <c r="L783" s="2" t="s">
        <v>1026</v>
      </c>
      <c r="M783" s="2" t="s">
        <v>1027</v>
      </c>
      <c r="N783" s="2" t="s">
        <v>1379</v>
      </c>
      <c r="O783" s="2" t="s">
        <v>115</v>
      </c>
      <c r="P783" s="2" t="str">
        <f>"2170560464                    "</f>
        <v xml:space="preserve">2170560464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8.31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1</v>
      </c>
      <c r="BI783" s="2">
        <v>1</v>
      </c>
      <c r="BJ783" s="2">
        <v>0.2</v>
      </c>
      <c r="BK783" s="2">
        <v>1</v>
      </c>
      <c r="BL783" s="2">
        <v>80.849999999999994</v>
      </c>
      <c r="BM783" s="2">
        <v>11.32</v>
      </c>
      <c r="BN783" s="2">
        <v>92.17</v>
      </c>
      <c r="BO783" s="2">
        <v>92.17</v>
      </c>
      <c r="BP783" s="2"/>
      <c r="BQ783" s="2" t="s">
        <v>83</v>
      </c>
      <c r="BR783" s="2" t="s">
        <v>123</v>
      </c>
      <c r="BS783" s="3">
        <v>42832</v>
      </c>
      <c r="BT783" s="4">
        <v>0.41666666666666669</v>
      </c>
      <c r="BU783" s="2" t="s">
        <v>1380</v>
      </c>
      <c r="BV783" s="2" t="s">
        <v>111</v>
      </c>
      <c r="BW783" s="2"/>
      <c r="BX783" s="2"/>
      <c r="BY783" s="2">
        <v>1200</v>
      </c>
      <c r="BZ783" s="2" t="s">
        <v>27</v>
      </c>
      <c r="CA783" s="2"/>
      <c r="CB783" s="2"/>
      <c r="CC783" s="2" t="s">
        <v>1027</v>
      </c>
      <c r="CD783" s="2">
        <v>7349</v>
      </c>
      <c r="CE783" s="2" t="s">
        <v>144</v>
      </c>
      <c r="CF783" s="5">
        <v>42835</v>
      </c>
      <c r="CG783" s="2"/>
      <c r="CH783" s="2"/>
      <c r="CI783" s="2">
        <v>1</v>
      </c>
      <c r="CJ783" s="2">
        <v>1</v>
      </c>
      <c r="CK783" s="2">
        <v>23</v>
      </c>
      <c r="CL783" s="2" t="s">
        <v>86</v>
      </c>
      <c r="CM783" s="2"/>
    </row>
    <row r="784" spans="1:91">
      <c r="A784" s="2" t="s">
        <v>71</v>
      </c>
      <c r="B784" s="2" t="s">
        <v>72</v>
      </c>
      <c r="C784" s="2" t="s">
        <v>73</v>
      </c>
      <c r="D784" s="2"/>
      <c r="E784" s="2" t="str">
        <f>"FES1162541347"</f>
        <v>FES1162541347</v>
      </c>
      <c r="F784" s="3">
        <v>42829</v>
      </c>
      <c r="G784" s="2">
        <v>201710</v>
      </c>
      <c r="H784" s="2" t="s">
        <v>74</v>
      </c>
      <c r="I784" s="2" t="s">
        <v>75</v>
      </c>
      <c r="J784" s="2" t="s">
        <v>76</v>
      </c>
      <c r="K784" s="2" t="s">
        <v>77</v>
      </c>
      <c r="L784" s="2" t="s">
        <v>443</v>
      </c>
      <c r="M784" s="2" t="s">
        <v>444</v>
      </c>
      <c r="N784" s="2" t="s">
        <v>445</v>
      </c>
      <c r="O784" s="2" t="s">
        <v>115</v>
      </c>
      <c r="P784" s="2" t="str">
        <f>"2170560423                    "</f>
        <v xml:space="preserve">2170560423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4.42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1</v>
      </c>
      <c r="BI784" s="2">
        <v>1</v>
      </c>
      <c r="BJ784" s="2">
        <v>0.2</v>
      </c>
      <c r="BK784" s="2">
        <v>1</v>
      </c>
      <c r="BL784" s="2">
        <v>41.86</v>
      </c>
      <c r="BM784" s="2">
        <v>5.86</v>
      </c>
      <c r="BN784" s="2">
        <v>47.72</v>
      </c>
      <c r="BO784" s="2">
        <v>47.72</v>
      </c>
      <c r="BP784" s="2"/>
      <c r="BQ784" s="2" t="s">
        <v>129</v>
      </c>
      <c r="BR784" s="2" t="s">
        <v>123</v>
      </c>
      <c r="BS784" s="3">
        <v>42830</v>
      </c>
      <c r="BT784" s="4">
        <v>0.41666666666666669</v>
      </c>
      <c r="BU784" s="2" t="s">
        <v>446</v>
      </c>
      <c r="BV784" s="2" t="s">
        <v>111</v>
      </c>
      <c r="BW784" s="2"/>
      <c r="BX784" s="2"/>
      <c r="BY784" s="2">
        <v>1200</v>
      </c>
      <c r="BZ784" s="2" t="s">
        <v>27</v>
      </c>
      <c r="CA784" s="2" t="s">
        <v>159</v>
      </c>
      <c r="CB784" s="2"/>
      <c r="CC784" s="2" t="s">
        <v>444</v>
      </c>
      <c r="CD784" s="2">
        <v>7130</v>
      </c>
      <c r="CE784" s="2" t="s">
        <v>144</v>
      </c>
      <c r="CF784" s="5">
        <v>42831</v>
      </c>
      <c r="CG784" s="2"/>
      <c r="CH784" s="2"/>
      <c r="CI784" s="2">
        <v>1</v>
      </c>
      <c r="CJ784" s="2">
        <v>1</v>
      </c>
      <c r="CK784" s="2">
        <v>21</v>
      </c>
      <c r="CL784" s="2" t="s">
        <v>86</v>
      </c>
      <c r="CM784" s="2"/>
    </row>
    <row r="785" spans="1:91">
      <c r="A785" s="2" t="s">
        <v>71</v>
      </c>
      <c r="B785" s="2" t="s">
        <v>72</v>
      </c>
      <c r="C785" s="2" t="s">
        <v>73</v>
      </c>
      <c r="D785" s="2"/>
      <c r="E785" s="2" t="str">
        <f>"FES1162542961"</f>
        <v>FES1162542961</v>
      </c>
      <c r="F785" s="3">
        <v>42836</v>
      </c>
      <c r="G785" s="2">
        <v>201710</v>
      </c>
      <c r="H785" s="2" t="s">
        <v>74</v>
      </c>
      <c r="I785" s="2" t="s">
        <v>75</v>
      </c>
      <c r="J785" s="2" t="s">
        <v>76</v>
      </c>
      <c r="K785" s="2" t="s">
        <v>77</v>
      </c>
      <c r="L785" s="2" t="s">
        <v>396</v>
      </c>
      <c r="M785" s="2" t="s">
        <v>397</v>
      </c>
      <c r="N785" s="2" t="s">
        <v>1381</v>
      </c>
      <c r="O785" s="2" t="s">
        <v>115</v>
      </c>
      <c r="P785" s="2" t="str">
        <f>"2170561750                    "</f>
        <v xml:space="preserve">2170561750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4.29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1</v>
      </c>
      <c r="BI785" s="2">
        <v>1</v>
      </c>
      <c r="BJ785" s="2">
        <v>0.2</v>
      </c>
      <c r="BK785" s="2">
        <v>1</v>
      </c>
      <c r="BL785" s="2">
        <v>41.73</v>
      </c>
      <c r="BM785" s="2">
        <v>5.84</v>
      </c>
      <c r="BN785" s="2">
        <v>47.57</v>
      </c>
      <c r="BO785" s="2">
        <v>47.57</v>
      </c>
      <c r="BP785" s="2"/>
      <c r="BQ785" s="2" t="s">
        <v>129</v>
      </c>
      <c r="BR785" s="2" t="s">
        <v>123</v>
      </c>
      <c r="BS785" s="3">
        <v>42837</v>
      </c>
      <c r="BT785" s="4">
        <v>0.4375</v>
      </c>
      <c r="BU785" s="2" t="s">
        <v>1382</v>
      </c>
      <c r="BV785" s="2" t="s">
        <v>111</v>
      </c>
      <c r="BW785" s="2"/>
      <c r="BX785" s="2"/>
      <c r="BY785" s="2">
        <v>1200</v>
      </c>
      <c r="BZ785" s="2" t="s">
        <v>27</v>
      </c>
      <c r="CA785" s="2"/>
      <c r="CB785" s="2"/>
      <c r="CC785" s="2" t="s">
        <v>397</v>
      </c>
      <c r="CD785" s="2">
        <v>4300</v>
      </c>
      <c r="CE785" s="2" t="s">
        <v>144</v>
      </c>
      <c r="CF785" s="5">
        <v>42838</v>
      </c>
      <c r="CG785" s="2"/>
      <c r="CH785" s="2"/>
      <c r="CI785" s="2">
        <v>1</v>
      </c>
      <c r="CJ785" s="2">
        <v>1</v>
      </c>
      <c r="CK785" s="2">
        <v>21</v>
      </c>
      <c r="CL785" s="2" t="s">
        <v>86</v>
      </c>
      <c r="CM785" s="2"/>
    </row>
    <row r="786" spans="1:91">
      <c r="A786" s="2" t="s">
        <v>71</v>
      </c>
      <c r="B786" s="2" t="s">
        <v>72</v>
      </c>
      <c r="C786" s="2" t="s">
        <v>73</v>
      </c>
      <c r="D786" s="2"/>
      <c r="E786" s="2" t="str">
        <f>"FES1162541797"</f>
        <v>FES1162541797</v>
      </c>
      <c r="F786" s="3">
        <v>42830</v>
      </c>
      <c r="G786" s="2">
        <v>201710</v>
      </c>
      <c r="H786" s="2" t="s">
        <v>74</v>
      </c>
      <c r="I786" s="2" t="s">
        <v>75</v>
      </c>
      <c r="J786" s="2" t="s">
        <v>76</v>
      </c>
      <c r="K786" s="2" t="s">
        <v>77</v>
      </c>
      <c r="L786" s="2" t="s">
        <v>74</v>
      </c>
      <c r="M786" s="2" t="s">
        <v>75</v>
      </c>
      <c r="N786" s="2" t="s">
        <v>1383</v>
      </c>
      <c r="O786" s="2" t="s">
        <v>115</v>
      </c>
      <c r="P786" s="2" t="str">
        <f>"2170560807                    "</f>
        <v xml:space="preserve">2170560807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3.35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1</v>
      </c>
      <c r="BJ786" s="2">
        <v>0.2</v>
      </c>
      <c r="BK786" s="2">
        <v>1</v>
      </c>
      <c r="BL786" s="2">
        <v>32.6</v>
      </c>
      <c r="BM786" s="2">
        <v>4.5599999999999996</v>
      </c>
      <c r="BN786" s="2">
        <v>37.159999999999997</v>
      </c>
      <c r="BO786" s="2">
        <v>37.159999999999997</v>
      </c>
      <c r="BP786" s="2"/>
      <c r="BQ786" s="2" t="s">
        <v>1384</v>
      </c>
      <c r="BR786" s="2" t="s">
        <v>123</v>
      </c>
      <c r="BS786" s="3">
        <v>42831</v>
      </c>
      <c r="BT786" s="4">
        <v>0.41666666666666669</v>
      </c>
      <c r="BU786" s="2" t="s">
        <v>1385</v>
      </c>
      <c r="BV786" s="2" t="s">
        <v>111</v>
      </c>
      <c r="BW786" s="2"/>
      <c r="BX786" s="2"/>
      <c r="BY786" s="2">
        <v>1200</v>
      </c>
      <c r="BZ786" s="2" t="s">
        <v>27</v>
      </c>
      <c r="CA786" s="2"/>
      <c r="CB786" s="2"/>
      <c r="CC786" s="2" t="s">
        <v>75</v>
      </c>
      <c r="CD786" s="2">
        <v>1600</v>
      </c>
      <c r="CE786" s="2" t="s">
        <v>118</v>
      </c>
      <c r="CF786" s="5">
        <v>42832</v>
      </c>
      <c r="CG786" s="2"/>
      <c r="CH786" s="2"/>
      <c r="CI786" s="2">
        <v>1</v>
      </c>
      <c r="CJ786" s="2">
        <v>1</v>
      </c>
      <c r="CK786" s="2">
        <v>22</v>
      </c>
      <c r="CL786" s="2" t="s">
        <v>86</v>
      </c>
      <c r="CM786" s="2"/>
    </row>
    <row r="787" spans="1:91">
      <c r="A787" s="2" t="s">
        <v>71</v>
      </c>
      <c r="B787" s="2" t="s">
        <v>72</v>
      </c>
      <c r="C787" s="2" t="s">
        <v>73</v>
      </c>
      <c r="D787" s="2"/>
      <c r="E787" s="2" t="str">
        <f>"FES1162541600"</f>
        <v>FES1162541600</v>
      </c>
      <c r="F787" s="3">
        <v>42830</v>
      </c>
      <c r="G787" s="2">
        <v>201710</v>
      </c>
      <c r="H787" s="2" t="s">
        <v>74</v>
      </c>
      <c r="I787" s="2" t="s">
        <v>75</v>
      </c>
      <c r="J787" s="2" t="s">
        <v>76</v>
      </c>
      <c r="K787" s="2" t="s">
        <v>77</v>
      </c>
      <c r="L787" s="2" t="s">
        <v>99</v>
      </c>
      <c r="M787" s="2" t="s">
        <v>100</v>
      </c>
      <c r="N787" s="2" t="s">
        <v>848</v>
      </c>
      <c r="O787" s="2" t="s">
        <v>115</v>
      </c>
      <c r="P787" s="2" t="str">
        <f>"2170555255                    "</f>
        <v xml:space="preserve">2170555255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8.57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3.4</v>
      </c>
      <c r="BJ787" s="2">
        <v>3.9</v>
      </c>
      <c r="BK787" s="2">
        <v>4</v>
      </c>
      <c r="BL787" s="2">
        <v>83.45</v>
      </c>
      <c r="BM787" s="2">
        <v>11.68</v>
      </c>
      <c r="BN787" s="2">
        <v>95.13</v>
      </c>
      <c r="BO787" s="2">
        <v>95.13</v>
      </c>
      <c r="BP787" s="2"/>
      <c r="BQ787" s="2" t="s">
        <v>849</v>
      </c>
      <c r="BR787" s="2" t="s">
        <v>123</v>
      </c>
      <c r="BS787" s="3">
        <v>42831</v>
      </c>
      <c r="BT787" s="4">
        <v>0.28819444444444448</v>
      </c>
      <c r="BU787" s="2" t="s">
        <v>1305</v>
      </c>
      <c r="BV787" s="2" t="s">
        <v>111</v>
      </c>
      <c r="BW787" s="2"/>
      <c r="BX787" s="2"/>
      <c r="BY787" s="2">
        <v>19478.04</v>
      </c>
      <c r="BZ787" s="2" t="s">
        <v>27</v>
      </c>
      <c r="CA787" s="2" t="s">
        <v>106</v>
      </c>
      <c r="CB787" s="2"/>
      <c r="CC787" s="2" t="s">
        <v>100</v>
      </c>
      <c r="CD787" s="2">
        <v>6012</v>
      </c>
      <c r="CE787" s="2" t="s">
        <v>144</v>
      </c>
      <c r="CF787" s="5">
        <v>42831</v>
      </c>
      <c r="CG787" s="2"/>
      <c r="CH787" s="2"/>
      <c r="CI787" s="2">
        <v>1</v>
      </c>
      <c r="CJ787" s="2">
        <v>1</v>
      </c>
      <c r="CK787" s="2">
        <v>21</v>
      </c>
      <c r="CL787" s="2" t="s">
        <v>86</v>
      </c>
      <c r="CM787" s="2"/>
    </row>
    <row r="788" spans="1:91">
      <c r="A788" s="2" t="s">
        <v>71</v>
      </c>
      <c r="B788" s="2" t="s">
        <v>72</v>
      </c>
      <c r="C788" s="2" t="s">
        <v>73</v>
      </c>
      <c r="D788" s="2"/>
      <c r="E788" s="2" t="str">
        <f>"FES1162543258"</f>
        <v>FES1162543258</v>
      </c>
      <c r="F788" s="3">
        <v>42837</v>
      </c>
      <c r="G788" s="2">
        <v>201710</v>
      </c>
      <c r="H788" s="2" t="s">
        <v>74</v>
      </c>
      <c r="I788" s="2" t="s">
        <v>75</v>
      </c>
      <c r="J788" s="2" t="s">
        <v>76</v>
      </c>
      <c r="K788" s="2" t="s">
        <v>77</v>
      </c>
      <c r="L788" s="2" t="s">
        <v>176</v>
      </c>
      <c r="M788" s="2" t="s">
        <v>176</v>
      </c>
      <c r="N788" s="2" t="s">
        <v>339</v>
      </c>
      <c r="O788" s="2" t="s">
        <v>115</v>
      </c>
      <c r="P788" s="2" t="str">
        <f>"2170559453                    "</f>
        <v xml:space="preserve">2170559453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4.29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1</v>
      </c>
      <c r="BJ788" s="2">
        <v>0.2</v>
      </c>
      <c r="BK788" s="2">
        <v>1</v>
      </c>
      <c r="BL788" s="2">
        <v>41.73</v>
      </c>
      <c r="BM788" s="2">
        <v>5.84</v>
      </c>
      <c r="BN788" s="2">
        <v>47.57</v>
      </c>
      <c r="BO788" s="2">
        <v>47.57</v>
      </c>
      <c r="BP788" s="2"/>
      <c r="BQ788" s="2" t="s">
        <v>340</v>
      </c>
      <c r="BR788" s="2" t="s">
        <v>84</v>
      </c>
      <c r="BS788" s="3">
        <v>42838</v>
      </c>
      <c r="BT788" s="4">
        <v>0.4548611111111111</v>
      </c>
      <c r="BU788" s="2" t="s">
        <v>1386</v>
      </c>
      <c r="BV788" s="2" t="s">
        <v>111</v>
      </c>
      <c r="BW788" s="2"/>
      <c r="BX788" s="2"/>
      <c r="BY788" s="2">
        <v>1200</v>
      </c>
      <c r="BZ788" s="2" t="s">
        <v>27</v>
      </c>
      <c r="CA788" s="2"/>
      <c r="CB788" s="2"/>
      <c r="CC788" s="2" t="s">
        <v>176</v>
      </c>
      <c r="CD788" s="2">
        <v>7646</v>
      </c>
      <c r="CE788" s="2" t="s">
        <v>118</v>
      </c>
      <c r="CF788" s="5">
        <v>42843</v>
      </c>
      <c r="CG788" s="2"/>
      <c r="CH788" s="2"/>
      <c r="CI788" s="2">
        <v>1</v>
      </c>
      <c r="CJ788" s="2">
        <v>1</v>
      </c>
      <c r="CK788" s="2">
        <v>21</v>
      </c>
      <c r="CL788" s="2" t="s">
        <v>86</v>
      </c>
      <c r="CM788" s="2"/>
    </row>
    <row r="789" spans="1:91">
      <c r="A789" s="2" t="s">
        <v>71</v>
      </c>
      <c r="B789" s="2" t="s">
        <v>72</v>
      </c>
      <c r="C789" s="2" t="s">
        <v>73</v>
      </c>
      <c r="D789" s="2"/>
      <c r="E789" s="2" t="str">
        <f>"FES1162541963"</f>
        <v>FES1162541963</v>
      </c>
      <c r="F789" s="3">
        <v>42831</v>
      </c>
      <c r="G789" s="2">
        <v>201710</v>
      </c>
      <c r="H789" s="2" t="s">
        <v>74</v>
      </c>
      <c r="I789" s="2" t="s">
        <v>75</v>
      </c>
      <c r="J789" s="2" t="s">
        <v>76</v>
      </c>
      <c r="K789" s="2" t="s">
        <v>77</v>
      </c>
      <c r="L789" s="2" t="s">
        <v>160</v>
      </c>
      <c r="M789" s="2" t="s">
        <v>161</v>
      </c>
      <c r="N789" s="2" t="s">
        <v>1042</v>
      </c>
      <c r="O789" s="2" t="s">
        <v>115</v>
      </c>
      <c r="P789" s="2" t="str">
        <f>"2170560956                    "</f>
        <v xml:space="preserve">2170560956 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4.29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1</v>
      </c>
      <c r="BJ789" s="2">
        <v>0.2</v>
      </c>
      <c r="BK789" s="2">
        <v>1</v>
      </c>
      <c r="BL789" s="2">
        <v>41.73</v>
      </c>
      <c r="BM789" s="2">
        <v>5.84</v>
      </c>
      <c r="BN789" s="2">
        <v>47.57</v>
      </c>
      <c r="BO789" s="2">
        <v>47.57</v>
      </c>
      <c r="BP789" s="2"/>
      <c r="BQ789" s="2" t="s">
        <v>1387</v>
      </c>
      <c r="BR789" s="2" t="s">
        <v>123</v>
      </c>
      <c r="BS789" s="3">
        <v>42832</v>
      </c>
      <c r="BT789" s="4">
        <v>0.41666666666666669</v>
      </c>
      <c r="BU789" s="2" t="s">
        <v>1388</v>
      </c>
      <c r="BV789" s="2" t="s">
        <v>111</v>
      </c>
      <c r="BW789" s="2"/>
      <c r="BX789" s="2"/>
      <c r="BY789" s="2">
        <v>1200</v>
      </c>
      <c r="BZ789" s="2" t="s">
        <v>27</v>
      </c>
      <c r="CA789" s="2"/>
      <c r="CB789" s="2"/>
      <c r="CC789" s="2" t="s">
        <v>161</v>
      </c>
      <c r="CD789" s="2">
        <v>5201</v>
      </c>
      <c r="CE789" s="2" t="s">
        <v>144</v>
      </c>
      <c r="CF789" s="5">
        <v>42835</v>
      </c>
      <c r="CG789" s="2"/>
      <c r="CH789" s="2"/>
      <c r="CI789" s="2">
        <v>1</v>
      </c>
      <c r="CJ789" s="2">
        <v>1</v>
      </c>
      <c r="CK789" s="2">
        <v>21</v>
      </c>
      <c r="CL789" s="2" t="s">
        <v>86</v>
      </c>
      <c r="CM789" s="2"/>
    </row>
    <row r="790" spans="1:91">
      <c r="A790" s="2" t="s">
        <v>71</v>
      </c>
      <c r="B790" s="2" t="s">
        <v>72</v>
      </c>
      <c r="C790" s="2" t="s">
        <v>73</v>
      </c>
      <c r="D790" s="2"/>
      <c r="E790" s="2" t="str">
        <f>"FES1162541350"</f>
        <v>FES1162541350</v>
      </c>
      <c r="F790" s="3">
        <v>42829</v>
      </c>
      <c r="G790" s="2">
        <v>201710</v>
      </c>
      <c r="H790" s="2" t="s">
        <v>74</v>
      </c>
      <c r="I790" s="2" t="s">
        <v>75</v>
      </c>
      <c r="J790" s="2" t="s">
        <v>76</v>
      </c>
      <c r="K790" s="2" t="s">
        <v>77</v>
      </c>
      <c r="L790" s="2" t="s">
        <v>443</v>
      </c>
      <c r="M790" s="2" t="s">
        <v>444</v>
      </c>
      <c r="N790" s="2" t="s">
        <v>445</v>
      </c>
      <c r="O790" s="2" t="s">
        <v>115</v>
      </c>
      <c r="P790" s="2" t="str">
        <f>"217056019                     "</f>
        <v xml:space="preserve">217056019 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4.42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1.2</v>
      </c>
      <c r="BJ790" s="2">
        <v>0.2</v>
      </c>
      <c r="BK790" s="2">
        <v>1.5</v>
      </c>
      <c r="BL790" s="2">
        <v>41.86</v>
      </c>
      <c r="BM790" s="2">
        <v>5.86</v>
      </c>
      <c r="BN790" s="2">
        <v>47.72</v>
      </c>
      <c r="BO790" s="2">
        <v>47.72</v>
      </c>
      <c r="BP790" s="2"/>
      <c r="BQ790" s="2" t="s">
        <v>129</v>
      </c>
      <c r="BR790" s="2" t="s">
        <v>123</v>
      </c>
      <c r="BS790" s="3">
        <v>42830</v>
      </c>
      <c r="BT790" s="4">
        <v>0.41666666666666669</v>
      </c>
      <c r="BU790" s="2" t="s">
        <v>446</v>
      </c>
      <c r="BV790" s="2" t="s">
        <v>111</v>
      </c>
      <c r="BW790" s="2"/>
      <c r="BX790" s="2"/>
      <c r="BY790" s="2">
        <v>1200</v>
      </c>
      <c r="BZ790" s="2" t="s">
        <v>27</v>
      </c>
      <c r="CA790" s="2" t="s">
        <v>159</v>
      </c>
      <c r="CB790" s="2"/>
      <c r="CC790" s="2" t="s">
        <v>444</v>
      </c>
      <c r="CD790" s="2">
        <v>7130</v>
      </c>
      <c r="CE790" s="2" t="s">
        <v>144</v>
      </c>
      <c r="CF790" s="5">
        <v>42831</v>
      </c>
      <c r="CG790" s="2"/>
      <c r="CH790" s="2"/>
      <c r="CI790" s="2">
        <v>1</v>
      </c>
      <c r="CJ790" s="2">
        <v>1</v>
      </c>
      <c r="CK790" s="2">
        <v>21</v>
      </c>
      <c r="CL790" s="2" t="s">
        <v>86</v>
      </c>
      <c r="CM790" s="2"/>
    </row>
    <row r="791" spans="1:91">
      <c r="A791" s="2" t="s">
        <v>71</v>
      </c>
      <c r="B791" s="2" t="s">
        <v>72</v>
      </c>
      <c r="C791" s="2" t="s">
        <v>73</v>
      </c>
      <c r="D791" s="2"/>
      <c r="E791" s="2" t="str">
        <f>"FES1162543055"</f>
        <v>FES1162543055</v>
      </c>
      <c r="F791" s="3">
        <v>42836</v>
      </c>
      <c r="G791" s="2">
        <v>201710</v>
      </c>
      <c r="H791" s="2" t="s">
        <v>74</v>
      </c>
      <c r="I791" s="2" t="s">
        <v>75</v>
      </c>
      <c r="J791" s="2" t="s">
        <v>76</v>
      </c>
      <c r="K791" s="2" t="s">
        <v>77</v>
      </c>
      <c r="L791" s="2" t="s">
        <v>549</v>
      </c>
      <c r="M791" s="2" t="s">
        <v>550</v>
      </c>
      <c r="N791" s="2" t="s">
        <v>1389</v>
      </c>
      <c r="O791" s="2" t="s">
        <v>115</v>
      </c>
      <c r="P791" s="2" t="str">
        <f>"2170561840                    "</f>
        <v xml:space="preserve">2170561840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4.29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</v>
      </c>
      <c r="BJ791" s="2">
        <v>0.2</v>
      </c>
      <c r="BK791" s="2">
        <v>1</v>
      </c>
      <c r="BL791" s="2">
        <v>41.73</v>
      </c>
      <c r="BM791" s="2">
        <v>5.84</v>
      </c>
      <c r="BN791" s="2">
        <v>47.57</v>
      </c>
      <c r="BO791" s="2">
        <v>47.57</v>
      </c>
      <c r="BP791" s="2"/>
      <c r="BQ791" s="2" t="s">
        <v>116</v>
      </c>
      <c r="BR791" s="2" t="s">
        <v>123</v>
      </c>
      <c r="BS791" s="3">
        <v>42837</v>
      </c>
      <c r="BT791" s="4">
        <v>0.40833333333333338</v>
      </c>
      <c r="BU791" s="2" t="s">
        <v>1390</v>
      </c>
      <c r="BV791" s="2" t="s">
        <v>111</v>
      </c>
      <c r="BW791" s="2"/>
      <c r="BX791" s="2"/>
      <c r="BY791" s="2">
        <v>1200</v>
      </c>
      <c r="BZ791" s="2" t="s">
        <v>27</v>
      </c>
      <c r="CA791" s="2"/>
      <c r="CB791" s="2"/>
      <c r="CC791" s="2" t="s">
        <v>550</v>
      </c>
      <c r="CD791" s="2">
        <v>3699</v>
      </c>
      <c r="CE791" s="2" t="s">
        <v>144</v>
      </c>
      <c r="CF791" s="2"/>
      <c r="CG791" s="2"/>
      <c r="CH791" s="2"/>
      <c r="CI791" s="2">
        <v>1</v>
      </c>
      <c r="CJ791" s="2">
        <v>1</v>
      </c>
      <c r="CK791" s="2">
        <v>21</v>
      </c>
      <c r="CL791" s="2" t="s">
        <v>86</v>
      </c>
      <c r="CM791" s="2"/>
    </row>
    <row r="792" spans="1:91">
      <c r="A792" s="2" t="s">
        <v>71</v>
      </c>
      <c r="B792" s="2" t="s">
        <v>72</v>
      </c>
      <c r="C792" s="2" t="s">
        <v>73</v>
      </c>
      <c r="D792" s="2"/>
      <c r="E792" s="2" t="str">
        <f>"FES1162541646"</f>
        <v>FES1162541646</v>
      </c>
      <c r="F792" s="3">
        <v>42830</v>
      </c>
      <c r="G792" s="2">
        <v>201710</v>
      </c>
      <c r="H792" s="2" t="s">
        <v>74</v>
      </c>
      <c r="I792" s="2" t="s">
        <v>75</v>
      </c>
      <c r="J792" s="2" t="s">
        <v>76</v>
      </c>
      <c r="K792" s="2" t="s">
        <v>77</v>
      </c>
      <c r="L792" s="2" t="s">
        <v>91</v>
      </c>
      <c r="M792" s="2" t="s">
        <v>92</v>
      </c>
      <c r="N792" s="2" t="s">
        <v>93</v>
      </c>
      <c r="O792" s="2" t="s">
        <v>115</v>
      </c>
      <c r="P792" s="2" t="str">
        <f>"2170558405                    "</f>
        <v xml:space="preserve">2170558405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3.35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</v>
      </c>
      <c r="BJ792" s="2">
        <v>0.2</v>
      </c>
      <c r="BK792" s="2">
        <v>1</v>
      </c>
      <c r="BL792" s="2">
        <v>32.6</v>
      </c>
      <c r="BM792" s="2">
        <v>4.5599999999999996</v>
      </c>
      <c r="BN792" s="2">
        <v>37.159999999999997</v>
      </c>
      <c r="BO792" s="2">
        <v>37.159999999999997</v>
      </c>
      <c r="BP792" s="2"/>
      <c r="BQ792" s="2" t="s">
        <v>94</v>
      </c>
      <c r="BR792" s="2" t="s">
        <v>123</v>
      </c>
      <c r="BS792" s="3">
        <v>42831</v>
      </c>
      <c r="BT792" s="4">
        <v>0.4375</v>
      </c>
      <c r="BU792" s="2" t="s">
        <v>1391</v>
      </c>
      <c r="BV792" s="2" t="s">
        <v>111</v>
      </c>
      <c r="BW792" s="2"/>
      <c r="BX792" s="2"/>
      <c r="BY792" s="2">
        <v>1200</v>
      </c>
      <c r="BZ792" s="2" t="s">
        <v>27</v>
      </c>
      <c r="CA792" s="2"/>
      <c r="CB792" s="2"/>
      <c r="CC792" s="2" t="s">
        <v>92</v>
      </c>
      <c r="CD792" s="2">
        <v>1401</v>
      </c>
      <c r="CE792" s="2" t="s">
        <v>118</v>
      </c>
      <c r="CF792" s="5">
        <v>42832</v>
      </c>
      <c r="CG792" s="2"/>
      <c r="CH792" s="2"/>
      <c r="CI792" s="2">
        <v>1</v>
      </c>
      <c r="CJ792" s="2">
        <v>1</v>
      </c>
      <c r="CK792" s="2">
        <v>22</v>
      </c>
      <c r="CL792" s="2" t="s">
        <v>86</v>
      </c>
      <c r="CM792" s="2"/>
    </row>
    <row r="793" spans="1:91">
      <c r="A793" s="2" t="s">
        <v>71</v>
      </c>
      <c r="B793" s="2" t="s">
        <v>72</v>
      </c>
      <c r="C793" s="2" t="s">
        <v>73</v>
      </c>
      <c r="D793" s="2"/>
      <c r="E793" s="2" t="str">
        <f>"FES1162541195"</f>
        <v>FES1162541195</v>
      </c>
      <c r="F793" s="3">
        <v>42830</v>
      </c>
      <c r="G793" s="2">
        <v>201710</v>
      </c>
      <c r="H793" s="2" t="s">
        <v>74</v>
      </c>
      <c r="I793" s="2" t="s">
        <v>75</v>
      </c>
      <c r="J793" s="2" t="s">
        <v>76</v>
      </c>
      <c r="K793" s="2" t="s">
        <v>77</v>
      </c>
      <c r="L793" s="2" t="s">
        <v>396</v>
      </c>
      <c r="M793" s="2" t="s">
        <v>397</v>
      </c>
      <c r="N793" s="2" t="s">
        <v>500</v>
      </c>
      <c r="O793" s="2" t="s">
        <v>115</v>
      </c>
      <c r="P793" s="2" t="str">
        <f>"2170560293                    "</f>
        <v xml:space="preserve">2170560293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4.29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1</v>
      </c>
      <c r="BJ793" s="2">
        <v>1</v>
      </c>
      <c r="BK793" s="2">
        <v>1</v>
      </c>
      <c r="BL793" s="2">
        <v>41.73</v>
      </c>
      <c r="BM793" s="2">
        <v>5.84</v>
      </c>
      <c r="BN793" s="2">
        <v>47.57</v>
      </c>
      <c r="BO793" s="2">
        <v>47.57</v>
      </c>
      <c r="BP793" s="2"/>
      <c r="BQ793" s="2" t="s">
        <v>501</v>
      </c>
      <c r="BR793" s="2" t="s">
        <v>123</v>
      </c>
      <c r="BS793" s="3">
        <v>42831</v>
      </c>
      <c r="BT793" s="4">
        <v>0.4375</v>
      </c>
      <c r="BU793" s="2" t="s">
        <v>1331</v>
      </c>
      <c r="BV793" s="2" t="s">
        <v>111</v>
      </c>
      <c r="BW793" s="2"/>
      <c r="BX793" s="2"/>
      <c r="BY793" s="2">
        <v>4903.42</v>
      </c>
      <c r="BZ793" s="2" t="s">
        <v>27</v>
      </c>
      <c r="CA793" s="2"/>
      <c r="CB793" s="2"/>
      <c r="CC793" s="2" t="s">
        <v>397</v>
      </c>
      <c r="CD793" s="2">
        <v>4302</v>
      </c>
      <c r="CE793" s="2" t="s">
        <v>135</v>
      </c>
      <c r="CF793" s="5">
        <v>42832</v>
      </c>
      <c r="CG793" s="2"/>
      <c r="CH793" s="2"/>
      <c r="CI793" s="2">
        <v>1</v>
      </c>
      <c r="CJ793" s="2">
        <v>1</v>
      </c>
      <c r="CK793" s="2">
        <v>21</v>
      </c>
      <c r="CL793" s="2" t="s">
        <v>86</v>
      </c>
      <c r="CM793" s="2"/>
    </row>
    <row r="794" spans="1:91">
      <c r="A794" s="2" t="s">
        <v>71</v>
      </c>
      <c r="B794" s="2" t="s">
        <v>72</v>
      </c>
      <c r="C794" s="2" t="s">
        <v>73</v>
      </c>
      <c r="D794" s="2"/>
      <c r="E794" s="2" t="str">
        <f>"FES1162543418"</f>
        <v>FES1162543418</v>
      </c>
      <c r="F794" s="3">
        <v>42837</v>
      </c>
      <c r="G794" s="2">
        <v>201710</v>
      </c>
      <c r="H794" s="2" t="s">
        <v>74</v>
      </c>
      <c r="I794" s="2" t="s">
        <v>75</v>
      </c>
      <c r="J794" s="2" t="s">
        <v>76</v>
      </c>
      <c r="K794" s="2" t="s">
        <v>77</v>
      </c>
      <c r="L794" s="2" t="s">
        <v>176</v>
      </c>
      <c r="M794" s="2" t="s">
        <v>176</v>
      </c>
      <c r="N794" s="2" t="s">
        <v>460</v>
      </c>
      <c r="O794" s="2" t="s">
        <v>115</v>
      </c>
      <c r="P794" s="2" t="str">
        <f>"2170562107                    "</f>
        <v xml:space="preserve">2170562107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4.29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1</v>
      </c>
      <c r="BJ794" s="2">
        <v>0.2</v>
      </c>
      <c r="BK794" s="2">
        <v>1</v>
      </c>
      <c r="BL794" s="2">
        <v>41.73</v>
      </c>
      <c r="BM794" s="2">
        <v>5.84</v>
      </c>
      <c r="BN794" s="2">
        <v>47.57</v>
      </c>
      <c r="BO794" s="2">
        <v>47.57</v>
      </c>
      <c r="BP794" s="2"/>
      <c r="BQ794" s="2" t="s">
        <v>461</v>
      </c>
      <c r="BR794" s="2" t="s">
        <v>84</v>
      </c>
      <c r="BS794" s="3">
        <v>42838</v>
      </c>
      <c r="BT794" s="4">
        <v>0.49652777777777773</v>
      </c>
      <c r="BU794" s="2" t="s">
        <v>1392</v>
      </c>
      <c r="BV794" s="2" t="s">
        <v>111</v>
      </c>
      <c r="BW794" s="2"/>
      <c r="BX794" s="2"/>
      <c r="BY794" s="2">
        <v>1200</v>
      </c>
      <c r="BZ794" s="2" t="s">
        <v>27</v>
      </c>
      <c r="CA794" s="2"/>
      <c r="CB794" s="2"/>
      <c r="CC794" s="2" t="s">
        <v>176</v>
      </c>
      <c r="CD794" s="2">
        <v>7646</v>
      </c>
      <c r="CE794" s="2" t="s">
        <v>118</v>
      </c>
      <c r="CF794" s="5">
        <v>42843</v>
      </c>
      <c r="CG794" s="2"/>
      <c r="CH794" s="2"/>
      <c r="CI794" s="2">
        <v>1</v>
      </c>
      <c r="CJ794" s="2">
        <v>1</v>
      </c>
      <c r="CK794" s="2">
        <v>21</v>
      </c>
      <c r="CL794" s="2" t="s">
        <v>86</v>
      </c>
      <c r="CM794" s="2"/>
    </row>
    <row r="795" spans="1:91">
      <c r="A795" s="2" t="s">
        <v>71</v>
      </c>
      <c r="B795" s="2" t="s">
        <v>72</v>
      </c>
      <c r="C795" s="2" t="s">
        <v>73</v>
      </c>
      <c r="D795" s="2"/>
      <c r="E795" s="2" t="str">
        <f>"FES1162541926"</f>
        <v>FES1162541926</v>
      </c>
      <c r="F795" s="3">
        <v>42831</v>
      </c>
      <c r="G795" s="2">
        <v>201710</v>
      </c>
      <c r="H795" s="2" t="s">
        <v>74</v>
      </c>
      <c r="I795" s="2" t="s">
        <v>75</v>
      </c>
      <c r="J795" s="2" t="s">
        <v>76</v>
      </c>
      <c r="K795" s="2" t="s">
        <v>77</v>
      </c>
      <c r="L795" s="2" t="s">
        <v>131</v>
      </c>
      <c r="M795" s="2" t="s">
        <v>132</v>
      </c>
      <c r="N795" s="2" t="s">
        <v>858</v>
      </c>
      <c r="O795" s="2" t="s">
        <v>115</v>
      </c>
      <c r="P795" s="2" t="str">
        <f>"2170559955                    "</f>
        <v xml:space="preserve">2170559955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4.29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1</v>
      </c>
      <c r="BJ795" s="2">
        <v>0.2</v>
      </c>
      <c r="BK795" s="2">
        <v>1</v>
      </c>
      <c r="BL795" s="2">
        <v>41.73</v>
      </c>
      <c r="BM795" s="2">
        <v>5.84</v>
      </c>
      <c r="BN795" s="2">
        <v>47.57</v>
      </c>
      <c r="BO795" s="2">
        <v>47.57</v>
      </c>
      <c r="BP795" s="2"/>
      <c r="BQ795" s="2" t="s">
        <v>617</v>
      </c>
      <c r="BR795" s="2" t="s">
        <v>123</v>
      </c>
      <c r="BS795" s="3">
        <v>42835</v>
      </c>
      <c r="BT795" s="4">
        <v>0.4375</v>
      </c>
      <c r="BU795" s="2" t="s">
        <v>859</v>
      </c>
      <c r="BV795" s="2" t="s">
        <v>86</v>
      </c>
      <c r="BW795" s="2" t="s">
        <v>484</v>
      </c>
      <c r="BX795" s="2" t="s">
        <v>860</v>
      </c>
      <c r="BY795" s="2">
        <v>1200</v>
      </c>
      <c r="BZ795" s="2" t="s">
        <v>27</v>
      </c>
      <c r="CA795" s="2"/>
      <c r="CB795" s="2"/>
      <c r="CC795" s="2" t="s">
        <v>132</v>
      </c>
      <c r="CD795" s="2">
        <v>7580</v>
      </c>
      <c r="CE795" s="2" t="s">
        <v>144</v>
      </c>
      <c r="CF795" s="5">
        <v>42836</v>
      </c>
      <c r="CG795" s="2"/>
      <c r="CH795" s="2"/>
      <c r="CI795" s="2">
        <v>1</v>
      </c>
      <c r="CJ795" s="2">
        <v>2</v>
      </c>
      <c r="CK795" s="2">
        <v>21</v>
      </c>
      <c r="CL795" s="2" t="s">
        <v>86</v>
      </c>
      <c r="CM795" s="2"/>
    </row>
    <row r="796" spans="1:91">
      <c r="A796" s="2" t="s">
        <v>71</v>
      </c>
      <c r="B796" s="2" t="s">
        <v>72</v>
      </c>
      <c r="C796" s="2" t="s">
        <v>73</v>
      </c>
      <c r="D796" s="2"/>
      <c r="E796" s="2" t="str">
        <f>"FES1162541251"</f>
        <v>FES1162541251</v>
      </c>
      <c r="F796" s="3">
        <v>42829</v>
      </c>
      <c r="G796" s="2">
        <v>201710</v>
      </c>
      <c r="H796" s="2" t="s">
        <v>74</v>
      </c>
      <c r="I796" s="2" t="s">
        <v>75</v>
      </c>
      <c r="J796" s="2" t="s">
        <v>76</v>
      </c>
      <c r="K796" s="2" t="s">
        <v>77</v>
      </c>
      <c r="L796" s="2" t="s">
        <v>91</v>
      </c>
      <c r="M796" s="2" t="s">
        <v>92</v>
      </c>
      <c r="N796" s="2" t="s">
        <v>616</v>
      </c>
      <c r="O796" s="2" t="s">
        <v>115</v>
      </c>
      <c r="P796" s="2" t="str">
        <f>"2170560184                    "</f>
        <v xml:space="preserve">2170560184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3.45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2.7</v>
      </c>
      <c r="BJ796" s="2">
        <v>0.2</v>
      </c>
      <c r="BK796" s="2">
        <v>3</v>
      </c>
      <c r="BL796" s="2">
        <v>32.700000000000003</v>
      </c>
      <c r="BM796" s="2">
        <v>4.58</v>
      </c>
      <c r="BN796" s="2">
        <v>37.28</v>
      </c>
      <c r="BO796" s="2">
        <v>37.28</v>
      </c>
      <c r="BP796" s="2"/>
      <c r="BQ796" s="2" t="s">
        <v>617</v>
      </c>
      <c r="BR796" s="2" t="s">
        <v>123</v>
      </c>
      <c r="BS796" s="3">
        <v>42830</v>
      </c>
      <c r="BT796" s="4">
        <v>0.39166666666666666</v>
      </c>
      <c r="BU796" s="2" t="s">
        <v>290</v>
      </c>
      <c r="BV796" s="2" t="s">
        <v>111</v>
      </c>
      <c r="BW796" s="2"/>
      <c r="BX796" s="2"/>
      <c r="BY796" s="2">
        <v>1200</v>
      </c>
      <c r="BZ796" s="2" t="s">
        <v>27</v>
      </c>
      <c r="CA796" s="2"/>
      <c r="CB796" s="2"/>
      <c r="CC796" s="2" t="s">
        <v>92</v>
      </c>
      <c r="CD796" s="2">
        <v>1401</v>
      </c>
      <c r="CE796" s="2" t="s">
        <v>118</v>
      </c>
      <c r="CF796" s="5">
        <v>42832</v>
      </c>
      <c r="CG796" s="2"/>
      <c r="CH796" s="2"/>
      <c r="CI796" s="2">
        <v>1</v>
      </c>
      <c r="CJ796" s="2">
        <v>1</v>
      </c>
      <c r="CK796" s="2">
        <v>22</v>
      </c>
      <c r="CL796" s="2" t="s">
        <v>86</v>
      </c>
      <c r="CM796" s="2"/>
    </row>
    <row r="797" spans="1:91">
      <c r="A797" s="2" t="s">
        <v>71</v>
      </c>
      <c r="B797" s="2" t="s">
        <v>72</v>
      </c>
      <c r="C797" s="2" t="s">
        <v>73</v>
      </c>
      <c r="D797" s="2"/>
      <c r="E797" s="2" t="str">
        <f>"FES1162542852"</f>
        <v>FES1162542852</v>
      </c>
      <c r="F797" s="3">
        <v>42836</v>
      </c>
      <c r="G797" s="2">
        <v>201710</v>
      </c>
      <c r="H797" s="2" t="s">
        <v>74</v>
      </c>
      <c r="I797" s="2" t="s">
        <v>75</v>
      </c>
      <c r="J797" s="2" t="s">
        <v>76</v>
      </c>
      <c r="K797" s="2" t="s">
        <v>77</v>
      </c>
      <c r="L797" s="2" t="s">
        <v>176</v>
      </c>
      <c r="M797" s="2" t="s">
        <v>176</v>
      </c>
      <c r="N797" s="2" t="s">
        <v>339</v>
      </c>
      <c r="O797" s="2" t="s">
        <v>115</v>
      </c>
      <c r="P797" s="2" t="str">
        <f>"2170558307                    "</f>
        <v xml:space="preserve">2170558307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4.29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1</v>
      </c>
      <c r="BJ797" s="2">
        <v>0.2</v>
      </c>
      <c r="BK797" s="2">
        <v>1</v>
      </c>
      <c r="BL797" s="2">
        <v>41.73</v>
      </c>
      <c r="BM797" s="2">
        <v>5.84</v>
      </c>
      <c r="BN797" s="2">
        <v>47.57</v>
      </c>
      <c r="BO797" s="2">
        <v>47.57</v>
      </c>
      <c r="BP797" s="2"/>
      <c r="BQ797" s="2" t="s">
        <v>340</v>
      </c>
      <c r="BR797" s="2" t="s">
        <v>123</v>
      </c>
      <c r="BS797" s="3">
        <v>42837</v>
      </c>
      <c r="BT797" s="4">
        <v>0.55555555555555558</v>
      </c>
      <c r="BU797" s="2" t="s">
        <v>341</v>
      </c>
      <c r="BV797" s="2" t="s">
        <v>111</v>
      </c>
      <c r="BW797" s="2"/>
      <c r="BX797" s="2"/>
      <c r="BY797" s="2">
        <v>1200</v>
      </c>
      <c r="BZ797" s="2" t="s">
        <v>27</v>
      </c>
      <c r="CA797" s="2"/>
      <c r="CB797" s="2"/>
      <c r="CC797" s="2" t="s">
        <v>176</v>
      </c>
      <c r="CD797" s="2">
        <v>7646</v>
      </c>
      <c r="CE797" s="2" t="s">
        <v>144</v>
      </c>
      <c r="CF797" s="5">
        <v>42838</v>
      </c>
      <c r="CG797" s="2"/>
      <c r="CH797" s="2"/>
      <c r="CI797" s="2">
        <v>1</v>
      </c>
      <c r="CJ797" s="2">
        <v>1</v>
      </c>
      <c r="CK797" s="2">
        <v>21</v>
      </c>
      <c r="CL797" s="2" t="s">
        <v>86</v>
      </c>
      <c r="CM797" s="2"/>
    </row>
    <row r="798" spans="1:91">
      <c r="A798" s="2" t="s">
        <v>71</v>
      </c>
      <c r="B798" s="2" t="s">
        <v>72</v>
      </c>
      <c r="C798" s="2" t="s">
        <v>73</v>
      </c>
      <c r="D798" s="2"/>
      <c r="E798" s="2" t="str">
        <f>"FES1162541606"</f>
        <v>FES1162541606</v>
      </c>
      <c r="F798" s="3">
        <v>42830</v>
      </c>
      <c r="G798" s="2">
        <v>201710</v>
      </c>
      <c r="H798" s="2" t="s">
        <v>74</v>
      </c>
      <c r="I798" s="2" t="s">
        <v>75</v>
      </c>
      <c r="J798" s="2" t="s">
        <v>76</v>
      </c>
      <c r="K798" s="2" t="s">
        <v>77</v>
      </c>
      <c r="L798" s="2" t="s">
        <v>74</v>
      </c>
      <c r="M798" s="2" t="s">
        <v>75</v>
      </c>
      <c r="N798" s="2" t="s">
        <v>1157</v>
      </c>
      <c r="O798" s="2" t="s">
        <v>115</v>
      </c>
      <c r="P798" s="2" t="str">
        <f>"2170557393                    "</f>
        <v xml:space="preserve">2170557393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3.35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1</v>
      </c>
      <c r="BI798" s="2">
        <v>1</v>
      </c>
      <c r="BJ798" s="2">
        <v>0.2</v>
      </c>
      <c r="BK798" s="2">
        <v>1</v>
      </c>
      <c r="BL798" s="2">
        <v>32.6</v>
      </c>
      <c r="BM798" s="2">
        <v>4.5599999999999996</v>
      </c>
      <c r="BN798" s="2">
        <v>37.159999999999997</v>
      </c>
      <c r="BO798" s="2">
        <v>37.159999999999997</v>
      </c>
      <c r="BP798" s="2"/>
      <c r="BQ798" s="2" t="s">
        <v>1158</v>
      </c>
      <c r="BR798" s="2" t="s">
        <v>123</v>
      </c>
      <c r="BS798" s="3">
        <v>42831</v>
      </c>
      <c r="BT798" s="4">
        <v>0.33333333333333331</v>
      </c>
      <c r="BU798" s="2" t="s">
        <v>1393</v>
      </c>
      <c r="BV798" s="2" t="s">
        <v>111</v>
      </c>
      <c r="BW798" s="2"/>
      <c r="BX798" s="2"/>
      <c r="BY798" s="2">
        <v>1200</v>
      </c>
      <c r="BZ798" s="2" t="s">
        <v>27</v>
      </c>
      <c r="CA798" s="2"/>
      <c r="CB798" s="2"/>
      <c r="CC798" s="2" t="s">
        <v>75</v>
      </c>
      <c r="CD798" s="2">
        <v>1666</v>
      </c>
      <c r="CE798" s="2" t="s">
        <v>118</v>
      </c>
      <c r="CF798" s="5">
        <v>42832</v>
      </c>
      <c r="CG798" s="2"/>
      <c r="CH798" s="2"/>
      <c r="CI798" s="2">
        <v>1</v>
      </c>
      <c r="CJ798" s="2">
        <v>1</v>
      </c>
      <c r="CK798" s="2">
        <v>22</v>
      </c>
      <c r="CL798" s="2" t="s">
        <v>86</v>
      </c>
      <c r="CM798" s="2"/>
    </row>
    <row r="799" spans="1:91">
      <c r="A799" s="2" t="s">
        <v>71</v>
      </c>
      <c r="B799" s="2" t="s">
        <v>72</v>
      </c>
      <c r="C799" s="2" t="s">
        <v>73</v>
      </c>
      <c r="D799" s="2"/>
      <c r="E799" s="2" t="str">
        <f>"FES1162541704"</f>
        <v>FES1162541704</v>
      </c>
      <c r="F799" s="3">
        <v>42830</v>
      </c>
      <c r="G799" s="2">
        <v>201710</v>
      </c>
      <c r="H799" s="2" t="s">
        <v>74</v>
      </c>
      <c r="I799" s="2" t="s">
        <v>75</v>
      </c>
      <c r="J799" s="2" t="s">
        <v>76</v>
      </c>
      <c r="K799" s="2" t="s">
        <v>77</v>
      </c>
      <c r="L799" s="2" t="s">
        <v>131</v>
      </c>
      <c r="M799" s="2" t="s">
        <v>132</v>
      </c>
      <c r="N799" s="2" t="s">
        <v>1212</v>
      </c>
      <c r="O799" s="2" t="s">
        <v>115</v>
      </c>
      <c r="P799" s="2" t="str">
        <f>"2170560711                    "</f>
        <v xml:space="preserve">2170560711  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6.43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</v>
      </c>
      <c r="BI799" s="2">
        <v>1.9</v>
      </c>
      <c r="BJ799" s="2">
        <v>3</v>
      </c>
      <c r="BK799" s="2">
        <v>3</v>
      </c>
      <c r="BL799" s="2">
        <v>62.59</v>
      </c>
      <c r="BM799" s="2">
        <v>8.76</v>
      </c>
      <c r="BN799" s="2">
        <v>71.349999999999994</v>
      </c>
      <c r="BO799" s="2">
        <v>71.349999999999994</v>
      </c>
      <c r="BP799" s="2"/>
      <c r="BQ799" s="2" t="s">
        <v>129</v>
      </c>
      <c r="BR799" s="2" t="s">
        <v>123</v>
      </c>
      <c r="BS799" s="3">
        <v>42831</v>
      </c>
      <c r="BT799" s="4">
        <v>0.41666666666666669</v>
      </c>
      <c r="BU799" s="2" t="s">
        <v>1213</v>
      </c>
      <c r="BV799" s="2" t="s">
        <v>111</v>
      </c>
      <c r="BW799" s="2"/>
      <c r="BX799" s="2"/>
      <c r="BY799" s="2">
        <v>14955.85</v>
      </c>
      <c r="BZ799" s="2" t="s">
        <v>27</v>
      </c>
      <c r="CA799" s="2"/>
      <c r="CB799" s="2"/>
      <c r="CC799" s="2" t="s">
        <v>132</v>
      </c>
      <c r="CD799" s="2">
        <v>7460</v>
      </c>
      <c r="CE799" s="2" t="s">
        <v>135</v>
      </c>
      <c r="CF799" s="5">
        <v>42832</v>
      </c>
      <c r="CG799" s="2"/>
      <c r="CH799" s="2"/>
      <c r="CI799" s="2">
        <v>1</v>
      </c>
      <c r="CJ799" s="2">
        <v>1</v>
      </c>
      <c r="CK799" s="2">
        <v>21</v>
      </c>
      <c r="CL799" s="2" t="s">
        <v>86</v>
      </c>
      <c r="CM799" s="2"/>
    </row>
    <row r="800" spans="1:91">
      <c r="A800" s="2" t="s">
        <v>71</v>
      </c>
      <c r="B800" s="2" t="s">
        <v>72</v>
      </c>
      <c r="C800" s="2" t="s">
        <v>73</v>
      </c>
      <c r="D800" s="2"/>
      <c r="E800" s="2" t="str">
        <f>"FES1162543400"</f>
        <v>FES1162543400</v>
      </c>
      <c r="F800" s="3">
        <v>42837</v>
      </c>
      <c r="G800" s="2">
        <v>201710</v>
      </c>
      <c r="H800" s="2" t="s">
        <v>74</v>
      </c>
      <c r="I800" s="2" t="s">
        <v>75</v>
      </c>
      <c r="J800" s="2" t="s">
        <v>76</v>
      </c>
      <c r="K800" s="2" t="s">
        <v>77</v>
      </c>
      <c r="L800" s="2" t="s">
        <v>1073</v>
      </c>
      <c r="M800" s="2" t="s">
        <v>1074</v>
      </c>
      <c r="N800" s="2" t="s">
        <v>1394</v>
      </c>
      <c r="O800" s="2" t="s">
        <v>115</v>
      </c>
      <c r="P800" s="2" t="str">
        <f>"2170562093                    "</f>
        <v xml:space="preserve">2170562093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5.36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2.5</v>
      </c>
      <c r="BJ800" s="2">
        <v>1.8</v>
      </c>
      <c r="BK800" s="2">
        <v>2.5</v>
      </c>
      <c r="BL800" s="2">
        <v>52.16</v>
      </c>
      <c r="BM800" s="2">
        <v>7.3</v>
      </c>
      <c r="BN800" s="2">
        <v>59.46</v>
      </c>
      <c r="BO800" s="2">
        <v>59.46</v>
      </c>
      <c r="BP800" s="2"/>
      <c r="BQ800" s="2" t="s">
        <v>1395</v>
      </c>
      <c r="BR800" s="2" t="s">
        <v>84</v>
      </c>
      <c r="BS800" s="3">
        <v>42838</v>
      </c>
      <c r="BT800" s="4">
        <v>0.43333333333333335</v>
      </c>
      <c r="BU800" s="2" t="s">
        <v>198</v>
      </c>
      <c r="BV800" s="2" t="s">
        <v>111</v>
      </c>
      <c r="BW800" s="2"/>
      <c r="BX800" s="2"/>
      <c r="BY800" s="2">
        <v>8784.16</v>
      </c>
      <c r="BZ800" s="2" t="s">
        <v>27</v>
      </c>
      <c r="CA800" s="2"/>
      <c r="CB800" s="2"/>
      <c r="CC800" s="2" t="s">
        <v>1074</v>
      </c>
      <c r="CD800" s="2">
        <v>1947</v>
      </c>
      <c r="CE800" s="2" t="s">
        <v>118</v>
      </c>
      <c r="CF800" s="5">
        <v>42844</v>
      </c>
      <c r="CG800" s="2"/>
      <c r="CH800" s="2"/>
      <c r="CI800" s="2">
        <v>1</v>
      </c>
      <c r="CJ800" s="2">
        <v>1</v>
      </c>
      <c r="CK800" s="2">
        <v>21</v>
      </c>
      <c r="CL800" s="2" t="s">
        <v>86</v>
      </c>
      <c r="CM800" s="2"/>
    </row>
    <row r="801" spans="1:91">
      <c r="A801" s="2" t="s">
        <v>71</v>
      </c>
      <c r="B801" s="2" t="s">
        <v>72</v>
      </c>
      <c r="C801" s="2" t="s">
        <v>73</v>
      </c>
      <c r="D801" s="2"/>
      <c r="E801" s="2" t="str">
        <f>"FES1162542057"</f>
        <v>FES1162542057</v>
      </c>
      <c r="F801" s="3">
        <v>42831</v>
      </c>
      <c r="G801" s="2">
        <v>201710</v>
      </c>
      <c r="H801" s="2" t="s">
        <v>74</v>
      </c>
      <c r="I801" s="2" t="s">
        <v>75</v>
      </c>
      <c r="J801" s="2" t="s">
        <v>76</v>
      </c>
      <c r="K801" s="2" t="s">
        <v>77</v>
      </c>
      <c r="L801" s="2" t="s">
        <v>187</v>
      </c>
      <c r="M801" s="2" t="s">
        <v>146</v>
      </c>
      <c r="N801" s="2" t="s">
        <v>1396</v>
      </c>
      <c r="O801" s="2" t="s">
        <v>115</v>
      </c>
      <c r="P801" s="2" t="str">
        <f>"217056477                     "</f>
        <v xml:space="preserve">217056477 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4.29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1</v>
      </c>
      <c r="BJ801" s="2">
        <v>0.2</v>
      </c>
      <c r="BK801" s="2">
        <v>1</v>
      </c>
      <c r="BL801" s="2">
        <v>41.73</v>
      </c>
      <c r="BM801" s="2">
        <v>5.84</v>
      </c>
      <c r="BN801" s="2">
        <v>47.57</v>
      </c>
      <c r="BO801" s="2">
        <v>47.57</v>
      </c>
      <c r="BP801" s="2"/>
      <c r="BQ801" s="2" t="s">
        <v>1397</v>
      </c>
      <c r="BR801" s="2" t="s">
        <v>123</v>
      </c>
      <c r="BS801" s="3">
        <v>42832</v>
      </c>
      <c r="BT801" s="4">
        <v>0.33333333333333331</v>
      </c>
      <c r="BU801" s="2" t="s">
        <v>1398</v>
      </c>
      <c r="BV801" s="2" t="s">
        <v>111</v>
      </c>
      <c r="BW801" s="2"/>
      <c r="BX801" s="2"/>
      <c r="BY801" s="2">
        <v>1200</v>
      </c>
      <c r="BZ801" s="2" t="s">
        <v>27</v>
      </c>
      <c r="CA801" s="2"/>
      <c r="CB801" s="2"/>
      <c r="CC801" s="2" t="s">
        <v>146</v>
      </c>
      <c r="CD801" s="2">
        <v>140</v>
      </c>
      <c r="CE801" s="2" t="s">
        <v>144</v>
      </c>
      <c r="CF801" s="5">
        <v>42836</v>
      </c>
      <c r="CG801" s="2"/>
      <c r="CH801" s="2"/>
      <c r="CI801" s="2">
        <v>0</v>
      </c>
      <c r="CJ801" s="2">
        <v>0</v>
      </c>
      <c r="CK801" s="2">
        <v>21</v>
      </c>
      <c r="CL801" s="2" t="s">
        <v>86</v>
      </c>
      <c r="CM801" s="2"/>
    </row>
    <row r="802" spans="1:91">
      <c r="A802" s="2" t="s">
        <v>71</v>
      </c>
      <c r="B802" s="2" t="s">
        <v>72</v>
      </c>
      <c r="C802" s="2" t="s">
        <v>73</v>
      </c>
      <c r="D802" s="2"/>
      <c r="E802" s="2" t="str">
        <f>"FES1162541264"</f>
        <v>FES1162541264</v>
      </c>
      <c r="F802" s="3">
        <v>42829</v>
      </c>
      <c r="G802" s="2">
        <v>201710</v>
      </c>
      <c r="H802" s="2" t="s">
        <v>74</v>
      </c>
      <c r="I802" s="2" t="s">
        <v>75</v>
      </c>
      <c r="J802" s="2" t="s">
        <v>76</v>
      </c>
      <c r="K802" s="2" t="s">
        <v>77</v>
      </c>
      <c r="L802" s="2" t="s">
        <v>267</v>
      </c>
      <c r="M802" s="2" t="s">
        <v>268</v>
      </c>
      <c r="N802" s="2" t="s">
        <v>1399</v>
      </c>
      <c r="O802" s="2" t="s">
        <v>115</v>
      </c>
      <c r="P802" s="2" t="str">
        <f>"2170560322                    "</f>
        <v xml:space="preserve">2170560322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3.45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1.3</v>
      </c>
      <c r="BJ802" s="2">
        <v>0.2</v>
      </c>
      <c r="BK802" s="2">
        <v>2</v>
      </c>
      <c r="BL802" s="2">
        <v>32.700000000000003</v>
      </c>
      <c r="BM802" s="2">
        <v>4.58</v>
      </c>
      <c r="BN802" s="2">
        <v>37.28</v>
      </c>
      <c r="BO802" s="2">
        <v>37.28</v>
      </c>
      <c r="BP802" s="2"/>
      <c r="BQ802" s="2" t="s">
        <v>1400</v>
      </c>
      <c r="BR802" s="2" t="s">
        <v>123</v>
      </c>
      <c r="BS802" s="3">
        <v>42830</v>
      </c>
      <c r="BT802" s="4">
        <v>0.40277777777777773</v>
      </c>
      <c r="BU802" s="2" t="s">
        <v>1401</v>
      </c>
      <c r="BV802" s="2" t="s">
        <v>111</v>
      </c>
      <c r="BW802" s="2"/>
      <c r="BX802" s="2"/>
      <c r="BY802" s="2">
        <v>1200</v>
      </c>
      <c r="BZ802" s="2" t="s">
        <v>27</v>
      </c>
      <c r="CA802" s="2" t="s">
        <v>1402</v>
      </c>
      <c r="CB802" s="2"/>
      <c r="CC802" s="2" t="s">
        <v>268</v>
      </c>
      <c r="CD802" s="2">
        <v>1724</v>
      </c>
      <c r="CE802" s="2" t="s">
        <v>118</v>
      </c>
      <c r="CF802" s="5">
        <v>42832</v>
      </c>
      <c r="CG802" s="2"/>
      <c r="CH802" s="2"/>
      <c r="CI802" s="2">
        <v>1</v>
      </c>
      <c r="CJ802" s="2">
        <v>1</v>
      </c>
      <c r="CK802" s="2">
        <v>22</v>
      </c>
      <c r="CL802" s="2" t="s">
        <v>86</v>
      </c>
      <c r="CM802" s="2"/>
    </row>
    <row r="803" spans="1:91">
      <c r="A803" s="2" t="s">
        <v>71</v>
      </c>
      <c r="B803" s="2" t="s">
        <v>72</v>
      </c>
      <c r="C803" s="2" t="s">
        <v>73</v>
      </c>
      <c r="D803" s="2"/>
      <c r="E803" s="2" t="str">
        <f>"FES1162543028"</f>
        <v>FES1162543028</v>
      </c>
      <c r="F803" s="3">
        <v>42836</v>
      </c>
      <c r="G803" s="2">
        <v>201710</v>
      </c>
      <c r="H803" s="2" t="s">
        <v>74</v>
      </c>
      <c r="I803" s="2" t="s">
        <v>75</v>
      </c>
      <c r="J803" s="2" t="s">
        <v>76</v>
      </c>
      <c r="K803" s="2" t="s">
        <v>77</v>
      </c>
      <c r="L803" s="2" t="s">
        <v>294</v>
      </c>
      <c r="M803" s="2" t="s">
        <v>295</v>
      </c>
      <c r="N803" s="2" t="s">
        <v>1403</v>
      </c>
      <c r="O803" s="2" t="s">
        <v>115</v>
      </c>
      <c r="P803" s="2" t="str">
        <f>"2170561815                    "</f>
        <v xml:space="preserve">2170561815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4.29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1</v>
      </c>
      <c r="BJ803" s="2">
        <v>0.2</v>
      </c>
      <c r="BK803" s="2">
        <v>1</v>
      </c>
      <c r="BL803" s="2">
        <v>41.73</v>
      </c>
      <c r="BM803" s="2">
        <v>5.84</v>
      </c>
      <c r="BN803" s="2">
        <v>47.57</v>
      </c>
      <c r="BO803" s="2">
        <v>47.57</v>
      </c>
      <c r="BP803" s="2"/>
      <c r="BQ803" s="2"/>
      <c r="BR803" s="2" t="s">
        <v>123</v>
      </c>
      <c r="BS803" s="3">
        <v>42837</v>
      </c>
      <c r="BT803" s="4">
        <v>0.4375</v>
      </c>
      <c r="BU803" s="2" t="s">
        <v>1404</v>
      </c>
      <c r="BV803" s="2" t="s">
        <v>111</v>
      </c>
      <c r="BW803" s="2"/>
      <c r="BX803" s="2"/>
      <c r="BY803" s="2">
        <v>1200</v>
      </c>
      <c r="BZ803" s="2" t="s">
        <v>27</v>
      </c>
      <c r="CA803" s="2"/>
      <c r="CB803" s="2"/>
      <c r="CC803" s="2" t="s">
        <v>295</v>
      </c>
      <c r="CD803" s="2">
        <v>3610</v>
      </c>
      <c r="CE803" s="2" t="s">
        <v>144</v>
      </c>
      <c r="CF803" s="5">
        <v>42843</v>
      </c>
      <c r="CG803" s="2"/>
      <c r="CH803" s="2"/>
      <c r="CI803" s="2">
        <v>1</v>
      </c>
      <c r="CJ803" s="2">
        <v>1</v>
      </c>
      <c r="CK803" s="2">
        <v>21</v>
      </c>
      <c r="CL803" s="2" t="s">
        <v>86</v>
      </c>
      <c r="CM803" s="2"/>
    </row>
    <row r="804" spans="1:91">
      <c r="A804" s="2" t="s">
        <v>71</v>
      </c>
      <c r="B804" s="2" t="s">
        <v>72</v>
      </c>
      <c r="C804" s="2" t="s">
        <v>73</v>
      </c>
      <c r="D804" s="2"/>
      <c r="E804" s="2" t="str">
        <f>"FES1162541806"</f>
        <v>FES1162541806</v>
      </c>
      <c r="F804" s="3">
        <v>42830</v>
      </c>
      <c r="G804" s="2">
        <v>201710</v>
      </c>
      <c r="H804" s="2" t="s">
        <v>74</v>
      </c>
      <c r="I804" s="2" t="s">
        <v>75</v>
      </c>
      <c r="J804" s="2" t="s">
        <v>76</v>
      </c>
      <c r="K804" s="2" t="s">
        <v>77</v>
      </c>
      <c r="L804" s="2" t="s">
        <v>659</v>
      </c>
      <c r="M804" s="2" t="s">
        <v>660</v>
      </c>
      <c r="N804" s="2" t="s">
        <v>1405</v>
      </c>
      <c r="O804" s="2" t="s">
        <v>115</v>
      </c>
      <c r="P804" s="2" t="str">
        <f>"2170560814                    "</f>
        <v xml:space="preserve">2170560814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4.29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1</v>
      </c>
      <c r="BJ804" s="2">
        <v>0.2</v>
      </c>
      <c r="BK804" s="2">
        <v>1</v>
      </c>
      <c r="BL804" s="2">
        <v>41.73</v>
      </c>
      <c r="BM804" s="2">
        <v>5.84</v>
      </c>
      <c r="BN804" s="2">
        <v>47.57</v>
      </c>
      <c r="BO804" s="2">
        <v>47.57</v>
      </c>
      <c r="BP804" s="2"/>
      <c r="BQ804" s="2" t="s">
        <v>122</v>
      </c>
      <c r="BR804" s="2" t="s">
        <v>123</v>
      </c>
      <c r="BS804" s="3">
        <v>42831</v>
      </c>
      <c r="BT804" s="4">
        <v>0.48402777777777778</v>
      </c>
      <c r="BU804" s="2" t="s">
        <v>1406</v>
      </c>
      <c r="BV804" s="2" t="s">
        <v>111</v>
      </c>
      <c r="BW804" s="2"/>
      <c r="BX804" s="2"/>
      <c r="BY804" s="2">
        <v>1200</v>
      </c>
      <c r="BZ804" s="2" t="s">
        <v>27</v>
      </c>
      <c r="CA804" s="2" t="s">
        <v>159</v>
      </c>
      <c r="CB804" s="2"/>
      <c r="CC804" s="2" t="s">
        <v>660</v>
      </c>
      <c r="CD804" s="2">
        <v>3310</v>
      </c>
      <c r="CE804" s="2" t="s">
        <v>118</v>
      </c>
      <c r="CF804" s="5">
        <v>42833</v>
      </c>
      <c r="CG804" s="2"/>
      <c r="CH804" s="2"/>
      <c r="CI804" s="2">
        <v>1</v>
      </c>
      <c r="CJ804" s="2">
        <v>1</v>
      </c>
      <c r="CK804" s="2">
        <v>21</v>
      </c>
      <c r="CL804" s="2" t="s">
        <v>86</v>
      </c>
      <c r="CM804" s="2"/>
    </row>
    <row r="805" spans="1:91">
      <c r="A805" s="2" t="s">
        <v>71</v>
      </c>
      <c r="B805" s="2" t="s">
        <v>72</v>
      </c>
      <c r="C805" s="2" t="s">
        <v>73</v>
      </c>
      <c r="D805" s="2"/>
      <c r="E805" s="2" t="str">
        <f>"FES1162541556"</f>
        <v>FES1162541556</v>
      </c>
      <c r="F805" s="3">
        <v>42830</v>
      </c>
      <c r="G805" s="2">
        <v>201710</v>
      </c>
      <c r="H805" s="2" t="s">
        <v>74</v>
      </c>
      <c r="I805" s="2" t="s">
        <v>75</v>
      </c>
      <c r="J805" s="2" t="s">
        <v>76</v>
      </c>
      <c r="K805" s="2" t="s">
        <v>77</v>
      </c>
      <c r="L805" s="2" t="s">
        <v>131</v>
      </c>
      <c r="M805" s="2" t="s">
        <v>132</v>
      </c>
      <c r="N805" s="2" t="s">
        <v>188</v>
      </c>
      <c r="O805" s="2" t="s">
        <v>115</v>
      </c>
      <c r="P805" s="2" t="str">
        <f>"2170560648                    "</f>
        <v xml:space="preserve">2170560648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10.72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5</v>
      </c>
      <c r="BJ805" s="2">
        <v>3.3</v>
      </c>
      <c r="BK805" s="2">
        <v>5</v>
      </c>
      <c r="BL805" s="2">
        <v>104.32</v>
      </c>
      <c r="BM805" s="2">
        <v>14.6</v>
      </c>
      <c r="BN805" s="2">
        <v>118.92</v>
      </c>
      <c r="BO805" s="2">
        <v>118.92</v>
      </c>
      <c r="BP805" s="2"/>
      <c r="BQ805" s="2" t="s">
        <v>83</v>
      </c>
      <c r="BR805" s="2" t="s">
        <v>123</v>
      </c>
      <c r="BS805" s="3">
        <v>42831</v>
      </c>
      <c r="BT805" s="4">
        <v>0.41666666666666669</v>
      </c>
      <c r="BU805" s="2" t="s">
        <v>1407</v>
      </c>
      <c r="BV805" s="2" t="s">
        <v>111</v>
      </c>
      <c r="BW805" s="2"/>
      <c r="BX805" s="2"/>
      <c r="BY805" s="2">
        <v>16524.2</v>
      </c>
      <c r="BZ805" s="2" t="s">
        <v>27</v>
      </c>
      <c r="CA805" s="2"/>
      <c r="CB805" s="2"/>
      <c r="CC805" s="2" t="s">
        <v>132</v>
      </c>
      <c r="CD805" s="2">
        <v>7460</v>
      </c>
      <c r="CE805" s="2" t="s">
        <v>135</v>
      </c>
      <c r="CF805" s="5">
        <v>42832</v>
      </c>
      <c r="CG805" s="2"/>
      <c r="CH805" s="2"/>
      <c r="CI805" s="2">
        <v>1</v>
      </c>
      <c r="CJ805" s="2">
        <v>1</v>
      </c>
      <c r="CK805" s="2">
        <v>21</v>
      </c>
      <c r="CL805" s="2" t="s">
        <v>86</v>
      </c>
      <c r="CM805" s="2"/>
    </row>
    <row r="806" spans="1:91">
      <c r="A806" s="2" t="s">
        <v>71</v>
      </c>
      <c r="B806" s="2" t="s">
        <v>72</v>
      </c>
      <c r="C806" s="2" t="s">
        <v>73</v>
      </c>
      <c r="D806" s="2"/>
      <c r="E806" s="2" t="str">
        <f>"FES1162541948"</f>
        <v>FES1162541948</v>
      </c>
      <c r="F806" s="3">
        <v>42831</v>
      </c>
      <c r="G806" s="2">
        <v>201710</v>
      </c>
      <c r="H806" s="2" t="s">
        <v>74</v>
      </c>
      <c r="I806" s="2" t="s">
        <v>75</v>
      </c>
      <c r="J806" s="2" t="s">
        <v>76</v>
      </c>
      <c r="K806" s="2" t="s">
        <v>77</v>
      </c>
      <c r="L806" s="2" t="s">
        <v>99</v>
      </c>
      <c r="M806" s="2" t="s">
        <v>100</v>
      </c>
      <c r="N806" s="2" t="s">
        <v>151</v>
      </c>
      <c r="O806" s="2" t="s">
        <v>115</v>
      </c>
      <c r="P806" s="2" t="str">
        <f>"2170560942                    "</f>
        <v xml:space="preserve">2170560942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4.29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0.5</v>
      </c>
      <c r="BJ806" s="2">
        <v>1.1000000000000001</v>
      </c>
      <c r="BK806" s="2">
        <v>1.5</v>
      </c>
      <c r="BL806" s="2">
        <v>41.73</v>
      </c>
      <c r="BM806" s="2">
        <v>5.84</v>
      </c>
      <c r="BN806" s="2">
        <v>47.57</v>
      </c>
      <c r="BO806" s="2">
        <v>47.57</v>
      </c>
      <c r="BP806" s="2"/>
      <c r="BQ806" s="2" t="s">
        <v>152</v>
      </c>
      <c r="BR806" s="2" t="s">
        <v>123</v>
      </c>
      <c r="BS806" s="3">
        <v>42835</v>
      </c>
      <c r="BT806" s="4">
        <v>0.42152777777777778</v>
      </c>
      <c r="BU806" s="2" t="s">
        <v>1408</v>
      </c>
      <c r="BV806" s="2" t="s">
        <v>86</v>
      </c>
      <c r="BW806" s="2" t="s">
        <v>96</v>
      </c>
      <c r="BX806" s="2" t="s">
        <v>1140</v>
      </c>
      <c r="BY806" s="2">
        <v>5397.67</v>
      </c>
      <c r="BZ806" s="2" t="s">
        <v>27</v>
      </c>
      <c r="CA806" s="2" t="s">
        <v>154</v>
      </c>
      <c r="CB806" s="2"/>
      <c r="CC806" s="2" t="s">
        <v>100</v>
      </c>
      <c r="CD806" s="2">
        <v>6001</v>
      </c>
      <c r="CE806" s="2" t="s">
        <v>118</v>
      </c>
      <c r="CF806" s="5">
        <v>42835</v>
      </c>
      <c r="CG806" s="2"/>
      <c r="CH806" s="2"/>
      <c r="CI806" s="2">
        <v>1</v>
      </c>
      <c r="CJ806" s="2">
        <v>2</v>
      </c>
      <c r="CK806" s="2">
        <v>21</v>
      </c>
      <c r="CL806" s="2" t="s">
        <v>86</v>
      </c>
      <c r="CM806" s="2"/>
    </row>
    <row r="807" spans="1:91">
      <c r="A807" s="2" t="s">
        <v>71</v>
      </c>
      <c r="B807" s="2" t="s">
        <v>72</v>
      </c>
      <c r="C807" s="2" t="s">
        <v>73</v>
      </c>
      <c r="D807" s="2"/>
      <c r="E807" s="2" t="str">
        <f>"FES1162541220"</f>
        <v>FES1162541220</v>
      </c>
      <c r="F807" s="3">
        <v>42829</v>
      </c>
      <c r="G807" s="2">
        <v>201710</v>
      </c>
      <c r="H807" s="2" t="s">
        <v>74</v>
      </c>
      <c r="I807" s="2" t="s">
        <v>75</v>
      </c>
      <c r="J807" s="2" t="s">
        <v>76</v>
      </c>
      <c r="K807" s="2" t="s">
        <v>77</v>
      </c>
      <c r="L807" s="2" t="s">
        <v>516</v>
      </c>
      <c r="M807" s="2" t="s">
        <v>517</v>
      </c>
      <c r="N807" s="2" t="s">
        <v>758</v>
      </c>
      <c r="O807" s="2" t="s">
        <v>115</v>
      </c>
      <c r="P807" s="2" t="str">
        <f>"2170557905                    "</f>
        <v xml:space="preserve">2170557905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3.45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</v>
      </c>
      <c r="BJ807" s="2">
        <v>0.2</v>
      </c>
      <c r="BK807" s="2">
        <v>1</v>
      </c>
      <c r="BL807" s="2">
        <v>32.700000000000003</v>
      </c>
      <c r="BM807" s="2">
        <v>4.58</v>
      </c>
      <c r="BN807" s="2">
        <v>37.28</v>
      </c>
      <c r="BO807" s="2">
        <v>37.28</v>
      </c>
      <c r="BP807" s="2"/>
      <c r="BQ807" s="2" t="s">
        <v>759</v>
      </c>
      <c r="BR807" s="2" t="s">
        <v>123</v>
      </c>
      <c r="BS807" s="3">
        <v>42830</v>
      </c>
      <c r="BT807" s="4">
        <v>0.4375</v>
      </c>
      <c r="BU807" s="2" t="s">
        <v>760</v>
      </c>
      <c r="BV807" s="2" t="s">
        <v>111</v>
      </c>
      <c r="BW807" s="2"/>
      <c r="BX807" s="2"/>
      <c r="BY807" s="2">
        <v>1200</v>
      </c>
      <c r="BZ807" s="2" t="s">
        <v>27</v>
      </c>
      <c r="CA807" s="2"/>
      <c r="CB807" s="2"/>
      <c r="CC807" s="2" t="s">
        <v>517</v>
      </c>
      <c r="CD807" s="2">
        <v>1459</v>
      </c>
      <c r="CE807" s="2" t="s">
        <v>118</v>
      </c>
      <c r="CF807" s="5">
        <v>42832</v>
      </c>
      <c r="CG807" s="2"/>
      <c r="CH807" s="2"/>
      <c r="CI807" s="2">
        <v>1</v>
      </c>
      <c r="CJ807" s="2">
        <v>1</v>
      </c>
      <c r="CK807" s="2">
        <v>22</v>
      </c>
      <c r="CL807" s="2" t="s">
        <v>86</v>
      </c>
      <c r="CM807" s="2"/>
    </row>
    <row r="808" spans="1:91">
      <c r="A808" s="2" t="s">
        <v>71</v>
      </c>
      <c r="B808" s="2" t="s">
        <v>72</v>
      </c>
      <c r="C808" s="2" t="s">
        <v>73</v>
      </c>
      <c r="D808" s="2"/>
      <c r="E808" s="2" t="str">
        <f>"FES1162542825"</f>
        <v>FES1162542825</v>
      </c>
      <c r="F808" s="3">
        <v>42836</v>
      </c>
      <c r="G808" s="2">
        <v>201710</v>
      </c>
      <c r="H808" s="2" t="s">
        <v>74</v>
      </c>
      <c r="I808" s="2" t="s">
        <v>75</v>
      </c>
      <c r="J808" s="2" t="s">
        <v>76</v>
      </c>
      <c r="K808" s="2" t="s">
        <v>77</v>
      </c>
      <c r="L808" s="2" t="s">
        <v>1032</v>
      </c>
      <c r="M808" s="2" t="s">
        <v>1033</v>
      </c>
      <c r="N808" s="2" t="s">
        <v>1409</v>
      </c>
      <c r="O808" s="2" t="s">
        <v>115</v>
      </c>
      <c r="P808" s="2" t="str">
        <f>"2170560503                    "</f>
        <v xml:space="preserve">2170560503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8.31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1</v>
      </c>
      <c r="BJ808" s="2">
        <v>0.2</v>
      </c>
      <c r="BK808" s="2">
        <v>1</v>
      </c>
      <c r="BL808" s="2">
        <v>80.849999999999994</v>
      </c>
      <c r="BM808" s="2">
        <v>11.32</v>
      </c>
      <c r="BN808" s="2">
        <v>92.17</v>
      </c>
      <c r="BO808" s="2">
        <v>92.17</v>
      </c>
      <c r="BP808" s="2"/>
      <c r="BQ808" s="2" t="s">
        <v>13</v>
      </c>
      <c r="BR808" s="2" t="s">
        <v>123</v>
      </c>
      <c r="BS808" s="3">
        <v>42837</v>
      </c>
      <c r="BT808" s="4">
        <v>0</v>
      </c>
      <c r="BU808" s="2" t="s">
        <v>1410</v>
      </c>
      <c r="BV808" s="2" t="s">
        <v>111</v>
      </c>
      <c r="BW808" s="2"/>
      <c r="BX808" s="2"/>
      <c r="BY808" s="2">
        <v>1200</v>
      </c>
      <c r="BZ808" s="2" t="s">
        <v>27</v>
      </c>
      <c r="CA808" s="2"/>
      <c r="CB808" s="2"/>
      <c r="CC808" s="2" t="s">
        <v>1033</v>
      </c>
      <c r="CD808" s="2">
        <v>5660</v>
      </c>
      <c r="CE808" s="2" t="s">
        <v>118</v>
      </c>
      <c r="CF808" s="5">
        <v>42843</v>
      </c>
      <c r="CG808" s="2"/>
      <c r="CH808" s="2"/>
      <c r="CI808" s="2">
        <v>3</v>
      </c>
      <c r="CJ808" s="2">
        <v>1</v>
      </c>
      <c r="CK808" s="2">
        <v>23</v>
      </c>
      <c r="CL808" s="2" t="s">
        <v>86</v>
      </c>
      <c r="CM808" s="2"/>
    </row>
    <row r="809" spans="1:91">
      <c r="A809" s="2" t="s">
        <v>71</v>
      </c>
      <c r="B809" s="2" t="s">
        <v>72</v>
      </c>
      <c r="C809" s="2" t="s">
        <v>73</v>
      </c>
      <c r="D809" s="2"/>
      <c r="E809" s="2" t="str">
        <f>"FES1162541730"</f>
        <v>FES1162541730</v>
      </c>
      <c r="F809" s="3">
        <v>42830</v>
      </c>
      <c r="G809" s="2">
        <v>201710</v>
      </c>
      <c r="H809" s="2" t="s">
        <v>74</v>
      </c>
      <c r="I809" s="2" t="s">
        <v>75</v>
      </c>
      <c r="J809" s="2" t="s">
        <v>76</v>
      </c>
      <c r="K809" s="2" t="s">
        <v>77</v>
      </c>
      <c r="L809" s="2" t="s">
        <v>91</v>
      </c>
      <c r="M809" s="2" t="s">
        <v>92</v>
      </c>
      <c r="N809" s="2" t="s">
        <v>1411</v>
      </c>
      <c r="O809" s="2" t="s">
        <v>115</v>
      </c>
      <c r="P809" s="2" t="str">
        <f>"2170560735                    "</f>
        <v xml:space="preserve">2170560735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3.35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1</v>
      </c>
      <c r="BJ809" s="2">
        <v>0.2</v>
      </c>
      <c r="BK809" s="2">
        <v>1</v>
      </c>
      <c r="BL809" s="2">
        <v>32.6</v>
      </c>
      <c r="BM809" s="2">
        <v>4.5599999999999996</v>
      </c>
      <c r="BN809" s="2">
        <v>37.159999999999997</v>
      </c>
      <c r="BO809" s="2">
        <v>37.159999999999997</v>
      </c>
      <c r="BP809" s="2"/>
      <c r="BQ809" s="2" t="s">
        <v>1412</v>
      </c>
      <c r="BR809" s="2" t="s">
        <v>123</v>
      </c>
      <c r="BS809" s="3">
        <v>42831</v>
      </c>
      <c r="BT809" s="4">
        <v>0.4375</v>
      </c>
      <c r="BU809" s="2" t="s">
        <v>198</v>
      </c>
      <c r="BV809" s="2" t="s">
        <v>111</v>
      </c>
      <c r="BW809" s="2"/>
      <c r="BX809" s="2"/>
      <c r="BY809" s="2">
        <v>1200</v>
      </c>
      <c r="BZ809" s="2" t="s">
        <v>27</v>
      </c>
      <c r="CA809" s="2"/>
      <c r="CB809" s="2"/>
      <c r="CC809" s="2" t="s">
        <v>92</v>
      </c>
      <c r="CD809" s="2">
        <v>1422</v>
      </c>
      <c r="CE809" s="2" t="s">
        <v>118</v>
      </c>
      <c r="CF809" s="5">
        <v>42832</v>
      </c>
      <c r="CG809" s="2"/>
      <c r="CH809" s="2"/>
      <c r="CI809" s="2">
        <v>1</v>
      </c>
      <c r="CJ809" s="2">
        <v>1</v>
      </c>
      <c r="CK809" s="2">
        <v>22</v>
      </c>
      <c r="CL809" s="2" t="s">
        <v>86</v>
      </c>
      <c r="CM809" s="2"/>
    </row>
    <row r="810" spans="1:91">
      <c r="A810" s="2" t="s">
        <v>71</v>
      </c>
      <c r="B810" s="2" t="s">
        <v>72</v>
      </c>
      <c r="C810" s="2" t="s">
        <v>73</v>
      </c>
      <c r="D810" s="2"/>
      <c r="E810" s="2" t="str">
        <f>"FES1162541489"</f>
        <v>FES1162541489</v>
      </c>
      <c r="F810" s="3">
        <v>42830</v>
      </c>
      <c r="G810" s="2">
        <v>201710</v>
      </c>
      <c r="H810" s="2" t="s">
        <v>74</v>
      </c>
      <c r="I810" s="2" t="s">
        <v>75</v>
      </c>
      <c r="J810" s="2" t="s">
        <v>76</v>
      </c>
      <c r="K810" s="2" t="s">
        <v>77</v>
      </c>
      <c r="L810" s="2" t="s">
        <v>176</v>
      </c>
      <c r="M810" s="2" t="s">
        <v>176</v>
      </c>
      <c r="N810" s="2" t="s">
        <v>1413</v>
      </c>
      <c r="O810" s="2" t="s">
        <v>115</v>
      </c>
      <c r="P810" s="2" t="str">
        <f>"21705603736                   "</f>
        <v xml:space="preserve">21705603736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4.29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1</v>
      </c>
      <c r="BJ810" s="2">
        <v>0.2</v>
      </c>
      <c r="BK810" s="2">
        <v>1</v>
      </c>
      <c r="BL810" s="2">
        <v>41.73</v>
      </c>
      <c r="BM810" s="2">
        <v>5.84</v>
      </c>
      <c r="BN810" s="2">
        <v>47.57</v>
      </c>
      <c r="BO810" s="2">
        <v>47.57</v>
      </c>
      <c r="BP810" s="2"/>
      <c r="BQ810" s="2" t="s">
        <v>83</v>
      </c>
      <c r="BR810" s="2" t="s">
        <v>123</v>
      </c>
      <c r="BS810" s="3">
        <v>42831</v>
      </c>
      <c r="BT810" s="4">
        <v>0.54166666666666663</v>
      </c>
      <c r="BU810" s="2" t="s">
        <v>1414</v>
      </c>
      <c r="BV810" s="2" t="s">
        <v>111</v>
      </c>
      <c r="BW810" s="2"/>
      <c r="BX810" s="2"/>
      <c r="BY810" s="2">
        <v>1200</v>
      </c>
      <c r="BZ810" s="2" t="s">
        <v>27</v>
      </c>
      <c r="CA810" s="2"/>
      <c r="CB810" s="2"/>
      <c r="CC810" s="2" t="s">
        <v>176</v>
      </c>
      <c r="CD810" s="2">
        <v>7620</v>
      </c>
      <c r="CE810" s="2" t="s">
        <v>144</v>
      </c>
      <c r="CF810" s="5">
        <v>42832</v>
      </c>
      <c r="CG810" s="2"/>
      <c r="CH810" s="2"/>
      <c r="CI810" s="2">
        <v>1</v>
      </c>
      <c r="CJ810" s="2">
        <v>1</v>
      </c>
      <c r="CK810" s="2">
        <v>21</v>
      </c>
      <c r="CL810" s="2" t="s">
        <v>86</v>
      </c>
      <c r="CM810" s="2"/>
    </row>
    <row r="811" spans="1:91">
      <c r="A811" s="2" t="s">
        <v>71</v>
      </c>
      <c r="B811" s="2" t="s">
        <v>72</v>
      </c>
      <c r="C811" s="2" t="s">
        <v>73</v>
      </c>
      <c r="D811" s="2"/>
      <c r="E811" s="2" t="str">
        <f>"FES1162543303"</f>
        <v>FES1162543303</v>
      </c>
      <c r="F811" s="3">
        <v>42837</v>
      </c>
      <c r="G811" s="2">
        <v>201710</v>
      </c>
      <c r="H811" s="2" t="s">
        <v>74</v>
      </c>
      <c r="I811" s="2" t="s">
        <v>75</v>
      </c>
      <c r="J811" s="2" t="s">
        <v>76</v>
      </c>
      <c r="K811" s="2" t="s">
        <v>77</v>
      </c>
      <c r="L811" s="2" t="s">
        <v>787</v>
      </c>
      <c r="M811" s="2" t="s">
        <v>788</v>
      </c>
      <c r="N811" s="2" t="s">
        <v>789</v>
      </c>
      <c r="O811" s="2" t="s">
        <v>115</v>
      </c>
      <c r="P811" s="2" t="str">
        <f>"2170560656                    "</f>
        <v xml:space="preserve">2170560656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8.31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1</v>
      </c>
      <c r="BJ811" s="2">
        <v>0.2</v>
      </c>
      <c r="BK811" s="2">
        <v>1</v>
      </c>
      <c r="BL811" s="2">
        <v>80.849999999999994</v>
      </c>
      <c r="BM811" s="2">
        <v>11.32</v>
      </c>
      <c r="BN811" s="2">
        <v>92.17</v>
      </c>
      <c r="BO811" s="2">
        <v>92.17</v>
      </c>
      <c r="BP811" s="2"/>
      <c r="BQ811" s="2" t="s">
        <v>790</v>
      </c>
      <c r="BR811" s="2" t="s">
        <v>84</v>
      </c>
      <c r="BS811" s="3">
        <v>42838</v>
      </c>
      <c r="BT811" s="4">
        <v>0.52361111111111114</v>
      </c>
      <c r="BU811" s="2" t="s">
        <v>791</v>
      </c>
      <c r="BV811" s="2" t="s">
        <v>111</v>
      </c>
      <c r="BW811" s="2"/>
      <c r="BX811" s="2"/>
      <c r="BY811" s="2">
        <v>1200</v>
      </c>
      <c r="BZ811" s="2" t="s">
        <v>27</v>
      </c>
      <c r="CA811" s="2" t="s">
        <v>159</v>
      </c>
      <c r="CB811" s="2"/>
      <c r="CC811" s="2" t="s">
        <v>788</v>
      </c>
      <c r="CD811" s="2">
        <v>9650</v>
      </c>
      <c r="CE811" s="2" t="s">
        <v>118</v>
      </c>
      <c r="CF811" s="5">
        <v>42845</v>
      </c>
      <c r="CG811" s="2"/>
      <c r="CH811" s="2"/>
      <c r="CI811" s="2">
        <v>1</v>
      </c>
      <c r="CJ811" s="2">
        <v>1</v>
      </c>
      <c r="CK811" s="2">
        <v>23</v>
      </c>
      <c r="CL811" s="2" t="s">
        <v>86</v>
      </c>
      <c r="CM811" s="2"/>
    </row>
    <row r="812" spans="1:91">
      <c r="A812" s="2" t="s">
        <v>71</v>
      </c>
      <c r="B812" s="2" t="s">
        <v>72</v>
      </c>
      <c r="C812" s="2" t="s">
        <v>73</v>
      </c>
      <c r="D812" s="2"/>
      <c r="E812" s="2" t="str">
        <f>"FES1162541980"</f>
        <v>FES1162541980</v>
      </c>
      <c r="F812" s="3">
        <v>42831</v>
      </c>
      <c r="G812" s="2">
        <v>201710</v>
      </c>
      <c r="H812" s="2" t="s">
        <v>74</v>
      </c>
      <c r="I812" s="2" t="s">
        <v>75</v>
      </c>
      <c r="J812" s="2" t="s">
        <v>76</v>
      </c>
      <c r="K812" s="2" t="s">
        <v>77</v>
      </c>
      <c r="L812" s="2" t="s">
        <v>496</v>
      </c>
      <c r="M812" s="2" t="s">
        <v>497</v>
      </c>
      <c r="N812" s="2" t="s">
        <v>1415</v>
      </c>
      <c r="O812" s="2" t="s">
        <v>115</v>
      </c>
      <c r="P812" s="2" t="str">
        <f>"2170558081                    "</f>
        <v xml:space="preserve">2170558081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3.35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32.6</v>
      </c>
      <c r="BM812" s="2">
        <v>4.5599999999999996</v>
      </c>
      <c r="BN812" s="2">
        <v>37.159999999999997</v>
      </c>
      <c r="BO812" s="2">
        <v>37.159999999999997</v>
      </c>
      <c r="BP812" s="2"/>
      <c r="BQ812" s="2" t="s">
        <v>122</v>
      </c>
      <c r="BR812" s="2" t="s">
        <v>123</v>
      </c>
      <c r="BS812" s="3">
        <v>42835</v>
      </c>
      <c r="BT812" s="4">
        <v>0.34722222222222227</v>
      </c>
      <c r="BU812" s="2" t="s">
        <v>1416</v>
      </c>
      <c r="BV812" s="2" t="s">
        <v>86</v>
      </c>
      <c r="BW812" s="2" t="s">
        <v>96</v>
      </c>
      <c r="BX812" s="2" t="s">
        <v>812</v>
      </c>
      <c r="BY812" s="2">
        <v>1200</v>
      </c>
      <c r="BZ812" s="2" t="s">
        <v>27</v>
      </c>
      <c r="CA812" s="2"/>
      <c r="CB812" s="2"/>
      <c r="CC812" s="2" t="s">
        <v>497</v>
      </c>
      <c r="CD812" s="2">
        <v>1559</v>
      </c>
      <c r="CE812" s="2" t="s">
        <v>118</v>
      </c>
      <c r="CF812" s="5">
        <v>42836</v>
      </c>
      <c r="CG812" s="2"/>
      <c r="CH812" s="2"/>
      <c r="CI812" s="2">
        <v>1</v>
      </c>
      <c r="CJ812" s="2">
        <v>2</v>
      </c>
      <c r="CK812" s="2">
        <v>22</v>
      </c>
      <c r="CL812" s="2" t="s">
        <v>86</v>
      </c>
      <c r="CM812" s="2"/>
    </row>
    <row r="813" spans="1:91">
      <c r="A813" s="2" t="s">
        <v>71</v>
      </c>
      <c r="B813" s="2" t="s">
        <v>72</v>
      </c>
      <c r="C813" s="2" t="s">
        <v>73</v>
      </c>
      <c r="D813" s="2"/>
      <c r="E813" s="2" t="str">
        <f>"FES1162541253"</f>
        <v>FES1162541253</v>
      </c>
      <c r="F813" s="3">
        <v>42829</v>
      </c>
      <c r="G813" s="2">
        <v>201710</v>
      </c>
      <c r="H813" s="2" t="s">
        <v>74</v>
      </c>
      <c r="I813" s="2" t="s">
        <v>75</v>
      </c>
      <c r="J813" s="2" t="s">
        <v>76</v>
      </c>
      <c r="K813" s="2" t="s">
        <v>77</v>
      </c>
      <c r="L813" s="2" t="s">
        <v>166</v>
      </c>
      <c r="M813" s="2" t="s">
        <v>167</v>
      </c>
      <c r="N813" s="2" t="s">
        <v>272</v>
      </c>
      <c r="O813" s="2" t="s">
        <v>115</v>
      </c>
      <c r="P813" s="2" t="str">
        <f>"2170560228                    "</f>
        <v xml:space="preserve">2170560228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3.45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1</v>
      </c>
      <c r="BJ813" s="2">
        <v>0.2</v>
      </c>
      <c r="BK813" s="2">
        <v>1</v>
      </c>
      <c r="BL813" s="2">
        <v>32.700000000000003</v>
      </c>
      <c r="BM813" s="2">
        <v>4.58</v>
      </c>
      <c r="BN813" s="2">
        <v>37.28</v>
      </c>
      <c r="BO813" s="2">
        <v>37.28</v>
      </c>
      <c r="BP813" s="2"/>
      <c r="BQ813" s="2" t="s">
        <v>273</v>
      </c>
      <c r="BR813" s="2" t="s">
        <v>123</v>
      </c>
      <c r="BS813" s="3">
        <v>42830</v>
      </c>
      <c r="BT813" s="4">
        <v>0.41666666666666669</v>
      </c>
      <c r="BU813" s="2" t="s">
        <v>274</v>
      </c>
      <c r="BV813" s="2" t="s">
        <v>111</v>
      </c>
      <c r="BW813" s="2"/>
      <c r="BX813" s="2"/>
      <c r="BY813" s="2">
        <v>1200</v>
      </c>
      <c r="BZ813" s="2" t="s">
        <v>27</v>
      </c>
      <c r="CA813" s="2"/>
      <c r="CB813" s="2"/>
      <c r="CC813" s="2" t="s">
        <v>167</v>
      </c>
      <c r="CD813" s="2">
        <v>2042</v>
      </c>
      <c r="CE813" s="2" t="s">
        <v>118</v>
      </c>
      <c r="CF813" s="5">
        <v>42832</v>
      </c>
      <c r="CG813" s="2"/>
      <c r="CH813" s="2"/>
      <c r="CI813" s="2">
        <v>1</v>
      </c>
      <c r="CJ813" s="2">
        <v>1</v>
      </c>
      <c r="CK813" s="2">
        <v>22</v>
      </c>
      <c r="CL813" s="2" t="s">
        <v>86</v>
      </c>
      <c r="CM813" s="2"/>
    </row>
    <row r="814" spans="1:91">
      <c r="A814" s="2" t="s">
        <v>71</v>
      </c>
      <c r="B814" s="2" t="s">
        <v>72</v>
      </c>
      <c r="C814" s="2" t="s">
        <v>73</v>
      </c>
      <c r="D814" s="2"/>
      <c r="E814" s="2" t="str">
        <f>"FES1162542929"</f>
        <v>FES1162542929</v>
      </c>
      <c r="F814" s="3">
        <v>42836</v>
      </c>
      <c r="G814" s="2">
        <v>201710</v>
      </c>
      <c r="H814" s="2" t="s">
        <v>74</v>
      </c>
      <c r="I814" s="2" t="s">
        <v>75</v>
      </c>
      <c r="J814" s="2" t="s">
        <v>76</v>
      </c>
      <c r="K814" s="2" t="s">
        <v>77</v>
      </c>
      <c r="L814" s="2" t="s">
        <v>131</v>
      </c>
      <c r="M814" s="2" t="s">
        <v>132</v>
      </c>
      <c r="N814" s="2" t="s">
        <v>1417</v>
      </c>
      <c r="O814" s="2" t="s">
        <v>115</v>
      </c>
      <c r="P814" s="2" t="str">
        <f>"2170559475                    "</f>
        <v xml:space="preserve">2170559475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4.29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</v>
      </c>
      <c r="BJ814" s="2">
        <v>1.3</v>
      </c>
      <c r="BK814" s="2">
        <v>1.5</v>
      </c>
      <c r="BL814" s="2">
        <v>41.73</v>
      </c>
      <c r="BM814" s="2">
        <v>5.84</v>
      </c>
      <c r="BN814" s="2">
        <v>47.57</v>
      </c>
      <c r="BO814" s="2">
        <v>47.57</v>
      </c>
      <c r="BP814" s="2"/>
      <c r="BQ814" s="2" t="s">
        <v>83</v>
      </c>
      <c r="BR814" s="2" t="s">
        <v>123</v>
      </c>
      <c r="BS814" s="3">
        <v>42837</v>
      </c>
      <c r="BT814" s="4">
        <v>0.47916666666666669</v>
      </c>
      <c r="BU814" s="2" t="s">
        <v>1418</v>
      </c>
      <c r="BV814" s="2" t="s">
        <v>111</v>
      </c>
      <c r="BW814" s="2"/>
      <c r="BX814" s="2"/>
      <c r="BY814" s="2">
        <v>6739.59</v>
      </c>
      <c r="BZ814" s="2" t="s">
        <v>27</v>
      </c>
      <c r="CA814" s="2"/>
      <c r="CB814" s="2"/>
      <c r="CC814" s="2" t="s">
        <v>132</v>
      </c>
      <c r="CD814" s="2">
        <v>7945</v>
      </c>
      <c r="CE814" s="2" t="s">
        <v>144</v>
      </c>
      <c r="CF814" s="5">
        <v>42838</v>
      </c>
      <c r="CG814" s="2"/>
      <c r="CH814" s="2"/>
      <c r="CI814" s="2">
        <v>1</v>
      </c>
      <c r="CJ814" s="2">
        <v>1</v>
      </c>
      <c r="CK814" s="2">
        <v>21</v>
      </c>
      <c r="CL814" s="2" t="s">
        <v>86</v>
      </c>
      <c r="CM814" s="2"/>
    </row>
    <row r="815" spans="1:91">
      <c r="A815" s="2" t="s">
        <v>71</v>
      </c>
      <c r="B815" s="2" t="s">
        <v>72</v>
      </c>
      <c r="C815" s="2" t="s">
        <v>73</v>
      </c>
      <c r="D815" s="2"/>
      <c r="E815" s="2" t="str">
        <f>"FES1162541835"</f>
        <v>FES1162541835</v>
      </c>
      <c r="F815" s="3">
        <v>42830</v>
      </c>
      <c r="G815" s="2">
        <v>201710</v>
      </c>
      <c r="H815" s="2" t="s">
        <v>74</v>
      </c>
      <c r="I815" s="2" t="s">
        <v>75</v>
      </c>
      <c r="J815" s="2" t="s">
        <v>76</v>
      </c>
      <c r="K815" s="2" t="s">
        <v>77</v>
      </c>
      <c r="L815" s="2" t="s">
        <v>516</v>
      </c>
      <c r="M815" s="2" t="s">
        <v>517</v>
      </c>
      <c r="N815" s="2" t="s">
        <v>1419</v>
      </c>
      <c r="O815" s="2" t="s">
        <v>115</v>
      </c>
      <c r="P815" s="2" t="str">
        <f>"2170559207                    "</f>
        <v xml:space="preserve">2170559207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3.35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</v>
      </c>
      <c r="BJ815" s="2">
        <v>0.2</v>
      </c>
      <c r="BK815" s="2">
        <v>1</v>
      </c>
      <c r="BL815" s="2">
        <v>32.6</v>
      </c>
      <c r="BM815" s="2">
        <v>4.5599999999999996</v>
      </c>
      <c r="BN815" s="2">
        <v>37.159999999999997</v>
      </c>
      <c r="BO815" s="2">
        <v>37.159999999999997</v>
      </c>
      <c r="BP815" s="2"/>
      <c r="BQ815" s="2" t="s">
        <v>1420</v>
      </c>
      <c r="BR815" s="2" t="s">
        <v>123</v>
      </c>
      <c r="BS815" s="3">
        <v>42831</v>
      </c>
      <c r="BT815" s="4">
        <v>0.4375</v>
      </c>
      <c r="BU815" s="2" t="s">
        <v>761</v>
      </c>
      <c r="BV815" s="2" t="s">
        <v>111</v>
      </c>
      <c r="BW815" s="2"/>
      <c r="BX815" s="2"/>
      <c r="BY815" s="2">
        <v>1200</v>
      </c>
      <c r="BZ815" s="2" t="s">
        <v>27</v>
      </c>
      <c r="CA815" s="2"/>
      <c r="CB815" s="2"/>
      <c r="CC815" s="2" t="s">
        <v>517</v>
      </c>
      <c r="CD815" s="2">
        <v>1467</v>
      </c>
      <c r="CE815" s="2" t="s">
        <v>118</v>
      </c>
      <c r="CF815" s="5">
        <v>42832</v>
      </c>
      <c r="CG815" s="2"/>
      <c r="CH815" s="2"/>
      <c r="CI815" s="2">
        <v>1</v>
      </c>
      <c r="CJ815" s="2">
        <v>1</v>
      </c>
      <c r="CK815" s="2">
        <v>22</v>
      </c>
      <c r="CL815" s="2" t="s">
        <v>86</v>
      </c>
      <c r="CM815" s="2"/>
    </row>
    <row r="816" spans="1:91">
      <c r="A816" s="2" t="s">
        <v>71</v>
      </c>
      <c r="B816" s="2" t="s">
        <v>72</v>
      </c>
      <c r="C816" s="2" t="s">
        <v>73</v>
      </c>
      <c r="D816" s="2"/>
      <c r="E816" s="2" t="str">
        <f>"FES1162541518"</f>
        <v>FES1162541518</v>
      </c>
      <c r="F816" s="3">
        <v>42830</v>
      </c>
      <c r="G816" s="2">
        <v>201710</v>
      </c>
      <c r="H816" s="2" t="s">
        <v>74</v>
      </c>
      <c r="I816" s="2" t="s">
        <v>75</v>
      </c>
      <c r="J816" s="2" t="s">
        <v>76</v>
      </c>
      <c r="K816" s="2" t="s">
        <v>77</v>
      </c>
      <c r="L816" s="2" t="s">
        <v>180</v>
      </c>
      <c r="M816" s="2" t="s">
        <v>181</v>
      </c>
      <c r="N816" s="2" t="s">
        <v>988</v>
      </c>
      <c r="O816" s="2" t="s">
        <v>115</v>
      </c>
      <c r="P816" s="2" t="str">
        <f>"2170558497                    "</f>
        <v xml:space="preserve">2170558497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6.43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1</v>
      </c>
      <c r="BJ816" s="2">
        <v>2.8</v>
      </c>
      <c r="BK816" s="2">
        <v>3</v>
      </c>
      <c r="BL816" s="2">
        <v>62.59</v>
      </c>
      <c r="BM816" s="2">
        <v>8.76</v>
      </c>
      <c r="BN816" s="2">
        <v>71.349999999999994</v>
      </c>
      <c r="BO816" s="2">
        <v>71.349999999999994</v>
      </c>
      <c r="BP816" s="2"/>
      <c r="BQ816" s="2" t="s">
        <v>83</v>
      </c>
      <c r="BR816" s="2" t="s">
        <v>123</v>
      </c>
      <c r="BS816" s="3">
        <v>42831</v>
      </c>
      <c r="BT816" s="4">
        <v>0.4375</v>
      </c>
      <c r="BU816" s="2" t="s">
        <v>989</v>
      </c>
      <c r="BV816" s="2" t="s">
        <v>111</v>
      </c>
      <c r="BW816" s="2"/>
      <c r="BX816" s="2"/>
      <c r="BY816" s="2">
        <v>14245.07</v>
      </c>
      <c r="BZ816" s="2" t="s">
        <v>27</v>
      </c>
      <c r="CA816" s="2"/>
      <c r="CB816" s="2"/>
      <c r="CC816" s="2" t="s">
        <v>181</v>
      </c>
      <c r="CD816" s="2">
        <v>4068</v>
      </c>
      <c r="CE816" s="2" t="s">
        <v>144</v>
      </c>
      <c r="CF816" s="5">
        <v>42832</v>
      </c>
      <c r="CG816" s="2"/>
      <c r="CH816" s="2"/>
      <c r="CI816" s="2">
        <v>1</v>
      </c>
      <c r="CJ816" s="2">
        <v>1</v>
      </c>
      <c r="CK816" s="2">
        <v>21</v>
      </c>
      <c r="CL816" s="2" t="s">
        <v>86</v>
      </c>
      <c r="CM816" s="2"/>
    </row>
    <row r="817" spans="1:91">
      <c r="A817" s="2" t="s">
        <v>71</v>
      </c>
      <c r="B817" s="2" t="s">
        <v>72</v>
      </c>
      <c r="C817" s="2" t="s">
        <v>73</v>
      </c>
      <c r="D817" s="2"/>
      <c r="E817" s="2" t="str">
        <f>"FES1162543429"</f>
        <v>FES1162543429</v>
      </c>
      <c r="F817" s="3">
        <v>42837</v>
      </c>
      <c r="G817" s="2">
        <v>201710</v>
      </c>
      <c r="H817" s="2" t="s">
        <v>74</v>
      </c>
      <c r="I817" s="2" t="s">
        <v>75</v>
      </c>
      <c r="J817" s="2" t="s">
        <v>76</v>
      </c>
      <c r="K817" s="2" t="s">
        <v>77</v>
      </c>
      <c r="L817" s="2" t="s">
        <v>99</v>
      </c>
      <c r="M817" s="2" t="s">
        <v>100</v>
      </c>
      <c r="N817" s="2" t="s">
        <v>433</v>
      </c>
      <c r="O817" s="2" t="s">
        <v>115</v>
      </c>
      <c r="P817" s="2" t="str">
        <f>"2170562124                    "</f>
        <v xml:space="preserve">2170562124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5.36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1</v>
      </c>
      <c r="BJ817" s="2">
        <v>2.1</v>
      </c>
      <c r="BK817" s="2">
        <v>2.5</v>
      </c>
      <c r="BL817" s="2">
        <v>52.16</v>
      </c>
      <c r="BM817" s="2">
        <v>7.3</v>
      </c>
      <c r="BN817" s="2">
        <v>59.46</v>
      </c>
      <c r="BO817" s="2">
        <v>59.46</v>
      </c>
      <c r="BP817" s="2"/>
      <c r="BQ817" s="2" t="s">
        <v>434</v>
      </c>
      <c r="BR817" s="2" t="s">
        <v>84</v>
      </c>
      <c r="BS817" s="3">
        <v>42838</v>
      </c>
      <c r="BT817" s="4">
        <v>0.4375</v>
      </c>
      <c r="BU817" s="2" t="s">
        <v>1421</v>
      </c>
      <c r="BV817" s="2" t="s">
        <v>111</v>
      </c>
      <c r="BW817" s="2"/>
      <c r="BX817" s="2"/>
      <c r="BY817" s="2">
        <v>10494.36</v>
      </c>
      <c r="BZ817" s="2" t="s">
        <v>27</v>
      </c>
      <c r="CA817" s="2"/>
      <c r="CB817" s="2"/>
      <c r="CC817" s="2" t="s">
        <v>100</v>
      </c>
      <c r="CD817" s="2">
        <v>6001</v>
      </c>
      <c r="CE817" s="2" t="s">
        <v>118</v>
      </c>
      <c r="CF817" s="5">
        <v>42843</v>
      </c>
      <c r="CG817" s="2"/>
      <c r="CH817" s="2"/>
      <c r="CI817" s="2">
        <v>1</v>
      </c>
      <c r="CJ817" s="2">
        <v>1</v>
      </c>
      <c r="CK817" s="2">
        <v>21</v>
      </c>
      <c r="CL817" s="2" t="s">
        <v>86</v>
      </c>
      <c r="CM817" s="2"/>
    </row>
    <row r="818" spans="1:91">
      <c r="A818" s="2" t="s">
        <v>71</v>
      </c>
      <c r="B818" s="2" t="s">
        <v>72</v>
      </c>
      <c r="C818" s="2" t="s">
        <v>73</v>
      </c>
      <c r="D818" s="2"/>
      <c r="E818" s="2" t="str">
        <f>"FES1162541983"</f>
        <v>FES1162541983</v>
      </c>
      <c r="F818" s="3">
        <v>42831</v>
      </c>
      <c r="G818" s="2">
        <v>201710</v>
      </c>
      <c r="H818" s="2" t="s">
        <v>74</v>
      </c>
      <c r="I818" s="2" t="s">
        <v>75</v>
      </c>
      <c r="J818" s="2" t="s">
        <v>76</v>
      </c>
      <c r="K818" s="2" t="s">
        <v>77</v>
      </c>
      <c r="L818" s="2" t="s">
        <v>74</v>
      </c>
      <c r="M818" s="2" t="s">
        <v>75</v>
      </c>
      <c r="N818" s="2" t="s">
        <v>436</v>
      </c>
      <c r="O818" s="2" t="s">
        <v>115</v>
      </c>
      <c r="P818" s="2" t="str">
        <f>"2170558154                    "</f>
        <v xml:space="preserve">2170558154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3.35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1</v>
      </c>
      <c r="BJ818" s="2">
        <v>0.2</v>
      </c>
      <c r="BK818" s="2">
        <v>1</v>
      </c>
      <c r="BL818" s="2">
        <v>32.6</v>
      </c>
      <c r="BM818" s="2">
        <v>4.5599999999999996</v>
      </c>
      <c r="BN818" s="2">
        <v>37.159999999999997</v>
      </c>
      <c r="BO818" s="2">
        <v>37.159999999999997</v>
      </c>
      <c r="BP818" s="2"/>
      <c r="BQ818" s="2" t="s">
        <v>437</v>
      </c>
      <c r="BR818" s="2" t="s">
        <v>123</v>
      </c>
      <c r="BS818" s="3">
        <v>42832</v>
      </c>
      <c r="BT818" s="4">
        <v>0.37777777777777777</v>
      </c>
      <c r="BU818" s="2" t="s">
        <v>1254</v>
      </c>
      <c r="BV818" s="2" t="s">
        <v>111</v>
      </c>
      <c r="BW818" s="2"/>
      <c r="BX818" s="2"/>
      <c r="BY818" s="2">
        <v>1200</v>
      </c>
      <c r="BZ818" s="2" t="s">
        <v>27</v>
      </c>
      <c r="CA818" s="2" t="s">
        <v>383</v>
      </c>
      <c r="CB818" s="2"/>
      <c r="CC818" s="2" t="s">
        <v>75</v>
      </c>
      <c r="CD818" s="2">
        <v>1600</v>
      </c>
      <c r="CE818" s="2" t="s">
        <v>118</v>
      </c>
      <c r="CF818" s="5">
        <v>42835</v>
      </c>
      <c r="CG818" s="2"/>
      <c r="CH818" s="2"/>
      <c r="CI818" s="2">
        <v>1</v>
      </c>
      <c r="CJ818" s="2">
        <v>1</v>
      </c>
      <c r="CK818" s="2">
        <v>22</v>
      </c>
      <c r="CL818" s="2" t="s">
        <v>86</v>
      </c>
      <c r="CM818" s="2"/>
    </row>
    <row r="819" spans="1:91">
      <c r="A819" s="2" t="s">
        <v>71</v>
      </c>
      <c r="B819" s="2" t="s">
        <v>72</v>
      </c>
      <c r="C819" s="2" t="s">
        <v>73</v>
      </c>
      <c r="D819" s="2"/>
      <c r="E819" s="2" t="str">
        <f>"FES1162541217"</f>
        <v>FES1162541217</v>
      </c>
      <c r="F819" s="3">
        <v>42829</v>
      </c>
      <c r="G819" s="2">
        <v>201710</v>
      </c>
      <c r="H819" s="2" t="s">
        <v>74</v>
      </c>
      <c r="I819" s="2" t="s">
        <v>75</v>
      </c>
      <c r="J819" s="2" t="s">
        <v>76</v>
      </c>
      <c r="K819" s="2" t="s">
        <v>77</v>
      </c>
      <c r="L819" s="2" t="s">
        <v>74</v>
      </c>
      <c r="M819" s="2" t="s">
        <v>75</v>
      </c>
      <c r="N819" s="2" t="s">
        <v>1157</v>
      </c>
      <c r="O819" s="2" t="s">
        <v>115</v>
      </c>
      <c r="P819" s="2" t="str">
        <f>"2170557393                    "</f>
        <v xml:space="preserve">2170557393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3.45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1</v>
      </c>
      <c r="BJ819" s="2">
        <v>0.2</v>
      </c>
      <c r="BK819" s="2">
        <v>1</v>
      </c>
      <c r="BL819" s="2">
        <v>32.700000000000003</v>
      </c>
      <c r="BM819" s="2">
        <v>4.58</v>
      </c>
      <c r="BN819" s="2">
        <v>37.28</v>
      </c>
      <c r="BO819" s="2">
        <v>37.28</v>
      </c>
      <c r="BP819" s="2"/>
      <c r="BQ819" s="2" t="s">
        <v>1158</v>
      </c>
      <c r="BR819" s="2" t="s">
        <v>123</v>
      </c>
      <c r="BS819" s="3">
        <v>42830</v>
      </c>
      <c r="BT819" s="4">
        <v>0.41666666666666669</v>
      </c>
      <c r="BU819" s="2" t="s">
        <v>1422</v>
      </c>
      <c r="BV819" s="2" t="s">
        <v>111</v>
      </c>
      <c r="BW819" s="2"/>
      <c r="BX819" s="2"/>
      <c r="BY819" s="2">
        <v>1200</v>
      </c>
      <c r="BZ819" s="2" t="s">
        <v>27</v>
      </c>
      <c r="CA819" s="2"/>
      <c r="CB819" s="2"/>
      <c r="CC819" s="2" t="s">
        <v>75</v>
      </c>
      <c r="CD819" s="2">
        <v>1666</v>
      </c>
      <c r="CE819" s="2" t="s">
        <v>118</v>
      </c>
      <c r="CF819" s="5">
        <v>42832</v>
      </c>
      <c r="CG819" s="2"/>
      <c r="CH819" s="2"/>
      <c r="CI819" s="2">
        <v>1</v>
      </c>
      <c r="CJ819" s="2">
        <v>1</v>
      </c>
      <c r="CK819" s="2">
        <v>22</v>
      </c>
      <c r="CL819" s="2" t="s">
        <v>86</v>
      </c>
      <c r="CM819" s="2"/>
    </row>
    <row r="820" spans="1:91">
      <c r="A820" s="2" t="s">
        <v>71</v>
      </c>
      <c r="B820" s="2" t="s">
        <v>72</v>
      </c>
      <c r="C820" s="2" t="s">
        <v>73</v>
      </c>
      <c r="D820" s="2"/>
      <c r="E820" s="2" t="str">
        <f>"FES1162542812"</f>
        <v>FES1162542812</v>
      </c>
      <c r="F820" s="3">
        <v>42836</v>
      </c>
      <c r="G820" s="2">
        <v>201710</v>
      </c>
      <c r="H820" s="2" t="s">
        <v>74</v>
      </c>
      <c r="I820" s="2" t="s">
        <v>75</v>
      </c>
      <c r="J820" s="2" t="s">
        <v>76</v>
      </c>
      <c r="K820" s="2" t="s">
        <v>77</v>
      </c>
      <c r="L820" s="2" t="s">
        <v>443</v>
      </c>
      <c r="M820" s="2" t="s">
        <v>444</v>
      </c>
      <c r="N820" s="2" t="s">
        <v>627</v>
      </c>
      <c r="O820" s="2" t="s">
        <v>115</v>
      </c>
      <c r="P820" s="2" t="str">
        <f>"2170558292                    "</f>
        <v xml:space="preserve">2170558292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4.29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1.7</v>
      </c>
      <c r="BJ820" s="2">
        <v>1.1000000000000001</v>
      </c>
      <c r="BK820" s="2">
        <v>2</v>
      </c>
      <c r="BL820" s="2">
        <v>41.73</v>
      </c>
      <c r="BM820" s="2">
        <v>5.84</v>
      </c>
      <c r="BN820" s="2">
        <v>47.57</v>
      </c>
      <c r="BO820" s="2">
        <v>47.57</v>
      </c>
      <c r="BP820" s="2"/>
      <c r="BQ820" s="2" t="s">
        <v>628</v>
      </c>
      <c r="BR820" s="2" t="s">
        <v>123</v>
      </c>
      <c r="BS820" s="3">
        <v>42837</v>
      </c>
      <c r="BT820" s="4">
        <v>0.41666666666666669</v>
      </c>
      <c r="BU820" s="2" t="s">
        <v>1423</v>
      </c>
      <c r="BV820" s="2" t="s">
        <v>111</v>
      </c>
      <c r="BW820" s="2"/>
      <c r="BX820" s="2"/>
      <c r="BY820" s="2">
        <v>5320</v>
      </c>
      <c r="BZ820" s="2" t="s">
        <v>27</v>
      </c>
      <c r="CA820" s="2"/>
      <c r="CB820" s="2"/>
      <c r="CC820" s="2" t="s">
        <v>444</v>
      </c>
      <c r="CD820" s="2">
        <v>7130</v>
      </c>
      <c r="CE820" s="2" t="s">
        <v>135</v>
      </c>
      <c r="CF820" s="5">
        <v>42838</v>
      </c>
      <c r="CG820" s="2"/>
      <c r="CH820" s="2"/>
      <c r="CI820" s="2">
        <v>1</v>
      </c>
      <c r="CJ820" s="2">
        <v>1</v>
      </c>
      <c r="CK820" s="2">
        <v>21</v>
      </c>
      <c r="CL820" s="2" t="s">
        <v>86</v>
      </c>
      <c r="CM820" s="2"/>
    </row>
    <row r="821" spans="1:91">
      <c r="A821" s="2" t="s">
        <v>71</v>
      </c>
      <c r="B821" s="2" t="s">
        <v>72</v>
      </c>
      <c r="C821" s="2" t="s">
        <v>73</v>
      </c>
      <c r="D821" s="2"/>
      <c r="E821" s="2" t="str">
        <f>"FES1162542103"</f>
        <v>FES1162542103</v>
      </c>
      <c r="F821" s="3">
        <v>42831</v>
      </c>
      <c r="G821" s="2">
        <v>201710</v>
      </c>
      <c r="H821" s="2" t="s">
        <v>74</v>
      </c>
      <c r="I821" s="2" t="s">
        <v>75</v>
      </c>
      <c r="J821" s="2" t="s">
        <v>76</v>
      </c>
      <c r="K821" s="2" t="s">
        <v>77</v>
      </c>
      <c r="L821" s="2" t="s">
        <v>131</v>
      </c>
      <c r="M821" s="2" t="s">
        <v>132</v>
      </c>
      <c r="N821" s="2" t="s">
        <v>1417</v>
      </c>
      <c r="O821" s="2" t="s">
        <v>115</v>
      </c>
      <c r="P821" s="2" t="str">
        <f>"2170560985                    "</f>
        <v xml:space="preserve">2170560985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4.29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1</v>
      </c>
      <c r="BJ821" s="2">
        <v>0.2</v>
      </c>
      <c r="BK821" s="2">
        <v>1</v>
      </c>
      <c r="BL821" s="2">
        <v>41.73</v>
      </c>
      <c r="BM821" s="2">
        <v>5.84</v>
      </c>
      <c r="BN821" s="2">
        <v>47.57</v>
      </c>
      <c r="BO821" s="2">
        <v>47.57</v>
      </c>
      <c r="BP821" s="2"/>
      <c r="BQ821" s="2" t="s">
        <v>83</v>
      </c>
      <c r="BR821" s="2" t="s">
        <v>123</v>
      </c>
      <c r="BS821" s="3">
        <v>42832</v>
      </c>
      <c r="BT821" s="4">
        <v>0.47916666666666669</v>
      </c>
      <c r="BU821" s="2" t="s">
        <v>1424</v>
      </c>
      <c r="BV821" s="2" t="s">
        <v>111</v>
      </c>
      <c r="BW821" s="2"/>
      <c r="BX821" s="2"/>
      <c r="BY821" s="2">
        <v>1200</v>
      </c>
      <c r="BZ821" s="2" t="s">
        <v>27</v>
      </c>
      <c r="CA821" s="2"/>
      <c r="CB821" s="2"/>
      <c r="CC821" s="2" t="s">
        <v>132</v>
      </c>
      <c r="CD821" s="2">
        <v>7945</v>
      </c>
      <c r="CE821" s="2" t="s">
        <v>144</v>
      </c>
      <c r="CF821" s="5">
        <v>42835</v>
      </c>
      <c r="CG821" s="2"/>
      <c r="CH821" s="2"/>
      <c r="CI821" s="2">
        <v>1</v>
      </c>
      <c r="CJ821" s="2">
        <v>1</v>
      </c>
      <c r="CK821" s="2">
        <v>21</v>
      </c>
      <c r="CL821" s="2" t="s">
        <v>86</v>
      </c>
      <c r="CM821" s="2"/>
    </row>
    <row r="822" spans="1:91">
      <c r="A822" s="2" t="s">
        <v>71</v>
      </c>
      <c r="B822" s="2" t="s">
        <v>72</v>
      </c>
      <c r="C822" s="2" t="s">
        <v>73</v>
      </c>
      <c r="D822" s="2"/>
      <c r="E822" s="2" t="str">
        <f>"FES1162541532"</f>
        <v>FES1162541532</v>
      </c>
      <c r="F822" s="3">
        <v>42830</v>
      </c>
      <c r="G822" s="2">
        <v>201710</v>
      </c>
      <c r="H822" s="2" t="s">
        <v>74</v>
      </c>
      <c r="I822" s="2" t="s">
        <v>75</v>
      </c>
      <c r="J822" s="2" t="s">
        <v>76</v>
      </c>
      <c r="K822" s="2" t="s">
        <v>77</v>
      </c>
      <c r="L822" s="2" t="s">
        <v>1333</v>
      </c>
      <c r="M822" s="2" t="s">
        <v>1334</v>
      </c>
      <c r="N822" s="2" t="s">
        <v>1335</v>
      </c>
      <c r="O822" s="2" t="s">
        <v>115</v>
      </c>
      <c r="P822" s="2" t="str">
        <f>"2170560242                    "</f>
        <v xml:space="preserve">2170560242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8.31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</v>
      </c>
      <c r="BJ822" s="2">
        <v>0.2</v>
      </c>
      <c r="BK822" s="2">
        <v>1</v>
      </c>
      <c r="BL822" s="2">
        <v>80.849999999999994</v>
      </c>
      <c r="BM822" s="2">
        <v>11.32</v>
      </c>
      <c r="BN822" s="2">
        <v>92.17</v>
      </c>
      <c r="BO822" s="2">
        <v>92.17</v>
      </c>
      <c r="BP822" s="2"/>
      <c r="BQ822" s="2" t="s">
        <v>116</v>
      </c>
      <c r="BR822" s="2" t="s">
        <v>123</v>
      </c>
      <c r="BS822" s="3">
        <v>42831</v>
      </c>
      <c r="BT822" s="4">
        <v>0.54166666666666663</v>
      </c>
      <c r="BU822" s="2" t="s">
        <v>1367</v>
      </c>
      <c r="BV822" s="2" t="s">
        <v>111</v>
      </c>
      <c r="BW822" s="2"/>
      <c r="BX822" s="2"/>
      <c r="BY822" s="2">
        <v>1200</v>
      </c>
      <c r="BZ822" s="2" t="s">
        <v>27</v>
      </c>
      <c r="CA822" s="2"/>
      <c r="CB822" s="2"/>
      <c r="CC822" s="2" t="s">
        <v>1334</v>
      </c>
      <c r="CD822" s="2">
        <v>4449</v>
      </c>
      <c r="CE822" s="2" t="s">
        <v>144</v>
      </c>
      <c r="CF822" s="5">
        <v>42833</v>
      </c>
      <c r="CG822" s="2"/>
      <c r="CH822" s="2"/>
      <c r="CI822" s="2">
        <v>1</v>
      </c>
      <c r="CJ822" s="2">
        <v>1</v>
      </c>
      <c r="CK822" s="2">
        <v>23</v>
      </c>
      <c r="CL822" s="2" t="s">
        <v>86</v>
      </c>
      <c r="CM822" s="2"/>
    </row>
    <row r="823" spans="1:91">
      <c r="A823" s="2" t="s">
        <v>71</v>
      </c>
      <c r="B823" s="2" t="s">
        <v>72</v>
      </c>
      <c r="C823" s="2" t="s">
        <v>73</v>
      </c>
      <c r="D823" s="2"/>
      <c r="E823" s="2" t="str">
        <f>"FES1162542982"</f>
        <v>FES1162542982</v>
      </c>
      <c r="F823" s="3">
        <v>42836</v>
      </c>
      <c r="G823" s="2">
        <v>201710</v>
      </c>
      <c r="H823" s="2" t="s">
        <v>74</v>
      </c>
      <c r="I823" s="2" t="s">
        <v>75</v>
      </c>
      <c r="J823" s="2" t="s">
        <v>76</v>
      </c>
      <c r="K823" s="2" t="s">
        <v>77</v>
      </c>
      <c r="L823" s="2" t="s">
        <v>180</v>
      </c>
      <c r="M823" s="2" t="s">
        <v>181</v>
      </c>
      <c r="N823" s="2" t="s">
        <v>80</v>
      </c>
      <c r="O823" s="2" t="s">
        <v>115</v>
      </c>
      <c r="P823" s="2" t="str">
        <f>"2170561767                    "</f>
        <v xml:space="preserve">2170561767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4.29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1</v>
      </c>
      <c r="BJ823" s="2">
        <v>0.2</v>
      </c>
      <c r="BK823" s="2">
        <v>1</v>
      </c>
      <c r="BL823" s="2">
        <v>41.73</v>
      </c>
      <c r="BM823" s="2">
        <v>5.84</v>
      </c>
      <c r="BN823" s="2">
        <v>47.57</v>
      </c>
      <c r="BO823" s="2">
        <v>47.57</v>
      </c>
      <c r="BP823" s="2"/>
      <c r="BQ823" s="2" t="s">
        <v>122</v>
      </c>
      <c r="BR823" s="2" t="s">
        <v>123</v>
      </c>
      <c r="BS823" s="3">
        <v>42837</v>
      </c>
      <c r="BT823" s="4">
        <v>0.4375</v>
      </c>
      <c r="BU823" s="2" t="s">
        <v>1336</v>
      </c>
      <c r="BV823" s="2" t="s">
        <v>111</v>
      </c>
      <c r="BW823" s="2"/>
      <c r="BX823" s="2"/>
      <c r="BY823" s="2">
        <v>1200</v>
      </c>
      <c r="BZ823" s="2" t="s">
        <v>27</v>
      </c>
      <c r="CA823" s="2" t="s">
        <v>159</v>
      </c>
      <c r="CB823" s="2"/>
      <c r="CC823" s="2" t="s">
        <v>181</v>
      </c>
      <c r="CD823" s="2">
        <v>4052</v>
      </c>
      <c r="CE823" s="2" t="s">
        <v>144</v>
      </c>
      <c r="CF823" s="5">
        <v>42843</v>
      </c>
      <c r="CG823" s="2"/>
      <c r="CH823" s="2"/>
      <c r="CI823" s="2">
        <v>1</v>
      </c>
      <c r="CJ823" s="2">
        <v>1</v>
      </c>
      <c r="CK823" s="2">
        <v>21</v>
      </c>
      <c r="CL823" s="2" t="s">
        <v>86</v>
      </c>
      <c r="CM823" s="2"/>
    </row>
    <row r="824" spans="1:91">
      <c r="A824" s="2" t="s">
        <v>71</v>
      </c>
      <c r="B824" s="2" t="s">
        <v>72</v>
      </c>
      <c r="C824" s="2" t="s">
        <v>73</v>
      </c>
      <c r="D824" s="2"/>
      <c r="E824" s="2" t="str">
        <f>"FES1162542015"</f>
        <v>FES1162542015</v>
      </c>
      <c r="F824" s="3">
        <v>42831</v>
      </c>
      <c r="G824" s="2">
        <v>201710</v>
      </c>
      <c r="H824" s="2" t="s">
        <v>74</v>
      </c>
      <c r="I824" s="2" t="s">
        <v>75</v>
      </c>
      <c r="J824" s="2" t="s">
        <v>76</v>
      </c>
      <c r="K824" s="2" t="s">
        <v>77</v>
      </c>
      <c r="L824" s="2" t="s">
        <v>99</v>
      </c>
      <c r="M824" s="2" t="s">
        <v>100</v>
      </c>
      <c r="N824" s="2" t="s">
        <v>671</v>
      </c>
      <c r="O824" s="2" t="s">
        <v>115</v>
      </c>
      <c r="P824" s="2" t="str">
        <f>"2170558858                    "</f>
        <v xml:space="preserve">2170558858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4.29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1</v>
      </c>
      <c r="BJ824" s="2">
        <v>0.2</v>
      </c>
      <c r="BK824" s="2">
        <v>1</v>
      </c>
      <c r="BL824" s="2">
        <v>41.73</v>
      </c>
      <c r="BM824" s="2">
        <v>5.84</v>
      </c>
      <c r="BN824" s="2">
        <v>47.57</v>
      </c>
      <c r="BO824" s="2">
        <v>47.57</v>
      </c>
      <c r="BP824" s="2"/>
      <c r="BQ824" s="2" t="s">
        <v>672</v>
      </c>
      <c r="BR824" s="2" t="s">
        <v>123</v>
      </c>
      <c r="BS824" s="3">
        <v>42832</v>
      </c>
      <c r="BT824" s="4">
        <v>0.33333333333333331</v>
      </c>
      <c r="BU824" s="2" t="s">
        <v>672</v>
      </c>
      <c r="BV824" s="2" t="s">
        <v>111</v>
      </c>
      <c r="BW824" s="2"/>
      <c r="BX824" s="2"/>
      <c r="BY824" s="2">
        <v>1200</v>
      </c>
      <c r="BZ824" s="2" t="s">
        <v>27</v>
      </c>
      <c r="CA824" s="2" t="s">
        <v>106</v>
      </c>
      <c r="CB824" s="2"/>
      <c r="CC824" s="2" t="s">
        <v>100</v>
      </c>
      <c r="CD824" s="2">
        <v>6001</v>
      </c>
      <c r="CE824" s="2" t="s">
        <v>144</v>
      </c>
      <c r="CF824" s="5">
        <v>42832</v>
      </c>
      <c r="CG824" s="2"/>
      <c r="CH824" s="2"/>
      <c r="CI824" s="2">
        <v>1</v>
      </c>
      <c r="CJ824" s="2">
        <v>1</v>
      </c>
      <c r="CK824" s="2">
        <v>21</v>
      </c>
      <c r="CL824" s="2" t="s">
        <v>86</v>
      </c>
      <c r="CM824" s="2"/>
    </row>
    <row r="825" spans="1:91">
      <c r="A825" s="2" t="s">
        <v>71</v>
      </c>
      <c r="B825" s="2" t="s">
        <v>72</v>
      </c>
      <c r="C825" s="2" t="s">
        <v>73</v>
      </c>
      <c r="D825" s="2"/>
      <c r="E825" s="2" t="str">
        <f>"FES1162541257"</f>
        <v>FES1162541257</v>
      </c>
      <c r="F825" s="3">
        <v>42829</v>
      </c>
      <c r="G825" s="2">
        <v>201710</v>
      </c>
      <c r="H825" s="2" t="s">
        <v>74</v>
      </c>
      <c r="I825" s="2" t="s">
        <v>75</v>
      </c>
      <c r="J825" s="2" t="s">
        <v>76</v>
      </c>
      <c r="K825" s="2" t="s">
        <v>77</v>
      </c>
      <c r="L825" s="2" t="s">
        <v>166</v>
      </c>
      <c r="M825" s="2" t="s">
        <v>167</v>
      </c>
      <c r="N825" s="2" t="s">
        <v>1425</v>
      </c>
      <c r="O825" s="2" t="s">
        <v>115</v>
      </c>
      <c r="P825" s="2" t="str">
        <f>"2170560314                    "</f>
        <v xml:space="preserve">2170560314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3.45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1</v>
      </c>
      <c r="BJ825" s="2">
        <v>0.2</v>
      </c>
      <c r="BK825" s="2">
        <v>1</v>
      </c>
      <c r="BL825" s="2">
        <v>32.700000000000003</v>
      </c>
      <c r="BM825" s="2">
        <v>4.58</v>
      </c>
      <c r="BN825" s="2">
        <v>37.28</v>
      </c>
      <c r="BO825" s="2">
        <v>37.28</v>
      </c>
      <c r="BP825" s="2"/>
      <c r="BQ825" s="2" t="s">
        <v>727</v>
      </c>
      <c r="BR825" s="2" t="s">
        <v>123</v>
      </c>
      <c r="BS825" s="3">
        <v>42830</v>
      </c>
      <c r="BT825" s="4">
        <v>0.41666666666666669</v>
      </c>
      <c r="BU825" s="2" t="s">
        <v>1426</v>
      </c>
      <c r="BV825" s="2" t="s">
        <v>111</v>
      </c>
      <c r="BW825" s="2"/>
      <c r="BX825" s="2"/>
      <c r="BY825" s="2">
        <v>1200</v>
      </c>
      <c r="BZ825" s="2" t="s">
        <v>27</v>
      </c>
      <c r="CA825" s="2" t="s">
        <v>159</v>
      </c>
      <c r="CB825" s="2"/>
      <c r="CC825" s="2" t="s">
        <v>167</v>
      </c>
      <c r="CD825" s="2">
        <v>2091</v>
      </c>
      <c r="CE825" s="2" t="s">
        <v>118</v>
      </c>
      <c r="CF825" s="5">
        <v>42832</v>
      </c>
      <c r="CG825" s="2"/>
      <c r="CH825" s="2"/>
      <c r="CI825" s="2">
        <v>1</v>
      </c>
      <c r="CJ825" s="2">
        <v>1</v>
      </c>
      <c r="CK825" s="2">
        <v>22</v>
      </c>
      <c r="CL825" s="2" t="s">
        <v>86</v>
      </c>
      <c r="CM825" s="2"/>
    </row>
    <row r="826" spans="1:91">
      <c r="A826" s="2" t="s">
        <v>71</v>
      </c>
      <c r="B826" s="2" t="s">
        <v>72</v>
      </c>
      <c r="C826" s="2" t="s">
        <v>73</v>
      </c>
      <c r="D826" s="2"/>
      <c r="E826" s="2" t="str">
        <f>"FES1162543051"</f>
        <v>FES1162543051</v>
      </c>
      <c r="F826" s="3">
        <v>42836</v>
      </c>
      <c r="G826" s="2">
        <v>201710</v>
      </c>
      <c r="H826" s="2" t="s">
        <v>74</v>
      </c>
      <c r="I826" s="2" t="s">
        <v>75</v>
      </c>
      <c r="J826" s="2" t="s">
        <v>76</v>
      </c>
      <c r="K826" s="2" t="s">
        <v>77</v>
      </c>
      <c r="L826" s="2" t="s">
        <v>180</v>
      </c>
      <c r="M826" s="2" t="s">
        <v>181</v>
      </c>
      <c r="N826" s="2" t="s">
        <v>1123</v>
      </c>
      <c r="O826" s="2" t="s">
        <v>115</v>
      </c>
      <c r="P826" s="2" t="str">
        <f>"2170561835                    "</f>
        <v xml:space="preserve">2170561835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4.29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1</v>
      </c>
      <c r="BJ826" s="2">
        <v>1.6</v>
      </c>
      <c r="BK826" s="2">
        <v>2</v>
      </c>
      <c r="BL826" s="2">
        <v>41.73</v>
      </c>
      <c r="BM826" s="2">
        <v>5.84</v>
      </c>
      <c r="BN826" s="2">
        <v>47.57</v>
      </c>
      <c r="BO826" s="2">
        <v>47.57</v>
      </c>
      <c r="BP826" s="2"/>
      <c r="BQ826" s="2" t="s">
        <v>1124</v>
      </c>
      <c r="BR826" s="2" t="s">
        <v>123</v>
      </c>
      <c r="BS826" s="3">
        <v>42837</v>
      </c>
      <c r="BT826" s="4">
        <v>0.4375</v>
      </c>
      <c r="BU826" s="2" t="s">
        <v>1427</v>
      </c>
      <c r="BV826" s="2" t="s">
        <v>111</v>
      </c>
      <c r="BW826" s="2"/>
      <c r="BX826" s="2"/>
      <c r="BY826" s="2">
        <v>8151.66</v>
      </c>
      <c r="BZ826" s="2" t="s">
        <v>27</v>
      </c>
      <c r="CA826" s="2"/>
      <c r="CB826" s="2"/>
      <c r="CC826" s="2" t="s">
        <v>181</v>
      </c>
      <c r="CD826" s="2">
        <v>4001</v>
      </c>
      <c r="CE826" s="2" t="s">
        <v>144</v>
      </c>
      <c r="CF826" s="5">
        <v>42838</v>
      </c>
      <c r="CG826" s="2"/>
      <c r="CH826" s="2"/>
      <c r="CI826" s="2">
        <v>1</v>
      </c>
      <c r="CJ826" s="2">
        <v>1</v>
      </c>
      <c r="CK826" s="2">
        <v>21</v>
      </c>
      <c r="CL826" s="2" t="s">
        <v>86</v>
      </c>
      <c r="CM826" s="2"/>
    </row>
    <row r="827" spans="1:91">
      <c r="A827" s="2" t="s">
        <v>71</v>
      </c>
      <c r="B827" s="2" t="s">
        <v>72</v>
      </c>
      <c r="C827" s="2" t="s">
        <v>73</v>
      </c>
      <c r="D827" s="2"/>
      <c r="E827" s="2" t="str">
        <f>"FES1162542026"</f>
        <v>FES1162542026</v>
      </c>
      <c r="F827" s="3">
        <v>42831</v>
      </c>
      <c r="G827" s="2">
        <v>201710</v>
      </c>
      <c r="H827" s="2" t="s">
        <v>74</v>
      </c>
      <c r="I827" s="2" t="s">
        <v>75</v>
      </c>
      <c r="J827" s="2" t="s">
        <v>76</v>
      </c>
      <c r="K827" s="2" t="s">
        <v>77</v>
      </c>
      <c r="L827" s="2" t="s">
        <v>131</v>
      </c>
      <c r="M827" s="2" t="s">
        <v>132</v>
      </c>
      <c r="N827" s="2" t="s">
        <v>1197</v>
      </c>
      <c r="O827" s="2" t="s">
        <v>115</v>
      </c>
      <c r="P827" s="2" t="str">
        <f>"2170560355                    "</f>
        <v xml:space="preserve">2170560355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4.29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1</v>
      </c>
      <c r="BJ827" s="2">
        <v>0.2</v>
      </c>
      <c r="BK827" s="2">
        <v>1</v>
      </c>
      <c r="BL827" s="2">
        <v>41.73</v>
      </c>
      <c r="BM827" s="2">
        <v>5.84</v>
      </c>
      <c r="BN827" s="2">
        <v>47.57</v>
      </c>
      <c r="BO827" s="2">
        <v>47.57</v>
      </c>
      <c r="BP827" s="2"/>
      <c r="BQ827" s="2" t="s">
        <v>1198</v>
      </c>
      <c r="BR827" s="2" t="s">
        <v>123</v>
      </c>
      <c r="BS827" s="3">
        <v>42832</v>
      </c>
      <c r="BT827" s="4">
        <v>0.41666666666666669</v>
      </c>
      <c r="BU827" s="2" t="s">
        <v>97</v>
      </c>
      <c r="BV827" s="2" t="s">
        <v>111</v>
      </c>
      <c r="BW827" s="2"/>
      <c r="BX827" s="2"/>
      <c r="BY827" s="2">
        <v>1200</v>
      </c>
      <c r="BZ827" s="2" t="s">
        <v>27</v>
      </c>
      <c r="CA827" s="2"/>
      <c r="CB827" s="2"/>
      <c r="CC827" s="2" t="s">
        <v>132</v>
      </c>
      <c r="CD827" s="2">
        <v>7441</v>
      </c>
      <c r="CE827" s="2" t="s">
        <v>144</v>
      </c>
      <c r="CF827" s="5">
        <v>42835</v>
      </c>
      <c r="CG827" s="2"/>
      <c r="CH827" s="2"/>
      <c r="CI827" s="2">
        <v>1</v>
      </c>
      <c r="CJ827" s="2">
        <v>1</v>
      </c>
      <c r="CK827" s="2">
        <v>21</v>
      </c>
      <c r="CL827" s="2" t="s">
        <v>86</v>
      </c>
      <c r="CM827" s="2"/>
    </row>
    <row r="828" spans="1:91">
      <c r="A828" s="2" t="s">
        <v>71</v>
      </c>
      <c r="B828" s="2" t="s">
        <v>72</v>
      </c>
      <c r="C828" s="2" t="s">
        <v>73</v>
      </c>
      <c r="D828" s="2"/>
      <c r="E828" s="2" t="str">
        <f>"FES1162541558"</f>
        <v>FES1162541558</v>
      </c>
      <c r="F828" s="3">
        <v>42830</v>
      </c>
      <c r="G828" s="2">
        <v>201710</v>
      </c>
      <c r="H828" s="2" t="s">
        <v>74</v>
      </c>
      <c r="I828" s="2" t="s">
        <v>75</v>
      </c>
      <c r="J828" s="2" t="s">
        <v>76</v>
      </c>
      <c r="K828" s="2" t="s">
        <v>77</v>
      </c>
      <c r="L828" s="2" t="s">
        <v>900</v>
      </c>
      <c r="M828" s="2" t="s">
        <v>901</v>
      </c>
      <c r="N828" s="2" t="s">
        <v>1428</v>
      </c>
      <c r="O828" s="2" t="s">
        <v>115</v>
      </c>
      <c r="P828" s="2" t="str">
        <f>"2170560646                    "</f>
        <v xml:space="preserve">2170560646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4.29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1</v>
      </c>
      <c r="BJ828" s="2">
        <v>0.7</v>
      </c>
      <c r="BK828" s="2">
        <v>1</v>
      </c>
      <c r="BL828" s="2">
        <v>41.73</v>
      </c>
      <c r="BM828" s="2">
        <v>5.84</v>
      </c>
      <c r="BN828" s="2">
        <v>47.57</v>
      </c>
      <c r="BO828" s="2">
        <v>47.57</v>
      </c>
      <c r="BP828" s="2"/>
      <c r="BQ828" s="2" t="s">
        <v>1429</v>
      </c>
      <c r="BR828" s="2" t="s">
        <v>123</v>
      </c>
      <c r="BS828" s="3">
        <v>42831</v>
      </c>
      <c r="BT828" s="4">
        <v>0.4375</v>
      </c>
      <c r="BU828" s="2" t="s">
        <v>1430</v>
      </c>
      <c r="BV828" s="2" t="s">
        <v>111</v>
      </c>
      <c r="BW828" s="2"/>
      <c r="BX828" s="2"/>
      <c r="BY828" s="2">
        <v>3366.6</v>
      </c>
      <c r="BZ828" s="2" t="s">
        <v>27</v>
      </c>
      <c r="CA828" s="2" t="s">
        <v>159</v>
      </c>
      <c r="CB828" s="2"/>
      <c r="CC828" s="2" t="s">
        <v>901</v>
      </c>
      <c r="CD828" s="2">
        <v>4026</v>
      </c>
      <c r="CE828" s="2" t="s">
        <v>144</v>
      </c>
      <c r="CF828" s="5">
        <v>42832</v>
      </c>
      <c r="CG828" s="2"/>
      <c r="CH828" s="2"/>
      <c r="CI828" s="2">
        <v>1</v>
      </c>
      <c r="CJ828" s="2">
        <v>1</v>
      </c>
      <c r="CK828" s="2">
        <v>21</v>
      </c>
      <c r="CL828" s="2" t="s">
        <v>86</v>
      </c>
      <c r="CM828" s="2"/>
    </row>
    <row r="829" spans="1:91">
      <c r="A829" s="2" t="s">
        <v>71</v>
      </c>
      <c r="B829" s="2" t="s">
        <v>72</v>
      </c>
      <c r="C829" s="2" t="s">
        <v>73</v>
      </c>
      <c r="D829" s="2"/>
      <c r="E829" s="2" t="str">
        <f>"080001606084"</f>
        <v>080001606084</v>
      </c>
      <c r="F829" s="3">
        <v>42836</v>
      </c>
      <c r="G829" s="2">
        <v>201710</v>
      </c>
      <c r="H829" s="2" t="s">
        <v>496</v>
      </c>
      <c r="I829" s="2" t="s">
        <v>497</v>
      </c>
      <c r="J829" s="2" t="s">
        <v>523</v>
      </c>
      <c r="K829" s="2" t="s">
        <v>77</v>
      </c>
      <c r="L829" s="2" t="s">
        <v>74</v>
      </c>
      <c r="M829" s="2" t="s">
        <v>75</v>
      </c>
      <c r="N829" s="2" t="s">
        <v>200</v>
      </c>
      <c r="O829" s="2" t="s">
        <v>115</v>
      </c>
      <c r="P829" s="2" t="str">
        <f>"ZA1000635095                  "</f>
        <v xml:space="preserve">ZA1000635095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3.35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1</v>
      </c>
      <c r="BJ829" s="2">
        <v>0.2</v>
      </c>
      <c r="BK829" s="2">
        <v>1</v>
      </c>
      <c r="BL829" s="2">
        <v>32.6</v>
      </c>
      <c r="BM829" s="2">
        <v>4.5599999999999996</v>
      </c>
      <c r="BN829" s="2">
        <v>37.159999999999997</v>
      </c>
      <c r="BO829" s="2">
        <v>37.159999999999997</v>
      </c>
      <c r="BP829" s="2" t="s">
        <v>307</v>
      </c>
      <c r="BQ829" s="2" t="s">
        <v>134</v>
      </c>
      <c r="BR829" s="2" t="s">
        <v>1431</v>
      </c>
      <c r="BS829" s="3">
        <v>42838</v>
      </c>
      <c r="BT829" s="4">
        <v>0.33333333333333331</v>
      </c>
      <c r="BU829" s="2" t="s">
        <v>134</v>
      </c>
      <c r="BV829" s="2" t="s">
        <v>111</v>
      </c>
      <c r="BW829" s="2"/>
      <c r="BX829" s="2"/>
      <c r="BY829" s="2">
        <v>1200</v>
      </c>
      <c r="BZ829" s="2"/>
      <c r="CA829" s="2"/>
      <c r="CB829" s="2"/>
      <c r="CC829" s="2" t="s">
        <v>75</v>
      </c>
      <c r="CD829" s="2">
        <v>1601</v>
      </c>
      <c r="CE829" s="2" t="s">
        <v>89</v>
      </c>
      <c r="CF829" s="5">
        <v>42843</v>
      </c>
      <c r="CG829" s="2"/>
      <c r="CH829" s="2"/>
      <c r="CI829" s="2">
        <v>1</v>
      </c>
      <c r="CJ829" s="2">
        <v>1</v>
      </c>
      <c r="CK829" s="2">
        <v>22</v>
      </c>
      <c r="CL829" s="2" t="s">
        <v>86</v>
      </c>
      <c r="CM829" s="2"/>
    </row>
    <row r="830" spans="1:91">
      <c r="A830" s="2" t="s">
        <v>71</v>
      </c>
      <c r="B830" s="2" t="s">
        <v>72</v>
      </c>
      <c r="C830" s="2" t="s">
        <v>73</v>
      </c>
      <c r="D830" s="2"/>
      <c r="E830" s="2" t="str">
        <f>"FES1162541981"</f>
        <v>FES1162541981</v>
      </c>
      <c r="F830" s="3">
        <v>42831</v>
      </c>
      <c r="G830" s="2">
        <v>201710</v>
      </c>
      <c r="H830" s="2" t="s">
        <v>74</v>
      </c>
      <c r="I830" s="2" t="s">
        <v>75</v>
      </c>
      <c r="J830" s="2" t="s">
        <v>76</v>
      </c>
      <c r="K830" s="2" t="s">
        <v>77</v>
      </c>
      <c r="L830" s="2" t="s">
        <v>160</v>
      </c>
      <c r="M830" s="2" t="s">
        <v>161</v>
      </c>
      <c r="N830" s="2" t="s">
        <v>1432</v>
      </c>
      <c r="O830" s="2" t="s">
        <v>115</v>
      </c>
      <c r="P830" s="2" t="str">
        <f>"2170558112                    "</f>
        <v xml:space="preserve">2170558112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4.29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1</v>
      </c>
      <c r="BJ830" s="2">
        <v>0.2</v>
      </c>
      <c r="BK830" s="2">
        <v>1</v>
      </c>
      <c r="BL830" s="2">
        <v>41.73</v>
      </c>
      <c r="BM830" s="2">
        <v>5.84</v>
      </c>
      <c r="BN830" s="2">
        <v>47.57</v>
      </c>
      <c r="BO830" s="2">
        <v>47.57</v>
      </c>
      <c r="BP830" s="2"/>
      <c r="BQ830" s="2" t="s">
        <v>129</v>
      </c>
      <c r="BR830" s="2" t="s">
        <v>123</v>
      </c>
      <c r="BS830" s="3">
        <v>42832</v>
      </c>
      <c r="BT830" s="4">
        <v>0.45833333333333331</v>
      </c>
      <c r="BU830" s="2" t="s">
        <v>1433</v>
      </c>
      <c r="BV830" s="2" t="s">
        <v>86</v>
      </c>
      <c r="BW830" s="2" t="s">
        <v>164</v>
      </c>
      <c r="BX830" s="2" t="s">
        <v>1434</v>
      </c>
      <c r="BY830" s="2">
        <v>1200</v>
      </c>
      <c r="BZ830" s="2" t="s">
        <v>27</v>
      </c>
      <c r="CA830" s="2"/>
      <c r="CB830" s="2"/>
      <c r="CC830" s="2" t="s">
        <v>161</v>
      </c>
      <c r="CD830" s="2">
        <v>5201</v>
      </c>
      <c r="CE830" s="2" t="s">
        <v>144</v>
      </c>
      <c r="CF830" s="5">
        <v>42835</v>
      </c>
      <c r="CG830" s="2"/>
      <c r="CH830" s="2"/>
      <c r="CI830" s="2">
        <v>1</v>
      </c>
      <c r="CJ830" s="2">
        <v>1</v>
      </c>
      <c r="CK830" s="2">
        <v>21</v>
      </c>
      <c r="CL830" s="2" t="s">
        <v>86</v>
      </c>
      <c r="CM830" s="2"/>
    </row>
    <row r="831" spans="1:91">
      <c r="A831" s="2" t="s">
        <v>71</v>
      </c>
      <c r="B831" s="2" t="s">
        <v>72</v>
      </c>
      <c r="C831" s="2" t="s">
        <v>73</v>
      </c>
      <c r="D831" s="2"/>
      <c r="E831" s="2" t="str">
        <f>"FES1162541272"</f>
        <v>FES1162541272</v>
      </c>
      <c r="F831" s="3">
        <v>42829</v>
      </c>
      <c r="G831" s="2">
        <v>201710</v>
      </c>
      <c r="H831" s="2" t="s">
        <v>74</v>
      </c>
      <c r="I831" s="2" t="s">
        <v>75</v>
      </c>
      <c r="J831" s="2" t="s">
        <v>76</v>
      </c>
      <c r="K831" s="2" t="s">
        <v>77</v>
      </c>
      <c r="L831" s="2" t="s">
        <v>166</v>
      </c>
      <c r="M831" s="2" t="s">
        <v>167</v>
      </c>
      <c r="N831" s="2" t="s">
        <v>168</v>
      </c>
      <c r="O831" s="2" t="s">
        <v>115</v>
      </c>
      <c r="P831" s="2" t="str">
        <f>"2170560332                    "</f>
        <v xml:space="preserve">2170560332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3.45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1</v>
      </c>
      <c r="BJ831" s="2">
        <v>0.2</v>
      </c>
      <c r="BK831" s="2">
        <v>1</v>
      </c>
      <c r="BL831" s="2">
        <v>32.700000000000003</v>
      </c>
      <c r="BM831" s="2">
        <v>4.58</v>
      </c>
      <c r="BN831" s="2">
        <v>37.28</v>
      </c>
      <c r="BO831" s="2">
        <v>37.28</v>
      </c>
      <c r="BP831" s="2"/>
      <c r="BQ831" s="2" t="s">
        <v>169</v>
      </c>
      <c r="BR831" s="2" t="s">
        <v>123</v>
      </c>
      <c r="BS831" s="3">
        <v>42830</v>
      </c>
      <c r="BT831" s="4">
        <v>0.42777777777777781</v>
      </c>
      <c r="BU831" s="2" t="s">
        <v>198</v>
      </c>
      <c r="BV831" s="2" t="s">
        <v>111</v>
      </c>
      <c r="BW831" s="2"/>
      <c r="BX831" s="2"/>
      <c r="BY831" s="2">
        <v>1200</v>
      </c>
      <c r="BZ831" s="2" t="s">
        <v>27</v>
      </c>
      <c r="CA831" s="2" t="s">
        <v>171</v>
      </c>
      <c r="CB831" s="2"/>
      <c r="CC831" s="2" t="s">
        <v>167</v>
      </c>
      <c r="CD831" s="2">
        <v>2094</v>
      </c>
      <c r="CE831" s="2" t="s">
        <v>118</v>
      </c>
      <c r="CF831" s="5">
        <v>42830</v>
      </c>
      <c r="CG831" s="2"/>
      <c r="CH831" s="2"/>
      <c r="CI831" s="2">
        <v>1</v>
      </c>
      <c r="CJ831" s="2">
        <v>1</v>
      </c>
      <c r="CK831" s="2">
        <v>22</v>
      </c>
      <c r="CL831" s="2" t="s">
        <v>86</v>
      </c>
      <c r="CM831" s="2"/>
    </row>
    <row r="832" spans="1:91">
      <c r="A832" s="2" t="s">
        <v>71</v>
      </c>
      <c r="B832" s="2" t="s">
        <v>72</v>
      </c>
      <c r="C832" s="2" t="s">
        <v>73</v>
      </c>
      <c r="D832" s="2"/>
      <c r="E832" s="2" t="str">
        <f>"FES1162542946"</f>
        <v>FES1162542946</v>
      </c>
      <c r="F832" s="3">
        <v>42836</v>
      </c>
      <c r="G832" s="2">
        <v>201710</v>
      </c>
      <c r="H832" s="2" t="s">
        <v>74</v>
      </c>
      <c r="I832" s="2" t="s">
        <v>75</v>
      </c>
      <c r="J832" s="2" t="s">
        <v>76</v>
      </c>
      <c r="K832" s="2" t="s">
        <v>77</v>
      </c>
      <c r="L832" s="2" t="s">
        <v>99</v>
      </c>
      <c r="M832" s="2" t="s">
        <v>100</v>
      </c>
      <c r="N832" s="2" t="s">
        <v>583</v>
      </c>
      <c r="O832" s="2" t="s">
        <v>115</v>
      </c>
      <c r="P832" s="2" t="str">
        <f>"2170561732                    "</f>
        <v xml:space="preserve">2170561732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4.29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1</v>
      </c>
      <c r="BJ832" s="2">
        <v>0.2</v>
      </c>
      <c r="BK832" s="2">
        <v>1</v>
      </c>
      <c r="BL832" s="2">
        <v>41.73</v>
      </c>
      <c r="BM832" s="2">
        <v>5.84</v>
      </c>
      <c r="BN832" s="2">
        <v>47.57</v>
      </c>
      <c r="BO832" s="2">
        <v>47.57</v>
      </c>
      <c r="BP832" s="2"/>
      <c r="BQ832" s="2" t="s">
        <v>584</v>
      </c>
      <c r="BR832" s="2" t="s">
        <v>123</v>
      </c>
      <c r="BS832" s="3">
        <v>42837</v>
      </c>
      <c r="BT832" s="4">
        <v>0.32222222222222224</v>
      </c>
      <c r="BU832" s="2" t="s">
        <v>585</v>
      </c>
      <c r="BV832" s="2" t="s">
        <v>111</v>
      </c>
      <c r="BW832" s="2"/>
      <c r="BX832" s="2"/>
      <c r="BY832" s="2">
        <v>1200</v>
      </c>
      <c r="BZ832" s="2" t="s">
        <v>27</v>
      </c>
      <c r="CA832" s="2" t="s">
        <v>154</v>
      </c>
      <c r="CB832" s="2"/>
      <c r="CC832" s="2" t="s">
        <v>100</v>
      </c>
      <c r="CD832" s="2">
        <v>6001</v>
      </c>
      <c r="CE832" s="2" t="s">
        <v>144</v>
      </c>
      <c r="CF832" s="5">
        <v>42837</v>
      </c>
      <c r="CG832" s="2"/>
      <c r="CH832" s="2"/>
      <c r="CI832" s="2">
        <v>1</v>
      </c>
      <c r="CJ832" s="2">
        <v>1</v>
      </c>
      <c r="CK832" s="2">
        <v>21</v>
      </c>
      <c r="CL832" s="2" t="s">
        <v>86</v>
      </c>
      <c r="CM832" s="2"/>
    </row>
    <row r="833" spans="1:91">
      <c r="A833" s="2" t="s">
        <v>71</v>
      </c>
      <c r="B833" s="2" t="s">
        <v>72</v>
      </c>
      <c r="C833" s="2" t="s">
        <v>73</v>
      </c>
      <c r="D833" s="2"/>
      <c r="E833" s="2" t="str">
        <f>"FES1162541920"</f>
        <v>FES1162541920</v>
      </c>
      <c r="F833" s="3">
        <v>42831</v>
      </c>
      <c r="G833" s="2">
        <v>201710</v>
      </c>
      <c r="H833" s="2" t="s">
        <v>74</v>
      </c>
      <c r="I833" s="2" t="s">
        <v>75</v>
      </c>
      <c r="J833" s="2" t="s">
        <v>76</v>
      </c>
      <c r="K833" s="2" t="s">
        <v>77</v>
      </c>
      <c r="L833" s="2" t="s">
        <v>358</v>
      </c>
      <c r="M833" s="2" t="s">
        <v>359</v>
      </c>
      <c r="N833" s="2" t="s">
        <v>360</v>
      </c>
      <c r="O833" s="2" t="s">
        <v>115</v>
      </c>
      <c r="P833" s="2" t="str">
        <f>"2170560896                    "</f>
        <v xml:space="preserve">2170560896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4.29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1</v>
      </c>
      <c r="BJ833" s="2">
        <v>0.2</v>
      </c>
      <c r="BK833" s="2">
        <v>1</v>
      </c>
      <c r="BL833" s="2">
        <v>41.73</v>
      </c>
      <c r="BM833" s="2">
        <v>5.84</v>
      </c>
      <c r="BN833" s="2">
        <v>47.57</v>
      </c>
      <c r="BO833" s="2">
        <v>47.57</v>
      </c>
      <c r="BP833" s="2"/>
      <c r="BQ833" s="2" t="s">
        <v>361</v>
      </c>
      <c r="BR833" s="2" t="s">
        <v>123</v>
      </c>
      <c r="BS833" s="3">
        <v>42832</v>
      </c>
      <c r="BT833" s="4">
        <v>0.31458333333333333</v>
      </c>
      <c r="BU833" s="2" t="s">
        <v>1435</v>
      </c>
      <c r="BV833" s="2" t="s">
        <v>111</v>
      </c>
      <c r="BW833" s="2"/>
      <c r="BX833" s="2"/>
      <c r="BY833" s="2">
        <v>1200</v>
      </c>
      <c r="BZ833" s="2" t="s">
        <v>27</v>
      </c>
      <c r="CA833" s="2"/>
      <c r="CB833" s="2"/>
      <c r="CC833" s="2" t="s">
        <v>359</v>
      </c>
      <c r="CD833" s="2">
        <v>6229</v>
      </c>
      <c r="CE833" s="2" t="s">
        <v>144</v>
      </c>
      <c r="CF833" s="5">
        <v>42835</v>
      </c>
      <c r="CG833" s="2"/>
      <c r="CH833" s="2"/>
      <c r="CI833" s="2">
        <v>1</v>
      </c>
      <c r="CJ833" s="2">
        <v>1</v>
      </c>
      <c r="CK833" s="2">
        <v>21</v>
      </c>
      <c r="CL833" s="2" t="s">
        <v>86</v>
      </c>
      <c r="CM833" s="2"/>
    </row>
    <row r="834" spans="1:91">
      <c r="A834" s="2" t="s">
        <v>71</v>
      </c>
      <c r="B834" s="2" t="s">
        <v>72</v>
      </c>
      <c r="C834" s="2" t="s">
        <v>73</v>
      </c>
      <c r="D834" s="2"/>
      <c r="E834" s="2" t="str">
        <f>"FES1162541590"</f>
        <v>FES1162541590</v>
      </c>
      <c r="F834" s="3">
        <v>42830</v>
      </c>
      <c r="G834" s="2">
        <v>201710</v>
      </c>
      <c r="H834" s="2" t="s">
        <v>74</v>
      </c>
      <c r="I834" s="2" t="s">
        <v>75</v>
      </c>
      <c r="J834" s="2" t="s">
        <v>76</v>
      </c>
      <c r="K834" s="2" t="s">
        <v>77</v>
      </c>
      <c r="L834" s="2" t="s">
        <v>294</v>
      </c>
      <c r="M834" s="2" t="s">
        <v>295</v>
      </c>
      <c r="N834" s="2" t="s">
        <v>728</v>
      </c>
      <c r="O834" s="2" t="s">
        <v>115</v>
      </c>
      <c r="P834" s="2" t="str">
        <f>"2170560690                    "</f>
        <v xml:space="preserve">2170560690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4.29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1</v>
      </c>
      <c r="BJ834" s="2">
        <v>0.2</v>
      </c>
      <c r="BK834" s="2">
        <v>1</v>
      </c>
      <c r="BL834" s="2">
        <v>41.73</v>
      </c>
      <c r="BM834" s="2">
        <v>5.84</v>
      </c>
      <c r="BN834" s="2">
        <v>47.57</v>
      </c>
      <c r="BO834" s="2">
        <v>47.57</v>
      </c>
      <c r="BP834" s="2"/>
      <c r="BQ834" s="2" t="s">
        <v>729</v>
      </c>
      <c r="BR834" s="2" t="s">
        <v>123</v>
      </c>
      <c r="BS834" s="3">
        <v>42831</v>
      </c>
      <c r="BT834" s="4">
        <v>0.4375</v>
      </c>
      <c r="BU834" s="2" t="s">
        <v>730</v>
      </c>
      <c r="BV834" s="2" t="s">
        <v>111</v>
      </c>
      <c r="BW834" s="2"/>
      <c r="BX834" s="2"/>
      <c r="BY834" s="2">
        <v>1200</v>
      </c>
      <c r="BZ834" s="2" t="s">
        <v>27</v>
      </c>
      <c r="CA834" s="2"/>
      <c r="CB834" s="2"/>
      <c r="CC834" s="2" t="s">
        <v>295</v>
      </c>
      <c r="CD834" s="2">
        <v>3610</v>
      </c>
      <c r="CE834" s="2" t="s">
        <v>144</v>
      </c>
      <c r="CF834" s="5">
        <v>42832</v>
      </c>
      <c r="CG834" s="2"/>
      <c r="CH834" s="2"/>
      <c r="CI834" s="2">
        <v>1</v>
      </c>
      <c r="CJ834" s="2">
        <v>1</v>
      </c>
      <c r="CK834" s="2">
        <v>21</v>
      </c>
      <c r="CL834" s="2" t="s">
        <v>86</v>
      </c>
      <c r="CM834" s="2"/>
    </row>
    <row r="835" spans="1:91">
      <c r="A835" s="2" t="s">
        <v>71</v>
      </c>
      <c r="B835" s="2" t="s">
        <v>72</v>
      </c>
      <c r="C835" s="2" t="s">
        <v>73</v>
      </c>
      <c r="D835" s="2"/>
      <c r="E835" s="2" t="str">
        <f>"080001606033"</f>
        <v>080001606033</v>
      </c>
      <c r="F835" s="3">
        <v>42836</v>
      </c>
      <c r="G835" s="2">
        <v>201710</v>
      </c>
      <c r="H835" s="2" t="s">
        <v>187</v>
      </c>
      <c r="I835" s="2" t="s">
        <v>146</v>
      </c>
      <c r="J835" s="2" t="s">
        <v>1436</v>
      </c>
      <c r="K835" s="2" t="s">
        <v>77</v>
      </c>
      <c r="L835" s="2" t="s">
        <v>74</v>
      </c>
      <c r="M835" s="2" t="s">
        <v>75</v>
      </c>
      <c r="N835" s="2" t="s">
        <v>200</v>
      </c>
      <c r="O835" s="2" t="s">
        <v>115</v>
      </c>
      <c r="P835" s="2" t="str">
        <f>"ZA1000634976                  "</f>
        <v xml:space="preserve">ZA1000634976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7.5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0.8</v>
      </c>
      <c r="BJ835" s="2">
        <v>3.5</v>
      </c>
      <c r="BK835" s="2">
        <v>3.5</v>
      </c>
      <c r="BL835" s="2">
        <v>73.02</v>
      </c>
      <c r="BM835" s="2">
        <v>10.220000000000001</v>
      </c>
      <c r="BN835" s="2">
        <v>83.24</v>
      </c>
      <c r="BO835" s="2">
        <v>83.24</v>
      </c>
      <c r="BP835" s="2" t="s">
        <v>1437</v>
      </c>
      <c r="BQ835" s="2" t="s">
        <v>134</v>
      </c>
      <c r="BR835" s="2" t="s">
        <v>1438</v>
      </c>
      <c r="BS835" s="3">
        <v>42837</v>
      </c>
      <c r="BT835" s="4">
        <v>0.37638888888888888</v>
      </c>
      <c r="BU835" s="2" t="s">
        <v>134</v>
      </c>
      <c r="BV835" s="2" t="s">
        <v>111</v>
      </c>
      <c r="BW835" s="2"/>
      <c r="BX835" s="2"/>
      <c r="BY835" s="2">
        <v>17488.939999999999</v>
      </c>
      <c r="BZ835" s="2" t="s">
        <v>27</v>
      </c>
      <c r="CA835" s="2"/>
      <c r="CB835" s="2"/>
      <c r="CC835" s="2" t="s">
        <v>75</v>
      </c>
      <c r="CD835" s="2">
        <v>1600</v>
      </c>
      <c r="CE835" s="2" t="s">
        <v>89</v>
      </c>
      <c r="CF835" s="5">
        <v>42838</v>
      </c>
      <c r="CG835" s="2"/>
      <c r="CH835" s="2"/>
      <c r="CI835" s="2">
        <v>1</v>
      </c>
      <c r="CJ835" s="2">
        <v>1</v>
      </c>
      <c r="CK835" s="2">
        <v>21</v>
      </c>
      <c r="CL835" s="2" t="s">
        <v>86</v>
      </c>
      <c r="CM835" s="2"/>
    </row>
    <row r="836" spans="1:91">
      <c r="A836" s="2" t="s">
        <v>71</v>
      </c>
      <c r="B836" s="2" t="s">
        <v>72</v>
      </c>
      <c r="C836" s="2" t="s">
        <v>73</v>
      </c>
      <c r="D836" s="2"/>
      <c r="E836" s="2" t="str">
        <f>"FES1162541909"</f>
        <v>FES1162541909</v>
      </c>
      <c r="F836" s="3">
        <v>42831</v>
      </c>
      <c r="G836" s="2">
        <v>201710</v>
      </c>
      <c r="H836" s="2" t="s">
        <v>74</v>
      </c>
      <c r="I836" s="2" t="s">
        <v>75</v>
      </c>
      <c r="J836" s="2" t="s">
        <v>76</v>
      </c>
      <c r="K836" s="2" t="s">
        <v>77</v>
      </c>
      <c r="L836" s="2" t="s">
        <v>131</v>
      </c>
      <c r="M836" s="2" t="s">
        <v>132</v>
      </c>
      <c r="N836" s="2" t="s">
        <v>1439</v>
      </c>
      <c r="O836" s="2" t="s">
        <v>115</v>
      </c>
      <c r="P836" s="2" t="str">
        <f>"2170558814                    "</f>
        <v xml:space="preserve">2170558814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4.29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1</v>
      </c>
      <c r="BJ836" s="2">
        <v>0.2</v>
      </c>
      <c r="BK836" s="2">
        <v>1</v>
      </c>
      <c r="BL836" s="2">
        <v>41.73</v>
      </c>
      <c r="BM836" s="2">
        <v>5.84</v>
      </c>
      <c r="BN836" s="2">
        <v>47.57</v>
      </c>
      <c r="BO836" s="2">
        <v>47.57</v>
      </c>
      <c r="BP836" s="2"/>
      <c r="BQ836" s="2" t="s">
        <v>1440</v>
      </c>
      <c r="BR836" s="2" t="s">
        <v>123</v>
      </c>
      <c r="BS836" s="3">
        <v>42835</v>
      </c>
      <c r="BT836" s="4">
        <v>0.3611111111111111</v>
      </c>
      <c r="BU836" s="2" t="s">
        <v>1441</v>
      </c>
      <c r="BV836" s="2" t="s">
        <v>86</v>
      </c>
      <c r="BW836" s="2"/>
      <c r="BX836" s="2"/>
      <c r="BY836" s="2">
        <v>1200</v>
      </c>
      <c r="BZ836" s="2" t="s">
        <v>27</v>
      </c>
      <c r="CA836" s="2"/>
      <c r="CB836" s="2"/>
      <c r="CC836" s="2" t="s">
        <v>132</v>
      </c>
      <c r="CD836" s="2">
        <v>7490</v>
      </c>
      <c r="CE836" s="2" t="s">
        <v>144</v>
      </c>
      <c r="CF836" s="5">
        <v>42836</v>
      </c>
      <c r="CG836" s="2"/>
      <c r="CH836" s="2"/>
      <c r="CI836" s="2">
        <v>1</v>
      </c>
      <c r="CJ836" s="2">
        <v>2</v>
      </c>
      <c r="CK836" s="2">
        <v>21</v>
      </c>
      <c r="CL836" s="2" t="s">
        <v>86</v>
      </c>
      <c r="CM836" s="2"/>
    </row>
    <row r="837" spans="1:91">
      <c r="A837" s="2" t="s">
        <v>71</v>
      </c>
      <c r="B837" s="2" t="s">
        <v>72</v>
      </c>
      <c r="C837" s="2" t="s">
        <v>73</v>
      </c>
      <c r="D837" s="2"/>
      <c r="E837" s="2" t="str">
        <f>"FES1162541226"</f>
        <v>FES1162541226</v>
      </c>
      <c r="F837" s="3">
        <v>42829</v>
      </c>
      <c r="G837" s="2">
        <v>201710</v>
      </c>
      <c r="H837" s="2" t="s">
        <v>74</v>
      </c>
      <c r="I837" s="2" t="s">
        <v>75</v>
      </c>
      <c r="J837" s="2" t="s">
        <v>76</v>
      </c>
      <c r="K837" s="2" t="s">
        <v>77</v>
      </c>
      <c r="L837" s="2" t="s">
        <v>496</v>
      </c>
      <c r="M837" s="2" t="s">
        <v>497</v>
      </c>
      <c r="N837" s="2" t="s">
        <v>498</v>
      </c>
      <c r="O837" s="2" t="s">
        <v>115</v>
      </c>
      <c r="P837" s="2" t="str">
        <f>"2170558422                    "</f>
        <v xml:space="preserve">2170558422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3.45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1</v>
      </c>
      <c r="BJ837" s="2">
        <v>0.2</v>
      </c>
      <c r="BK837" s="2">
        <v>1</v>
      </c>
      <c r="BL837" s="2">
        <v>32.700000000000003</v>
      </c>
      <c r="BM837" s="2">
        <v>4.58</v>
      </c>
      <c r="BN837" s="2">
        <v>37.28</v>
      </c>
      <c r="BO837" s="2">
        <v>37.28</v>
      </c>
      <c r="BP837" s="2"/>
      <c r="BQ837" s="2" t="s">
        <v>122</v>
      </c>
      <c r="BR837" s="2" t="s">
        <v>123</v>
      </c>
      <c r="BS837" s="3">
        <v>42830</v>
      </c>
      <c r="BT837" s="4">
        <v>0.34027777777777773</v>
      </c>
      <c r="BU837" s="2" t="s">
        <v>1037</v>
      </c>
      <c r="BV837" s="2" t="s">
        <v>111</v>
      </c>
      <c r="BW837" s="2"/>
      <c r="BX837" s="2"/>
      <c r="BY837" s="2">
        <v>1200</v>
      </c>
      <c r="BZ837" s="2" t="s">
        <v>27</v>
      </c>
      <c r="CA837" s="2"/>
      <c r="CB837" s="2"/>
      <c r="CC837" s="2" t="s">
        <v>497</v>
      </c>
      <c r="CD837" s="2">
        <v>1559</v>
      </c>
      <c r="CE837" s="2" t="s">
        <v>118</v>
      </c>
      <c r="CF837" s="5">
        <v>42830</v>
      </c>
      <c r="CG837" s="2"/>
      <c r="CH837" s="2"/>
      <c r="CI837" s="2">
        <v>1</v>
      </c>
      <c r="CJ837" s="2">
        <v>1</v>
      </c>
      <c r="CK837" s="2">
        <v>22</v>
      </c>
      <c r="CL837" s="2" t="s">
        <v>86</v>
      </c>
      <c r="CM837" s="2"/>
    </row>
    <row r="838" spans="1:91">
      <c r="A838" s="2" t="s">
        <v>71</v>
      </c>
      <c r="B838" s="2" t="s">
        <v>72</v>
      </c>
      <c r="C838" s="2" t="s">
        <v>73</v>
      </c>
      <c r="D838" s="2"/>
      <c r="E838" s="2" t="str">
        <f>"FES1162542957"</f>
        <v>FES1162542957</v>
      </c>
      <c r="F838" s="3">
        <v>42836</v>
      </c>
      <c r="G838" s="2">
        <v>201710</v>
      </c>
      <c r="H838" s="2" t="s">
        <v>74</v>
      </c>
      <c r="I838" s="2" t="s">
        <v>75</v>
      </c>
      <c r="J838" s="2" t="s">
        <v>76</v>
      </c>
      <c r="K838" s="2" t="s">
        <v>77</v>
      </c>
      <c r="L838" s="2" t="s">
        <v>99</v>
      </c>
      <c r="M838" s="2" t="s">
        <v>100</v>
      </c>
      <c r="N838" s="2" t="s">
        <v>1442</v>
      </c>
      <c r="O838" s="2" t="s">
        <v>115</v>
      </c>
      <c r="P838" s="2" t="str">
        <f>"2170561745                    "</f>
        <v xml:space="preserve">2170561745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13.93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3</v>
      </c>
      <c r="BJ838" s="2">
        <v>6.5</v>
      </c>
      <c r="BK838" s="2">
        <v>6.5</v>
      </c>
      <c r="BL838" s="2">
        <v>135.61000000000001</v>
      </c>
      <c r="BM838" s="2">
        <v>18.989999999999998</v>
      </c>
      <c r="BN838" s="2">
        <v>154.6</v>
      </c>
      <c r="BO838" s="2">
        <v>154.6</v>
      </c>
      <c r="BP838" s="2"/>
      <c r="BQ838" s="2" t="s">
        <v>1443</v>
      </c>
      <c r="BR838" s="2" t="s">
        <v>123</v>
      </c>
      <c r="BS838" s="3">
        <v>42837</v>
      </c>
      <c r="BT838" s="4">
        <v>0.32361111111111113</v>
      </c>
      <c r="BU838" s="2" t="s">
        <v>1444</v>
      </c>
      <c r="BV838" s="2" t="s">
        <v>111</v>
      </c>
      <c r="BW838" s="2"/>
      <c r="BX838" s="2"/>
      <c r="BY838" s="2">
        <v>32670</v>
      </c>
      <c r="BZ838" s="2" t="s">
        <v>27</v>
      </c>
      <c r="CA838" s="2" t="s">
        <v>378</v>
      </c>
      <c r="CB838" s="2"/>
      <c r="CC838" s="2" t="s">
        <v>100</v>
      </c>
      <c r="CD838" s="2">
        <v>6045</v>
      </c>
      <c r="CE838" s="2" t="s">
        <v>287</v>
      </c>
      <c r="CF838" s="5">
        <v>42838</v>
      </c>
      <c r="CG838" s="2"/>
      <c r="CH838" s="2"/>
      <c r="CI838" s="2">
        <v>1</v>
      </c>
      <c r="CJ838" s="2">
        <v>1</v>
      </c>
      <c r="CK838" s="2">
        <v>21</v>
      </c>
      <c r="CL838" s="2" t="s">
        <v>86</v>
      </c>
      <c r="CM838" s="2"/>
    </row>
    <row r="839" spans="1:91">
      <c r="A839" s="2" t="s">
        <v>71</v>
      </c>
      <c r="B839" s="2" t="s">
        <v>72</v>
      </c>
      <c r="C839" s="2" t="s">
        <v>73</v>
      </c>
      <c r="D839" s="2"/>
      <c r="E839" s="2" t="str">
        <f>"FES1162542012"</f>
        <v>FES1162542012</v>
      </c>
      <c r="F839" s="3">
        <v>42831</v>
      </c>
      <c r="G839" s="2">
        <v>201710</v>
      </c>
      <c r="H839" s="2" t="s">
        <v>74</v>
      </c>
      <c r="I839" s="2" t="s">
        <v>75</v>
      </c>
      <c r="J839" s="2" t="s">
        <v>76</v>
      </c>
      <c r="K839" s="2" t="s">
        <v>77</v>
      </c>
      <c r="L839" s="2" t="s">
        <v>91</v>
      </c>
      <c r="M839" s="2" t="s">
        <v>92</v>
      </c>
      <c r="N839" s="2" t="s">
        <v>1445</v>
      </c>
      <c r="O839" s="2" t="s">
        <v>115</v>
      </c>
      <c r="P839" s="2" t="str">
        <f>"2170558826                    "</f>
        <v xml:space="preserve">2170558826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3.35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1</v>
      </c>
      <c r="BJ839" s="2">
        <v>0.2</v>
      </c>
      <c r="BK839" s="2">
        <v>1</v>
      </c>
      <c r="BL839" s="2">
        <v>32.6</v>
      </c>
      <c r="BM839" s="2">
        <v>4.5599999999999996</v>
      </c>
      <c r="BN839" s="2">
        <v>37.159999999999997</v>
      </c>
      <c r="BO839" s="2">
        <v>37.159999999999997</v>
      </c>
      <c r="BP839" s="2"/>
      <c r="BQ839" s="2" t="s">
        <v>1446</v>
      </c>
      <c r="BR839" s="2" t="s">
        <v>123</v>
      </c>
      <c r="BS839" s="3">
        <v>42832</v>
      </c>
      <c r="BT839" s="4">
        <v>0.41666666666666669</v>
      </c>
      <c r="BU839" s="2" t="s">
        <v>266</v>
      </c>
      <c r="BV839" s="2" t="s">
        <v>111</v>
      </c>
      <c r="BW839" s="2"/>
      <c r="BX839" s="2"/>
      <c r="BY839" s="2">
        <v>1200</v>
      </c>
      <c r="BZ839" s="2" t="s">
        <v>27</v>
      </c>
      <c r="CA839" s="2"/>
      <c r="CB839" s="2"/>
      <c r="CC839" s="2" t="s">
        <v>92</v>
      </c>
      <c r="CD839" s="2">
        <v>1406</v>
      </c>
      <c r="CE839" s="2" t="s">
        <v>118</v>
      </c>
      <c r="CF839" s="5">
        <v>42835</v>
      </c>
      <c r="CG839" s="2"/>
      <c r="CH839" s="2"/>
      <c r="CI839" s="2">
        <v>1</v>
      </c>
      <c r="CJ839" s="2">
        <v>1</v>
      </c>
      <c r="CK839" s="2">
        <v>22</v>
      </c>
      <c r="CL839" s="2" t="s">
        <v>86</v>
      </c>
      <c r="CM839" s="2"/>
    </row>
    <row r="840" spans="1:91">
      <c r="A840" s="2" t="s">
        <v>71</v>
      </c>
      <c r="B840" s="2" t="s">
        <v>72</v>
      </c>
      <c r="C840" s="2" t="s">
        <v>73</v>
      </c>
      <c r="D840" s="2"/>
      <c r="E840" s="2" t="str">
        <f>"FES1162541533"</f>
        <v>FES1162541533</v>
      </c>
      <c r="F840" s="3">
        <v>42830</v>
      </c>
      <c r="G840" s="2">
        <v>201710</v>
      </c>
      <c r="H840" s="2" t="s">
        <v>74</v>
      </c>
      <c r="I840" s="2" t="s">
        <v>75</v>
      </c>
      <c r="J840" s="2" t="s">
        <v>76</v>
      </c>
      <c r="K840" s="2" t="s">
        <v>77</v>
      </c>
      <c r="L840" s="2" t="s">
        <v>396</v>
      </c>
      <c r="M840" s="2" t="s">
        <v>397</v>
      </c>
      <c r="N840" s="2" t="s">
        <v>1447</v>
      </c>
      <c r="O840" s="2" t="s">
        <v>115</v>
      </c>
      <c r="P840" s="2" t="str">
        <f>"2170560291                    "</f>
        <v xml:space="preserve">2170560291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4.29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1</v>
      </c>
      <c r="BJ840" s="2">
        <v>0.2</v>
      </c>
      <c r="BK840" s="2">
        <v>1</v>
      </c>
      <c r="BL840" s="2">
        <v>41.73</v>
      </c>
      <c r="BM840" s="2">
        <v>5.84</v>
      </c>
      <c r="BN840" s="2">
        <v>47.57</v>
      </c>
      <c r="BO840" s="2">
        <v>47.57</v>
      </c>
      <c r="BP840" s="2"/>
      <c r="BQ840" s="2" t="s">
        <v>1448</v>
      </c>
      <c r="BR840" s="2" t="s">
        <v>123</v>
      </c>
      <c r="BS840" s="3">
        <v>42831</v>
      </c>
      <c r="BT840" s="4">
        <v>0.35416666666666669</v>
      </c>
      <c r="BU840" s="2" t="s">
        <v>266</v>
      </c>
      <c r="BV840" s="2" t="s">
        <v>111</v>
      </c>
      <c r="BW840" s="2"/>
      <c r="BX840" s="2"/>
      <c r="BY840" s="2">
        <v>1200</v>
      </c>
      <c r="BZ840" s="2" t="s">
        <v>27</v>
      </c>
      <c r="CA840" s="2"/>
      <c r="CB840" s="2"/>
      <c r="CC840" s="2" t="s">
        <v>397</v>
      </c>
      <c r="CD840" s="2">
        <v>4300</v>
      </c>
      <c r="CE840" s="2" t="s">
        <v>144</v>
      </c>
      <c r="CF840" s="5">
        <v>42832</v>
      </c>
      <c r="CG840" s="2"/>
      <c r="CH840" s="2"/>
      <c r="CI840" s="2">
        <v>1</v>
      </c>
      <c r="CJ840" s="2">
        <v>1</v>
      </c>
      <c r="CK840" s="2">
        <v>21</v>
      </c>
      <c r="CL840" s="2" t="s">
        <v>86</v>
      </c>
      <c r="CM840" s="2"/>
    </row>
    <row r="841" spans="1:91">
      <c r="A841" s="2" t="s">
        <v>71</v>
      </c>
      <c r="B841" s="2" t="s">
        <v>72</v>
      </c>
      <c r="C841" s="2" t="s">
        <v>73</v>
      </c>
      <c r="D841" s="2"/>
      <c r="E841" s="2" t="str">
        <f>"080001606209"</f>
        <v>080001606209</v>
      </c>
      <c r="F841" s="3">
        <v>42836</v>
      </c>
      <c r="G841" s="2">
        <v>201710</v>
      </c>
      <c r="H841" s="2" t="s">
        <v>166</v>
      </c>
      <c r="I841" s="2" t="s">
        <v>167</v>
      </c>
      <c r="J841" s="2" t="s">
        <v>1245</v>
      </c>
      <c r="K841" s="2" t="s">
        <v>77</v>
      </c>
      <c r="L841" s="2" t="s">
        <v>74</v>
      </c>
      <c r="M841" s="2" t="s">
        <v>75</v>
      </c>
      <c r="N841" s="2" t="s">
        <v>200</v>
      </c>
      <c r="O841" s="2" t="s">
        <v>115</v>
      </c>
      <c r="P841" s="2" t="str">
        <f>"1162541358                    "</f>
        <v xml:space="preserve">1162541358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3.35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0.6</v>
      </c>
      <c r="BJ841" s="2">
        <v>1.2</v>
      </c>
      <c r="BK841" s="2">
        <v>2</v>
      </c>
      <c r="BL841" s="2">
        <v>32.6</v>
      </c>
      <c r="BM841" s="2">
        <v>4.5599999999999996</v>
      </c>
      <c r="BN841" s="2">
        <v>37.159999999999997</v>
      </c>
      <c r="BO841" s="2">
        <v>37.159999999999997</v>
      </c>
      <c r="BP841" s="2" t="s">
        <v>1449</v>
      </c>
      <c r="BQ841" s="2" t="s">
        <v>1450</v>
      </c>
      <c r="BR841" s="2" t="s">
        <v>1451</v>
      </c>
      <c r="BS841" s="3">
        <v>42837</v>
      </c>
      <c r="BT841" s="4">
        <v>0.37638888888888888</v>
      </c>
      <c r="BU841" s="2" t="s">
        <v>134</v>
      </c>
      <c r="BV841" s="2" t="s">
        <v>111</v>
      </c>
      <c r="BW841" s="2"/>
      <c r="BX841" s="2"/>
      <c r="BY841" s="2">
        <v>6001.61</v>
      </c>
      <c r="BZ841" s="2" t="s">
        <v>27</v>
      </c>
      <c r="CA841" s="2"/>
      <c r="CB841" s="2"/>
      <c r="CC841" s="2" t="s">
        <v>75</v>
      </c>
      <c r="CD841" s="2">
        <v>1601</v>
      </c>
      <c r="CE841" s="2" t="s">
        <v>1452</v>
      </c>
      <c r="CF841" s="5">
        <v>42838</v>
      </c>
      <c r="CG841" s="2"/>
      <c r="CH841" s="2"/>
      <c r="CI841" s="2">
        <v>1</v>
      </c>
      <c r="CJ841" s="2">
        <v>1</v>
      </c>
      <c r="CK841" s="2">
        <v>22</v>
      </c>
      <c r="CL841" s="2" t="s">
        <v>86</v>
      </c>
      <c r="CM841" s="2"/>
    </row>
    <row r="842" spans="1:91">
      <c r="A842" s="2" t="s">
        <v>71</v>
      </c>
      <c r="B842" s="2" t="s">
        <v>72</v>
      </c>
      <c r="C842" s="2" t="s">
        <v>73</v>
      </c>
      <c r="D842" s="2"/>
      <c r="E842" s="2" t="str">
        <f>"FES1162542069"</f>
        <v>FES1162542069</v>
      </c>
      <c r="F842" s="3">
        <v>42831</v>
      </c>
      <c r="G842" s="2">
        <v>201710</v>
      </c>
      <c r="H842" s="2" t="s">
        <v>74</v>
      </c>
      <c r="I842" s="2" t="s">
        <v>75</v>
      </c>
      <c r="J842" s="2" t="s">
        <v>76</v>
      </c>
      <c r="K842" s="2" t="s">
        <v>77</v>
      </c>
      <c r="L842" s="2" t="s">
        <v>1026</v>
      </c>
      <c r="M842" s="2" t="s">
        <v>1027</v>
      </c>
      <c r="N842" s="2" t="s">
        <v>1453</v>
      </c>
      <c r="O842" s="2" t="s">
        <v>115</v>
      </c>
      <c r="P842" s="2" t="str">
        <f>"2170557812                    "</f>
        <v xml:space="preserve">2170557812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10.18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2.1</v>
      </c>
      <c r="BJ842" s="2">
        <v>2.2000000000000002</v>
      </c>
      <c r="BK842" s="2">
        <v>2.5</v>
      </c>
      <c r="BL842" s="2">
        <v>99.1</v>
      </c>
      <c r="BM842" s="2">
        <v>13.87</v>
      </c>
      <c r="BN842" s="2">
        <v>112.97</v>
      </c>
      <c r="BO842" s="2">
        <v>112.97</v>
      </c>
      <c r="BP842" s="2"/>
      <c r="BQ842" s="2"/>
      <c r="BR842" s="2" t="s">
        <v>123</v>
      </c>
      <c r="BS842" s="3">
        <v>42832</v>
      </c>
      <c r="BT842" s="4">
        <v>0.41666666666666669</v>
      </c>
      <c r="BU842" s="2" t="s">
        <v>1380</v>
      </c>
      <c r="BV842" s="2" t="s">
        <v>111</v>
      </c>
      <c r="BW842" s="2"/>
      <c r="BX842" s="2"/>
      <c r="BY842" s="2">
        <v>11150.66</v>
      </c>
      <c r="BZ842" s="2" t="s">
        <v>27</v>
      </c>
      <c r="CA842" s="2"/>
      <c r="CB842" s="2"/>
      <c r="CC842" s="2" t="s">
        <v>1027</v>
      </c>
      <c r="CD842" s="2">
        <v>7349</v>
      </c>
      <c r="CE842" s="2" t="s">
        <v>144</v>
      </c>
      <c r="CF842" s="5">
        <v>42835</v>
      </c>
      <c r="CG842" s="2"/>
      <c r="CH842" s="2"/>
      <c r="CI842" s="2">
        <v>1</v>
      </c>
      <c r="CJ842" s="2">
        <v>1</v>
      </c>
      <c r="CK842" s="2">
        <v>23</v>
      </c>
      <c r="CL842" s="2" t="s">
        <v>86</v>
      </c>
      <c r="CM842" s="2"/>
    </row>
    <row r="843" spans="1:91">
      <c r="A843" s="2" t="s">
        <v>71</v>
      </c>
      <c r="B843" s="2" t="s">
        <v>72</v>
      </c>
      <c r="C843" s="2" t="s">
        <v>73</v>
      </c>
      <c r="D843" s="2"/>
      <c r="E843" s="2" t="str">
        <f>"FES1162541268"</f>
        <v>FES1162541268</v>
      </c>
      <c r="F843" s="3">
        <v>42829</v>
      </c>
      <c r="G843" s="2">
        <v>201710</v>
      </c>
      <c r="H843" s="2" t="s">
        <v>74</v>
      </c>
      <c r="I843" s="2" t="s">
        <v>75</v>
      </c>
      <c r="J843" s="2" t="s">
        <v>76</v>
      </c>
      <c r="K843" s="2" t="s">
        <v>77</v>
      </c>
      <c r="L843" s="2" t="s">
        <v>187</v>
      </c>
      <c r="M843" s="2" t="s">
        <v>146</v>
      </c>
      <c r="N843" s="2" t="s">
        <v>1003</v>
      </c>
      <c r="O843" s="2" t="s">
        <v>115</v>
      </c>
      <c r="P843" s="2" t="str">
        <f>"2170560335                    "</f>
        <v xml:space="preserve">2170560335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4.42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1</v>
      </c>
      <c r="BJ843" s="2">
        <v>0.2</v>
      </c>
      <c r="BK843" s="2">
        <v>1</v>
      </c>
      <c r="BL843" s="2">
        <v>41.86</v>
      </c>
      <c r="BM843" s="2">
        <v>5.86</v>
      </c>
      <c r="BN843" s="2">
        <v>47.72</v>
      </c>
      <c r="BO843" s="2">
        <v>47.72</v>
      </c>
      <c r="BP843" s="2"/>
      <c r="BQ843" s="2"/>
      <c r="BR843" s="2" t="s">
        <v>123</v>
      </c>
      <c r="BS843" s="3">
        <v>42830</v>
      </c>
      <c r="BT843" s="4">
        <v>0.40972222222222227</v>
      </c>
      <c r="BU843" s="2" t="s">
        <v>1004</v>
      </c>
      <c r="BV843" s="2" t="s">
        <v>111</v>
      </c>
      <c r="BW843" s="2"/>
      <c r="BX843" s="2"/>
      <c r="BY843" s="2">
        <v>1200</v>
      </c>
      <c r="BZ843" s="2" t="s">
        <v>27</v>
      </c>
      <c r="CA843" s="2"/>
      <c r="CB843" s="2"/>
      <c r="CC843" s="2" t="s">
        <v>146</v>
      </c>
      <c r="CD843" s="2">
        <v>200</v>
      </c>
      <c r="CE843" s="2" t="s">
        <v>144</v>
      </c>
      <c r="CF843" s="5">
        <v>42832</v>
      </c>
      <c r="CG843" s="2"/>
      <c r="CH843" s="2"/>
      <c r="CI843" s="2">
        <v>0</v>
      </c>
      <c r="CJ843" s="2">
        <v>0</v>
      </c>
      <c r="CK843" s="2">
        <v>21</v>
      </c>
      <c r="CL843" s="2" t="s">
        <v>86</v>
      </c>
      <c r="CM843" s="2"/>
    </row>
    <row r="844" spans="1:91">
      <c r="A844" s="2" t="s">
        <v>71</v>
      </c>
      <c r="B844" s="2" t="s">
        <v>72</v>
      </c>
      <c r="C844" s="2" t="s">
        <v>73</v>
      </c>
      <c r="D844" s="2"/>
      <c r="E844" s="2" t="str">
        <f>"FES1162542867"</f>
        <v>FES1162542867</v>
      </c>
      <c r="F844" s="3">
        <v>42836</v>
      </c>
      <c r="G844" s="2">
        <v>201710</v>
      </c>
      <c r="H844" s="2" t="s">
        <v>74</v>
      </c>
      <c r="I844" s="2" t="s">
        <v>75</v>
      </c>
      <c r="J844" s="2" t="s">
        <v>76</v>
      </c>
      <c r="K844" s="2" t="s">
        <v>77</v>
      </c>
      <c r="L844" s="2" t="s">
        <v>166</v>
      </c>
      <c r="M844" s="2" t="s">
        <v>167</v>
      </c>
      <c r="N844" s="2" t="s">
        <v>168</v>
      </c>
      <c r="O844" s="2" t="s">
        <v>115</v>
      </c>
      <c r="P844" s="2" t="str">
        <f>"2170560329                    "</f>
        <v xml:space="preserve">2170560329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3.35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1</v>
      </c>
      <c r="BJ844" s="2">
        <v>0.2</v>
      </c>
      <c r="BK844" s="2">
        <v>1</v>
      </c>
      <c r="BL844" s="2">
        <v>32.6</v>
      </c>
      <c r="BM844" s="2">
        <v>4.5599999999999996</v>
      </c>
      <c r="BN844" s="2">
        <v>37.159999999999997</v>
      </c>
      <c r="BO844" s="2">
        <v>37.159999999999997</v>
      </c>
      <c r="BP844" s="2"/>
      <c r="BQ844" s="2" t="s">
        <v>169</v>
      </c>
      <c r="BR844" s="2" t="s">
        <v>123</v>
      </c>
      <c r="BS844" s="3">
        <v>42837</v>
      </c>
      <c r="BT844" s="4">
        <v>0.3888888888888889</v>
      </c>
      <c r="BU844" s="2" t="s">
        <v>170</v>
      </c>
      <c r="BV844" s="2" t="s">
        <v>111</v>
      </c>
      <c r="BW844" s="2"/>
      <c r="BX844" s="2"/>
      <c r="BY844" s="2">
        <v>1200</v>
      </c>
      <c r="BZ844" s="2" t="s">
        <v>27</v>
      </c>
      <c r="CA844" s="2" t="s">
        <v>171</v>
      </c>
      <c r="CB844" s="2"/>
      <c r="CC844" s="2" t="s">
        <v>167</v>
      </c>
      <c r="CD844" s="2">
        <v>2094</v>
      </c>
      <c r="CE844" s="2" t="s">
        <v>118</v>
      </c>
      <c r="CF844" s="5">
        <v>42837</v>
      </c>
      <c r="CG844" s="2"/>
      <c r="CH844" s="2"/>
      <c r="CI844" s="2">
        <v>1</v>
      </c>
      <c r="CJ844" s="2">
        <v>1</v>
      </c>
      <c r="CK844" s="2">
        <v>22</v>
      </c>
      <c r="CL844" s="2" t="s">
        <v>86</v>
      </c>
      <c r="CM844" s="2"/>
    </row>
    <row r="845" spans="1:91">
      <c r="A845" s="2" t="s">
        <v>71</v>
      </c>
      <c r="B845" s="2" t="s">
        <v>72</v>
      </c>
      <c r="C845" s="2" t="s">
        <v>73</v>
      </c>
      <c r="D845" s="2"/>
      <c r="E845" s="2" t="str">
        <f>"FES1162541887"</f>
        <v>FES1162541887</v>
      </c>
      <c r="F845" s="3">
        <v>42831</v>
      </c>
      <c r="G845" s="2">
        <v>201710</v>
      </c>
      <c r="H845" s="2" t="s">
        <v>74</v>
      </c>
      <c r="I845" s="2" t="s">
        <v>75</v>
      </c>
      <c r="J845" s="2" t="s">
        <v>76</v>
      </c>
      <c r="K845" s="2" t="s">
        <v>77</v>
      </c>
      <c r="L845" s="2" t="s">
        <v>99</v>
      </c>
      <c r="M845" s="2" t="s">
        <v>100</v>
      </c>
      <c r="N845" s="2" t="s">
        <v>433</v>
      </c>
      <c r="O845" s="2" t="s">
        <v>115</v>
      </c>
      <c r="P845" s="2" t="str">
        <f>"2170560899                    "</f>
        <v xml:space="preserve">2170560899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4.29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1</v>
      </c>
      <c r="BJ845" s="2">
        <v>0.2</v>
      </c>
      <c r="BK845" s="2">
        <v>1</v>
      </c>
      <c r="BL845" s="2">
        <v>41.73</v>
      </c>
      <c r="BM845" s="2">
        <v>5.84</v>
      </c>
      <c r="BN845" s="2">
        <v>47.57</v>
      </c>
      <c r="BO845" s="2">
        <v>47.57</v>
      </c>
      <c r="BP845" s="2"/>
      <c r="BQ845" s="2" t="s">
        <v>434</v>
      </c>
      <c r="BR845" s="2" t="s">
        <v>123</v>
      </c>
      <c r="BS845" s="3">
        <v>42832</v>
      </c>
      <c r="BT845" s="4">
        <v>0.2986111111111111</v>
      </c>
      <c r="BU845" s="2" t="s">
        <v>435</v>
      </c>
      <c r="BV845" s="2" t="s">
        <v>111</v>
      </c>
      <c r="BW845" s="2"/>
      <c r="BX845" s="2"/>
      <c r="BY845" s="2">
        <v>1200</v>
      </c>
      <c r="BZ845" s="2" t="s">
        <v>27</v>
      </c>
      <c r="CA845" s="2"/>
      <c r="CB845" s="2"/>
      <c r="CC845" s="2" t="s">
        <v>100</v>
      </c>
      <c r="CD845" s="2">
        <v>6001</v>
      </c>
      <c r="CE845" s="2" t="s">
        <v>144</v>
      </c>
      <c r="CF845" s="5">
        <v>42835</v>
      </c>
      <c r="CG845" s="2"/>
      <c r="CH845" s="2"/>
      <c r="CI845" s="2">
        <v>1</v>
      </c>
      <c r="CJ845" s="2">
        <v>1</v>
      </c>
      <c r="CK845" s="2">
        <v>21</v>
      </c>
      <c r="CL845" s="2" t="s">
        <v>86</v>
      </c>
      <c r="CM845" s="2"/>
    </row>
    <row r="846" spans="1:91">
      <c r="A846" s="2" t="s">
        <v>71</v>
      </c>
      <c r="B846" s="2" t="s">
        <v>72</v>
      </c>
      <c r="C846" s="2" t="s">
        <v>73</v>
      </c>
      <c r="D846" s="2"/>
      <c r="E846" s="2" t="str">
        <f>"FES1162541578"</f>
        <v>FES1162541578</v>
      </c>
      <c r="F846" s="3">
        <v>42830</v>
      </c>
      <c r="G846" s="2">
        <v>201710</v>
      </c>
      <c r="H846" s="2" t="s">
        <v>74</v>
      </c>
      <c r="I846" s="2" t="s">
        <v>75</v>
      </c>
      <c r="J846" s="2" t="s">
        <v>76</v>
      </c>
      <c r="K846" s="2" t="s">
        <v>77</v>
      </c>
      <c r="L846" s="2" t="s">
        <v>474</v>
      </c>
      <c r="M846" s="2" t="s">
        <v>475</v>
      </c>
      <c r="N846" s="2" t="s">
        <v>1001</v>
      </c>
      <c r="O846" s="2" t="s">
        <v>115</v>
      </c>
      <c r="P846" s="2" t="str">
        <f>"2170560673                    "</f>
        <v xml:space="preserve">2170560673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4.29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1</v>
      </c>
      <c r="BJ846" s="2">
        <v>0.2</v>
      </c>
      <c r="BK846" s="2">
        <v>1</v>
      </c>
      <c r="BL846" s="2">
        <v>41.73</v>
      </c>
      <c r="BM846" s="2">
        <v>5.84</v>
      </c>
      <c r="BN846" s="2">
        <v>47.57</v>
      </c>
      <c r="BO846" s="2">
        <v>47.57</v>
      </c>
      <c r="BP846" s="2"/>
      <c r="BQ846" s="2" t="s">
        <v>472</v>
      </c>
      <c r="BR846" s="2" t="s">
        <v>123</v>
      </c>
      <c r="BS846" s="3">
        <v>42831</v>
      </c>
      <c r="BT846" s="4">
        <v>0.46527777777777773</v>
      </c>
      <c r="BU846" s="2" t="s">
        <v>1002</v>
      </c>
      <c r="BV846" s="2" t="s">
        <v>111</v>
      </c>
      <c r="BW846" s="2"/>
      <c r="BX846" s="2"/>
      <c r="BY846" s="2">
        <v>1200</v>
      </c>
      <c r="BZ846" s="2" t="s">
        <v>27</v>
      </c>
      <c r="CA846" s="2"/>
      <c r="CB846" s="2"/>
      <c r="CC846" s="2" t="s">
        <v>475</v>
      </c>
      <c r="CD846" s="2">
        <v>3290</v>
      </c>
      <c r="CE846" s="2" t="s">
        <v>144</v>
      </c>
      <c r="CF846" s="5">
        <v>42833</v>
      </c>
      <c r="CG846" s="2"/>
      <c r="CH846" s="2"/>
      <c r="CI846" s="2">
        <v>1</v>
      </c>
      <c r="CJ846" s="2">
        <v>1</v>
      </c>
      <c r="CK846" s="2">
        <v>21</v>
      </c>
      <c r="CL846" s="2" t="s">
        <v>86</v>
      </c>
      <c r="CM846" s="2"/>
    </row>
    <row r="847" spans="1:91">
      <c r="A847" s="2" t="s">
        <v>71</v>
      </c>
      <c r="B847" s="2" t="s">
        <v>72</v>
      </c>
      <c r="C847" s="2" t="s">
        <v>73</v>
      </c>
      <c r="D847" s="2"/>
      <c r="E847" s="2" t="str">
        <f>"FES1162542866"</f>
        <v>FES1162542866</v>
      </c>
      <c r="F847" s="3">
        <v>42836</v>
      </c>
      <c r="G847" s="2">
        <v>201710</v>
      </c>
      <c r="H847" s="2" t="s">
        <v>74</v>
      </c>
      <c r="I847" s="2" t="s">
        <v>75</v>
      </c>
      <c r="J847" s="2" t="s">
        <v>76</v>
      </c>
      <c r="K847" s="2" t="s">
        <v>77</v>
      </c>
      <c r="L847" s="2" t="s">
        <v>496</v>
      </c>
      <c r="M847" s="2" t="s">
        <v>497</v>
      </c>
      <c r="N847" s="2" t="s">
        <v>1454</v>
      </c>
      <c r="O847" s="2" t="s">
        <v>115</v>
      </c>
      <c r="P847" s="2" t="str">
        <f>"2170560282                    "</f>
        <v xml:space="preserve">2170560282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3.35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1</v>
      </c>
      <c r="BJ847" s="2">
        <v>0.2</v>
      </c>
      <c r="BK847" s="2">
        <v>1</v>
      </c>
      <c r="BL847" s="2">
        <v>32.6</v>
      </c>
      <c r="BM847" s="2">
        <v>4.5599999999999996</v>
      </c>
      <c r="BN847" s="2">
        <v>37.159999999999997</v>
      </c>
      <c r="BO847" s="2">
        <v>37.159999999999997</v>
      </c>
      <c r="BP847" s="2"/>
      <c r="BQ847" s="2" t="s">
        <v>1455</v>
      </c>
      <c r="BR847" s="2" t="s">
        <v>123</v>
      </c>
      <c r="BS847" s="3">
        <v>42837</v>
      </c>
      <c r="BT847" s="4">
        <v>0.34375</v>
      </c>
      <c r="BU847" s="2" t="s">
        <v>1456</v>
      </c>
      <c r="BV847" s="2" t="s">
        <v>111</v>
      </c>
      <c r="BW847" s="2"/>
      <c r="BX847" s="2"/>
      <c r="BY847" s="2">
        <v>1200</v>
      </c>
      <c r="BZ847" s="2" t="s">
        <v>27</v>
      </c>
      <c r="CA847" s="2"/>
      <c r="CB847" s="2"/>
      <c r="CC847" s="2" t="s">
        <v>497</v>
      </c>
      <c r="CD847" s="2">
        <v>1559</v>
      </c>
      <c r="CE847" s="2" t="s">
        <v>118</v>
      </c>
      <c r="CF847" s="5">
        <v>42838</v>
      </c>
      <c r="CG847" s="2"/>
      <c r="CH847" s="2"/>
      <c r="CI847" s="2">
        <v>1</v>
      </c>
      <c r="CJ847" s="2">
        <v>1</v>
      </c>
      <c r="CK847" s="2">
        <v>22</v>
      </c>
      <c r="CL847" s="2" t="s">
        <v>86</v>
      </c>
      <c r="CM847" s="2"/>
    </row>
    <row r="848" spans="1:91">
      <c r="A848" s="2" t="s">
        <v>71</v>
      </c>
      <c r="B848" s="2" t="s">
        <v>72</v>
      </c>
      <c r="C848" s="2" t="s">
        <v>73</v>
      </c>
      <c r="D848" s="2"/>
      <c r="E848" s="2" t="str">
        <f>"FES1162541891"</f>
        <v>FES1162541891</v>
      </c>
      <c r="F848" s="3">
        <v>42831</v>
      </c>
      <c r="G848" s="2">
        <v>201710</v>
      </c>
      <c r="H848" s="2" t="s">
        <v>74</v>
      </c>
      <c r="I848" s="2" t="s">
        <v>75</v>
      </c>
      <c r="J848" s="2" t="s">
        <v>76</v>
      </c>
      <c r="K848" s="2" t="s">
        <v>77</v>
      </c>
      <c r="L848" s="2" t="s">
        <v>99</v>
      </c>
      <c r="M848" s="2" t="s">
        <v>100</v>
      </c>
      <c r="N848" s="2" t="s">
        <v>433</v>
      </c>
      <c r="O848" s="2" t="s">
        <v>115</v>
      </c>
      <c r="P848" s="2" t="str">
        <f>"2170560903                    "</f>
        <v xml:space="preserve">2170560903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4.29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1</v>
      </c>
      <c r="BJ848" s="2">
        <v>0.2</v>
      </c>
      <c r="BK848" s="2">
        <v>1</v>
      </c>
      <c r="BL848" s="2">
        <v>41.73</v>
      </c>
      <c r="BM848" s="2">
        <v>5.84</v>
      </c>
      <c r="BN848" s="2">
        <v>47.57</v>
      </c>
      <c r="BO848" s="2">
        <v>47.57</v>
      </c>
      <c r="BP848" s="2"/>
      <c r="BQ848" s="2" t="s">
        <v>434</v>
      </c>
      <c r="BR848" s="2" t="s">
        <v>123</v>
      </c>
      <c r="BS848" s="3">
        <v>42832</v>
      </c>
      <c r="BT848" s="4">
        <v>0.2986111111111111</v>
      </c>
      <c r="BU848" s="2" t="s">
        <v>1457</v>
      </c>
      <c r="BV848" s="2" t="s">
        <v>111</v>
      </c>
      <c r="BW848" s="2"/>
      <c r="BX848" s="2"/>
      <c r="BY848" s="2">
        <v>1200</v>
      </c>
      <c r="BZ848" s="2" t="s">
        <v>27</v>
      </c>
      <c r="CA848" s="2"/>
      <c r="CB848" s="2"/>
      <c r="CC848" s="2" t="s">
        <v>100</v>
      </c>
      <c r="CD848" s="2">
        <v>6001</v>
      </c>
      <c r="CE848" s="2" t="s">
        <v>144</v>
      </c>
      <c r="CF848" s="5">
        <v>42835</v>
      </c>
      <c r="CG848" s="2"/>
      <c r="CH848" s="2"/>
      <c r="CI848" s="2">
        <v>1</v>
      </c>
      <c r="CJ848" s="2">
        <v>1</v>
      </c>
      <c r="CK848" s="2">
        <v>21</v>
      </c>
      <c r="CL848" s="2" t="s">
        <v>86</v>
      </c>
      <c r="CM848" s="2"/>
    </row>
    <row r="849" spans="1:91">
      <c r="A849" s="2" t="s">
        <v>71</v>
      </c>
      <c r="B849" s="2" t="s">
        <v>72</v>
      </c>
      <c r="C849" s="2" t="s">
        <v>73</v>
      </c>
      <c r="D849" s="2"/>
      <c r="E849" s="2" t="str">
        <f>"FES1162541305"</f>
        <v>FES1162541305</v>
      </c>
      <c r="F849" s="3">
        <v>42829</v>
      </c>
      <c r="G849" s="2">
        <v>201710</v>
      </c>
      <c r="H849" s="2" t="s">
        <v>74</v>
      </c>
      <c r="I849" s="2" t="s">
        <v>75</v>
      </c>
      <c r="J849" s="2" t="s">
        <v>76</v>
      </c>
      <c r="K849" s="2" t="s">
        <v>77</v>
      </c>
      <c r="L849" s="2" t="s">
        <v>139</v>
      </c>
      <c r="M849" s="2" t="s">
        <v>140</v>
      </c>
      <c r="N849" s="2" t="s">
        <v>530</v>
      </c>
      <c r="O849" s="2" t="s">
        <v>115</v>
      </c>
      <c r="P849" s="2" t="str">
        <f>"2170560356                    "</f>
        <v xml:space="preserve">2170560356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4.42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1</v>
      </c>
      <c r="BJ849" s="2">
        <v>0.2</v>
      </c>
      <c r="BK849" s="2">
        <v>1</v>
      </c>
      <c r="BL849" s="2">
        <v>41.86</v>
      </c>
      <c r="BM849" s="2">
        <v>5.86</v>
      </c>
      <c r="BN849" s="2">
        <v>47.72</v>
      </c>
      <c r="BO849" s="2">
        <v>47.72</v>
      </c>
      <c r="BP849" s="2"/>
      <c r="BQ849" s="2" t="s">
        <v>531</v>
      </c>
      <c r="BR849" s="2" t="s">
        <v>123</v>
      </c>
      <c r="BS849" s="3">
        <v>42830</v>
      </c>
      <c r="BT849" s="4">
        <v>0.35833333333333334</v>
      </c>
      <c r="BU849" s="2" t="s">
        <v>532</v>
      </c>
      <c r="BV849" s="2" t="s">
        <v>111</v>
      </c>
      <c r="BW849" s="2"/>
      <c r="BX849" s="2"/>
      <c r="BY849" s="2">
        <v>1200</v>
      </c>
      <c r="BZ849" s="2" t="s">
        <v>27</v>
      </c>
      <c r="CA849" s="2"/>
      <c r="CB849" s="2"/>
      <c r="CC849" s="2" t="s">
        <v>140</v>
      </c>
      <c r="CD849" s="2">
        <v>157</v>
      </c>
      <c r="CE849" s="2" t="s">
        <v>144</v>
      </c>
      <c r="CF849" s="5">
        <v>42832</v>
      </c>
      <c r="CG849" s="2"/>
      <c r="CH849" s="2"/>
      <c r="CI849" s="2">
        <v>0</v>
      </c>
      <c r="CJ849" s="2">
        <v>0</v>
      </c>
      <c r="CK849" s="2">
        <v>21</v>
      </c>
      <c r="CL849" s="2" t="s">
        <v>86</v>
      </c>
      <c r="CM849" s="2"/>
    </row>
    <row r="850" spans="1:91">
      <c r="A850" s="2" t="s">
        <v>71</v>
      </c>
      <c r="B850" s="2" t="s">
        <v>72</v>
      </c>
      <c r="C850" s="2" t="s">
        <v>73</v>
      </c>
      <c r="D850" s="2"/>
      <c r="E850" s="2" t="str">
        <f>"FES1162542777"</f>
        <v>FES1162542777</v>
      </c>
      <c r="F850" s="3">
        <v>42836</v>
      </c>
      <c r="G850" s="2">
        <v>201710</v>
      </c>
      <c r="H850" s="2" t="s">
        <v>74</v>
      </c>
      <c r="I850" s="2" t="s">
        <v>75</v>
      </c>
      <c r="J850" s="2" t="s">
        <v>76</v>
      </c>
      <c r="K850" s="2" t="s">
        <v>77</v>
      </c>
      <c r="L850" s="2" t="s">
        <v>991</v>
      </c>
      <c r="M850" s="2" t="s">
        <v>992</v>
      </c>
      <c r="N850" s="2" t="s">
        <v>993</v>
      </c>
      <c r="O850" s="2" t="s">
        <v>115</v>
      </c>
      <c r="P850" s="2" t="str">
        <f>"2170559654                    "</f>
        <v xml:space="preserve">2170559654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4.29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1.3</v>
      </c>
      <c r="BJ850" s="2">
        <v>1.1000000000000001</v>
      </c>
      <c r="BK850" s="2">
        <v>1.5</v>
      </c>
      <c r="BL850" s="2">
        <v>41.73</v>
      </c>
      <c r="BM850" s="2">
        <v>5.84</v>
      </c>
      <c r="BN850" s="2">
        <v>47.57</v>
      </c>
      <c r="BO850" s="2">
        <v>47.57</v>
      </c>
      <c r="BP850" s="2"/>
      <c r="BQ850" s="2" t="s">
        <v>994</v>
      </c>
      <c r="BR850" s="2" t="s">
        <v>123</v>
      </c>
      <c r="BS850" s="3">
        <v>42837</v>
      </c>
      <c r="BT850" s="4">
        <v>0.41666666666666669</v>
      </c>
      <c r="BU850" s="2" t="s">
        <v>1458</v>
      </c>
      <c r="BV850" s="2" t="s">
        <v>111</v>
      </c>
      <c r="BW850" s="2"/>
      <c r="BX850" s="2"/>
      <c r="BY850" s="2">
        <v>5320</v>
      </c>
      <c r="BZ850" s="2" t="s">
        <v>27</v>
      </c>
      <c r="CA850" s="2"/>
      <c r="CB850" s="2"/>
      <c r="CC850" s="2" t="s">
        <v>992</v>
      </c>
      <c r="CD850" s="2">
        <v>7655</v>
      </c>
      <c r="CE850" s="2" t="s">
        <v>135</v>
      </c>
      <c r="CF850" s="5">
        <v>42838</v>
      </c>
      <c r="CG850" s="2"/>
      <c r="CH850" s="2"/>
      <c r="CI850" s="2">
        <v>1</v>
      </c>
      <c r="CJ850" s="2">
        <v>1</v>
      </c>
      <c r="CK850" s="2">
        <v>21</v>
      </c>
      <c r="CL850" s="2" t="s">
        <v>86</v>
      </c>
      <c r="CM850" s="2"/>
    </row>
    <row r="851" spans="1:91">
      <c r="A851" s="2" t="s">
        <v>71</v>
      </c>
      <c r="B851" s="2" t="s">
        <v>72</v>
      </c>
      <c r="C851" s="2" t="s">
        <v>73</v>
      </c>
      <c r="D851" s="2"/>
      <c r="E851" s="2" t="str">
        <f>"FES1162542042"</f>
        <v>FES1162542042</v>
      </c>
      <c r="F851" s="3">
        <v>42831</v>
      </c>
      <c r="G851" s="2">
        <v>201710</v>
      </c>
      <c r="H851" s="2" t="s">
        <v>74</v>
      </c>
      <c r="I851" s="2" t="s">
        <v>75</v>
      </c>
      <c r="J851" s="2" t="s">
        <v>76</v>
      </c>
      <c r="K851" s="2" t="s">
        <v>77</v>
      </c>
      <c r="L851" s="2" t="s">
        <v>91</v>
      </c>
      <c r="M851" s="2" t="s">
        <v>92</v>
      </c>
      <c r="N851" s="2" t="s">
        <v>1459</v>
      </c>
      <c r="O851" s="2" t="s">
        <v>115</v>
      </c>
      <c r="P851" s="2" t="str">
        <f>"2170558822                    "</f>
        <v xml:space="preserve">2170558822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3.35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1</v>
      </c>
      <c r="BI851" s="2">
        <v>1</v>
      </c>
      <c r="BJ851" s="2">
        <v>0.2</v>
      </c>
      <c r="BK851" s="2">
        <v>1</v>
      </c>
      <c r="BL851" s="2">
        <v>32.6</v>
      </c>
      <c r="BM851" s="2">
        <v>4.5599999999999996</v>
      </c>
      <c r="BN851" s="2">
        <v>37.159999999999997</v>
      </c>
      <c r="BO851" s="2">
        <v>37.159999999999997</v>
      </c>
      <c r="BP851" s="2"/>
      <c r="BQ851" s="2" t="s">
        <v>1460</v>
      </c>
      <c r="BR851" s="2" t="s">
        <v>123</v>
      </c>
      <c r="BS851" s="3">
        <v>42832</v>
      </c>
      <c r="BT851" s="4">
        <v>0.41388888888888892</v>
      </c>
      <c r="BU851" s="2" t="s">
        <v>198</v>
      </c>
      <c r="BV851" s="2" t="s">
        <v>111</v>
      </c>
      <c r="BW851" s="2"/>
      <c r="BX851" s="2"/>
      <c r="BY851" s="2">
        <v>1200</v>
      </c>
      <c r="BZ851" s="2" t="s">
        <v>27</v>
      </c>
      <c r="CA851" s="2"/>
      <c r="CB851" s="2"/>
      <c r="CC851" s="2" t="s">
        <v>92</v>
      </c>
      <c r="CD851" s="2">
        <v>1401</v>
      </c>
      <c r="CE851" s="2" t="s">
        <v>118</v>
      </c>
      <c r="CF851" s="5">
        <v>42835</v>
      </c>
      <c r="CG851" s="2"/>
      <c r="CH851" s="2"/>
      <c r="CI851" s="2">
        <v>1</v>
      </c>
      <c r="CJ851" s="2">
        <v>1</v>
      </c>
      <c r="CK851" s="2">
        <v>22</v>
      </c>
      <c r="CL851" s="2" t="s">
        <v>86</v>
      </c>
      <c r="CM851" s="2"/>
    </row>
    <row r="852" spans="1:91">
      <c r="A852" s="2" t="s">
        <v>71</v>
      </c>
      <c r="B852" s="2" t="s">
        <v>72</v>
      </c>
      <c r="C852" s="2" t="s">
        <v>73</v>
      </c>
      <c r="D852" s="2"/>
      <c r="E852" s="2" t="str">
        <f>"FES1162541777"</f>
        <v>FES1162541777</v>
      </c>
      <c r="F852" s="3">
        <v>42830</v>
      </c>
      <c r="G852" s="2">
        <v>201710</v>
      </c>
      <c r="H852" s="2" t="s">
        <v>74</v>
      </c>
      <c r="I852" s="2" t="s">
        <v>75</v>
      </c>
      <c r="J852" s="2" t="s">
        <v>76</v>
      </c>
      <c r="K852" s="2" t="s">
        <v>77</v>
      </c>
      <c r="L852" s="2" t="s">
        <v>99</v>
      </c>
      <c r="M852" s="2" t="s">
        <v>100</v>
      </c>
      <c r="N852" s="2" t="s">
        <v>583</v>
      </c>
      <c r="O852" s="2" t="s">
        <v>115</v>
      </c>
      <c r="P852" s="2" t="str">
        <f>"2170560781                    "</f>
        <v xml:space="preserve">2170560781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8.57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4</v>
      </c>
      <c r="BJ852" s="2">
        <v>0.9</v>
      </c>
      <c r="BK852" s="2">
        <v>4</v>
      </c>
      <c r="BL852" s="2">
        <v>83.45</v>
      </c>
      <c r="BM852" s="2">
        <v>11.68</v>
      </c>
      <c r="BN852" s="2">
        <v>95.13</v>
      </c>
      <c r="BO852" s="2">
        <v>95.13</v>
      </c>
      <c r="BP852" s="2"/>
      <c r="BQ852" s="2" t="s">
        <v>584</v>
      </c>
      <c r="BR852" s="2" t="s">
        <v>123</v>
      </c>
      <c r="BS852" s="3">
        <v>42831</v>
      </c>
      <c r="BT852" s="4">
        <v>0.30902777777777779</v>
      </c>
      <c r="BU852" s="2" t="s">
        <v>130</v>
      </c>
      <c r="BV852" s="2" t="s">
        <v>111</v>
      </c>
      <c r="BW852" s="2"/>
      <c r="BX852" s="2"/>
      <c r="BY852" s="2">
        <v>4560</v>
      </c>
      <c r="BZ852" s="2" t="s">
        <v>27</v>
      </c>
      <c r="CA852" s="2"/>
      <c r="CB852" s="2"/>
      <c r="CC852" s="2" t="s">
        <v>100</v>
      </c>
      <c r="CD852" s="2">
        <v>6001</v>
      </c>
      <c r="CE852" s="2" t="s">
        <v>135</v>
      </c>
      <c r="CF852" s="5">
        <v>42832</v>
      </c>
      <c r="CG852" s="2"/>
      <c r="CH852" s="2"/>
      <c r="CI852" s="2">
        <v>1</v>
      </c>
      <c r="CJ852" s="2">
        <v>1</v>
      </c>
      <c r="CK852" s="2">
        <v>21</v>
      </c>
      <c r="CL852" s="2" t="s">
        <v>86</v>
      </c>
      <c r="CM852" s="2"/>
    </row>
    <row r="853" spans="1:91">
      <c r="A853" s="2" t="s">
        <v>71</v>
      </c>
      <c r="B853" s="2" t="s">
        <v>72</v>
      </c>
      <c r="C853" s="2" t="s">
        <v>73</v>
      </c>
      <c r="D853" s="2"/>
      <c r="E853" s="2" t="str">
        <f>"FES1162542953"</f>
        <v>FES1162542953</v>
      </c>
      <c r="F853" s="3">
        <v>42836</v>
      </c>
      <c r="G853" s="2">
        <v>201710</v>
      </c>
      <c r="H853" s="2" t="s">
        <v>74</v>
      </c>
      <c r="I853" s="2" t="s">
        <v>75</v>
      </c>
      <c r="J853" s="2" t="s">
        <v>76</v>
      </c>
      <c r="K853" s="2" t="s">
        <v>77</v>
      </c>
      <c r="L853" s="2" t="s">
        <v>131</v>
      </c>
      <c r="M853" s="2" t="s">
        <v>132</v>
      </c>
      <c r="N853" s="2" t="s">
        <v>649</v>
      </c>
      <c r="O853" s="2" t="s">
        <v>115</v>
      </c>
      <c r="P853" s="2" t="str">
        <f>"2170561106                    "</f>
        <v xml:space="preserve">2170561106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4.29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1</v>
      </c>
      <c r="BJ853" s="2">
        <v>1.2</v>
      </c>
      <c r="BK853" s="2">
        <v>1.5</v>
      </c>
      <c r="BL853" s="2">
        <v>41.73</v>
      </c>
      <c r="BM853" s="2">
        <v>5.84</v>
      </c>
      <c r="BN853" s="2">
        <v>47.57</v>
      </c>
      <c r="BO853" s="2">
        <v>47.57</v>
      </c>
      <c r="BP853" s="2"/>
      <c r="BQ853" s="2" t="s">
        <v>650</v>
      </c>
      <c r="BR853" s="2" t="s">
        <v>123</v>
      </c>
      <c r="BS853" s="3">
        <v>42837</v>
      </c>
      <c r="BT853" s="4">
        <v>0.41666666666666669</v>
      </c>
      <c r="BU853" s="2" t="s">
        <v>130</v>
      </c>
      <c r="BV853" s="2" t="s">
        <v>111</v>
      </c>
      <c r="BW853" s="2"/>
      <c r="BX853" s="2"/>
      <c r="BY853" s="2">
        <v>5809.34</v>
      </c>
      <c r="BZ853" s="2" t="s">
        <v>27</v>
      </c>
      <c r="CA853" s="2"/>
      <c r="CB853" s="2"/>
      <c r="CC853" s="2" t="s">
        <v>132</v>
      </c>
      <c r="CD853" s="2">
        <v>7405</v>
      </c>
      <c r="CE853" s="2" t="s">
        <v>144</v>
      </c>
      <c r="CF853" s="5">
        <v>42838</v>
      </c>
      <c r="CG853" s="2"/>
      <c r="CH853" s="2"/>
      <c r="CI853" s="2">
        <v>1</v>
      </c>
      <c r="CJ853" s="2">
        <v>1</v>
      </c>
      <c r="CK853" s="2">
        <v>21</v>
      </c>
      <c r="CL853" s="2" t="s">
        <v>86</v>
      </c>
      <c r="CM853" s="2"/>
    </row>
    <row r="854" spans="1:91">
      <c r="A854" s="2" t="s">
        <v>71</v>
      </c>
      <c r="B854" s="2" t="s">
        <v>72</v>
      </c>
      <c r="C854" s="2" t="s">
        <v>73</v>
      </c>
      <c r="D854" s="2"/>
      <c r="E854" s="2" t="str">
        <f>"080001603008"</f>
        <v>080001603008</v>
      </c>
      <c r="F854" s="3">
        <v>42831</v>
      </c>
      <c r="G854" s="2">
        <v>201710</v>
      </c>
      <c r="H854" s="2" t="s">
        <v>99</v>
      </c>
      <c r="I854" s="2" t="s">
        <v>100</v>
      </c>
      <c r="J854" s="2" t="s">
        <v>700</v>
      </c>
      <c r="K854" s="2" t="s">
        <v>77</v>
      </c>
      <c r="L854" s="2" t="s">
        <v>74</v>
      </c>
      <c r="M854" s="2" t="s">
        <v>75</v>
      </c>
      <c r="N854" s="2" t="s">
        <v>200</v>
      </c>
      <c r="O854" s="2" t="s">
        <v>115</v>
      </c>
      <c r="P854" s="2" t="str">
        <f>"ZA1000634253                  "</f>
        <v xml:space="preserve">ZA1000634253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4.29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1.1000000000000001</v>
      </c>
      <c r="BJ854" s="2">
        <v>0.8</v>
      </c>
      <c r="BK854" s="2">
        <v>1.5</v>
      </c>
      <c r="BL854" s="2">
        <v>41.73</v>
      </c>
      <c r="BM854" s="2">
        <v>5.84</v>
      </c>
      <c r="BN854" s="2">
        <v>47.57</v>
      </c>
      <c r="BO854" s="2">
        <v>47.57</v>
      </c>
      <c r="BP854" s="2" t="s">
        <v>307</v>
      </c>
      <c r="BQ854" s="2" t="s">
        <v>134</v>
      </c>
      <c r="BR854" s="2" t="s">
        <v>838</v>
      </c>
      <c r="BS854" s="3">
        <v>42832</v>
      </c>
      <c r="BT854" s="4">
        <v>0.37847222222222227</v>
      </c>
      <c r="BU854" s="2" t="s">
        <v>134</v>
      </c>
      <c r="BV854" s="2" t="s">
        <v>111</v>
      </c>
      <c r="BW854" s="2"/>
      <c r="BX854" s="2"/>
      <c r="BY854" s="2">
        <v>4000</v>
      </c>
      <c r="BZ854" s="2" t="s">
        <v>27</v>
      </c>
      <c r="CA854" s="2"/>
      <c r="CB854" s="2"/>
      <c r="CC854" s="2" t="s">
        <v>75</v>
      </c>
      <c r="CD854" s="2">
        <v>1600</v>
      </c>
      <c r="CE854" s="2" t="s">
        <v>89</v>
      </c>
      <c r="CF854" s="5">
        <v>42835</v>
      </c>
      <c r="CG854" s="2"/>
      <c r="CH854" s="2"/>
      <c r="CI854" s="2">
        <v>1</v>
      </c>
      <c r="CJ854" s="2">
        <v>1</v>
      </c>
      <c r="CK854" s="2">
        <v>21</v>
      </c>
      <c r="CL854" s="2" t="s">
        <v>86</v>
      </c>
      <c r="CM854" s="2"/>
    </row>
    <row r="855" spans="1:91">
      <c r="A855" s="2" t="s">
        <v>71</v>
      </c>
      <c r="B855" s="2" t="s">
        <v>72</v>
      </c>
      <c r="C855" s="2" t="s">
        <v>73</v>
      </c>
      <c r="D855" s="2"/>
      <c r="E855" s="2" t="str">
        <f>"FES1162541282"</f>
        <v>FES1162541282</v>
      </c>
      <c r="F855" s="3">
        <v>42829</v>
      </c>
      <c r="G855" s="2">
        <v>201710</v>
      </c>
      <c r="H855" s="2" t="s">
        <v>74</v>
      </c>
      <c r="I855" s="2" t="s">
        <v>75</v>
      </c>
      <c r="J855" s="2" t="s">
        <v>76</v>
      </c>
      <c r="K855" s="2" t="s">
        <v>77</v>
      </c>
      <c r="L855" s="2" t="s">
        <v>187</v>
      </c>
      <c r="M855" s="2" t="s">
        <v>146</v>
      </c>
      <c r="N855" s="2" t="s">
        <v>1461</v>
      </c>
      <c r="O855" s="2" t="s">
        <v>115</v>
      </c>
      <c r="P855" s="2" t="str">
        <f>"2170560345                    "</f>
        <v xml:space="preserve">2170560345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4.42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41.86</v>
      </c>
      <c r="BM855" s="2">
        <v>5.86</v>
      </c>
      <c r="BN855" s="2">
        <v>47.72</v>
      </c>
      <c r="BO855" s="2">
        <v>47.72</v>
      </c>
      <c r="BP855" s="2"/>
      <c r="BQ855" s="2" t="s">
        <v>1462</v>
      </c>
      <c r="BR855" s="2" t="s">
        <v>123</v>
      </c>
      <c r="BS855" s="3">
        <v>42830</v>
      </c>
      <c r="BT855" s="4">
        <v>0.3611111111111111</v>
      </c>
      <c r="BU855" s="2" t="s">
        <v>1463</v>
      </c>
      <c r="BV855" s="2" t="s">
        <v>111</v>
      </c>
      <c r="BW855" s="2"/>
      <c r="BX855" s="2"/>
      <c r="BY855" s="2">
        <v>1200</v>
      </c>
      <c r="BZ855" s="2" t="s">
        <v>27</v>
      </c>
      <c r="CA855" s="2"/>
      <c r="CB855" s="2"/>
      <c r="CC855" s="2" t="s">
        <v>146</v>
      </c>
      <c r="CD855" s="2">
        <v>182</v>
      </c>
      <c r="CE855" s="2" t="s">
        <v>144</v>
      </c>
      <c r="CF855" s="5">
        <v>42832</v>
      </c>
      <c r="CG855" s="2"/>
      <c r="CH855" s="2"/>
      <c r="CI855" s="2">
        <v>0</v>
      </c>
      <c r="CJ855" s="2">
        <v>0</v>
      </c>
      <c r="CK855" s="2">
        <v>21</v>
      </c>
      <c r="CL855" s="2" t="s">
        <v>86</v>
      </c>
      <c r="CM855" s="2"/>
    </row>
    <row r="856" spans="1:91">
      <c r="A856" s="2" t="s">
        <v>71</v>
      </c>
      <c r="B856" s="2" t="s">
        <v>72</v>
      </c>
      <c r="C856" s="2" t="s">
        <v>73</v>
      </c>
      <c r="D856" s="2"/>
      <c r="E856" s="2" t="str">
        <f>"FES1162542930"</f>
        <v>FES1162542930</v>
      </c>
      <c r="F856" s="3">
        <v>42836</v>
      </c>
      <c r="G856" s="2">
        <v>201710</v>
      </c>
      <c r="H856" s="2" t="s">
        <v>74</v>
      </c>
      <c r="I856" s="2" t="s">
        <v>75</v>
      </c>
      <c r="J856" s="2" t="s">
        <v>76</v>
      </c>
      <c r="K856" s="2" t="s">
        <v>77</v>
      </c>
      <c r="L856" s="2" t="s">
        <v>443</v>
      </c>
      <c r="M856" s="2" t="s">
        <v>444</v>
      </c>
      <c r="N856" s="2" t="s">
        <v>445</v>
      </c>
      <c r="O856" s="2" t="s">
        <v>115</v>
      </c>
      <c r="P856" s="2" t="str">
        <f>"2170559705                    "</f>
        <v xml:space="preserve">2170559705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4.29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</v>
      </c>
      <c r="BJ856" s="2">
        <v>0.2</v>
      </c>
      <c r="BK856" s="2">
        <v>1</v>
      </c>
      <c r="BL856" s="2">
        <v>41.73</v>
      </c>
      <c r="BM856" s="2">
        <v>5.84</v>
      </c>
      <c r="BN856" s="2">
        <v>47.57</v>
      </c>
      <c r="BO856" s="2">
        <v>47.57</v>
      </c>
      <c r="BP856" s="2"/>
      <c r="BQ856" s="2" t="s">
        <v>129</v>
      </c>
      <c r="BR856" s="2" t="s">
        <v>123</v>
      </c>
      <c r="BS856" s="3">
        <v>42837</v>
      </c>
      <c r="BT856" s="4">
        <v>0.41666666666666669</v>
      </c>
      <c r="BU856" s="2" t="s">
        <v>1464</v>
      </c>
      <c r="BV856" s="2" t="s">
        <v>111</v>
      </c>
      <c r="BW856" s="2"/>
      <c r="BX856" s="2"/>
      <c r="BY856" s="2">
        <v>1200</v>
      </c>
      <c r="BZ856" s="2" t="s">
        <v>27</v>
      </c>
      <c r="CA856" s="2"/>
      <c r="CB856" s="2"/>
      <c r="CC856" s="2" t="s">
        <v>444</v>
      </c>
      <c r="CD856" s="2">
        <v>7130</v>
      </c>
      <c r="CE856" s="2" t="s">
        <v>144</v>
      </c>
      <c r="CF856" s="5">
        <v>42838</v>
      </c>
      <c r="CG856" s="2"/>
      <c r="CH856" s="2"/>
      <c r="CI856" s="2">
        <v>1</v>
      </c>
      <c r="CJ856" s="2">
        <v>1</v>
      </c>
      <c r="CK856" s="2">
        <v>21</v>
      </c>
      <c r="CL856" s="2" t="s">
        <v>86</v>
      </c>
      <c r="CM856" s="2"/>
    </row>
    <row r="857" spans="1:91">
      <c r="A857" s="2" t="s">
        <v>71</v>
      </c>
      <c r="B857" s="2" t="s">
        <v>72</v>
      </c>
      <c r="C857" s="2" t="s">
        <v>73</v>
      </c>
      <c r="D857" s="2"/>
      <c r="E857" s="2" t="str">
        <f>"Rfes1162533704"</f>
        <v>Rfes1162533704</v>
      </c>
      <c r="F857" s="3">
        <v>42831</v>
      </c>
      <c r="G857" s="2">
        <v>201710</v>
      </c>
      <c r="H857" s="2" t="s">
        <v>659</v>
      </c>
      <c r="I857" s="2" t="s">
        <v>660</v>
      </c>
      <c r="J857" s="2" t="s">
        <v>1465</v>
      </c>
      <c r="K857" s="2" t="s">
        <v>77</v>
      </c>
      <c r="L857" s="2" t="s">
        <v>234</v>
      </c>
      <c r="M857" s="2" t="s">
        <v>235</v>
      </c>
      <c r="N857" s="2" t="s">
        <v>76</v>
      </c>
      <c r="O857" s="2" t="s">
        <v>115</v>
      </c>
      <c r="P857" s="2" t="str">
        <f>"2170552178                    "</f>
        <v xml:space="preserve">2170552178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4.29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1</v>
      </c>
      <c r="BJ857" s="2">
        <v>0.2</v>
      </c>
      <c r="BK857" s="2">
        <v>1</v>
      </c>
      <c r="BL857" s="2">
        <v>41.73</v>
      </c>
      <c r="BM857" s="2">
        <v>5.84</v>
      </c>
      <c r="BN857" s="2">
        <v>47.57</v>
      </c>
      <c r="BO857" s="2">
        <v>47.57</v>
      </c>
      <c r="BP857" s="2"/>
      <c r="BQ857" s="2" t="s">
        <v>123</v>
      </c>
      <c r="BR857" s="2" t="s">
        <v>1466</v>
      </c>
      <c r="BS857" s="3">
        <v>42835</v>
      </c>
      <c r="BT857" s="4">
        <v>0.39166666666666666</v>
      </c>
      <c r="BU857" s="2" t="s">
        <v>1467</v>
      </c>
      <c r="BV857" s="2" t="s">
        <v>86</v>
      </c>
      <c r="BW857" s="2" t="s">
        <v>164</v>
      </c>
      <c r="BX857" s="2" t="s">
        <v>309</v>
      </c>
      <c r="BY857" s="2">
        <v>1200</v>
      </c>
      <c r="BZ857" s="2" t="s">
        <v>27</v>
      </c>
      <c r="CA857" s="2" t="s">
        <v>159</v>
      </c>
      <c r="CB857" s="2"/>
      <c r="CC857" s="2" t="s">
        <v>235</v>
      </c>
      <c r="CD857" s="2">
        <v>6242</v>
      </c>
      <c r="CE857" s="2" t="s">
        <v>144</v>
      </c>
      <c r="CF857" s="5">
        <v>42833</v>
      </c>
      <c r="CG857" s="2"/>
      <c r="CH857" s="2"/>
      <c r="CI857" s="2">
        <v>1</v>
      </c>
      <c r="CJ857" s="2">
        <v>2</v>
      </c>
      <c r="CK857" s="2">
        <v>21</v>
      </c>
      <c r="CL857" s="2" t="s">
        <v>86</v>
      </c>
      <c r="CM857" s="2"/>
    </row>
    <row r="858" spans="1:91">
      <c r="A858" s="2" t="s">
        <v>71</v>
      </c>
      <c r="B858" s="2" t="s">
        <v>72</v>
      </c>
      <c r="C858" s="2" t="s">
        <v>73</v>
      </c>
      <c r="D858" s="2"/>
      <c r="E858" s="2" t="str">
        <f>"FES1162541491"</f>
        <v>FES1162541491</v>
      </c>
      <c r="F858" s="3">
        <v>42830</v>
      </c>
      <c r="G858" s="2">
        <v>201710</v>
      </c>
      <c r="H858" s="2" t="s">
        <v>74</v>
      </c>
      <c r="I858" s="2" t="s">
        <v>75</v>
      </c>
      <c r="J858" s="2" t="s">
        <v>76</v>
      </c>
      <c r="K858" s="2" t="s">
        <v>77</v>
      </c>
      <c r="L858" s="2" t="s">
        <v>131</v>
      </c>
      <c r="M858" s="2" t="s">
        <v>132</v>
      </c>
      <c r="N858" s="2" t="s">
        <v>1468</v>
      </c>
      <c r="O858" s="2" t="s">
        <v>115</v>
      </c>
      <c r="P858" s="2" t="str">
        <f>"2170560521                    "</f>
        <v xml:space="preserve">2170560521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8.57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1</v>
      </c>
      <c r="BJ858" s="2">
        <v>3.9</v>
      </c>
      <c r="BK858" s="2">
        <v>4</v>
      </c>
      <c r="BL858" s="2">
        <v>83.45</v>
      </c>
      <c r="BM858" s="2">
        <v>11.68</v>
      </c>
      <c r="BN858" s="2">
        <v>95.13</v>
      </c>
      <c r="BO858" s="2">
        <v>95.13</v>
      </c>
      <c r="BP858" s="2"/>
      <c r="BQ858" s="2" t="s">
        <v>1469</v>
      </c>
      <c r="BR858" s="2" t="s">
        <v>123</v>
      </c>
      <c r="BS858" s="3">
        <v>42831</v>
      </c>
      <c r="BT858" s="4">
        <v>0.37013888888888885</v>
      </c>
      <c r="BU858" s="2" t="s">
        <v>1470</v>
      </c>
      <c r="BV858" s="2" t="s">
        <v>111</v>
      </c>
      <c r="BW858" s="2"/>
      <c r="BX858" s="2"/>
      <c r="BY858" s="2">
        <v>19289.21</v>
      </c>
      <c r="BZ858" s="2" t="s">
        <v>27</v>
      </c>
      <c r="CA858" s="2"/>
      <c r="CB858" s="2"/>
      <c r="CC858" s="2" t="s">
        <v>132</v>
      </c>
      <c r="CD858" s="2">
        <v>7493</v>
      </c>
      <c r="CE858" s="2" t="s">
        <v>144</v>
      </c>
      <c r="CF858" s="5">
        <v>42832</v>
      </c>
      <c r="CG858" s="2"/>
      <c r="CH858" s="2"/>
      <c r="CI858" s="2">
        <v>1</v>
      </c>
      <c r="CJ858" s="2">
        <v>1</v>
      </c>
      <c r="CK858" s="2">
        <v>21</v>
      </c>
      <c r="CL858" s="2" t="s">
        <v>86</v>
      </c>
      <c r="CM858" s="2"/>
    </row>
    <row r="859" spans="1:91">
      <c r="A859" s="2" t="s">
        <v>71</v>
      </c>
      <c r="B859" s="2" t="s">
        <v>72</v>
      </c>
      <c r="C859" s="2" t="s">
        <v>73</v>
      </c>
      <c r="D859" s="2"/>
      <c r="E859" s="2" t="str">
        <f>"FES1162543075"</f>
        <v>FES1162543075</v>
      </c>
      <c r="F859" s="3">
        <v>42836</v>
      </c>
      <c r="G859" s="2">
        <v>201710</v>
      </c>
      <c r="H859" s="2" t="s">
        <v>74</v>
      </c>
      <c r="I859" s="2" t="s">
        <v>75</v>
      </c>
      <c r="J859" s="2" t="s">
        <v>76</v>
      </c>
      <c r="K859" s="2" t="s">
        <v>77</v>
      </c>
      <c r="L859" s="2" t="s">
        <v>99</v>
      </c>
      <c r="M859" s="2" t="s">
        <v>100</v>
      </c>
      <c r="N859" s="2" t="s">
        <v>1471</v>
      </c>
      <c r="O859" s="2" t="s">
        <v>115</v>
      </c>
      <c r="P859" s="2" t="str">
        <f>"2170561862                    "</f>
        <v xml:space="preserve">2170561862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4.29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1</v>
      </c>
      <c r="BJ859" s="2">
        <v>0.2</v>
      </c>
      <c r="BK859" s="2">
        <v>1</v>
      </c>
      <c r="BL859" s="2">
        <v>41.73</v>
      </c>
      <c r="BM859" s="2">
        <v>5.84</v>
      </c>
      <c r="BN859" s="2">
        <v>47.57</v>
      </c>
      <c r="BO859" s="2">
        <v>47.57</v>
      </c>
      <c r="BP859" s="2"/>
      <c r="BQ859" s="2" t="s">
        <v>1472</v>
      </c>
      <c r="BR859" s="2" t="s">
        <v>123</v>
      </c>
      <c r="BS859" s="3">
        <v>42837</v>
      </c>
      <c r="BT859" s="4">
        <v>0.33124999999999999</v>
      </c>
      <c r="BU859" s="2" t="s">
        <v>1473</v>
      </c>
      <c r="BV859" s="2" t="s">
        <v>111</v>
      </c>
      <c r="BW859" s="2"/>
      <c r="BX859" s="2"/>
      <c r="BY859" s="2">
        <v>1200</v>
      </c>
      <c r="BZ859" s="2" t="s">
        <v>27</v>
      </c>
      <c r="CA859" s="2" t="s">
        <v>106</v>
      </c>
      <c r="CB859" s="2"/>
      <c r="CC859" s="2" t="s">
        <v>100</v>
      </c>
      <c r="CD859" s="2">
        <v>6001</v>
      </c>
      <c r="CE859" s="2" t="s">
        <v>144</v>
      </c>
      <c r="CF859" s="5">
        <v>42837</v>
      </c>
      <c r="CG859" s="2"/>
      <c r="CH859" s="2"/>
      <c r="CI859" s="2">
        <v>1</v>
      </c>
      <c r="CJ859" s="2">
        <v>1</v>
      </c>
      <c r="CK859" s="2">
        <v>21</v>
      </c>
      <c r="CL859" s="2" t="s">
        <v>86</v>
      </c>
      <c r="CM859" s="2"/>
    </row>
    <row r="860" spans="1:91">
      <c r="A860" s="2" t="s">
        <v>71</v>
      </c>
      <c r="B860" s="2" t="s">
        <v>72</v>
      </c>
      <c r="C860" s="2" t="s">
        <v>73</v>
      </c>
      <c r="D860" s="2"/>
      <c r="E860" s="2" t="str">
        <f>"Rfes1162533703"</f>
        <v>Rfes1162533703</v>
      </c>
      <c r="F860" s="3">
        <v>42831</v>
      </c>
      <c r="G860" s="2">
        <v>201710</v>
      </c>
      <c r="H860" s="2" t="s">
        <v>659</v>
      </c>
      <c r="I860" s="2" t="s">
        <v>660</v>
      </c>
      <c r="J860" s="2" t="s">
        <v>1465</v>
      </c>
      <c r="K860" s="2" t="s">
        <v>77</v>
      </c>
      <c r="L860" s="2" t="s">
        <v>234</v>
      </c>
      <c r="M860" s="2" t="s">
        <v>235</v>
      </c>
      <c r="N860" s="2" t="s">
        <v>76</v>
      </c>
      <c r="O860" s="2" t="s">
        <v>115</v>
      </c>
      <c r="P860" s="2" t="str">
        <f>"2170552177                    "</f>
        <v xml:space="preserve">2170552177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4.29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1</v>
      </c>
      <c r="BJ860" s="2">
        <v>0.2</v>
      </c>
      <c r="BK860" s="2">
        <v>1</v>
      </c>
      <c r="BL860" s="2">
        <v>41.73</v>
      </c>
      <c r="BM860" s="2">
        <v>5.84</v>
      </c>
      <c r="BN860" s="2">
        <v>47.57</v>
      </c>
      <c r="BO860" s="2">
        <v>47.57</v>
      </c>
      <c r="BP860" s="2"/>
      <c r="BQ860" s="2" t="s">
        <v>123</v>
      </c>
      <c r="BR860" s="2" t="s">
        <v>1466</v>
      </c>
      <c r="BS860" s="3">
        <v>42835</v>
      </c>
      <c r="BT860" s="4">
        <v>0.39166666666666666</v>
      </c>
      <c r="BU860" s="2" t="s">
        <v>1474</v>
      </c>
      <c r="BV860" s="2" t="s">
        <v>86</v>
      </c>
      <c r="BW860" s="2" t="s">
        <v>164</v>
      </c>
      <c r="BX860" s="2" t="s">
        <v>309</v>
      </c>
      <c r="BY860" s="2">
        <v>1200</v>
      </c>
      <c r="BZ860" s="2" t="s">
        <v>27</v>
      </c>
      <c r="CA860" s="2" t="s">
        <v>159</v>
      </c>
      <c r="CB860" s="2"/>
      <c r="CC860" s="2" t="s">
        <v>235</v>
      </c>
      <c r="CD860" s="2">
        <v>6242</v>
      </c>
      <c r="CE860" s="2" t="s">
        <v>144</v>
      </c>
      <c r="CF860" s="5">
        <v>42833</v>
      </c>
      <c r="CG860" s="2"/>
      <c r="CH860" s="2"/>
      <c r="CI860" s="2">
        <v>1</v>
      </c>
      <c r="CJ860" s="2">
        <v>2</v>
      </c>
      <c r="CK860" s="2">
        <v>21</v>
      </c>
      <c r="CL860" s="2" t="s">
        <v>86</v>
      </c>
      <c r="CM860" s="2"/>
    </row>
    <row r="861" spans="1:91">
      <c r="A861" s="2" t="s">
        <v>71</v>
      </c>
      <c r="B861" s="2" t="s">
        <v>72</v>
      </c>
      <c r="C861" s="2" t="s">
        <v>73</v>
      </c>
      <c r="D861" s="2"/>
      <c r="E861" s="2" t="str">
        <f>"FES1162541219"</f>
        <v>FES1162541219</v>
      </c>
      <c r="F861" s="3">
        <v>42829</v>
      </c>
      <c r="G861" s="2">
        <v>201710</v>
      </c>
      <c r="H861" s="2" t="s">
        <v>74</v>
      </c>
      <c r="I861" s="2" t="s">
        <v>75</v>
      </c>
      <c r="J861" s="2" t="s">
        <v>76</v>
      </c>
      <c r="K861" s="2" t="s">
        <v>77</v>
      </c>
      <c r="L861" s="2" t="s">
        <v>74</v>
      </c>
      <c r="M861" s="2" t="s">
        <v>75</v>
      </c>
      <c r="N861" s="2" t="s">
        <v>1475</v>
      </c>
      <c r="O861" s="2" t="s">
        <v>115</v>
      </c>
      <c r="P861" s="2" t="str">
        <f>"2170557854                    "</f>
        <v xml:space="preserve">2170557854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3.45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1</v>
      </c>
      <c r="BJ861" s="2">
        <v>0.2</v>
      </c>
      <c r="BK861" s="2">
        <v>1</v>
      </c>
      <c r="BL861" s="2">
        <v>32.700000000000003</v>
      </c>
      <c r="BM861" s="2">
        <v>4.58</v>
      </c>
      <c r="BN861" s="2">
        <v>37.28</v>
      </c>
      <c r="BO861" s="2">
        <v>37.28</v>
      </c>
      <c r="BP861" s="2"/>
      <c r="BQ861" s="2" t="s">
        <v>1476</v>
      </c>
      <c r="BR861" s="2" t="s">
        <v>123</v>
      </c>
      <c r="BS861" s="3">
        <v>42830</v>
      </c>
      <c r="BT861" s="4">
        <v>0.41666666666666669</v>
      </c>
      <c r="BU861" s="2" t="s">
        <v>175</v>
      </c>
      <c r="BV861" s="2" t="s">
        <v>111</v>
      </c>
      <c r="BW861" s="2"/>
      <c r="BX861" s="2"/>
      <c r="BY861" s="2">
        <v>1200</v>
      </c>
      <c r="BZ861" s="2" t="s">
        <v>27</v>
      </c>
      <c r="CA861" s="2"/>
      <c r="CB861" s="2"/>
      <c r="CC861" s="2" t="s">
        <v>75</v>
      </c>
      <c r="CD861" s="2">
        <v>1665</v>
      </c>
      <c r="CE861" s="2" t="s">
        <v>118</v>
      </c>
      <c r="CF861" s="5">
        <v>42832</v>
      </c>
      <c r="CG861" s="2"/>
      <c r="CH861" s="2"/>
      <c r="CI861" s="2">
        <v>1</v>
      </c>
      <c r="CJ861" s="2">
        <v>1</v>
      </c>
      <c r="CK861" s="2">
        <v>22</v>
      </c>
      <c r="CL861" s="2" t="s">
        <v>86</v>
      </c>
      <c r="CM861" s="2"/>
    </row>
    <row r="862" spans="1:91">
      <c r="A862" s="2" t="s">
        <v>71</v>
      </c>
      <c r="B862" s="2" t="s">
        <v>72</v>
      </c>
      <c r="C862" s="2" t="s">
        <v>73</v>
      </c>
      <c r="D862" s="2"/>
      <c r="E862" s="2" t="str">
        <f>"FES1162543447"</f>
        <v>FES1162543447</v>
      </c>
      <c r="F862" s="3">
        <v>42837</v>
      </c>
      <c r="G862" s="2">
        <v>201710</v>
      </c>
      <c r="H862" s="2" t="s">
        <v>74</v>
      </c>
      <c r="I862" s="2" t="s">
        <v>75</v>
      </c>
      <c r="J862" s="2" t="s">
        <v>76</v>
      </c>
      <c r="K862" s="2" t="s">
        <v>77</v>
      </c>
      <c r="L862" s="2" t="s">
        <v>549</v>
      </c>
      <c r="M862" s="2" t="s">
        <v>550</v>
      </c>
      <c r="N862" s="2" t="s">
        <v>1477</v>
      </c>
      <c r="O862" s="2" t="s">
        <v>115</v>
      </c>
      <c r="P862" s="2" t="str">
        <f>"2170561010                    "</f>
        <v xml:space="preserve">2170561010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4.29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1</v>
      </c>
      <c r="BI862" s="2">
        <v>1</v>
      </c>
      <c r="BJ862" s="2">
        <v>0.2</v>
      </c>
      <c r="BK862" s="2">
        <v>1</v>
      </c>
      <c r="BL862" s="2">
        <v>41.73</v>
      </c>
      <c r="BM862" s="2">
        <v>5.84</v>
      </c>
      <c r="BN862" s="2">
        <v>47.57</v>
      </c>
      <c r="BO862" s="2">
        <v>47.57</v>
      </c>
      <c r="BP862" s="2"/>
      <c r="BQ862" s="2"/>
      <c r="BR862" s="2" t="s">
        <v>84</v>
      </c>
      <c r="BS862" s="3">
        <v>42838</v>
      </c>
      <c r="BT862" s="4">
        <v>0.41666666666666669</v>
      </c>
      <c r="BU862" s="2" t="s">
        <v>1478</v>
      </c>
      <c r="BV862" s="2" t="s">
        <v>111</v>
      </c>
      <c r="BW862" s="2"/>
      <c r="BX862" s="2"/>
      <c r="BY862" s="2">
        <v>1200</v>
      </c>
      <c r="BZ862" s="2"/>
      <c r="CA862" s="2"/>
      <c r="CB862" s="2"/>
      <c r="CC862" s="2" t="s">
        <v>550</v>
      </c>
      <c r="CD862" s="2">
        <v>3699</v>
      </c>
      <c r="CE862" s="2" t="s">
        <v>118</v>
      </c>
      <c r="CF862" s="5">
        <v>42843</v>
      </c>
      <c r="CG862" s="2"/>
      <c r="CH862" s="2"/>
      <c r="CI862" s="2">
        <v>1</v>
      </c>
      <c r="CJ862" s="2">
        <v>1</v>
      </c>
      <c r="CK862" s="2">
        <v>21</v>
      </c>
      <c r="CL862" s="2" t="s">
        <v>86</v>
      </c>
      <c r="CM862" s="2"/>
    </row>
    <row r="863" spans="1:91">
      <c r="A863" s="2" t="s">
        <v>71</v>
      </c>
      <c r="B863" s="2" t="s">
        <v>72</v>
      </c>
      <c r="C863" s="2" t="s">
        <v>73</v>
      </c>
      <c r="D863" s="2"/>
      <c r="E863" s="2" t="str">
        <f>"019910718664"</f>
        <v>019910718664</v>
      </c>
      <c r="F863" s="3">
        <v>42831</v>
      </c>
      <c r="G863" s="2">
        <v>201710</v>
      </c>
      <c r="H863" s="2" t="s">
        <v>176</v>
      </c>
      <c r="I863" s="2" t="s">
        <v>176</v>
      </c>
      <c r="J863" s="2" t="s">
        <v>1479</v>
      </c>
      <c r="K863" s="2" t="s">
        <v>77</v>
      </c>
      <c r="L863" s="2" t="s">
        <v>74</v>
      </c>
      <c r="M863" s="2" t="s">
        <v>75</v>
      </c>
      <c r="N863" s="2" t="s">
        <v>200</v>
      </c>
      <c r="O863" s="2" t="s">
        <v>115</v>
      </c>
      <c r="P863" s="2" t="str">
        <f>"                              "</f>
        <v xml:space="preserve">          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6.43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0.9</v>
      </c>
      <c r="BJ863" s="2">
        <v>3</v>
      </c>
      <c r="BK863" s="2">
        <v>3</v>
      </c>
      <c r="BL863" s="2">
        <v>62.59</v>
      </c>
      <c r="BM863" s="2">
        <v>8.76</v>
      </c>
      <c r="BN863" s="2">
        <v>71.349999999999994</v>
      </c>
      <c r="BO863" s="2">
        <v>71.349999999999994</v>
      </c>
      <c r="BP863" s="2"/>
      <c r="BQ863" s="2" t="s">
        <v>243</v>
      </c>
      <c r="BR863" s="2" t="s">
        <v>1480</v>
      </c>
      <c r="BS863" s="3">
        <v>42832</v>
      </c>
      <c r="BT863" s="4">
        <v>0.37847222222222227</v>
      </c>
      <c r="BU863" s="2" t="s">
        <v>134</v>
      </c>
      <c r="BV863" s="2" t="s">
        <v>111</v>
      </c>
      <c r="BW863" s="2"/>
      <c r="BX863" s="2"/>
      <c r="BY863" s="2">
        <v>15071.58</v>
      </c>
      <c r="BZ863" s="2" t="s">
        <v>27</v>
      </c>
      <c r="CA863" s="2"/>
      <c r="CB863" s="2"/>
      <c r="CC863" s="2" t="s">
        <v>75</v>
      </c>
      <c r="CD863" s="2">
        <v>1600</v>
      </c>
      <c r="CE863" s="2" t="s">
        <v>172</v>
      </c>
      <c r="CF863" s="5">
        <v>42835</v>
      </c>
      <c r="CG863" s="2"/>
      <c r="CH863" s="2"/>
      <c r="CI863" s="2">
        <v>1</v>
      </c>
      <c r="CJ863" s="2">
        <v>1</v>
      </c>
      <c r="CK863" s="2">
        <v>21</v>
      </c>
      <c r="CL863" s="2" t="s">
        <v>86</v>
      </c>
      <c r="CM863" s="2"/>
    </row>
    <row r="864" spans="1:91">
      <c r="A864" s="2" t="s">
        <v>71</v>
      </c>
      <c r="B864" s="2" t="s">
        <v>72</v>
      </c>
      <c r="C864" s="2" t="s">
        <v>73</v>
      </c>
      <c r="D864" s="2"/>
      <c r="E864" s="2" t="str">
        <f>"FES1162541544"</f>
        <v>FES1162541544</v>
      </c>
      <c r="F864" s="3">
        <v>42830</v>
      </c>
      <c r="G864" s="2">
        <v>201710</v>
      </c>
      <c r="H864" s="2" t="s">
        <v>74</v>
      </c>
      <c r="I864" s="2" t="s">
        <v>75</v>
      </c>
      <c r="J864" s="2" t="s">
        <v>76</v>
      </c>
      <c r="K864" s="2" t="s">
        <v>77</v>
      </c>
      <c r="L864" s="2" t="s">
        <v>131</v>
      </c>
      <c r="M864" s="2" t="s">
        <v>132</v>
      </c>
      <c r="N864" s="2" t="s">
        <v>1081</v>
      </c>
      <c r="O864" s="2" t="s">
        <v>115</v>
      </c>
      <c r="P864" s="2" t="str">
        <f>"2170560614                    "</f>
        <v xml:space="preserve">2170560614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4.29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1</v>
      </c>
      <c r="BJ864" s="2">
        <v>1.4</v>
      </c>
      <c r="BK864" s="2">
        <v>1.5</v>
      </c>
      <c r="BL864" s="2">
        <v>41.73</v>
      </c>
      <c r="BM864" s="2">
        <v>5.84</v>
      </c>
      <c r="BN864" s="2">
        <v>47.57</v>
      </c>
      <c r="BO864" s="2">
        <v>47.57</v>
      </c>
      <c r="BP864" s="2"/>
      <c r="BQ864" s="2" t="s">
        <v>1082</v>
      </c>
      <c r="BR864" s="2" t="s">
        <v>123</v>
      </c>
      <c r="BS864" s="3">
        <v>42831</v>
      </c>
      <c r="BT864" s="4">
        <v>0.41666666666666669</v>
      </c>
      <c r="BU864" s="2" t="s">
        <v>1481</v>
      </c>
      <c r="BV864" s="2" t="s">
        <v>111</v>
      </c>
      <c r="BW864" s="2"/>
      <c r="BX864" s="2"/>
      <c r="BY864" s="2">
        <v>7151.22</v>
      </c>
      <c r="BZ864" s="2" t="s">
        <v>27</v>
      </c>
      <c r="CA864" s="2"/>
      <c r="CB864" s="2"/>
      <c r="CC864" s="2" t="s">
        <v>132</v>
      </c>
      <c r="CD864" s="2">
        <v>7460</v>
      </c>
      <c r="CE864" s="2" t="s">
        <v>144</v>
      </c>
      <c r="CF864" s="5">
        <v>42832</v>
      </c>
      <c r="CG864" s="2"/>
      <c r="CH864" s="2"/>
      <c r="CI864" s="2">
        <v>1</v>
      </c>
      <c r="CJ864" s="2">
        <v>1</v>
      </c>
      <c r="CK864" s="2">
        <v>21</v>
      </c>
      <c r="CL864" s="2" t="s">
        <v>86</v>
      </c>
      <c r="CM864" s="2"/>
    </row>
    <row r="865" spans="1:91">
      <c r="A865" s="2" t="s">
        <v>71</v>
      </c>
      <c r="B865" s="2" t="s">
        <v>72</v>
      </c>
      <c r="C865" s="2" t="s">
        <v>73</v>
      </c>
      <c r="D865" s="2"/>
      <c r="E865" s="2" t="str">
        <f>"FES1162542248"</f>
        <v>FES1162542248</v>
      </c>
      <c r="F865" s="3">
        <v>42831</v>
      </c>
      <c r="G865" s="2">
        <v>201710</v>
      </c>
      <c r="H865" s="2" t="s">
        <v>74</v>
      </c>
      <c r="I865" s="2" t="s">
        <v>75</v>
      </c>
      <c r="J865" s="2" t="s">
        <v>76</v>
      </c>
      <c r="K865" s="2" t="s">
        <v>77</v>
      </c>
      <c r="L865" s="2" t="s">
        <v>180</v>
      </c>
      <c r="M865" s="2" t="s">
        <v>181</v>
      </c>
      <c r="N865" s="2" t="s">
        <v>185</v>
      </c>
      <c r="O865" s="2" t="s">
        <v>115</v>
      </c>
      <c r="P865" s="2" t="str">
        <f>"2170561152                    "</f>
        <v xml:space="preserve">2170561152  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4.29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1.3</v>
      </c>
      <c r="BJ865" s="2">
        <v>0.2</v>
      </c>
      <c r="BK865" s="2">
        <v>1.5</v>
      </c>
      <c r="BL865" s="2">
        <v>41.73</v>
      </c>
      <c r="BM865" s="2">
        <v>5.84</v>
      </c>
      <c r="BN865" s="2">
        <v>47.57</v>
      </c>
      <c r="BO865" s="2">
        <v>47.57</v>
      </c>
      <c r="BP865" s="2"/>
      <c r="BQ865" s="2" t="s">
        <v>129</v>
      </c>
      <c r="BR865" s="2" t="s">
        <v>123</v>
      </c>
      <c r="BS865" s="3">
        <v>42832</v>
      </c>
      <c r="BT865" s="4">
        <v>0.4375</v>
      </c>
      <c r="BU865" s="2" t="s">
        <v>186</v>
      </c>
      <c r="BV865" s="2" t="s">
        <v>111</v>
      </c>
      <c r="BW865" s="2"/>
      <c r="BX865" s="2"/>
      <c r="BY865" s="2">
        <v>1200</v>
      </c>
      <c r="BZ865" s="2" t="s">
        <v>27</v>
      </c>
      <c r="CA865" s="2" t="s">
        <v>159</v>
      </c>
      <c r="CB865" s="2"/>
      <c r="CC865" s="2" t="s">
        <v>181</v>
      </c>
      <c r="CD865" s="2">
        <v>4052</v>
      </c>
      <c r="CE865" s="2" t="s">
        <v>118</v>
      </c>
      <c r="CF865" s="5">
        <v>42835</v>
      </c>
      <c r="CG865" s="2"/>
      <c r="CH865" s="2"/>
      <c r="CI865" s="2">
        <v>1</v>
      </c>
      <c r="CJ865" s="2">
        <v>1</v>
      </c>
      <c r="CK865" s="2">
        <v>21</v>
      </c>
      <c r="CL865" s="2" t="s">
        <v>86</v>
      </c>
      <c r="CM865" s="2"/>
    </row>
    <row r="866" spans="1:91">
      <c r="A866" s="2" t="s">
        <v>71</v>
      </c>
      <c r="B866" s="2" t="s">
        <v>72</v>
      </c>
      <c r="C866" s="2" t="s">
        <v>73</v>
      </c>
      <c r="D866" s="2"/>
      <c r="E866" s="2" t="str">
        <f>"FES1162541307"</f>
        <v>FES1162541307</v>
      </c>
      <c r="F866" s="3">
        <v>42829</v>
      </c>
      <c r="G866" s="2">
        <v>201710</v>
      </c>
      <c r="H866" s="2" t="s">
        <v>74</v>
      </c>
      <c r="I866" s="2" t="s">
        <v>75</v>
      </c>
      <c r="J866" s="2" t="s">
        <v>76</v>
      </c>
      <c r="K866" s="2" t="s">
        <v>77</v>
      </c>
      <c r="L866" s="2" t="s">
        <v>139</v>
      </c>
      <c r="M866" s="2" t="s">
        <v>140</v>
      </c>
      <c r="N866" s="2" t="s">
        <v>141</v>
      </c>
      <c r="O866" s="2" t="s">
        <v>115</v>
      </c>
      <c r="P866" s="2" t="str">
        <f>"2170560374                    "</f>
        <v xml:space="preserve">2170560374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4.42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1</v>
      </c>
      <c r="BJ866" s="2">
        <v>0.2</v>
      </c>
      <c r="BK866" s="2">
        <v>1</v>
      </c>
      <c r="BL866" s="2">
        <v>41.86</v>
      </c>
      <c r="BM866" s="2">
        <v>5.86</v>
      </c>
      <c r="BN866" s="2">
        <v>47.72</v>
      </c>
      <c r="BO866" s="2">
        <v>47.72</v>
      </c>
      <c r="BP866" s="2"/>
      <c r="BQ866" s="2" t="s">
        <v>142</v>
      </c>
      <c r="BR866" s="2" t="s">
        <v>123</v>
      </c>
      <c r="BS866" s="3">
        <v>42830</v>
      </c>
      <c r="BT866" s="4">
        <v>0.40833333333333338</v>
      </c>
      <c r="BU866" s="2" t="s">
        <v>604</v>
      </c>
      <c r="BV866" s="2" t="s">
        <v>111</v>
      </c>
      <c r="BW866" s="2"/>
      <c r="BX866" s="2"/>
      <c r="BY866" s="2">
        <v>1200</v>
      </c>
      <c r="BZ866" s="2" t="s">
        <v>27</v>
      </c>
      <c r="CA866" s="2"/>
      <c r="CB866" s="2"/>
      <c r="CC866" s="2" t="s">
        <v>140</v>
      </c>
      <c r="CD866" s="2">
        <v>157</v>
      </c>
      <c r="CE866" s="2" t="s">
        <v>144</v>
      </c>
      <c r="CF866" s="5">
        <v>42832</v>
      </c>
      <c r="CG866" s="2"/>
      <c r="CH866" s="2"/>
      <c r="CI866" s="2">
        <v>0</v>
      </c>
      <c r="CJ866" s="2">
        <v>0</v>
      </c>
      <c r="CK866" s="2">
        <v>21</v>
      </c>
      <c r="CL866" s="2" t="s">
        <v>86</v>
      </c>
      <c r="CM866" s="2"/>
    </row>
    <row r="867" spans="1:91">
      <c r="A867" s="2" t="s">
        <v>71</v>
      </c>
      <c r="B867" s="2" t="s">
        <v>72</v>
      </c>
      <c r="C867" s="2" t="s">
        <v>73</v>
      </c>
      <c r="D867" s="2"/>
      <c r="E867" s="2" t="str">
        <f>"FES1162543108"</f>
        <v>FES1162543108</v>
      </c>
      <c r="F867" s="3">
        <v>42836</v>
      </c>
      <c r="G867" s="2">
        <v>201710</v>
      </c>
      <c r="H867" s="2" t="s">
        <v>74</v>
      </c>
      <c r="I867" s="2" t="s">
        <v>75</v>
      </c>
      <c r="J867" s="2" t="s">
        <v>76</v>
      </c>
      <c r="K867" s="2" t="s">
        <v>77</v>
      </c>
      <c r="L867" s="2" t="s">
        <v>166</v>
      </c>
      <c r="M867" s="2" t="s">
        <v>167</v>
      </c>
      <c r="N867" s="2" t="s">
        <v>168</v>
      </c>
      <c r="O867" s="2" t="s">
        <v>115</v>
      </c>
      <c r="P867" s="2" t="str">
        <f>"2170561487                    "</f>
        <v xml:space="preserve">2170561487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3.35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1</v>
      </c>
      <c r="BJ867" s="2">
        <v>0.2</v>
      </c>
      <c r="BK867" s="2">
        <v>1</v>
      </c>
      <c r="BL867" s="2">
        <v>32.6</v>
      </c>
      <c r="BM867" s="2">
        <v>4.5599999999999996</v>
      </c>
      <c r="BN867" s="2">
        <v>37.159999999999997</v>
      </c>
      <c r="BO867" s="2">
        <v>37.159999999999997</v>
      </c>
      <c r="BP867" s="2"/>
      <c r="BQ867" s="2" t="s">
        <v>169</v>
      </c>
      <c r="BR867" s="2" t="s">
        <v>84</v>
      </c>
      <c r="BS867" s="3">
        <v>42837</v>
      </c>
      <c r="BT867" s="4">
        <v>0.3888888888888889</v>
      </c>
      <c r="BU867" s="2" t="s">
        <v>170</v>
      </c>
      <c r="BV867" s="2" t="s">
        <v>111</v>
      </c>
      <c r="BW867" s="2"/>
      <c r="BX867" s="2"/>
      <c r="BY867" s="2">
        <v>1200</v>
      </c>
      <c r="BZ867" s="2" t="s">
        <v>27</v>
      </c>
      <c r="CA867" s="2" t="s">
        <v>171</v>
      </c>
      <c r="CB867" s="2"/>
      <c r="CC867" s="2" t="s">
        <v>167</v>
      </c>
      <c r="CD867" s="2">
        <v>2094</v>
      </c>
      <c r="CE867" s="2" t="s">
        <v>118</v>
      </c>
      <c r="CF867" s="5">
        <v>42837</v>
      </c>
      <c r="CG867" s="2"/>
      <c r="CH867" s="2"/>
      <c r="CI867" s="2">
        <v>1</v>
      </c>
      <c r="CJ867" s="2">
        <v>1</v>
      </c>
      <c r="CK867" s="2">
        <v>22</v>
      </c>
      <c r="CL867" s="2" t="s">
        <v>86</v>
      </c>
      <c r="CM867" s="2"/>
    </row>
    <row r="868" spans="1:91">
      <c r="A868" s="2" t="s">
        <v>71</v>
      </c>
      <c r="B868" s="2" t="s">
        <v>72</v>
      </c>
      <c r="C868" s="2" t="s">
        <v>73</v>
      </c>
      <c r="D868" s="2"/>
      <c r="E868" s="2" t="str">
        <f>"FES1162541450"</f>
        <v>FES1162541450</v>
      </c>
      <c r="F868" s="3">
        <v>42831</v>
      </c>
      <c r="G868" s="2">
        <v>201710</v>
      </c>
      <c r="H868" s="2" t="s">
        <v>74</v>
      </c>
      <c r="I868" s="2" t="s">
        <v>75</v>
      </c>
      <c r="J868" s="2" t="s">
        <v>76</v>
      </c>
      <c r="K868" s="2" t="s">
        <v>77</v>
      </c>
      <c r="L868" s="2" t="s">
        <v>131</v>
      </c>
      <c r="M868" s="2" t="s">
        <v>132</v>
      </c>
      <c r="N868" s="2" t="s">
        <v>564</v>
      </c>
      <c r="O868" s="2" t="s">
        <v>115</v>
      </c>
      <c r="P868" s="2" t="str">
        <f>"2170560528                    "</f>
        <v xml:space="preserve">2170560528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4.29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1</v>
      </c>
      <c r="BJ868" s="2">
        <v>0.2</v>
      </c>
      <c r="BK868" s="2">
        <v>1</v>
      </c>
      <c r="BL868" s="2">
        <v>41.73</v>
      </c>
      <c r="BM868" s="2">
        <v>5.84</v>
      </c>
      <c r="BN868" s="2">
        <v>47.57</v>
      </c>
      <c r="BO868" s="2">
        <v>47.57</v>
      </c>
      <c r="BP868" s="2"/>
      <c r="BQ868" s="2" t="s">
        <v>565</v>
      </c>
      <c r="BR868" s="2" t="s">
        <v>123</v>
      </c>
      <c r="BS868" s="3">
        <v>42832</v>
      </c>
      <c r="BT868" s="4">
        <v>0.36458333333333331</v>
      </c>
      <c r="BU868" s="2" t="s">
        <v>1482</v>
      </c>
      <c r="BV868" s="2" t="s">
        <v>111</v>
      </c>
      <c r="BW868" s="2"/>
      <c r="BX868" s="2"/>
      <c r="BY868" s="2">
        <v>1200</v>
      </c>
      <c r="BZ868" s="2" t="s">
        <v>27</v>
      </c>
      <c r="CA868" s="2"/>
      <c r="CB868" s="2"/>
      <c r="CC868" s="2" t="s">
        <v>132</v>
      </c>
      <c r="CD868" s="2">
        <v>7500</v>
      </c>
      <c r="CE868" s="2" t="s">
        <v>118</v>
      </c>
      <c r="CF868" s="5">
        <v>42835</v>
      </c>
      <c r="CG868" s="2"/>
      <c r="CH868" s="2"/>
      <c r="CI868" s="2">
        <v>1</v>
      </c>
      <c r="CJ868" s="2">
        <v>1</v>
      </c>
      <c r="CK868" s="2">
        <v>21</v>
      </c>
      <c r="CL868" s="2" t="s">
        <v>86</v>
      </c>
      <c r="CM868" s="2"/>
    </row>
    <row r="869" spans="1:91">
      <c r="A869" s="2" t="s">
        <v>71</v>
      </c>
      <c r="B869" s="2" t="s">
        <v>72</v>
      </c>
      <c r="C869" s="2" t="s">
        <v>73</v>
      </c>
      <c r="D869" s="2"/>
      <c r="E869" s="2" t="str">
        <f>"FES1162541545"</f>
        <v>FES1162541545</v>
      </c>
      <c r="F869" s="3">
        <v>42830</v>
      </c>
      <c r="G869" s="2">
        <v>201710</v>
      </c>
      <c r="H869" s="2" t="s">
        <v>74</v>
      </c>
      <c r="I869" s="2" t="s">
        <v>75</v>
      </c>
      <c r="J869" s="2" t="s">
        <v>76</v>
      </c>
      <c r="K869" s="2" t="s">
        <v>77</v>
      </c>
      <c r="L869" s="2" t="s">
        <v>131</v>
      </c>
      <c r="M869" s="2" t="s">
        <v>132</v>
      </c>
      <c r="N869" s="2" t="s">
        <v>1081</v>
      </c>
      <c r="O869" s="2" t="s">
        <v>115</v>
      </c>
      <c r="P869" s="2" t="str">
        <f>"2170560616                    "</f>
        <v xml:space="preserve">2170560616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4.29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1</v>
      </c>
      <c r="BJ869" s="2">
        <v>0.2</v>
      </c>
      <c r="BK869" s="2">
        <v>1</v>
      </c>
      <c r="BL869" s="2">
        <v>41.73</v>
      </c>
      <c r="BM869" s="2">
        <v>5.84</v>
      </c>
      <c r="BN869" s="2">
        <v>47.57</v>
      </c>
      <c r="BO869" s="2">
        <v>47.57</v>
      </c>
      <c r="BP869" s="2"/>
      <c r="BQ869" s="2" t="s">
        <v>1082</v>
      </c>
      <c r="BR869" s="2" t="s">
        <v>123</v>
      </c>
      <c r="BS869" s="3">
        <v>42831</v>
      </c>
      <c r="BT869" s="4">
        <v>0.41666666666666669</v>
      </c>
      <c r="BU869" s="2" t="s">
        <v>1483</v>
      </c>
      <c r="BV869" s="2" t="s">
        <v>111</v>
      </c>
      <c r="BW869" s="2"/>
      <c r="BX869" s="2"/>
      <c r="BY869" s="2">
        <v>1200</v>
      </c>
      <c r="BZ869" s="2" t="s">
        <v>27</v>
      </c>
      <c r="CA869" s="2"/>
      <c r="CB869" s="2"/>
      <c r="CC869" s="2" t="s">
        <v>132</v>
      </c>
      <c r="CD869" s="2">
        <v>7460</v>
      </c>
      <c r="CE869" s="2" t="s">
        <v>144</v>
      </c>
      <c r="CF869" s="5">
        <v>42832</v>
      </c>
      <c r="CG869" s="2"/>
      <c r="CH869" s="2"/>
      <c r="CI869" s="2">
        <v>1</v>
      </c>
      <c r="CJ869" s="2">
        <v>1</v>
      </c>
      <c r="CK869" s="2">
        <v>21</v>
      </c>
      <c r="CL869" s="2" t="s">
        <v>86</v>
      </c>
      <c r="CM869" s="2"/>
    </row>
    <row r="870" spans="1:91">
      <c r="A870" s="2" t="s">
        <v>71</v>
      </c>
      <c r="B870" s="2" t="s">
        <v>72</v>
      </c>
      <c r="C870" s="2" t="s">
        <v>73</v>
      </c>
      <c r="D870" s="2"/>
      <c r="E870" s="2" t="str">
        <f>"FES1162542962"</f>
        <v>FES1162542962</v>
      </c>
      <c r="F870" s="3">
        <v>42836</v>
      </c>
      <c r="G870" s="2">
        <v>201710</v>
      </c>
      <c r="H870" s="2" t="s">
        <v>74</v>
      </c>
      <c r="I870" s="2" t="s">
        <v>75</v>
      </c>
      <c r="J870" s="2" t="s">
        <v>76</v>
      </c>
      <c r="K870" s="2" t="s">
        <v>77</v>
      </c>
      <c r="L870" s="2" t="s">
        <v>166</v>
      </c>
      <c r="M870" s="2" t="s">
        <v>167</v>
      </c>
      <c r="N870" s="2" t="s">
        <v>892</v>
      </c>
      <c r="O870" s="2" t="s">
        <v>115</v>
      </c>
      <c r="P870" s="2" t="str">
        <f>"2170561751                    "</f>
        <v xml:space="preserve">2170561751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3.35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2.2999999999999998</v>
      </c>
      <c r="BJ870" s="2">
        <v>0.7</v>
      </c>
      <c r="BK870" s="2">
        <v>3</v>
      </c>
      <c r="BL870" s="2">
        <v>32.6</v>
      </c>
      <c r="BM870" s="2">
        <v>4.5599999999999996</v>
      </c>
      <c r="BN870" s="2">
        <v>37.159999999999997</v>
      </c>
      <c r="BO870" s="2">
        <v>37.159999999999997</v>
      </c>
      <c r="BP870" s="2"/>
      <c r="BQ870" s="2" t="s">
        <v>893</v>
      </c>
      <c r="BR870" s="2" t="s">
        <v>123</v>
      </c>
      <c r="BS870" s="3">
        <v>42837</v>
      </c>
      <c r="BT870" s="4">
        <v>0.3576388888888889</v>
      </c>
      <c r="BU870" s="2" t="s">
        <v>290</v>
      </c>
      <c r="BV870" s="2" t="s">
        <v>111</v>
      </c>
      <c r="BW870" s="2"/>
      <c r="BX870" s="2"/>
      <c r="BY870" s="2">
        <v>3330</v>
      </c>
      <c r="BZ870" s="2" t="s">
        <v>27</v>
      </c>
      <c r="CA870" s="2"/>
      <c r="CB870" s="2"/>
      <c r="CC870" s="2" t="s">
        <v>167</v>
      </c>
      <c r="CD870" s="2">
        <v>2013</v>
      </c>
      <c r="CE870" s="2" t="s">
        <v>118</v>
      </c>
      <c r="CF870" s="5">
        <v>42838</v>
      </c>
      <c r="CG870" s="2"/>
      <c r="CH870" s="2"/>
      <c r="CI870" s="2">
        <v>1</v>
      </c>
      <c r="CJ870" s="2">
        <v>1</v>
      </c>
      <c r="CK870" s="2">
        <v>22</v>
      </c>
      <c r="CL870" s="2" t="s">
        <v>86</v>
      </c>
      <c r="CM870" s="2"/>
    </row>
    <row r="871" spans="1:91">
      <c r="A871" s="2" t="s">
        <v>71</v>
      </c>
      <c r="B871" s="2" t="s">
        <v>72</v>
      </c>
      <c r="C871" s="2" t="s">
        <v>73</v>
      </c>
      <c r="D871" s="2"/>
      <c r="E871" s="2" t="str">
        <f>"FES1162542923"</f>
        <v>FES1162542923</v>
      </c>
      <c r="F871" s="3">
        <v>42836</v>
      </c>
      <c r="G871" s="2">
        <v>201710</v>
      </c>
      <c r="H871" s="2" t="s">
        <v>74</v>
      </c>
      <c r="I871" s="2" t="s">
        <v>75</v>
      </c>
      <c r="J871" s="2" t="s">
        <v>76</v>
      </c>
      <c r="K871" s="2" t="s">
        <v>77</v>
      </c>
      <c r="L871" s="2" t="s">
        <v>91</v>
      </c>
      <c r="M871" s="2" t="s">
        <v>92</v>
      </c>
      <c r="N871" s="2" t="s">
        <v>1459</v>
      </c>
      <c r="O871" s="2" t="s">
        <v>115</v>
      </c>
      <c r="P871" s="2" t="str">
        <f>"2170559378                    "</f>
        <v xml:space="preserve">2170559378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3.35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1</v>
      </c>
      <c r="BJ871" s="2">
        <v>0.2</v>
      </c>
      <c r="BK871" s="2">
        <v>1</v>
      </c>
      <c r="BL871" s="2">
        <v>32.6</v>
      </c>
      <c r="BM871" s="2">
        <v>4.5599999999999996</v>
      </c>
      <c r="BN871" s="2">
        <v>37.159999999999997</v>
      </c>
      <c r="BO871" s="2">
        <v>37.159999999999997</v>
      </c>
      <c r="BP871" s="2"/>
      <c r="BQ871" s="2" t="s">
        <v>1460</v>
      </c>
      <c r="BR871" s="2" t="s">
        <v>123</v>
      </c>
      <c r="BS871" s="3">
        <v>42837</v>
      </c>
      <c r="BT871" s="4">
        <v>0.38055555555555554</v>
      </c>
      <c r="BU871" s="2" t="s">
        <v>1484</v>
      </c>
      <c r="BV871" s="2" t="s">
        <v>111</v>
      </c>
      <c r="BW871" s="2"/>
      <c r="BX871" s="2"/>
      <c r="BY871" s="2">
        <v>1200</v>
      </c>
      <c r="BZ871" s="2" t="s">
        <v>27</v>
      </c>
      <c r="CA871" s="2" t="s">
        <v>159</v>
      </c>
      <c r="CB871" s="2"/>
      <c r="CC871" s="2" t="s">
        <v>92</v>
      </c>
      <c r="CD871" s="2">
        <v>1401</v>
      </c>
      <c r="CE871" s="2" t="s">
        <v>118</v>
      </c>
      <c r="CF871" s="5">
        <v>42838</v>
      </c>
      <c r="CG871" s="2"/>
      <c r="CH871" s="2"/>
      <c r="CI871" s="2">
        <v>1</v>
      </c>
      <c r="CJ871" s="2">
        <v>1</v>
      </c>
      <c r="CK871" s="2">
        <v>22</v>
      </c>
      <c r="CL871" s="2" t="s">
        <v>86</v>
      </c>
      <c r="CM871" s="2"/>
    </row>
    <row r="872" spans="1:91">
      <c r="A872" s="2" t="s">
        <v>71</v>
      </c>
      <c r="B872" s="2" t="s">
        <v>72</v>
      </c>
      <c r="C872" s="2" t="s">
        <v>73</v>
      </c>
      <c r="D872" s="2"/>
      <c r="E872" s="2" t="str">
        <f>"FES1162542245"</f>
        <v>FES1162542245</v>
      </c>
      <c r="F872" s="3">
        <v>42831</v>
      </c>
      <c r="G872" s="2">
        <v>201710</v>
      </c>
      <c r="H872" s="2" t="s">
        <v>74</v>
      </c>
      <c r="I872" s="2" t="s">
        <v>75</v>
      </c>
      <c r="J872" s="2" t="s">
        <v>76</v>
      </c>
      <c r="K872" s="2" t="s">
        <v>77</v>
      </c>
      <c r="L872" s="2" t="s">
        <v>180</v>
      </c>
      <c r="M872" s="2" t="s">
        <v>181</v>
      </c>
      <c r="N872" s="2" t="s">
        <v>839</v>
      </c>
      <c r="O872" s="2" t="s">
        <v>115</v>
      </c>
      <c r="P872" s="2" t="str">
        <f>"2170561150                    "</f>
        <v xml:space="preserve">2170561150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9.65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2</v>
      </c>
      <c r="BJ872" s="2">
        <v>4.3</v>
      </c>
      <c r="BK872" s="2">
        <v>4.5</v>
      </c>
      <c r="BL872" s="2">
        <v>93.89</v>
      </c>
      <c r="BM872" s="2">
        <v>13.14</v>
      </c>
      <c r="BN872" s="2">
        <v>107.03</v>
      </c>
      <c r="BO872" s="2">
        <v>107.03</v>
      </c>
      <c r="BP872" s="2"/>
      <c r="BQ872" s="2" t="s">
        <v>840</v>
      </c>
      <c r="BR872" s="2" t="s">
        <v>123</v>
      </c>
      <c r="BS872" s="3">
        <v>42832</v>
      </c>
      <c r="BT872" s="4">
        <v>0.39930555555555558</v>
      </c>
      <c r="BU872" s="2" t="s">
        <v>266</v>
      </c>
      <c r="BV872" s="2" t="s">
        <v>111</v>
      </c>
      <c r="BW872" s="2"/>
      <c r="BX872" s="2"/>
      <c r="BY872" s="2">
        <v>21725.25</v>
      </c>
      <c r="BZ872" s="2" t="s">
        <v>27</v>
      </c>
      <c r="CA872" s="2"/>
      <c r="CB872" s="2"/>
      <c r="CC872" s="2" t="s">
        <v>181</v>
      </c>
      <c r="CD872" s="2">
        <v>4052</v>
      </c>
      <c r="CE872" s="2" t="s">
        <v>89</v>
      </c>
      <c r="CF872" s="5">
        <v>42835</v>
      </c>
      <c r="CG872" s="2"/>
      <c r="CH872" s="2"/>
      <c r="CI872" s="2">
        <v>1</v>
      </c>
      <c r="CJ872" s="2">
        <v>1</v>
      </c>
      <c r="CK872" s="2">
        <v>21</v>
      </c>
      <c r="CL872" s="2" t="s">
        <v>86</v>
      </c>
      <c r="CM872" s="2"/>
    </row>
    <row r="873" spans="1:91">
      <c r="A873" s="2" t="s">
        <v>71</v>
      </c>
      <c r="B873" s="2" t="s">
        <v>72</v>
      </c>
      <c r="C873" s="2" t="s">
        <v>73</v>
      </c>
      <c r="D873" s="2"/>
      <c r="E873" s="2" t="str">
        <f>"FES1162541565"</f>
        <v>FES1162541565</v>
      </c>
      <c r="F873" s="3">
        <v>42830</v>
      </c>
      <c r="G873" s="2">
        <v>201710</v>
      </c>
      <c r="H873" s="2" t="s">
        <v>74</v>
      </c>
      <c r="I873" s="2" t="s">
        <v>75</v>
      </c>
      <c r="J873" s="2" t="s">
        <v>76</v>
      </c>
      <c r="K873" s="2" t="s">
        <v>77</v>
      </c>
      <c r="L873" s="2" t="s">
        <v>131</v>
      </c>
      <c r="M873" s="2" t="s">
        <v>132</v>
      </c>
      <c r="N873" s="2" t="s">
        <v>1485</v>
      </c>
      <c r="O873" s="2" t="s">
        <v>115</v>
      </c>
      <c r="P873" s="2" t="str">
        <f>"2170560655                    "</f>
        <v xml:space="preserve">2170560655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4.29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1</v>
      </c>
      <c r="BJ873" s="2">
        <v>0.2</v>
      </c>
      <c r="BK873" s="2">
        <v>1</v>
      </c>
      <c r="BL873" s="2">
        <v>41.73</v>
      </c>
      <c r="BM873" s="2">
        <v>5.84</v>
      </c>
      <c r="BN873" s="2">
        <v>47.57</v>
      </c>
      <c r="BO873" s="2">
        <v>47.57</v>
      </c>
      <c r="BP873" s="2"/>
      <c r="BQ873" s="2" t="s">
        <v>129</v>
      </c>
      <c r="BR873" s="2" t="s">
        <v>123</v>
      </c>
      <c r="BS873" s="3">
        <v>42831</v>
      </c>
      <c r="BT873" s="4">
        <v>0.41666666666666669</v>
      </c>
      <c r="BU873" s="2" t="s">
        <v>238</v>
      </c>
      <c r="BV873" s="2" t="s">
        <v>111</v>
      </c>
      <c r="BW873" s="2"/>
      <c r="BX873" s="2"/>
      <c r="BY873" s="2">
        <v>1200</v>
      </c>
      <c r="BZ873" s="2" t="s">
        <v>27</v>
      </c>
      <c r="CA873" s="2"/>
      <c r="CB873" s="2"/>
      <c r="CC873" s="2" t="s">
        <v>132</v>
      </c>
      <c r="CD873" s="2">
        <v>7460</v>
      </c>
      <c r="CE873" s="2" t="s">
        <v>144</v>
      </c>
      <c r="CF873" s="5">
        <v>42832</v>
      </c>
      <c r="CG873" s="2"/>
      <c r="CH873" s="2"/>
      <c r="CI873" s="2">
        <v>1</v>
      </c>
      <c r="CJ873" s="2">
        <v>1</v>
      </c>
      <c r="CK873" s="2">
        <v>21</v>
      </c>
      <c r="CL873" s="2" t="s">
        <v>86</v>
      </c>
      <c r="CM873" s="2"/>
    </row>
    <row r="874" spans="1:91">
      <c r="A874" s="2" t="s">
        <v>71</v>
      </c>
      <c r="B874" s="2" t="s">
        <v>72</v>
      </c>
      <c r="C874" s="2" t="s">
        <v>73</v>
      </c>
      <c r="D874" s="2"/>
      <c r="E874" s="2" t="str">
        <f>"FES1162543067"</f>
        <v>FES1162543067</v>
      </c>
      <c r="F874" s="3">
        <v>42836</v>
      </c>
      <c r="G874" s="2">
        <v>201710</v>
      </c>
      <c r="H874" s="2" t="s">
        <v>74</v>
      </c>
      <c r="I874" s="2" t="s">
        <v>75</v>
      </c>
      <c r="J874" s="2" t="s">
        <v>76</v>
      </c>
      <c r="K874" s="2" t="s">
        <v>77</v>
      </c>
      <c r="L874" s="2" t="s">
        <v>99</v>
      </c>
      <c r="M874" s="2" t="s">
        <v>100</v>
      </c>
      <c r="N874" s="2" t="s">
        <v>1486</v>
      </c>
      <c r="O874" s="2" t="s">
        <v>115</v>
      </c>
      <c r="P874" s="2" t="str">
        <f>"2170561851                    "</f>
        <v xml:space="preserve">2170561851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4.29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2</v>
      </c>
      <c r="BJ874" s="2">
        <v>0.2</v>
      </c>
      <c r="BK874" s="2">
        <v>2</v>
      </c>
      <c r="BL874" s="2">
        <v>41.73</v>
      </c>
      <c r="BM874" s="2">
        <v>5.84</v>
      </c>
      <c r="BN874" s="2">
        <v>47.57</v>
      </c>
      <c r="BO874" s="2">
        <v>47.57</v>
      </c>
      <c r="BP874" s="2"/>
      <c r="BQ874" s="2" t="s">
        <v>1487</v>
      </c>
      <c r="BR874" s="2" t="s">
        <v>84</v>
      </c>
      <c r="BS874" s="3">
        <v>42837</v>
      </c>
      <c r="BT874" s="4">
        <v>0.35486111111111113</v>
      </c>
      <c r="BU874" s="2" t="s">
        <v>1488</v>
      </c>
      <c r="BV874" s="2" t="s">
        <v>111</v>
      </c>
      <c r="BW874" s="2"/>
      <c r="BX874" s="2"/>
      <c r="BY874" s="2">
        <v>1200</v>
      </c>
      <c r="BZ874" s="2" t="s">
        <v>27</v>
      </c>
      <c r="CA874" s="2" t="s">
        <v>154</v>
      </c>
      <c r="CB874" s="2"/>
      <c r="CC874" s="2" t="s">
        <v>100</v>
      </c>
      <c r="CD874" s="2">
        <v>6001</v>
      </c>
      <c r="CE874" s="2" t="s">
        <v>118</v>
      </c>
      <c r="CF874" s="5">
        <v>42837</v>
      </c>
      <c r="CG874" s="2"/>
      <c r="CH874" s="2"/>
      <c r="CI874" s="2">
        <v>1</v>
      </c>
      <c r="CJ874" s="2">
        <v>1</v>
      </c>
      <c r="CK874" s="2">
        <v>21</v>
      </c>
      <c r="CL874" s="2" t="s">
        <v>86</v>
      </c>
      <c r="CM874" s="2"/>
    </row>
    <row r="875" spans="1:91">
      <c r="A875" s="2" t="s">
        <v>71</v>
      </c>
      <c r="B875" s="2" t="s">
        <v>72</v>
      </c>
      <c r="C875" s="2" t="s">
        <v>73</v>
      </c>
      <c r="D875" s="2"/>
      <c r="E875" s="2" t="str">
        <f>"FES1162542169"</f>
        <v>FES1162542169</v>
      </c>
      <c r="F875" s="3">
        <v>42831</v>
      </c>
      <c r="G875" s="2">
        <v>201710</v>
      </c>
      <c r="H875" s="2" t="s">
        <v>74</v>
      </c>
      <c r="I875" s="2" t="s">
        <v>75</v>
      </c>
      <c r="J875" s="2" t="s">
        <v>76</v>
      </c>
      <c r="K875" s="2" t="s">
        <v>77</v>
      </c>
      <c r="L875" s="2" t="s">
        <v>609</v>
      </c>
      <c r="M875" s="2" t="s">
        <v>610</v>
      </c>
      <c r="N875" s="2" t="s">
        <v>982</v>
      </c>
      <c r="O875" s="2" t="s">
        <v>115</v>
      </c>
      <c r="P875" s="2" t="str">
        <f>"2170561605                    "</f>
        <v xml:space="preserve">2170561605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4.29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2</v>
      </c>
      <c r="BJ875" s="2">
        <v>1.7</v>
      </c>
      <c r="BK875" s="2">
        <v>2</v>
      </c>
      <c r="BL875" s="2">
        <v>41.73</v>
      </c>
      <c r="BM875" s="2">
        <v>5.84</v>
      </c>
      <c r="BN875" s="2">
        <v>47.57</v>
      </c>
      <c r="BO875" s="2">
        <v>47.57</v>
      </c>
      <c r="BP875" s="2"/>
      <c r="BQ875" s="2" t="s">
        <v>129</v>
      </c>
      <c r="BR875" s="2" t="s">
        <v>123</v>
      </c>
      <c r="BS875" s="3">
        <v>42832</v>
      </c>
      <c r="BT875" s="4">
        <v>0.41666666666666669</v>
      </c>
      <c r="BU875" s="2" t="s">
        <v>1265</v>
      </c>
      <c r="BV875" s="2" t="s">
        <v>111</v>
      </c>
      <c r="BW875" s="2"/>
      <c r="BX875" s="2"/>
      <c r="BY875" s="2">
        <v>8432.27</v>
      </c>
      <c r="BZ875" s="2" t="s">
        <v>27</v>
      </c>
      <c r="CA875" s="2"/>
      <c r="CB875" s="2"/>
      <c r="CC875" s="2" t="s">
        <v>610</v>
      </c>
      <c r="CD875" s="2">
        <v>1911</v>
      </c>
      <c r="CE875" s="2" t="s">
        <v>89</v>
      </c>
      <c r="CF875" s="5">
        <v>42835</v>
      </c>
      <c r="CG875" s="2"/>
      <c r="CH875" s="2"/>
      <c r="CI875" s="2">
        <v>1</v>
      </c>
      <c r="CJ875" s="2">
        <v>1</v>
      </c>
      <c r="CK875" s="2">
        <v>21</v>
      </c>
      <c r="CL875" s="2" t="s">
        <v>86</v>
      </c>
      <c r="CM875" s="2"/>
    </row>
    <row r="876" spans="1:91">
      <c r="A876" s="2" t="s">
        <v>71</v>
      </c>
      <c r="B876" s="2" t="s">
        <v>72</v>
      </c>
      <c r="C876" s="2" t="s">
        <v>73</v>
      </c>
      <c r="D876" s="2"/>
      <c r="E876" s="2" t="str">
        <f>"FES1162541327"</f>
        <v>FES1162541327</v>
      </c>
      <c r="F876" s="3">
        <v>42829</v>
      </c>
      <c r="G876" s="2">
        <v>201710</v>
      </c>
      <c r="H876" s="2" t="s">
        <v>74</v>
      </c>
      <c r="I876" s="2" t="s">
        <v>75</v>
      </c>
      <c r="J876" s="2" t="s">
        <v>76</v>
      </c>
      <c r="K876" s="2" t="s">
        <v>77</v>
      </c>
      <c r="L876" s="2" t="s">
        <v>160</v>
      </c>
      <c r="M876" s="2" t="s">
        <v>161</v>
      </c>
      <c r="N876" s="2" t="s">
        <v>1489</v>
      </c>
      <c r="O876" s="2" t="s">
        <v>115</v>
      </c>
      <c r="P876" s="2" t="str">
        <f>"2170560403                    "</f>
        <v xml:space="preserve">2170560403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4.42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1</v>
      </c>
      <c r="BJ876" s="2">
        <v>0.2</v>
      </c>
      <c r="BK876" s="2">
        <v>1</v>
      </c>
      <c r="BL876" s="2">
        <v>41.86</v>
      </c>
      <c r="BM876" s="2">
        <v>5.86</v>
      </c>
      <c r="BN876" s="2">
        <v>47.72</v>
      </c>
      <c r="BO876" s="2">
        <v>47.72</v>
      </c>
      <c r="BP876" s="2"/>
      <c r="BQ876" s="2" t="s">
        <v>129</v>
      </c>
      <c r="BR876" s="2" t="s">
        <v>123</v>
      </c>
      <c r="BS876" s="3">
        <v>42830</v>
      </c>
      <c r="BT876" s="4">
        <v>0.41666666666666669</v>
      </c>
      <c r="BU876" s="2" t="s">
        <v>1490</v>
      </c>
      <c r="BV876" s="2" t="s">
        <v>111</v>
      </c>
      <c r="BW876" s="2"/>
      <c r="BX876" s="2"/>
      <c r="BY876" s="2">
        <v>1200</v>
      </c>
      <c r="BZ876" s="2" t="s">
        <v>27</v>
      </c>
      <c r="CA876" s="2"/>
      <c r="CB876" s="2"/>
      <c r="CC876" s="2" t="s">
        <v>161</v>
      </c>
      <c r="CD876" s="2">
        <v>5201</v>
      </c>
      <c r="CE876" s="2" t="s">
        <v>144</v>
      </c>
      <c r="CF876" s="5">
        <v>42832</v>
      </c>
      <c r="CG876" s="2"/>
      <c r="CH876" s="2"/>
      <c r="CI876" s="2">
        <v>1</v>
      </c>
      <c r="CJ876" s="2">
        <v>1</v>
      </c>
      <c r="CK876" s="2">
        <v>21</v>
      </c>
      <c r="CL876" s="2" t="s">
        <v>86</v>
      </c>
      <c r="CM876" s="2"/>
    </row>
    <row r="877" spans="1:91">
      <c r="A877" s="2" t="s">
        <v>71</v>
      </c>
      <c r="B877" s="2" t="s">
        <v>72</v>
      </c>
      <c r="C877" s="2" t="s">
        <v>73</v>
      </c>
      <c r="D877" s="2"/>
      <c r="E877" s="2" t="str">
        <f>"FES1162543087"</f>
        <v>FES1162543087</v>
      </c>
      <c r="F877" s="3">
        <v>42836</v>
      </c>
      <c r="G877" s="2">
        <v>201710</v>
      </c>
      <c r="H877" s="2" t="s">
        <v>74</v>
      </c>
      <c r="I877" s="2" t="s">
        <v>75</v>
      </c>
      <c r="J877" s="2" t="s">
        <v>76</v>
      </c>
      <c r="K877" s="2" t="s">
        <v>77</v>
      </c>
      <c r="L877" s="2" t="s">
        <v>516</v>
      </c>
      <c r="M877" s="2" t="s">
        <v>517</v>
      </c>
      <c r="N877" s="2" t="s">
        <v>1491</v>
      </c>
      <c r="O877" s="2" t="s">
        <v>115</v>
      </c>
      <c r="P877" s="2" t="str">
        <f>"2170561877                    "</f>
        <v xml:space="preserve">2170561877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3.35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1</v>
      </c>
      <c r="BJ877" s="2">
        <v>0.2</v>
      </c>
      <c r="BK877" s="2">
        <v>1</v>
      </c>
      <c r="BL877" s="2">
        <v>32.6</v>
      </c>
      <c r="BM877" s="2">
        <v>4.5599999999999996</v>
      </c>
      <c r="BN877" s="2">
        <v>37.159999999999997</v>
      </c>
      <c r="BO877" s="2">
        <v>37.159999999999997</v>
      </c>
      <c r="BP877" s="2"/>
      <c r="BQ877" s="2" t="s">
        <v>1492</v>
      </c>
      <c r="BR877" s="2" t="s">
        <v>84</v>
      </c>
      <c r="BS877" s="3">
        <v>42837</v>
      </c>
      <c r="BT877" s="4">
        <v>0.45069444444444445</v>
      </c>
      <c r="BU877" s="2" t="s">
        <v>290</v>
      </c>
      <c r="BV877" s="2" t="s">
        <v>111</v>
      </c>
      <c r="BW877" s="2"/>
      <c r="BX877" s="2"/>
      <c r="BY877" s="2">
        <v>1200</v>
      </c>
      <c r="BZ877" s="2" t="s">
        <v>27</v>
      </c>
      <c r="CA877" s="2"/>
      <c r="CB877" s="2"/>
      <c r="CC877" s="2" t="s">
        <v>517</v>
      </c>
      <c r="CD877" s="2">
        <v>1459</v>
      </c>
      <c r="CE877" s="2" t="s">
        <v>118</v>
      </c>
      <c r="CF877" s="5">
        <v>42838</v>
      </c>
      <c r="CG877" s="2"/>
      <c r="CH877" s="2"/>
      <c r="CI877" s="2">
        <v>1</v>
      </c>
      <c r="CJ877" s="2">
        <v>1</v>
      </c>
      <c r="CK877" s="2">
        <v>22</v>
      </c>
      <c r="CL877" s="2" t="s">
        <v>86</v>
      </c>
      <c r="CM877" s="2"/>
    </row>
    <row r="878" spans="1:91">
      <c r="A878" s="2" t="s">
        <v>71</v>
      </c>
      <c r="B878" s="2" t="s">
        <v>72</v>
      </c>
      <c r="C878" s="2" t="s">
        <v>73</v>
      </c>
      <c r="D878" s="2"/>
      <c r="E878" s="2" t="str">
        <f>"FES1162542135"</f>
        <v>FES1162542135</v>
      </c>
      <c r="F878" s="3">
        <v>42831</v>
      </c>
      <c r="G878" s="2">
        <v>201710</v>
      </c>
      <c r="H878" s="2" t="s">
        <v>74</v>
      </c>
      <c r="I878" s="2" t="s">
        <v>75</v>
      </c>
      <c r="J878" s="2" t="s">
        <v>76</v>
      </c>
      <c r="K878" s="2" t="s">
        <v>77</v>
      </c>
      <c r="L878" s="2" t="s">
        <v>187</v>
      </c>
      <c r="M878" s="2" t="s">
        <v>146</v>
      </c>
      <c r="N878" s="2" t="s">
        <v>147</v>
      </c>
      <c r="O878" s="2" t="s">
        <v>115</v>
      </c>
      <c r="P878" s="2" t="str">
        <f>"2170561038                    "</f>
        <v xml:space="preserve">2170561038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4.29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</v>
      </c>
      <c r="BJ878" s="2">
        <v>0.2</v>
      </c>
      <c r="BK878" s="2">
        <v>1</v>
      </c>
      <c r="BL878" s="2">
        <v>41.73</v>
      </c>
      <c r="BM878" s="2">
        <v>5.84</v>
      </c>
      <c r="BN878" s="2">
        <v>47.57</v>
      </c>
      <c r="BO878" s="2">
        <v>47.57</v>
      </c>
      <c r="BP878" s="2"/>
      <c r="BQ878" s="2" t="s">
        <v>148</v>
      </c>
      <c r="BR878" s="2" t="s">
        <v>123</v>
      </c>
      <c r="BS878" s="3">
        <v>42832</v>
      </c>
      <c r="BT878" s="4">
        <v>0.33958333333333335</v>
      </c>
      <c r="BU878" s="2" t="s">
        <v>149</v>
      </c>
      <c r="BV878" s="2" t="s">
        <v>111</v>
      </c>
      <c r="BW878" s="2"/>
      <c r="BX878" s="2"/>
      <c r="BY878" s="2">
        <v>1200</v>
      </c>
      <c r="BZ878" s="2" t="s">
        <v>27</v>
      </c>
      <c r="CA878" s="2"/>
      <c r="CB878" s="2"/>
      <c r="CC878" s="2" t="s">
        <v>146</v>
      </c>
      <c r="CD878" s="2">
        <v>1</v>
      </c>
      <c r="CE878" s="2" t="s">
        <v>118</v>
      </c>
      <c r="CF878" s="5">
        <v>42836</v>
      </c>
      <c r="CG878" s="2"/>
      <c r="CH878" s="2"/>
      <c r="CI878" s="2">
        <v>0</v>
      </c>
      <c r="CJ878" s="2">
        <v>0</v>
      </c>
      <c r="CK878" s="2">
        <v>21</v>
      </c>
      <c r="CL878" s="2" t="s">
        <v>86</v>
      </c>
      <c r="CM878" s="2"/>
    </row>
    <row r="879" spans="1:91">
      <c r="A879" s="2" t="s">
        <v>71</v>
      </c>
      <c r="B879" s="2" t="s">
        <v>72</v>
      </c>
      <c r="C879" s="2" t="s">
        <v>73</v>
      </c>
      <c r="D879" s="2"/>
      <c r="E879" s="2" t="str">
        <f>"FES1162541551"</f>
        <v>FES1162541551</v>
      </c>
      <c r="F879" s="3">
        <v>42830</v>
      </c>
      <c r="G879" s="2">
        <v>201710</v>
      </c>
      <c r="H879" s="2" t="s">
        <v>74</v>
      </c>
      <c r="I879" s="2" t="s">
        <v>75</v>
      </c>
      <c r="J879" s="2" t="s">
        <v>76</v>
      </c>
      <c r="K879" s="2" t="s">
        <v>77</v>
      </c>
      <c r="L879" s="2" t="s">
        <v>131</v>
      </c>
      <c r="M879" s="2" t="s">
        <v>132</v>
      </c>
      <c r="N879" s="2" t="s">
        <v>744</v>
      </c>
      <c r="O879" s="2" t="s">
        <v>115</v>
      </c>
      <c r="P879" s="2" t="str">
        <f>"2170560635                    "</f>
        <v xml:space="preserve">2170560635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4.29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1</v>
      </c>
      <c r="BJ879" s="2">
        <v>0.2</v>
      </c>
      <c r="BK879" s="2">
        <v>1</v>
      </c>
      <c r="BL879" s="2">
        <v>41.73</v>
      </c>
      <c r="BM879" s="2">
        <v>5.84</v>
      </c>
      <c r="BN879" s="2">
        <v>47.57</v>
      </c>
      <c r="BO879" s="2">
        <v>47.57</v>
      </c>
      <c r="BP879" s="2"/>
      <c r="BQ879" s="2" t="s">
        <v>138</v>
      </c>
      <c r="BR879" s="2" t="s">
        <v>123</v>
      </c>
      <c r="BS879" s="3">
        <v>42831</v>
      </c>
      <c r="BT879" s="4">
        <v>0.41666666666666669</v>
      </c>
      <c r="BU879" s="2" t="s">
        <v>1493</v>
      </c>
      <c r="BV879" s="2" t="s">
        <v>111</v>
      </c>
      <c r="BW879" s="2"/>
      <c r="BX879" s="2"/>
      <c r="BY879" s="2">
        <v>1200</v>
      </c>
      <c r="BZ879" s="2" t="s">
        <v>27</v>
      </c>
      <c r="CA879" s="2"/>
      <c r="CB879" s="2"/>
      <c r="CC879" s="2" t="s">
        <v>132</v>
      </c>
      <c r="CD879" s="2">
        <v>7405</v>
      </c>
      <c r="CE879" s="2" t="s">
        <v>144</v>
      </c>
      <c r="CF879" s="5">
        <v>42833</v>
      </c>
      <c r="CG879" s="2"/>
      <c r="CH879" s="2"/>
      <c r="CI879" s="2">
        <v>1</v>
      </c>
      <c r="CJ879" s="2">
        <v>1</v>
      </c>
      <c r="CK879" s="2">
        <v>21</v>
      </c>
      <c r="CL879" s="2" t="s">
        <v>86</v>
      </c>
      <c r="CM879" s="2"/>
    </row>
    <row r="880" spans="1:91">
      <c r="A880" s="2" t="s">
        <v>71</v>
      </c>
      <c r="B880" s="2" t="s">
        <v>72</v>
      </c>
      <c r="C880" s="2" t="s">
        <v>73</v>
      </c>
      <c r="D880" s="2"/>
      <c r="E880" s="2" t="str">
        <f>"FES1162543095"</f>
        <v>FES1162543095</v>
      </c>
      <c r="F880" s="3">
        <v>42836</v>
      </c>
      <c r="G880" s="2">
        <v>201710</v>
      </c>
      <c r="H880" s="2" t="s">
        <v>74</v>
      </c>
      <c r="I880" s="2" t="s">
        <v>75</v>
      </c>
      <c r="J880" s="2" t="s">
        <v>76</v>
      </c>
      <c r="K880" s="2" t="s">
        <v>77</v>
      </c>
      <c r="L880" s="2" t="s">
        <v>99</v>
      </c>
      <c r="M880" s="2" t="s">
        <v>100</v>
      </c>
      <c r="N880" s="2" t="s">
        <v>108</v>
      </c>
      <c r="O880" s="2" t="s">
        <v>115</v>
      </c>
      <c r="P880" s="2" t="str">
        <f>"2170561885                    "</f>
        <v xml:space="preserve">2170561885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4.29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</v>
      </c>
      <c r="BJ880" s="2">
        <v>0.2</v>
      </c>
      <c r="BK880" s="2">
        <v>1</v>
      </c>
      <c r="BL880" s="2">
        <v>41.73</v>
      </c>
      <c r="BM880" s="2">
        <v>5.84</v>
      </c>
      <c r="BN880" s="2">
        <v>47.57</v>
      </c>
      <c r="BO880" s="2">
        <v>47.57</v>
      </c>
      <c r="BP880" s="2"/>
      <c r="BQ880" s="2" t="s">
        <v>109</v>
      </c>
      <c r="BR880" s="2" t="s">
        <v>123</v>
      </c>
      <c r="BS880" s="3">
        <v>42837</v>
      </c>
      <c r="BT880" s="4">
        <v>0.375</v>
      </c>
      <c r="BU880" s="2" t="s">
        <v>110</v>
      </c>
      <c r="BV880" s="2" t="s">
        <v>111</v>
      </c>
      <c r="BW880" s="2"/>
      <c r="BX880" s="2"/>
      <c r="BY880" s="2">
        <v>1200</v>
      </c>
      <c r="BZ880" s="2" t="s">
        <v>27</v>
      </c>
      <c r="CA880" s="2" t="s">
        <v>106</v>
      </c>
      <c r="CB880" s="2"/>
      <c r="CC880" s="2" t="s">
        <v>100</v>
      </c>
      <c r="CD880" s="2">
        <v>6001</v>
      </c>
      <c r="CE880" s="2" t="s">
        <v>118</v>
      </c>
      <c r="CF880" s="5">
        <v>42837</v>
      </c>
      <c r="CG880" s="2"/>
      <c r="CH880" s="2"/>
      <c r="CI880" s="2">
        <v>1</v>
      </c>
      <c r="CJ880" s="2">
        <v>1</v>
      </c>
      <c r="CK880" s="2">
        <v>21</v>
      </c>
      <c r="CL880" s="2" t="s">
        <v>86</v>
      </c>
      <c r="CM880" s="2"/>
    </row>
    <row r="881" spans="1:91">
      <c r="A881" s="2" t="s">
        <v>71</v>
      </c>
      <c r="B881" s="2" t="s">
        <v>72</v>
      </c>
      <c r="C881" s="2" t="s">
        <v>73</v>
      </c>
      <c r="D881" s="2"/>
      <c r="E881" s="2" t="str">
        <f>"FES1162542251"</f>
        <v>FES1162542251</v>
      </c>
      <c r="F881" s="3">
        <v>42831</v>
      </c>
      <c r="G881" s="2">
        <v>201710</v>
      </c>
      <c r="H881" s="2" t="s">
        <v>74</v>
      </c>
      <c r="I881" s="2" t="s">
        <v>75</v>
      </c>
      <c r="J881" s="2" t="s">
        <v>76</v>
      </c>
      <c r="K881" s="2" t="s">
        <v>77</v>
      </c>
      <c r="L881" s="2" t="s">
        <v>99</v>
      </c>
      <c r="M881" s="2" t="s">
        <v>100</v>
      </c>
      <c r="N881" s="2" t="s">
        <v>583</v>
      </c>
      <c r="O881" s="2" t="s">
        <v>115</v>
      </c>
      <c r="P881" s="2" t="str">
        <f>"2170561155                    "</f>
        <v xml:space="preserve">2170561155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4.29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</v>
      </c>
      <c r="BJ881" s="2">
        <v>0.2</v>
      </c>
      <c r="BK881" s="2">
        <v>1</v>
      </c>
      <c r="BL881" s="2">
        <v>41.73</v>
      </c>
      <c r="BM881" s="2">
        <v>5.84</v>
      </c>
      <c r="BN881" s="2">
        <v>47.57</v>
      </c>
      <c r="BO881" s="2">
        <v>47.57</v>
      </c>
      <c r="BP881" s="2"/>
      <c r="BQ881" s="2" t="s">
        <v>1494</v>
      </c>
      <c r="BR881" s="2" t="s">
        <v>123</v>
      </c>
      <c r="BS881" s="3">
        <v>42832</v>
      </c>
      <c r="BT881" s="4">
        <v>0.41319444444444442</v>
      </c>
      <c r="BU881" s="2" t="s">
        <v>1495</v>
      </c>
      <c r="BV881" s="2" t="s">
        <v>111</v>
      </c>
      <c r="BW881" s="2"/>
      <c r="BX881" s="2"/>
      <c r="BY881" s="2">
        <v>1200</v>
      </c>
      <c r="BZ881" s="2" t="s">
        <v>27</v>
      </c>
      <c r="CA881" s="2"/>
      <c r="CB881" s="2"/>
      <c r="CC881" s="2" t="s">
        <v>100</v>
      </c>
      <c r="CD881" s="2">
        <v>6001</v>
      </c>
      <c r="CE881" s="2" t="s">
        <v>118</v>
      </c>
      <c r="CF881" s="5">
        <v>42835</v>
      </c>
      <c r="CG881" s="2"/>
      <c r="CH881" s="2"/>
      <c r="CI881" s="2">
        <v>1</v>
      </c>
      <c r="CJ881" s="2">
        <v>1</v>
      </c>
      <c r="CK881" s="2">
        <v>21</v>
      </c>
      <c r="CL881" s="2" t="s">
        <v>86</v>
      </c>
      <c r="CM881" s="2"/>
    </row>
    <row r="882" spans="1:91">
      <c r="A882" s="2" t="s">
        <v>71</v>
      </c>
      <c r="B882" s="2" t="s">
        <v>72</v>
      </c>
      <c r="C882" s="2" t="s">
        <v>73</v>
      </c>
      <c r="D882" s="2"/>
      <c r="E882" s="2" t="str">
        <f>"FES1162541323"</f>
        <v>FES1162541323</v>
      </c>
      <c r="F882" s="3">
        <v>42829</v>
      </c>
      <c r="G882" s="2">
        <v>201710</v>
      </c>
      <c r="H882" s="2" t="s">
        <v>74</v>
      </c>
      <c r="I882" s="2" t="s">
        <v>75</v>
      </c>
      <c r="J882" s="2" t="s">
        <v>76</v>
      </c>
      <c r="K882" s="2" t="s">
        <v>77</v>
      </c>
      <c r="L882" s="2" t="s">
        <v>131</v>
      </c>
      <c r="M882" s="2" t="s">
        <v>132</v>
      </c>
      <c r="N882" s="2" t="s">
        <v>887</v>
      </c>
      <c r="O882" s="2" t="s">
        <v>115</v>
      </c>
      <c r="P882" s="2" t="str">
        <f>"2170560398                    "</f>
        <v xml:space="preserve">2170560398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4.42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1</v>
      </c>
      <c r="BJ882" s="2">
        <v>0.2</v>
      </c>
      <c r="BK882" s="2">
        <v>1</v>
      </c>
      <c r="BL882" s="2">
        <v>41.86</v>
      </c>
      <c r="BM882" s="2">
        <v>5.86</v>
      </c>
      <c r="BN882" s="2">
        <v>47.72</v>
      </c>
      <c r="BO882" s="2">
        <v>47.72</v>
      </c>
      <c r="BP882" s="2"/>
      <c r="BQ882" s="2" t="s">
        <v>129</v>
      </c>
      <c r="BR882" s="2" t="s">
        <v>123</v>
      </c>
      <c r="BS882" s="3">
        <v>42830</v>
      </c>
      <c r="BT882" s="4">
        <v>0.41666666666666669</v>
      </c>
      <c r="BU882" s="2" t="s">
        <v>1496</v>
      </c>
      <c r="BV882" s="2" t="s">
        <v>111</v>
      </c>
      <c r="BW882" s="2"/>
      <c r="BX882" s="2"/>
      <c r="BY882" s="2">
        <v>1200</v>
      </c>
      <c r="BZ882" s="2" t="s">
        <v>27</v>
      </c>
      <c r="CA882" s="2"/>
      <c r="CB882" s="2"/>
      <c r="CC882" s="2" t="s">
        <v>132</v>
      </c>
      <c r="CD882" s="2">
        <v>7530</v>
      </c>
      <c r="CE882" s="2" t="s">
        <v>144</v>
      </c>
      <c r="CF882" s="5">
        <v>42831</v>
      </c>
      <c r="CG882" s="2"/>
      <c r="CH882" s="2"/>
      <c r="CI882" s="2">
        <v>1</v>
      </c>
      <c r="CJ882" s="2">
        <v>1</v>
      </c>
      <c r="CK882" s="2">
        <v>21</v>
      </c>
      <c r="CL882" s="2" t="s">
        <v>86</v>
      </c>
      <c r="CM882" s="2"/>
    </row>
    <row r="883" spans="1:91">
      <c r="A883" s="2" t="s">
        <v>71</v>
      </c>
      <c r="B883" s="2" t="s">
        <v>72</v>
      </c>
      <c r="C883" s="2" t="s">
        <v>73</v>
      </c>
      <c r="D883" s="2"/>
      <c r="E883" s="2" t="str">
        <f>"FES1162543083"</f>
        <v>FES1162543083</v>
      </c>
      <c r="F883" s="3">
        <v>42836</v>
      </c>
      <c r="G883" s="2">
        <v>201710</v>
      </c>
      <c r="H883" s="2" t="s">
        <v>74</v>
      </c>
      <c r="I883" s="2" t="s">
        <v>75</v>
      </c>
      <c r="J883" s="2" t="s">
        <v>76</v>
      </c>
      <c r="K883" s="2" t="s">
        <v>77</v>
      </c>
      <c r="L883" s="2" t="s">
        <v>187</v>
      </c>
      <c r="M883" s="2" t="s">
        <v>146</v>
      </c>
      <c r="N883" s="2" t="s">
        <v>225</v>
      </c>
      <c r="O883" s="2" t="s">
        <v>115</v>
      </c>
      <c r="P883" s="2" t="str">
        <f>"2170561871                    "</f>
        <v xml:space="preserve">2170561871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7.5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3.5</v>
      </c>
      <c r="BJ883" s="2">
        <v>0.2</v>
      </c>
      <c r="BK883" s="2">
        <v>3.5</v>
      </c>
      <c r="BL883" s="2">
        <v>73.02</v>
      </c>
      <c r="BM883" s="2">
        <v>10.220000000000001</v>
      </c>
      <c r="BN883" s="2">
        <v>83.24</v>
      </c>
      <c r="BO883" s="2">
        <v>83.24</v>
      </c>
      <c r="BP883" s="2"/>
      <c r="BQ883" s="2" t="s">
        <v>226</v>
      </c>
      <c r="BR883" s="2" t="s">
        <v>123</v>
      </c>
      <c r="BS883" s="3">
        <v>42837</v>
      </c>
      <c r="BT883" s="4">
        <v>0.33333333333333331</v>
      </c>
      <c r="BU883" s="2" t="s">
        <v>310</v>
      </c>
      <c r="BV883" s="2" t="s">
        <v>111</v>
      </c>
      <c r="BW883" s="2"/>
      <c r="BX883" s="2"/>
      <c r="BY883" s="2">
        <v>1200</v>
      </c>
      <c r="BZ883" s="2" t="s">
        <v>27</v>
      </c>
      <c r="CA883" s="2"/>
      <c r="CB883" s="2"/>
      <c r="CC883" s="2" t="s">
        <v>146</v>
      </c>
      <c r="CD883" s="2">
        <v>184</v>
      </c>
      <c r="CE883" s="2" t="s">
        <v>118</v>
      </c>
      <c r="CF883" s="5">
        <v>42843</v>
      </c>
      <c r="CG883" s="2"/>
      <c r="CH883" s="2"/>
      <c r="CI883" s="2">
        <v>0</v>
      </c>
      <c r="CJ883" s="2">
        <v>0</v>
      </c>
      <c r="CK883" s="2">
        <v>21</v>
      </c>
      <c r="CL883" s="2" t="s">
        <v>86</v>
      </c>
      <c r="CM883" s="2"/>
    </row>
    <row r="884" spans="1:91">
      <c r="A884" s="2" t="s">
        <v>71</v>
      </c>
      <c r="B884" s="2" t="s">
        <v>72</v>
      </c>
      <c r="C884" s="2" t="s">
        <v>73</v>
      </c>
      <c r="D884" s="2"/>
      <c r="E884" s="2" t="str">
        <f>"FES1162542216"</f>
        <v>FES1162542216</v>
      </c>
      <c r="F884" s="3">
        <v>42831</v>
      </c>
      <c r="G884" s="2">
        <v>201710</v>
      </c>
      <c r="H884" s="2" t="s">
        <v>74</v>
      </c>
      <c r="I884" s="2" t="s">
        <v>75</v>
      </c>
      <c r="J884" s="2" t="s">
        <v>76</v>
      </c>
      <c r="K884" s="2" t="s">
        <v>77</v>
      </c>
      <c r="L884" s="2" t="s">
        <v>131</v>
      </c>
      <c r="M884" s="2" t="s">
        <v>132</v>
      </c>
      <c r="N884" s="2" t="s">
        <v>1497</v>
      </c>
      <c r="O884" s="2" t="s">
        <v>115</v>
      </c>
      <c r="P884" s="2" t="str">
        <f>"2170561115                    "</f>
        <v xml:space="preserve">2170561115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8.57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2.8</v>
      </c>
      <c r="BJ884" s="2">
        <v>3.8</v>
      </c>
      <c r="BK884" s="2">
        <v>4</v>
      </c>
      <c r="BL884" s="2">
        <v>83.45</v>
      </c>
      <c r="BM884" s="2">
        <v>11.68</v>
      </c>
      <c r="BN884" s="2">
        <v>95.13</v>
      </c>
      <c r="BO884" s="2">
        <v>95.13</v>
      </c>
      <c r="BP884" s="2"/>
      <c r="BQ884" s="2" t="s">
        <v>1498</v>
      </c>
      <c r="BR884" s="2" t="s">
        <v>123</v>
      </c>
      <c r="BS884" s="3">
        <v>42832</v>
      </c>
      <c r="BT884" s="4">
        <v>0.41666666666666669</v>
      </c>
      <c r="BU884" s="2" t="s">
        <v>1499</v>
      </c>
      <c r="BV884" s="2" t="s">
        <v>111</v>
      </c>
      <c r="BW884" s="2"/>
      <c r="BX884" s="2"/>
      <c r="BY884" s="2">
        <v>18753.28</v>
      </c>
      <c r="BZ884" s="2" t="s">
        <v>27</v>
      </c>
      <c r="CA884" s="2"/>
      <c r="CB884" s="2"/>
      <c r="CC884" s="2" t="s">
        <v>132</v>
      </c>
      <c r="CD884" s="2">
        <v>7441</v>
      </c>
      <c r="CE884" s="2" t="s">
        <v>118</v>
      </c>
      <c r="CF884" s="5">
        <v>42835</v>
      </c>
      <c r="CG884" s="2"/>
      <c r="CH884" s="2"/>
      <c r="CI884" s="2">
        <v>1</v>
      </c>
      <c r="CJ884" s="2">
        <v>1</v>
      </c>
      <c r="CK884" s="2">
        <v>21</v>
      </c>
      <c r="CL884" s="2" t="s">
        <v>86</v>
      </c>
      <c r="CM884" s="2"/>
    </row>
    <row r="885" spans="1:91">
      <c r="A885" s="2" t="s">
        <v>71</v>
      </c>
      <c r="B885" s="2" t="s">
        <v>72</v>
      </c>
      <c r="C885" s="2" t="s">
        <v>73</v>
      </c>
      <c r="D885" s="2"/>
      <c r="E885" s="2" t="str">
        <f>"FES1162541537"</f>
        <v>FES1162541537</v>
      </c>
      <c r="F885" s="3">
        <v>42830</v>
      </c>
      <c r="G885" s="2">
        <v>201710</v>
      </c>
      <c r="H885" s="2" t="s">
        <v>74</v>
      </c>
      <c r="I885" s="2" t="s">
        <v>75</v>
      </c>
      <c r="J885" s="2" t="s">
        <v>76</v>
      </c>
      <c r="K885" s="2" t="s">
        <v>77</v>
      </c>
      <c r="L885" s="2" t="s">
        <v>131</v>
      </c>
      <c r="M885" s="2" t="s">
        <v>132</v>
      </c>
      <c r="N885" s="2" t="s">
        <v>929</v>
      </c>
      <c r="O885" s="2" t="s">
        <v>115</v>
      </c>
      <c r="P885" s="2" t="str">
        <f>"2170560618                    "</f>
        <v xml:space="preserve">2170560618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4.29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1</v>
      </c>
      <c r="BJ885" s="2">
        <v>0.2</v>
      </c>
      <c r="BK885" s="2">
        <v>1</v>
      </c>
      <c r="BL885" s="2">
        <v>41.73</v>
      </c>
      <c r="BM885" s="2">
        <v>5.84</v>
      </c>
      <c r="BN885" s="2">
        <v>47.57</v>
      </c>
      <c r="BO885" s="2">
        <v>47.57</v>
      </c>
      <c r="BP885" s="2"/>
      <c r="BQ885" s="2"/>
      <c r="BR885" s="2" t="s">
        <v>123</v>
      </c>
      <c r="BS885" s="3">
        <v>42831</v>
      </c>
      <c r="BT885" s="4">
        <v>0.3576388888888889</v>
      </c>
      <c r="BU885" s="2" t="s">
        <v>930</v>
      </c>
      <c r="BV885" s="2" t="s">
        <v>111</v>
      </c>
      <c r="BW885" s="2"/>
      <c r="BX885" s="2"/>
      <c r="BY885" s="2">
        <v>1200</v>
      </c>
      <c r="BZ885" s="2" t="s">
        <v>27</v>
      </c>
      <c r="CA885" s="2"/>
      <c r="CB885" s="2"/>
      <c r="CC885" s="2" t="s">
        <v>132</v>
      </c>
      <c r="CD885" s="2">
        <v>7500</v>
      </c>
      <c r="CE885" s="2" t="s">
        <v>144</v>
      </c>
      <c r="CF885" s="2"/>
      <c r="CG885" s="2"/>
      <c r="CH885" s="2"/>
      <c r="CI885" s="2">
        <v>1</v>
      </c>
      <c r="CJ885" s="2">
        <v>1</v>
      </c>
      <c r="CK885" s="2">
        <v>21</v>
      </c>
      <c r="CL885" s="2" t="s">
        <v>86</v>
      </c>
      <c r="CM885" s="2"/>
    </row>
    <row r="886" spans="1:91">
      <c r="A886" s="2" t="s">
        <v>71</v>
      </c>
      <c r="B886" s="2" t="s">
        <v>72</v>
      </c>
      <c r="C886" s="2" t="s">
        <v>73</v>
      </c>
      <c r="D886" s="2"/>
      <c r="E886" s="2" t="str">
        <f>"FES1162542980"</f>
        <v>FES1162542980</v>
      </c>
      <c r="F886" s="3">
        <v>42836</v>
      </c>
      <c r="G886" s="2">
        <v>201710</v>
      </c>
      <c r="H886" s="2" t="s">
        <v>74</v>
      </c>
      <c r="I886" s="2" t="s">
        <v>75</v>
      </c>
      <c r="J886" s="2" t="s">
        <v>76</v>
      </c>
      <c r="K886" s="2" t="s">
        <v>77</v>
      </c>
      <c r="L886" s="2" t="s">
        <v>358</v>
      </c>
      <c r="M886" s="2" t="s">
        <v>359</v>
      </c>
      <c r="N886" s="2" t="s">
        <v>546</v>
      </c>
      <c r="O886" s="2" t="s">
        <v>115</v>
      </c>
      <c r="P886" s="2" t="str">
        <f>"21705614499                   "</f>
        <v xml:space="preserve">21705614499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17.149999999999999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8</v>
      </c>
      <c r="BJ886" s="2">
        <v>4.0999999999999996</v>
      </c>
      <c r="BK886" s="2">
        <v>8</v>
      </c>
      <c r="BL886" s="2">
        <v>166.91</v>
      </c>
      <c r="BM886" s="2">
        <v>23.37</v>
      </c>
      <c r="BN886" s="2">
        <v>190.28</v>
      </c>
      <c r="BO886" s="2">
        <v>190.28</v>
      </c>
      <c r="BP886" s="2"/>
      <c r="BQ886" s="2" t="s">
        <v>547</v>
      </c>
      <c r="BR886" s="2" t="s">
        <v>123</v>
      </c>
      <c r="BS886" s="3">
        <v>42837</v>
      </c>
      <c r="BT886" s="4">
        <v>0.41111111111111115</v>
      </c>
      <c r="BU886" s="2" t="s">
        <v>1500</v>
      </c>
      <c r="BV886" s="2" t="s">
        <v>111</v>
      </c>
      <c r="BW886" s="2"/>
      <c r="BX886" s="2"/>
      <c r="BY886" s="2">
        <v>20577.12</v>
      </c>
      <c r="BZ886" s="2" t="s">
        <v>27</v>
      </c>
      <c r="CA886" s="2"/>
      <c r="CB886" s="2"/>
      <c r="CC886" s="2" t="s">
        <v>359</v>
      </c>
      <c r="CD886" s="2">
        <v>6230</v>
      </c>
      <c r="CE886" s="2" t="s">
        <v>172</v>
      </c>
      <c r="CF886" s="5">
        <v>42838</v>
      </c>
      <c r="CG886" s="2"/>
      <c r="CH886" s="2"/>
      <c r="CI886" s="2">
        <v>1</v>
      </c>
      <c r="CJ886" s="2">
        <v>1</v>
      </c>
      <c r="CK886" s="2">
        <v>21</v>
      </c>
      <c r="CL886" s="2" t="s">
        <v>86</v>
      </c>
      <c r="CM886" s="2"/>
    </row>
    <row r="887" spans="1:91">
      <c r="A887" s="2" t="s">
        <v>71</v>
      </c>
      <c r="B887" s="2" t="s">
        <v>72</v>
      </c>
      <c r="C887" s="2" t="s">
        <v>73</v>
      </c>
      <c r="D887" s="2"/>
      <c r="E887" s="2" t="str">
        <f>"FES1162542211"</f>
        <v>FES1162542211</v>
      </c>
      <c r="F887" s="3">
        <v>42831</v>
      </c>
      <c r="G887" s="2">
        <v>201710</v>
      </c>
      <c r="H887" s="2" t="s">
        <v>74</v>
      </c>
      <c r="I887" s="2" t="s">
        <v>75</v>
      </c>
      <c r="J887" s="2" t="s">
        <v>76</v>
      </c>
      <c r="K887" s="2" t="s">
        <v>77</v>
      </c>
      <c r="L887" s="2" t="s">
        <v>131</v>
      </c>
      <c r="M887" s="2" t="s">
        <v>132</v>
      </c>
      <c r="N887" s="2" t="s">
        <v>363</v>
      </c>
      <c r="O887" s="2" t="s">
        <v>115</v>
      </c>
      <c r="P887" s="2" t="str">
        <f>"2170561106                    "</f>
        <v xml:space="preserve">2170561106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18.22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2</v>
      </c>
      <c r="BI887" s="2">
        <v>8.4</v>
      </c>
      <c r="BJ887" s="2">
        <v>5.3</v>
      </c>
      <c r="BK887" s="2">
        <v>8.5</v>
      </c>
      <c r="BL887" s="2">
        <v>177.34</v>
      </c>
      <c r="BM887" s="2">
        <v>24.83</v>
      </c>
      <c r="BN887" s="2">
        <v>202.17</v>
      </c>
      <c r="BO887" s="2">
        <v>202.17</v>
      </c>
      <c r="BP887" s="2"/>
      <c r="BQ887" s="2" t="s">
        <v>170</v>
      </c>
      <c r="BR887" s="2" t="s">
        <v>123</v>
      </c>
      <c r="BS887" s="3">
        <v>42835</v>
      </c>
      <c r="BT887" s="4">
        <v>0.41666666666666669</v>
      </c>
      <c r="BU887" s="2" t="s">
        <v>364</v>
      </c>
      <c r="BV887" s="2" t="s">
        <v>86</v>
      </c>
      <c r="BW887" s="2" t="s">
        <v>157</v>
      </c>
      <c r="BX887" s="2" t="s">
        <v>158</v>
      </c>
      <c r="BY887" s="2">
        <v>26560.9</v>
      </c>
      <c r="BZ887" s="2" t="s">
        <v>27</v>
      </c>
      <c r="CA887" s="2"/>
      <c r="CB887" s="2"/>
      <c r="CC887" s="2" t="s">
        <v>132</v>
      </c>
      <c r="CD887" s="2">
        <v>7441</v>
      </c>
      <c r="CE887" s="2" t="s">
        <v>135</v>
      </c>
      <c r="CF887" s="5">
        <v>42836</v>
      </c>
      <c r="CG887" s="2"/>
      <c r="CH887" s="2"/>
      <c r="CI887" s="2">
        <v>1</v>
      </c>
      <c r="CJ887" s="2">
        <v>2</v>
      </c>
      <c r="CK887" s="2">
        <v>21</v>
      </c>
      <c r="CL887" s="2" t="s">
        <v>86</v>
      </c>
      <c r="CM887" s="2"/>
    </row>
    <row r="888" spans="1:91">
      <c r="A888" s="2" t="s">
        <v>71</v>
      </c>
      <c r="B888" s="2" t="s">
        <v>72</v>
      </c>
      <c r="C888" s="2" t="s">
        <v>73</v>
      </c>
      <c r="D888" s="2"/>
      <c r="E888" s="2" t="str">
        <f>"FES1162541197"</f>
        <v>FES1162541197</v>
      </c>
      <c r="F888" s="3">
        <v>42829</v>
      </c>
      <c r="G888" s="2">
        <v>201710</v>
      </c>
      <c r="H888" s="2" t="s">
        <v>74</v>
      </c>
      <c r="I888" s="2" t="s">
        <v>75</v>
      </c>
      <c r="J888" s="2" t="s">
        <v>76</v>
      </c>
      <c r="K888" s="2" t="s">
        <v>77</v>
      </c>
      <c r="L888" s="2" t="s">
        <v>443</v>
      </c>
      <c r="M888" s="2" t="s">
        <v>444</v>
      </c>
      <c r="N888" s="2" t="s">
        <v>627</v>
      </c>
      <c r="O888" s="2" t="s">
        <v>115</v>
      </c>
      <c r="P888" s="2" t="str">
        <f>"2170560088                    "</f>
        <v xml:space="preserve">2170560088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48.64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4</v>
      </c>
      <c r="BI888" s="2">
        <v>22</v>
      </c>
      <c r="BJ888" s="2">
        <v>6.6</v>
      </c>
      <c r="BK888" s="2">
        <v>22</v>
      </c>
      <c r="BL888" s="2">
        <v>460.48</v>
      </c>
      <c r="BM888" s="2">
        <v>64.47</v>
      </c>
      <c r="BN888" s="2">
        <v>524.95000000000005</v>
      </c>
      <c r="BO888" s="2">
        <v>524.95000000000005</v>
      </c>
      <c r="BP888" s="2"/>
      <c r="BQ888" s="2" t="s">
        <v>628</v>
      </c>
      <c r="BR888" s="2" t="s">
        <v>123</v>
      </c>
      <c r="BS888" s="3">
        <v>42830</v>
      </c>
      <c r="BT888" s="4">
        <v>0.41666666666666669</v>
      </c>
      <c r="BU888" s="2" t="s">
        <v>853</v>
      </c>
      <c r="BV888" s="2" t="s">
        <v>111</v>
      </c>
      <c r="BW888" s="2"/>
      <c r="BX888" s="2"/>
      <c r="BY888" s="2">
        <v>33054.04</v>
      </c>
      <c r="BZ888" s="2" t="s">
        <v>27</v>
      </c>
      <c r="CA888" s="2" t="s">
        <v>159</v>
      </c>
      <c r="CB888" s="2"/>
      <c r="CC888" s="2" t="s">
        <v>444</v>
      </c>
      <c r="CD888" s="2">
        <v>7130</v>
      </c>
      <c r="CE888" s="2" t="s">
        <v>1501</v>
      </c>
      <c r="CF888" s="5">
        <v>42831</v>
      </c>
      <c r="CG888" s="2"/>
      <c r="CH888" s="2"/>
      <c r="CI888" s="2">
        <v>1</v>
      </c>
      <c r="CJ888" s="2">
        <v>1</v>
      </c>
      <c r="CK888" s="2">
        <v>21</v>
      </c>
      <c r="CL888" s="2" t="s">
        <v>86</v>
      </c>
      <c r="CM888" s="2"/>
    </row>
    <row r="889" spans="1:91">
      <c r="A889" s="2" t="s">
        <v>71</v>
      </c>
      <c r="B889" s="2" t="s">
        <v>72</v>
      </c>
      <c r="C889" s="2" t="s">
        <v>73</v>
      </c>
      <c r="D889" s="2"/>
      <c r="E889" s="2" t="str">
        <f>"FES1162543070"</f>
        <v>FES1162543070</v>
      </c>
      <c r="F889" s="3">
        <v>42836</v>
      </c>
      <c r="G889" s="2">
        <v>201710</v>
      </c>
      <c r="H889" s="2" t="s">
        <v>74</v>
      </c>
      <c r="I889" s="2" t="s">
        <v>75</v>
      </c>
      <c r="J889" s="2" t="s">
        <v>76</v>
      </c>
      <c r="K889" s="2" t="s">
        <v>77</v>
      </c>
      <c r="L889" s="2" t="s">
        <v>401</v>
      </c>
      <c r="M889" s="2" t="s">
        <v>402</v>
      </c>
      <c r="N889" s="2" t="s">
        <v>403</v>
      </c>
      <c r="O889" s="2" t="s">
        <v>115</v>
      </c>
      <c r="P889" s="2" t="str">
        <f>"2170561854                    "</f>
        <v xml:space="preserve">2170561854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4.29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1.8</v>
      </c>
      <c r="BJ889" s="2">
        <v>0.9</v>
      </c>
      <c r="BK889" s="2">
        <v>2</v>
      </c>
      <c r="BL889" s="2">
        <v>41.73</v>
      </c>
      <c r="BM889" s="2">
        <v>5.84</v>
      </c>
      <c r="BN889" s="2">
        <v>47.57</v>
      </c>
      <c r="BO889" s="2">
        <v>47.57</v>
      </c>
      <c r="BP889" s="2"/>
      <c r="BQ889" s="2" t="s">
        <v>83</v>
      </c>
      <c r="BR889" s="2" t="s">
        <v>123</v>
      </c>
      <c r="BS889" s="3">
        <v>42837</v>
      </c>
      <c r="BT889" s="4">
        <v>0.4375</v>
      </c>
      <c r="BU889" s="2" t="s">
        <v>404</v>
      </c>
      <c r="BV889" s="2" t="s">
        <v>111</v>
      </c>
      <c r="BW889" s="2"/>
      <c r="BX889" s="2"/>
      <c r="BY889" s="2">
        <v>4575.45</v>
      </c>
      <c r="BZ889" s="2" t="s">
        <v>27</v>
      </c>
      <c r="CA889" s="2"/>
      <c r="CB889" s="2"/>
      <c r="CC889" s="2" t="s">
        <v>402</v>
      </c>
      <c r="CD889" s="2">
        <v>4110</v>
      </c>
      <c r="CE889" s="2" t="s">
        <v>172</v>
      </c>
      <c r="CF889" s="5">
        <v>42843</v>
      </c>
      <c r="CG889" s="2"/>
      <c r="CH889" s="2"/>
      <c r="CI889" s="2">
        <v>1</v>
      </c>
      <c r="CJ889" s="2">
        <v>1</v>
      </c>
      <c r="CK889" s="2">
        <v>21</v>
      </c>
      <c r="CL889" s="2" t="s">
        <v>86</v>
      </c>
      <c r="CM889" s="2"/>
    </row>
    <row r="890" spans="1:91">
      <c r="A890" s="2" t="s">
        <v>71</v>
      </c>
      <c r="B890" s="2" t="s">
        <v>72</v>
      </c>
      <c r="C890" s="2" t="s">
        <v>73</v>
      </c>
      <c r="D890" s="2"/>
      <c r="E890" s="2" t="str">
        <f>"FES1162542011"</f>
        <v>FES1162542011</v>
      </c>
      <c r="F890" s="3">
        <v>42831</v>
      </c>
      <c r="G890" s="2">
        <v>201710</v>
      </c>
      <c r="H890" s="2" t="s">
        <v>74</v>
      </c>
      <c r="I890" s="2" t="s">
        <v>75</v>
      </c>
      <c r="J890" s="2" t="s">
        <v>76</v>
      </c>
      <c r="K890" s="2" t="s">
        <v>77</v>
      </c>
      <c r="L890" s="2" t="s">
        <v>166</v>
      </c>
      <c r="M890" s="2" t="s">
        <v>167</v>
      </c>
      <c r="N890" s="2" t="s">
        <v>1285</v>
      </c>
      <c r="O890" s="2" t="s">
        <v>115</v>
      </c>
      <c r="P890" s="2" t="str">
        <f>"2170558787                    "</f>
        <v xml:space="preserve">2170558787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3.35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1</v>
      </c>
      <c r="BJ890" s="2">
        <v>0.2</v>
      </c>
      <c r="BK890" s="2">
        <v>1</v>
      </c>
      <c r="BL890" s="2">
        <v>32.6</v>
      </c>
      <c r="BM890" s="2">
        <v>4.5599999999999996</v>
      </c>
      <c r="BN890" s="2">
        <v>37.159999999999997</v>
      </c>
      <c r="BO890" s="2">
        <v>37.159999999999997</v>
      </c>
      <c r="BP890" s="2"/>
      <c r="BQ890" s="2" t="s">
        <v>122</v>
      </c>
      <c r="BR890" s="2" t="s">
        <v>123</v>
      </c>
      <c r="BS890" s="3">
        <v>42832</v>
      </c>
      <c r="BT890" s="4">
        <v>0.43541666666666662</v>
      </c>
      <c r="BU890" s="2" t="s">
        <v>124</v>
      </c>
      <c r="BV890" s="2" t="s">
        <v>111</v>
      </c>
      <c r="BW890" s="2"/>
      <c r="BX890" s="2"/>
      <c r="BY890" s="2">
        <v>1200</v>
      </c>
      <c r="BZ890" s="2" t="s">
        <v>27</v>
      </c>
      <c r="CA890" s="2"/>
      <c r="CB890" s="2"/>
      <c r="CC890" s="2" t="s">
        <v>167</v>
      </c>
      <c r="CD890" s="2">
        <v>2197</v>
      </c>
      <c r="CE890" s="2" t="s">
        <v>118</v>
      </c>
      <c r="CF890" s="5">
        <v>42835</v>
      </c>
      <c r="CG890" s="2"/>
      <c r="CH890" s="2"/>
      <c r="CI890" s="2">
        <v>1</v>
      </c>
      <c r="CJ890" s="2">
        <v>1</v>
      </c>
      <c r="CK890" s="2">
        <v>22</v>
      </c>
      <c r="CL890" s="2" t="s">
        <v>86</v>
      </c>
      <c r="CM890" s="2"/>
    </row>
    <row r="891" spans="1:91">
      <c r="A891" s="2" t="s">
        <v>71</v>
      </c>
      <c r="B891" s="2" t="s">
        <v>72</v>
      </c>
      <c r="C891" s="2" t="s">
        <v>73</v>
      </c>
      <c r="D891" s="2"/>
      <c r="E891" s="2" t="str">
        <f>"FES1162541559"</f>
        <v>FES1162541559</v>
      </c>
      <c r="F891" s="3">
        <v>42830</v>
      </c>
      <c r="G891" s="2">
        <v>201710</v>
      </c>
      <c r="H891" s="2" t="s">
        <v>74</v>
      </c>
      <c r="I891" s="2" t="s">
        <v>75</v>
      </c>
      <c r="J891" s="2" t="s">
        <v>76</v>
      </c>
      <c r="K891" s="2" t="s">
        <v>77</v>
      </c>
      <c r="L891" s="2" t="s">
        <v>131</v>
      </c>
      <c r="M891" s="2" t="s">
        <v>132</v>
      </c>
      <c r="N891" s="2" t="s">
        <v>1502</v>
      </c>
      <c r="O891" s="2" t="s">
        <v>115</v>
      </c>
      <c r="P891" s="2" t="str">
        <f>"2170560649                    "</f>
        <v xml:space="preserve">2170560649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4.29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</v>
      </c>
      <c r="BJ891" s="2">
        <v>1.4</v>
      </c>
      <c r="BK891" s="2">
        <v>1.5</v>
      </c>
      <c r="BL891" s="2">
        <v>41.73</v>
      </c>
      <c r="BM891" s="2">
        <v>5.84</v>
      </c>
      <c r="BN891" s="2">
        <v>47.57</v>
      </c>
      <c r="BO891" s="2">
        <v>47.57</v>
      </c>
      <c r="BP891" s="2"/>
      <c r="BQ891" s="2" t="s">
        <v>129</v>
      </c>
      <c r="BR891" s="2" t="s">
        <v>123</v>
      </c>
      <c r="BS891" s="3">
        <v>42831</v>
      </c>
      <c r="BT891" s="4">
        <v>0.41666666666666669</v>
      </c>
      <c r="BU891" s="2" t="s">
        <v>1503</v>
      </c>
      <c r="BV891" s="2" t="s">
        <v>111</v>
      </c>
      <c r="BW891" s="2"/>
      <c r="BX891" s="2"/>
      <c r="BY891" s="2">
        <v>6859.78</v>
      </c>
      <c r="BZ891" s="2" t="s">
        <v>27</v>
      </c>
      <c r="CA891" s="2"/>
      <c r="CB891" s="2"/>
      <c r="CC891" s="2" t="s">
        <v>132</v>
      </c>
      <c r="CD891" s="2">
        <v>7925</v>
      </c>
      <c r="CE891" s="2" t="s">
        <v>144</v>
      </c>
      <c r="CF891" s="5">
        <v>42832</v>
      </c>
      <c r="CG891" s="2"/>
      <c r="CH891" s="2"/>
      <c r="CI891" s="2">
        <v>1</v>
      </c>
      <c r="CJ891" s="2">
        <v>1</v>
      </c>
      <c r="CK891" s="2">
        <v>21</v>
      </c>
      <c r="CL891" s="2" t="s">
        <v>86</v>
      </c>
      <c r="CM891" s="2"/>
    </row>
    <row r="892" spans="1:91">
      <c r="A892" s="2" t="s">
        <v>71</v>
      </c>
      <c r="B892" s="2" t="s">
        <v>72</v>
      </c>
      <c r="C892" s="2" t="s">
        <v>73</v>
      </c>
      <c r="D892" s="2"/>
      <c r="E892" s="2" t="str">
        <f>"FES1162543104"</f>
        <v>FES1162543104</v>
      </c>
      <c r="F892" s="3">
        <v>42836</v>
      </c>
      <c r="G892" s="2">
        <v>201710</v>
      </c>
      <c r="H892" s="2" t="s">
        <v>74</v>
      </c>
      <c r="I892" s="2" t="s">
        <v>75</v>
      </c>
      <c r="J892" s="2" t="s">
        <v>76</v>
      </c>
      <c r="K892" s="2" t="s">
        <v>77</v>
      </c>
      <c r="L892" s="2" t="s">
        <v>99</v>
      </c>
      <c r="M892" s="2" t="s">
        <v>100</v>
      </c>
      <c r="N892" s="2" t="s">
        <v>1504</v>
      </c>
      <c r="O892" s="2" t="s">
        <v>115</v>
      </c>
      <c r="P892" s="2" t="str">
        <f>"2170561898                    "</f>
        <v xml:space="preserve">2170561898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4.29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1</v>
      </c>
      <c r="BJ892" s="2">
        <v>0.2</v>
      </c>
      <c r="BK892" s="2">
        <v>1</v>
      </c>
      <c r="BL892" s="2">
        <v>41.73</v>
      </c>
      <c r="BM892" s="2">
        <v>5.84</v>
      </c>
      <c r="BN892" s="2">
        <v>47.57</v>
      </c>
      <c r="BO892" s="2">
        <v>47.57</v>
      </c>
      <c r="BP892" s="2"/>
      <c r="BQ892" s="2" t="s">
        <v>1505</v>
      </c>
      <c r="BR892" s="2" t="s">
        <v>123</v>
      </c>
      <c r="BS892" s="3">
        <v>42837</v>
      </c>
      <c r="BT892" s="4">
        <v>0.30208333333333331</v>
      </c>
      <c r="BU892" s="2" t="s">
        <v>1506</v>
      </c>
      <c r="BV892" s="2" t="s">
        <v>111</v>
      </c>
      <c r="BW892" s="2"/>
      <c r="BX892" s="2"/>
      <c r="BY892" s="2">
        <v>1200</v>
      </c>
      <c r="BZ892" s="2" t="s">
        <v>27</v>
      </c>
      <c r="CA892" s="2" t="s">
        <v>106</v>
      </c>
      <c r="CB892" s="2"/>
      <c r="CC892" s="2" t="s">
        <v>100</v>
      </c>
      <c r="CD892" s="2">
        <v>6012</v>
      </c>
      <c r="CE892" s="2" t="s">
        <v>118</v>
      </c>
      <c r="CF892" s="5">
        <v>42837</v>
      </c>
      <c r="CG892" s="2"/>
      <c r="CH892" s="2"/>
      <c r="CI892" s="2">
        <v>1</v>
      </c>
      <c r="CJ892" s="2">
        <v>1</v>
      </c>
      <c r="CK892" s="2">
        <v>21</v>
      </c>
      <c r="CL892" s="2" t="s">
        <v>86</v>
      </c>
      <c r="CM892" s="2"/>
    </row>
    <row r="893" spans="1:91">
      <c r="A893" s="2" t="s">
        <v>71</v>
      </c>
      <c r="B893" s="2" t="s">
        <v>72</v>
      </c>
      <c r="C893" s="2" t="s">
        <v>73</v>
      </c>
      <c r="D893" s="2"/>
      <c r="E893" s="2" t="str">
        <f>"FES1162542163"</f>
        <v>FES1162542163</v>
      </c>
      <c r="F893" s="3">
        <v>42831</v>
      </c>
      <c r="G893" s="2">
        <v>201710</v>
      </c>
      <c r="H893" s="2" t="s">
        <v>74</v>
      </c>
      <c r="I893" s="2" t="s">
        <v>75</v>
      </c>
      <c r="J893" s="2" t="s">
        <v>76</v>
      </c>
      <c r="K893" s="2" t="s">
        <v>77</v>
      </c>
      <c r="L893" s="2" t="s">
        <v>220</v>
      </c>
      <c r="M893" s="2" t="s">
        <v>221</v>
      </c>
      <c r="N893" s="2" t="s">
        <v>222</v>
      </c>
      <c r="O893" s="2" t="s">
        <v>115</v>
      </c>
      <c r="P893" s="2" t="str">
        <f>"2170561602                    "</f>
        <v xml:space="preserve">2170561602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66.45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9.9</v>
      </c>
      <c r="BJ893" s="2">
        <v>31</v>
      </c>
      <c r="BK893" s="2">
        <v>31</v>
      </c>
      <c r="BL893" s="2">
        <v>646.77</v>
      </c>
      <c r="BM893" s="2">
        <v>90.55</v>
      </c>
      <c r="BN893" s="2">
        <v>737.32</v>
      </c>
      <c r="BO893" s="2">
        <v>737.32</v>
      </c>
      <c r="BP893" s="2"/>
      <c r="BQ893" s="2" t="s">
        <v>223</v>
      </c>
      <c r="BR893" s="2" t="s">
        <v>123</v>
      </c>
      <c r="BS893" s="3">
        <v>42832</v>
      </c>
      <c r="BT893" s="4">
        <v>0.39374999999999999</v>
      </c>
      <c r="BU893" s="2" t="s">
        <v>223</v>
      </c>
      <c r="BV893" s="2" t="s">
        <v>111</v>
      </c>
      <c r="BW893" s="2"/>
      <c r="BX893" s="2"/>
      <c r="BY893" s="2">
        <v>155066.57</v>
      </c>
      <c r="BZ893" s="2" t="s">
        <v>27</v>
      </c>
      <c r="CA893" s="2"/>
      <c r="CB893" s="2"/>
      <c r="CC893" s="2" t="s">
        <v>221</v>
      </c>
      <c r="CD893" s="2">
        <v>6536</v>
      </c>
      <c r="CE893" s="2" t="s">
        <v>89</v>
      </c>
      <c r="CF893" s="5">
        <v>42836</v>
      </c>
      <c r="CG893" s="2"/>
      <c r="CH893" s="2"/>
      <c r="CI893" s="2">
        <v>1</v>
      </c>
      <c r="CJ893" s="2">
        <v>1</v>
      </c>
      <c r="CK893" s="2">
        <v>21</v>
      </c>
      <c r="CL893" s="2" t="s">
        <v>86</v>
      </c>
      <c r="CM893" s="2"/>
    </row>
    <row r="894" spans="1:91">
      <c r="A894" s="2" t="s">
        <v>71</v>
      </c>
      <c r="B894" s="2" t="s">
        <v>72</v>
      </c>
      <c r="C894" s="2" t="s">
        <v>73</v>
      </c>
      <c r="D894" s="2"/>
      <c r="E894" s="2" t="str">
        <f>"FES1162541310"</f>
        <v>FES1162541310</v>
      </c>
      <c r="F894" s="3">
        <v>42829</v>
      </c>
      <c r="G894" s="2">
        <v>201710</v>
      </c>
      <c r="H894" s="2" t="s">
        <v>74</v>
      </c>
      <c r="I894" s="2" t="s">
        <v>75</v>
      </c>
      <c r="J894" s="2" t="s">
        <v>76</v>
      </c>
      <c r="K894" s="2" t="s">
        <v>77</v>
      </c>
      <c r="L894" s="2" t="s">
        <v>131</v>
      </c>
      <c r="M894" s="2" t="s">
        <v>132</v>
      </c>
      <c r="N894" s="2" t="s">
        <v>731</v>
      </c>
      <c r="O894" s="2" t="s">
        <v>115</v>
      </c>
      <c r="P894" s="2" t="str">
        <f>"2170560380                    "</f>
        <v xml:space="preserve">2170560380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4.42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1.2</v>
      </c>
      <c r="BJ894" s="2">
        <v>0.2</v>
      </c>
      <c r="BK894" s="2">
        <v>1.5</v>
      </c>
      <c r="BL894" s="2">
        <v>41.86</v>
      </c>
      <c r="BM894" s="2">
        <v>5.86</v>
      </c>
      <c r="BN894" s="2">
        <v>47.72</v>
      </c>
      <c r="BO894" s="2">
        <v>47.72</v>
      </c>
      <c r="BP894" s="2"/>
      <c r="BQ894" s="2" t="s">
        <v>732</v>
      </c>
      <c r="BR894" s="2" t="s">
        <v>123</v>
      </c>
      <c r="BS894" s="3">
        <v>42830</v>
      </c>
      <c r="BT894" s="4">
        <v>0.4861111111111111</v>
      </c>
      <c r="BU894" s="2" t="s">
        <v>1418</v>
      </c>
      <c r="BV894" s="2" t="s">
        <v>111</v>
      </c>
      <c r="BW894" s="2"/>
      <c r="BX894" s="2"/>
      <c r="BY894" s="2">
        <v>1200</v>
      </c>
      <c r="BZ894" s="2" t="s">
        <v>27</v>
      </c>
      <c r="CA894" s="2"/>
      <c r="CB894" s="2"/>
      <c r="CC894" s="2" t="s">
        <v>132</v>
      </c>
      <c r="CD894" s="2">
        <v>7945</v>
      </c>
      <c r="CE894" s="2" t="s">
        <v>144</v>
      </c>
      <c r="CF894" s="5">
        <v>42831</v>
      </c>
      <c r="CG894" s="2"/>
      <c r="CH894" s="2"/>
      <c r="CI894" s="2">
        <v>1</v>
      </c>
      <c r="CJ894" s="2">
        <v>1</v>
      </c>
      <c r="CK894" s="2">
        <v>21</v>
      </c>
      <c r="CL894" s="2" t="s">
        <v>86</v>
      </c>
      <c r="CM894" s="2"/>
    </row>
    <row r="895" spans="1:91">
      <c r="A895" s="2" t="s">
        <v>71</v>
      </c>
      <c r="B895" s="2" t="s">
        <v>72</v>
      </c>
      <c r="C895" s="2" t="s">
        <v>73</v>
      </c>
      <c r="D895" s="2"/>
      <c r="E895" s="2" t="str">
        <f>"FES1162542824"</f>
        <v>FES1162542824</v>
      </c>
      <c r="F895" s="3">
        <v>42836</v>
      </c>
      <c r="G895" s="2">
        <v>201710</v>
      </c>
      <c r="H895" s="2" t="s">
        <v>74</v>
      </c>
      <c r="I895" s="2" t="s">
        <v>75</v>
      </c>
      <c r="J895" s="2" t="s">
        <v>76</v>
      </c>
      <c r="K895" s="2" t="s">
        <v>77</v>
      </c>
      <c r="L895" s="2" t="s">
        <v>176</v>
      </c>
      <c r="M895" s="2" t="s">
        <v>176</v>
      </c>
      <c r="N895" s="2" t="s">
        <v>177</v>
      </c>
      <c r="O895" s="2" t="s">
        <v>115</v>
      </c>
      <c r="P895" s="2" t="str">
        <f>"2170560058                    "</f>
        <v xml:space="preserve">2170560058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4.29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1</v>
      </c>
      <c r="BI895" s="2">
        <v>1.3</v>
      </c>
      <c r="BJ895" s="2">
        <v>1.9</v>
      </c>
      <c r="BK895" s="2">
        <v>2</v>
      </c>
      <c r="BL895" s="2">
        <v>41.73</v>
      </c>
      <c r="BM895" s="2">
        <v>5.84</v>
      </c>
      <c r="BN895" s="2">
        <v>47.57</v>
      </c>
      <c r="BO895" s="2">
        <v>47.57</v>
      </c>
      <c r="BP895" s="2"/>
      <c r="BQ895" s="2" t="s">
        <v>178</v>
      </c>
      <c r="BR895" s="2" t="s">
        <v>123</v>
      </c>
      <c r="BS895" s="3">
        <v>42837</v>
      </c>
      <c r="BT895" s="4">
        <v>0.54513888888888895</v>
      </c>
      <c r="BU895" s="2" t="s">
        <v>630</v>
      </c>
      <c r="BV895" s="2" t="s">
        <v>111</v>
      </c>
      <c r="BW895" s="2"/>
      <c r="BX895" s="2"/>
      <c r="BY895" s="2">
        <v>9630.5400000000009</v>
      </c>
      <c r="BZ895" s="2" t="s">
        <v>27</v>
      </c>
      <c r="CA895" s="2"/>
      <c r="CB895" s="2"/>
      <c r="CC895" s="2" t="s">
        <v>176</v>
      </c>
      <c r="CD895" s="2">
        <v>7646</v>
      </c>
      <c r="CE895" s="2" t="s">
        <v>118</v>
      </c>
      <c r="CF895" s="5">
        <v>42838</v>
      </c>
      <c r="CG895" s="2"/>
      <c r="CH895" s="2"/>
      <c r="CI895" s="2">
        <v>1</v>
      </c>
      <c r="CJ895" s="2">
        <v>1</v>
      </c>
      <c r="CK895" s="2">
        <v>21</v>
      </c>
      <c r="CL895" s="2" t="s">
        <v>86</v>
      </c>
      <c r="CM895" s="2"/>
    </row>
    <row r="896" spans="1:91">
      <c r="A896" s="2" t="s">
        <v>71</v>
      </c>
      <c r="B896" s="2" t="s">
        <v>72</v>
      </c>
      <c r="C896" s="2" t="s">
        <v>73</v>
      </c>
      <c r="D896" s="2"/>
      <c r="E896" s="2" t="str">
        <f>"FES1162542237"</f>
        <v>FES1162542237</v>
      </c>
      <c r="F896" s="3">
        <v>42831</v>
      </c>
      <c r="G896" s="2">
        <v>201710</v>
      </c>
      <c r="H896" s="2" t="s">
        <v>74</v>
      </c>
      <c r="I896" s="2" t="s">
        <v>75</v>
      </c>
      <c r="J896" s="2" t="s">
        <v>76</v>
      </c>
      <c r="K896" s="2" t="s">
        <v>77</v>
      </c>
      <c r="L896" s="2" t="s">
        <v>180</v>
      </c>
      <c r="M896" s="2" t="s">
        <v>181</v>
      </c>
      <c r="N896" s="2" t="s">
        <v>605</v>
      </c>
      <c r="O896" s="2" t="s">
        <v>115</v>
      </c>
      <c r="P896" s="2" t="str">
        <f>"2170561100                    "</f>
        <v xml:space="preserve">2170561100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4.29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1</v>
      </c>
      <c r="BJ896" s="2">
        <v>0.2</v>
      </c>
      <c r="BK896" s="2">
        <v>1</v>
      </c>
      <c r="BL896" s="2">
        <v>41.73</v>
      </c>
      <c r="BM896" s="2">
        <v>5.84</v>
      </c>
      <c r="BN896" s="2">
        <v>47.57</v>
      </c>
      <c r="BO896" s="2">
        <v>47.57</v>
      </c>
      <c r="BP896" s="2"/>
      <c r="BQ896" s="2" t="s">
        <v>606</v>
      </c>
      <c r="BR896" s="2" t="s">
        <v>123</v>
      </c>
      <c r="BS896" s="3">
        <v>42835</v>
      </c>
      <c r="BT896" s="4">
        <v>0.4375</v>
      </c>
      <c r="BU896" s="2" t="s">
        <v>607</v>
      </c>
      <c r="BV896" s="2" t="s">
        <v>86</v>
      </c>
      <c r="BW896" s="2" t="s">
        <v>164</v>
      </c>
      <c r="BX896" s="2" t="s">
        <v>88</v>
      </c>
      <c r="BY896" s="2">
        <v>1200</v>
      </c>
      <c r="BZ896" s="2" t="s">
        <v>27</v>
      </c>
      <c r="CA896" s="2"/>
      <c r="CB896" s="2"/>
      <c r="CC896" s="2" t="s">
        <v>181</v>
      </c>
      <c r="CD896" s="2">
        <v>4001</v>
      </c>
      <c r="CE896" s="2" t="s">
        <v>118</v>
      </c>
      <c r="CF896" s="5">
        <v>42836</v>
      </c>
      <c r="CG896" s="2"/>
      <c r="CH896" s="2"/>
      <c r="CI896" s="2">
        <v>1</v>
      </c>
      <c r="CJ896" s="2">
        <v>2</v>
      </c>
      <c r="CK896" s="2">
        <v>21</v>
      </c>
      <c r="CL896" s="2" t="s">
        <v>86</v>
      </c>
      <c r="CM896" s="2"/>
    </row>
    <row r="897" spans="1:91">
      <c r="A897" s="2" t="s">
        <v>71</v>
      </c>
      <c r="B897" s="2" t="s">
        <v>72</v>
      </c>
      <c r="C897" s="2" t="s">
        <v>73</v>
      </c>
      <c r="D897" s="2"/>
      <c r="E897" s="2" t="str">
        <f>"FES1162541596"</f>
        <v>FES1162541596</v>
      </c>
      <c r="F897" s="3">
        <v>42830</v>
      </c>
      <c r="G897" s="2">
        <v>201710</v>
      </c>
      <c r="H897" s="2" t="s">
        <v>74</v>
      </c>
      <c r="I897" s="2" t="s">
        <v>75</v>
      </c>
      <c r="J897" s="2" t="s">
        <v>76</v>
      </c>
      <c r="K897" s="2" t="s">
        <v>77</v>
      </c>
      <c r="L897" s="2" t="s">
        <v>131</v>
      </c>
      <c r="M897" s="2" t="s">
        <v>132</v>
      </c>
      <c r="N897" s="2" t="s">
        <v>1507</v>
      </c>
      <c r="O897" s="2" t="s">
        <v>115</v>
      </c>
      <c r="P897" s="2" t="str">
        <f>"2170553671                    "</f>
        <v xml:space="preserve">2170553671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4.29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1</v>
      </c>
      <c r="BJ897" s="2">
        <v>1.5</v>
      </c>
      <c r="BK897" s="2">
        <v>1.5</v>
      </c>
      <c r="BL897" s="2">
        <v>41.73</v>
      </c>
      <c r="BM897" s="2">
        <v>5.84</v>
      </c>
      <c r="BN897" s="2">
        <v>47.57</v>
      </c>
      <c r="BO897" s="2">
        <v>47.57</v>
      </c>
      <c r="BP897" s="2"/>
      <c r="BQ897" s="2" t="s">
        <v>116</v>
      </c>
      <c r="BR897" s="2" t="s">
        <v>123</v>
      </c>
      <c r="BS897" s="3">
        <v>42831</v>
      </c>
      <c r="BT897" s="4">
        <v>0.37847222222222227</v>
      </c>
      <c r="BU897" s="2" t="s">
        <v>414</v>
      </c>
      <c r="BV897" s="2" t="s">
        <v>111</v>
      </c>
      <c r="BW897" s="2"/>
      <c r="BX897" s="2"/>
      <c r="BY897" s="2">
        <v>7644.05</v>
      </c>
      <c r="BZ897" s="2" t="s">
        <v>27</v>
      </c>
      <c r="CA897" s="2"/>
      <c r="CB897" s="2"/>
      <c r="CC897" s="2" t="s">
        <v>132</v>
      </c>
      <c r="CD897" s="2">
        <v>7490</v>
      </c>
      <c r="CE897" s="2" t="s">
        <v>144</v>
      </c>
      <c r="CF897" s="2"/>
      <c r="CG897" s="2"/>
      <c r="CH897" s="2"/>
      <c r="CI897" s="2">
        <v>1</v>
      </c>
      <c r="CJ897" s="2">
        <v>1</v>
      </c>
      <c r="CK897" s="2">
        <v>21</v>
      </c>
      <c r="CL897" s="2" t="s">
        <v>86</v>
      </c>
      <c r="CM897" s="2"/>
    </row>
    <row r="898" spans="1:91">
      <c r="A898" s="2" t="s">
        <v>71</v>
      </c>
      <c r="B898" s="2" t="s">
        <v>72</v>
      </c>
      <c r="C898" s="2" t="s">
        <v>73</v>
      </c>
      <c r="D898" s="2"/>
      <c r="E898" s="2" t="str">
        <f>"FES1162543128"</f>
        <v>FES1162543128</v>
      </c>
      <c r="F898" s="3">
        <v>42836</v>
      </c>
      <c r="G898" s="2">
        <v>201710</v>
      </c>
      <c r="H898" s="2" t="s">
        <v>74</v>
      </c>
      <c r="I898" s="2" t="s">
        <v>75</v>
      </c>
      <c r="J898" s="2" t="s">
        <v>76</v>
      </c>
      <c r="K898" s="2" t="s">
        <v>77</v>
      </c>
      <c r="L898" s="2" t="s">
        <v>166</v>
      </c>
      <c r="M898" s="2" t="s">
        <v>167</v>
      </c>
      <c r="N898" s="2" t="s">
        <v>329</v>
      </c>
      <c r="O898" s="2" t="s">
        <v>115</v>
      </c>
      <c r="P898" s="2" t="str">
        <f>"2170561914                    "</f>
        <v xml:space="preserve">2170561914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3.35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2.5</v>
      </c>
      <c r="BJ898" s="2">
        <v>4.5999999999999996</v>
      </c>
      <c r="BK898" s="2">
        <v>5</v>
      </c>
      <c r="BL898" s="2">
        <v>32.6</v>
      </c>
      <c r="BM898" s="2">
        <v>4.5599999999999996</v>
      </c>
      <c r="BN898" s="2">
        <v>37.159999999999997</v>
      </c>
      <c r="BO898" s="2">
        <v>37.159999999999997</v>
      </c>
      <c r="BP898" s="2"/>
      <c r="BQ898" s="2" t="s">
        <v>330</v>
      </c>
      <c r="BR898" s="2" t="s">
        <v>84</v>
      </c>
      <c r="BS898" s="3">
        <v>42837</v>
      </c>
      <c r="BT898" s="4">
        <v>0.3611111111111111</v>
      </c>
      <c r="BU898" s="2" t="s">
        <v>1508</v>
      </c>
      <c r="BV898" s="2" t="s">
        <v>111</v>
      </c>
      <c r="BW898" s="2"/>
      <c r="BX898" s="2"/>
      <c r="BY898" s="2">
        <v>22814.54</v>
      </c>
      <c r="BZ898" s="2" t="s">
        <v>27</v>
      </c>
      <c r="CA898" s="2"/>
      <c r="CB898" s="2"/>
      <c r="CC898" s="2" t="s">
        <v>167</v>
      </c>
      <c r="CD898" s="2">
        <v>2090</v>
      </c>
      <c r="CE898" s="2" t="s">
        <v>89</v>
      </c>
      <c r="CF898" s="5">
        <v>42838</v>
      </c>
      <c r="CG898" s="2"/>
      <c r="CH898" s="2"/>
      <c r="CI898" s="2">
        <v>1</v>
      </c>
      <c r="CJ898" s="2">
        <v>1</v>
      </c>
      <c r="CK898" s="2">
        <v>22</v>
      </c>
      <c r="CL898" s="2" t="s">
        <v>86</v>
      </c>
      <c r="CM898" s="2"/>
    </row>
    <row r="899" spans="1:91">
      <c r="A899" s="2" t="s">
        <v>71</v>
      </c>
      <c r="B899" s="2" t="s">
        <v>72</v>
      </c>
      <c r="C899" s="2" t="s">
        <v>73</v>
      </c>
      <c r="D899" s="2"/>
      <c r="E899" s="2" t="str">
        <f>"FES1162542152"</f>
        <v>FES1162542152</v>
      </c>
      <c r="F899" s="3">
        <v>42831</v>
      </c>
      <c r="G899" s="2">
        <v>201710</v>
      </c>
      <c r="H899" s="2" t="s">
        <v>74</v>
      </c>
      <c r="I899" s="2" t="s">
        <v>75</v>
      </c>
      <c r="J899" s="2" t="s">
        <v>76</v>
      </c>
      <c r="K899" s="2" t="s">
        <v>77</v>
      </c>
      <c r="L899" s="2" t="s">
        <v>139</v>
      </c>
      <c r="M899" s="2" t="s">
        <v>140</v>
      </c>
      <c r="N899" s="2" t="s">
        <v>826</v>
      </c>
      <c r="O899" s="2" t="s">
        <v>115</v>
      </c>
      <c r="P899" s="2" t="str">
        <f>"2170560315                    "</f>
        <v xml:space="preserve">2170560315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4.29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1.2</v>
      </c>
      <c r="BJ899" s="2">
        <v>2</v>
      </c>
      <c r="BK899" s="2">
        <v>2</v>
      </c>
      <c r="BL899" s="2">
        <v>41.73</v>
      </c>
      <c r="BM899" s="2">
        <v>5.84</v>
      </c>
      <c r="BN899" s="2">
        <v>47.57</v>
      </c>
      <c r="BO899" s="2">
        <v>47.57</v>
      </c>
      <c r="BP899" s="2"/>
      <c r="BQ899" s="2" t="s">
        <v>827</v>
      </c>
      <c r="BR899" s="2" t="s">
        <v>123</v>
      </c>
      <c r="BS899" s="3">
        <v>42832</v>
      </c>
      <c r="BT899" s="4">
        <v>0.37777777777777777</v>
      </c>
      <c r="BU899" s="2" t="s">
        <v>1509</v>
      </c>
      <c r="BV899" s="2" t="s">
        <v>111</v>
      </c>
      <c r="BW899" s="2"/>
      <c r="BX899" s="2"/>
      <c r="BY899" s="2">
        <v>9932.6299999999992</v>
      </c>
      <c r="BZ899" s="2" t="s">
        <v>27</v>
      </c>
      <c r="CA899" s="2"/>
      <c r="CB899" s="2"/>
      <c r="CC899" s="2" t="s">
        <v>140</v>
      </c>
      <c r="CD899" s="2">
        <v>157</v>
      </c>
      <c r="CE899" s="2" t="s">
        <v>118</v>
      </c>
      <c r="CF899" s="5">
        <v>42837</v>
      </c>
      <c r="CG899" s="2"/>
      <c r="CH899" s="2"/>
      <c r="CI899" s="2">
        <v>0</v>
      </c>
      <c r="CJ899" s="2">
        <v>0</v>
      </c>
      <c r="CK899" s="2">
        <v>21</v>
      </c>
      <c r="CL899" s="2" t="s">
        <v>86</v>
      </c>
      <c r="CM899" s="2"/>
    </row>
    <row r="900" spans="1:91">
      <c r="A900" s="2" t="s">
        <v>71</v>
      </c>
      <c r="B900" s="2" t="s">
        <v>72</v>
      </c>
      <c r="C900" s="2" t="s">
        <v>73</v>
      </c>
      <c r="D900" s="2"/>
      <c r="E900" s="2" t="str">
        <f>"FES1162541232"</f>
        <v>FES1162541232</v>
      </c>
      <c r="F900" s="3">
        <v>42829</v>
      </c>
      <c r="G900" s="2">
        <v>201710</v>
      </c>
      <c r="H900" s="2" t="s">
        <v>74</v>
      </c>
      <c r="I900" s="2" t="s">
        <v>75</v>
      </c>
      <c r="J900" s="2" t="s">
        <v>76</v>
      </c>
      <c r="K900" s="2" t="s">
        <v>77</v>
      </c>
      <c r="L900" s="2" t="s">
        <v>131</v>
      </c>
      <c r="M900" s="2" t="s">
        <v>132</v>
      </c>
      <c r="N900" s="2" t="s">
        <v>1261</v>
      </c>
      <c r="O900" s="2" t="s">
        <v>115</v>
      </c>
      <c r="P900" s="2" t="str">
        <f>"2170559346                    "</f>
        <v xml:space="preserve">2170559346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4.42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1.8</v>
      </c>
      <c r="BJ900" s="2">
        <v>1</v>
      </c>
      <c r="BK900" s="2">
        <v>2</v>
      </c>
      <c r="BL900" s="2">
        <v>41.86</v>
      </c>
      <c r="BM900" s="2">
        <v>5.86</v>
      </c>
      <c r="BN900" s="2">
        <v>47.72</v>
      </c>
      <c r="BO900" s="2">
        <v>47.72</v>
      </c>
      <c r="BP900" s="2"/>
      <c r="BQ900" s="2" t="s">
        <v>129</v>
      </c>
      <c r="BR900" s="2" t="s">
        <v>123</v>
      </c>
      <c r="BS900" s="3">
        <v>42830</v>
      </c>
      <c r="BT900" s="4">
        <v>0.4236111111111111</v>
      </c>
      <c r="BU900" s="2" t="s">
        <v>1201</v>
      </c>
      <c r="BV900" s="2" t="s">
        <v>111</v>
      </c>
      <c r="BW900" s="2"/>
      <c r="BX900" s="2"/>
      <c r="BY900" s="2">
        <v>4816.1000000000004</v>
      </c>
      <c r="BZ900" s="2" t="s">
        <v>27</v>
      </c>
      <c r="CA900" s="2"/>
      <c r="CB900" s="2"/>
      <c r="CC900" s="2" t="s">
        <v>132</v>
      </c>
      <c r="CD900" s="2">
        <v>7530</v>
      </c>
      <c r="CE900" s="2" t="s">
        <v>135</v>
      </c>
      <c r="CF900" s="5">
        <v>42831</v>
      </c>
      <c r="CG900" s="2"/>
      <c r="CH900" s="2"/>
      <c r="CI900" s="2">
        <v>1</v>
      </c>
      <c r="CJ900" s="2">
        <v>1</v>
      </c>
      <c r="CK900" s="2">
        <v>21</v>
      </c>
      <c r="CL900" s="2" t="s">
        <v>86</v>
      </c>
      <c r="CM900" s="2"/>
    </row>
    <row r="901" spans="1:91">
      <c r="A901" s="2" t="s">
        <v>71</v>
      </c>
      <c r="B901" s="2" t="s">
        <v>72</v>
      </c>
      <c r="C901" s="2" t="s">
        <v>73</v>
      </c>
      <c r="D901" s="2"/>
      <c r="E901" s="2" t="str">
        <f>"FES1162542999"</f>
        <v>FES1162542999</v>
      </c>
      <c r="F901" s="3">
        <v>42836</v>
      </c>
      <c r="G901" s="2">
        <v>201710</v>
      </c>
      <c r="H901" s="2" t="s">
        <v>74</v>
      </c>
      <c r="I901" s="2" t="s">
        <v>75</v>
      </c>
      <c r="J901" s="2" t="s">
        <v>76</v>
      </c>
      <c r="K901" s="2" t="s">
        <v>77</v>
      </c>
      <c r="L901" s="2" t="s">
        <v>294</v>
      </c>
      <c r="M901" s="2" t="s">
        <v>295</v>
      </c>
      <c r="N901" s="2" t="s">
        <v>416</v>
      </c>
      <c r="O901" s="2" t="s">
        <v>115</v>
      </c>
      <c r="P901" s="2" t="str">
        <f>"2170561785                    "</f>
        <v xml:space="preserve">2170561785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4.29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1</v>
      </c>
      <c r="BJ901" s="2">
        <v>0.2</v>
      </c>
      <c r="BK901" s="2">
        <v>1</v>
      </c>
      <c r="BL901" s="2">
        <v>41.73</v>
      </c>
      <c r="BM901" s="2">
        <v>5.84</v>
      </c>
      <c r="BN901" s="2">
        <v>47.57</v>
      </c>
      <c r="BO901" s="2">
        <v>47.57</v>
      </c>
      <c r="BP901" s="2"/>
      <c r="BQ901" s="2" t="s">
        <v>417</v>
      </c>
      <c r="BR901" s="2" t="s">
        <v>123</v>
      </c>
      <c r="BS901" s="3">
        <v>42837</v>
      </c>
      <c r="BT901" s="4">
        <v>0.4375</v>
      </c>
      <c r="BU901" s="2" t="s">
        <v>1176</v>
      </c>
      <c r="BV901" s="2" t="s">
        <v>111</v>
      </c>
      <c r="BW901" s="2"/>
      <c r="BX901" s="2"/>
      <c r="BY901" s="2">
        <v>1200</v>
      </c>
      <c r="BZ901" s="2" t="s">
        <v>27</v>
      </c>
      <c r="CA901" s="2"/>
      <c r="CB901" s="2"/>
      <c r="CC901" s="2" t="s">
        <v>295</v>
      </c>
      <c r="CD901" s="2">
        <v>3610</v>
      </c>
      <c r="CE901" s="2" t="s">
        <v>118</v>
      </c>
      <c r="CF901" s="5">
        <v>42843</v>
      </c>
      <c r="CG901" s="2"/>
      <c r="CH901" s="2"/>
      <c r="CI901" s="2">
        <v>1</v>
      </c>
      <c r="CJ901" s="2">
        <v>1</v>
      </c>
      <c r="CK901" s="2">
        <v>21</v>
      </c>
      <c r="CL901" s="2" t="s">
        <v>86</v>
      </c>
      <c r="CM901" s="2"/>
    </row>
    <row r="902" spans="1:91">
      <c r="A902" s="2" t="s">
        <v>71</v>
      </c>
      <c r="B902" s="2" t="s">
        <v>72</v>
      </c>
      <c r="C902" s="2" t="s">
        <v>73</v>
      </c>
      <c r="D902" s="2"/>
      <c r="E902" s="2" t="str">
        <f>"FES1162541900"</f>
        <v>FES1162541900</v>
      </c>
      <c r="F902" s="3">
        <v>42831</v>
      </c>
      <c r="G902" s="2">
        <v>201710</v>
      </c>
      <c r="H902" s="2" t="s">
        <v>74</v>
      </c>
      <c r="I902" s="2" t="s">
        <v>75</v>
      </c>
      <c r="J902" s="2" t="s">
        <v>76</v>
      </c>
      <c r="K902" s="2" t="s">
        <v>77</v>
      </c>
      <c r="L902" s="2" t="s">
        <v>609</v>
      </c>
      <c r="M902" s="2" t="s">
        <v>610</v>
      </c>
      <c r="N902" s="2" t="s">
        <v>1120</v>
      </c>
      <c r="O902" s="2" t="s">
        <v>115</v>
      </c>
      <c r="P902" s="2" t="str">
        <f>"2170558681                    "</f>
        <v xml:space="preserve">2170558681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4.29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1</v>
      </c>
      <c r="BJ902" s="2">
        <v>0.2</v>
      </c>
      <c r="BK902" s="2">
        <v>1</v>
      </c>
      <c r="BL902" s="2">
        <v>41.73</v>
      </c>
      <c r="BM902" s="2">
        <v>5.84</v>
      </c>
      <c r="BN902" s="2">
        <v>47.57</v>
      </c>
      <c r="BO902" s="2">
        <v>47.57</v>
      </c>
      <c r="BP902" s="2"/>
      <c r="BQ902" s="2" t="s">
        <v>1121</v>
      </c>
      <c r="BR902" s="2" t="s">
        <v>123</v>
      </c>
      <c r="BS902" s="3">
        <v>42835</v>
      </c>
      <c r="BT902" s="4">
        <v>0.43402777777777773</v>
      </c>
      <c r="BU902" s="2" t="s">
        <v>1122</v>
      </c>
      <c r="BV902" s="2" t="s">
        <v>86</v>
      </c>
      <c r="BW902" s="2"/>
      <c r="BX902" s="2"/>
      <c r="BY902" s="2">
        <v>1200</v>
      </c>
      <c r="BZ902" s="2" t="s">
        <v>27</v>
      </c>
      <c r="CA902" s="2"/>
      <c r="CB902" s="2"/>
      <c r="CC902" s="2" t="s">
        <v>610</v>
      </c>
      <c r="CD902" s="2">
        <v>1911</v>
      </c>
      <c r="CE902" s="2" t="s">
        <v>118</v>
      </c>
      <c r="CF902" s="5">
        <v>42836</v>
      </c>
      <c r="CG902" s="2"/>
      <c r="CH902" s="2"/>
      <c r="CI902" s="2">
        <v>1</v>
      </c>
      <c r="CJ902" s="2">
        <v>2</v>
      </c>
      <c r="CK902" s="2">
        <v>21</v>
      </c>
      <c r="CL902" s="2" t="s">
        <v>86</v>
      </c>
      <c r="CM902" s="2"/>
    </row>
    <row r="903" spans="1:91">
      <c r="A903" s="2" t="s">
        <v>71</v>
      </c>
      <c r="B903" s="2" t="s">
        <v>72</v>
      </c>
      <c r="C903" s="2" t="s">
        <v>73</v>
      </c>
      <c r="D903" s="2"/>
      <c r="E903" s="2" t="str">
        <f>"FES1162541478"</f>
        <v>FES1162541478</v>
      </c>
      <c r="F903" s="3">
        <v>42830</v>
      </c>
      <c r="G903" s="2">
        <v>201710</v>
      </c>
      <c r="H903" s="2" t="s">
        <v>74</v>
      </c>
      <c r="I903" s="2" t="s">
        <v>75</v>
      </c>
      <c r="J903" s="2" t="s">
        <v>76</v>
      </c>
      <c r="K903" s="2" t="s">
        <v>77</v>
      </c>
      <c r="L903" s="2" t="s">
        <v>166</v>
      </c>
      <c r="M903" s="2" t="s">
        <v>167</v>
      </c>
      <c r="N903" s="2" t="s">
        <v>1510</v>
      </c>
      <c r="O903" s="2" t="s">
        <v>115</v>
      </c>
      <c r="P903" s="2" t="str">
        <f>"2170560562                    "</f>
        <v xml:space="preserve">2170560562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3.35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2.7</v>
      </c>
      <c r="BJ903" s="2">
        <v>2</v>
      </c>
      <c r="BK903" s="2">
        <v>3</v>
      </c>
      <c r="BL903" s="2">
        <v>32.6</v>
      </c>
      <c r="BM903" s="2">
        <v>4.5599999999999996</v>
      </c>
      <c r="BN903" s="2">
        <v>37.159999999999997</v>
      </c>
      <c r="BO903" s="2">
        <v>37.159999999999997</v>
      </c>
      <c r="BP903" s="2"/>
      <c r="BQ903" s="2" t="s">
        <v>122</v>
      </c>
      <c r="BR903" s="2" t="s">
        <v>123</v>
      </c>
      <c r="BS903" s="3">
        <v>42831</v>
      </c>
      <c r="BT903" s="4">
        <v>0.41666666666666669</v>
      </c>
      <c r="BU903" s="2" t="s">
        <v>166</v>
      </c>
      <c r="BV903" s="2" t="s">
        <v>111</v>
      </c>
      <c r="BW903" s="2"/>
      <c r="BX903" s="2"/>
      <c r="BY903" s="2">
        <v>9942.35</v>
      </c>
      <c r="BZ903" s="2" t="s">
        <v>27</v>
      </c>
      <c r="CA903" s="2"/>
      <c r="CB903" s="2"/>
      <c r="CC903" s="2" t="s">
        <v>167</v>
      </c>
      <c r="CD903" s="2">
        <v>2013</v>
      </c>
      <c r="CE903" s="2" t="s">
        <v>118</v>
      </c>
      <c r="CF903" s="5">
        <v>42832</v>
      </c>
      <c r="CG903" s="2"/>
      <c r="CH903" s="2"/>
      <c r="CI903" s="2">
        <v>1</v>
      </c>
      <c r="CJ903" s="2">
        <v>1</v>
      </c>
      <c r="CK903" s="2">
        <v>22</v>
      </c>
      <c r="CL903" s="2" t="s">
        <v>86</v>
      </c>
      <c r="CM903" s="2"/>
    </row>
    <row r="904" spans="1:91">
      <c r="A904" s="2" t="s">
        <v>71</v>
      </c>
      <c r="B904" s="2" t="s">
        <v>72</v>
      </c>
      <c r="C904" s="2" t="s">
        <v>73</v>
      </c>
      <c r="D904" s="2"/>
      <c r="E904" s="2" t="str">
        <f>"FES1162543097"</f>
        <v>FES1162543097</v>
      </c>
      <c r="F904" s="3">
        <v>42836</v>
      </c>
      <c r="G904" s="2">
        <v>201710</v>
      </c>
      <c r="H904" s="2" t="s">
        <v>74</v>
      </c>
      <c r="I904" s="2" t="s">
        <v>75</v>
      </c>
      <c r="J904" s="2" t="s">
        <v>76</v>
      </c>
      <c r="K904" s="2" t="s">
        <v>77</v>
      </c>
      <c r="L904" s="2" t="s">
        <v>160</v>
      </c>
      <c r="M904" s="2" t="s">
        <v>161</v>
      </c>
      <c r="N904" s="2" t="s">
        <v>1511</v>
      </c>
      <c r="O904" s="2" t="s">
        <v>115</v>
      </c>
      <c r="P904" s="2" t="str">
        <f>"2170561887                    "</f>
        <v xml:space="preserve">2170561887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4.29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1</v>
      </c>
      <c r="BJ904" s="2">
        <v>0.2</v>
      </c>
      <c r="BK904" s="2">
        <v>1</v>
      </c>
      <c r="BL904" s="2">
        <v>41.73</v>
      </c>
      <c r="BM904" s="2">
        <v>5.84</v>
      </c>
      <c r="BN904" s="2">
        <v>47.57</v>
      </c>
      <c r="BO904" s="2">
        <v>47.57</v>
      </c>
      <c r="BP904" s="2"/>
      <c r="BQ904" s="2" t="s">
        <v>1512</v>
      </c>
      <c r="BR904" s="2" t="s">
        <v>123</v>
      </c>
      <c r="BS904" s="3">
        <v>42837</v>
      </c>
      <c r="BT904" s="4">
        <v>0.41666666666666669</v>
      </c>
      <c r="BU904" s="2" t="s">
        <v>1513</v>
      </c>
      <c r="BV904" s="2" t="s">
        <v>111</v>
      </c>
      <c r="BW904" s="2"/>
      <c r="BX904" s="2"/>
      <c r="BY904" s="2">
        <v>1200</v>
      </c>
      <c r="BZ904" s="2" t="s">
        <v>27</v>
      </c>
      <c r="CA904" s="2"/>
      <c r="CB904" s="2"/>
      <c r="CC904" s="2" t="s">
        <v>161</v>
      </c>
      <c r="CD904" s="2">
        <v>5201</v>
      </c>
      <c r="CE904" s="2" t="s">
        <v>118</v>
      </c>
      <c r="CF904" s="5">
        <v>42838</v>
      </c>
      <c r="CG904" s="2"/>
      <c r="CH904" s="2"/>
      <c r="CI904" s="2">
        <v>1</v>
      </c>
      <c r="CJ904" s="2">
        <v>1</v>
      </c>
      <c r="CK904" s="2">
        <v>21</v>
      </c>
      <c r="CL904" s="2" t="s">
        <v>86</v>
      </c>
      <c r="CM904" s="2"/>
    </row>
    <row r="905" spans="1:91">
      <c r="A905" s="2" t="s">
        <v>71</v>
      </c>
      <c r="B905" s="2" t="s">
        <v>72</v>
      </c>
      <c r="C905" s="2" t="s">
        <v>73</v>
      </c>
      <c r="D905" s="2"/>
      <c r="E905" s="2" t="str">
        <f>"FES1162542208"</f>
        <v>FES1162542208</v>
      </c>
      <c r="F905" s="3">
        <v>42831</v>
      </c>
      <c r="G905" s="2">
        <v>201710</v>
      </c>
      <c r="H905" s="2" t="s">
        <v>74</v>
      </c>
      <c r="I905" s="2" t="s">
        <v>75</v>
      </c>
      <c r="J905" s="2" t="s">
        <v>76</v>
      </c>
      <c r="K905" s="2" t="s">
        <v>77</v>
      </c>
      <c r="L905" s="2" t="s">
        <v>131</v>
      </c>
      <c r="M905" s="2" t="s">
        <v>132</v>
      </c>
      <c r="N905" s="2" t="s">
        <v>1514</v>
      </c>
      <c r="O905" s="2" t="s">
        <v>115</v>
      </c>
      <c r="P905" s="2" t="str">
        <f>"2170561052                    "</f>
        <v xml:space="preserve">2170561052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6.43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2.1</v>
      </c>
      <c r="BJ905" s="2">
        <v>2.9</v>
      </c>
      <c r="BK905" s="2">
        <v>3</v>
      </c>
      <c r="BL905" s="2">
        <v>62.59</v>
      </c>
      <c r="BM905" s="2">
        <v>8.76</v>
      </c>
      <c r="BN905" s="2">
        <v>71.349999999999994</v>
      </c>
      <c r="BO905" s="2">
        <v>71.349999999999994</v>
      </c>
      <c r="BP905" s="2"/>
      <c r="BQ905" s="2" t="s">
        <v>122</v>
      </c>
      <c r="BR905" s="2" t="s">
        <v>123</v>
      </c>
      <c r="BS905" s="3">
        <v>42832</v>
      </c>
      <c r="BT905" s="4">
        <v>0.41666666666666669</v>
      </c>
      <c r="BU905" s="2" t="s">
        <v>1515</v>
      </c>
      <c r="BV905" s="2" t="s">
        <v>111</v>
      </c>
      <c r="BW905" s="2"/>
      <c r="BX905" s="2"/>
      <c r="BY905" s="2">
        <v>14699.61</v>
      </c>
      <c r="BZ905" s="2" t="s">
        <v>27</v>
      </c>
      <c r="CA905" s="2"/>
      <c r="CB905" s="2"/>
      <c r="CC905" s="2" t="s">
        <v>132</v>
      </c>
      <c r="CD905" s="2">
        <v>7441</v>
      </c>
      <c r="CE905" s="2" t="s">
        <v>89</v>
      </c>
      <c r="CF905" s="5">
        <v>42835</v>
      </c>
      <c r="CG905" s="2"/>
      <c r="CH905" s="2"/>
      <c r="CI905" s="2">
        <v>1</v>
      </c>
      <c r="CJ905" s="2">
        <v>1</v>
      </c>
      <c r="CK905" s="2">
        <v>21</v>
      </c>
      <c r="CL905" s="2" t="s">
        <v>86</v>
      </c>
      <c r="CM905" s="2"/>
    </row>
    <row r="906" spans="1:91">
      <c r="A906" s="2" t="s">
        <v>71</v>
      </c>
      <c r="B906" s="2" t="s">
        <v>72</v>
      </c>
      <c r="C906" s="2" t="s">
        <v>73</v>
      </c>
      <c r="D906" s="2"/>
      <c r="E906" s="2" t="str">
        <f>"FES1162541287"</f>
        <v>FES1162541287</v>
      </c>
      <c r="F906" s="3">
        <v>42829</v>
      </c>
      <c r="G906" s="2">
        <v>201710</v>
      </c>
      <c r="H906" s="2" t="s">
        <v>74</v>
      </c>
      <c r="I906" s="2" t="s">
        <v>75</v>
      </c>
      <c r="J906" s="2" t="s">
        <v>76</v>
      </c>
      <c r="K906" s="2" t="s">
        <v>77</v>
      </c>
      <c r="L906" s="2" t="s">
        <v>131</v>
      </c>
      <c r="M906" s="2" t="s">
        <v>132</v>
      </c>
      <c r="N906" s="2" t="s">
        <v>384</v>
      </c>
      <c r="O906" s="2" t="s">
        <v>115</v>
      </c>
      <c r="P906" s="2" t="str">
        <f>"2170560350                    "</f>
        <v xml:space="preserve">2170560350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4.42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1</v>
      </c>
      <c r="BJ906" s="2">
        <v>0.2</v>
      </c>
      <c r="BK906" s="2">
        <v>1</v>
      </c>
      <c r="BL906" s="2">
        <v>41.86</v>
      </c>
      <c r="BM906" s="2">
        <v>5.86</v>
      </c>
      <c r="BN906" s="2">
        <v>47.72</v>
      </c>
      <c r="BO906" s="2">
        <v>47.72</v>
      </c>
      <c r="BP906" s="2"/>
      <c r="BQ906" s="2" t="s">
        <v>1272</v>
      </c>
      <c r="BR906" s="2" t="s">
        <v>123</v>
      </c>
      <c r="BS906" s="3">
        <v>42830</v>
      </c>
      <c r="BT906" s="4">
        <v>0.41666666666666669</v>
      </c>
      <c r="BU906" s="2" t="s">
        <v>1516</v>
      </c>
      <c r="BV906" s="2" t="s">
        <v>111</v>
      </c>
      <c r="BW906" s="2"/>
      <c r="BX906" s="2"/>
      <c r="BY906" s="2">
        <v>1200</v>
      </c>
      <c r="BZ906" s="2" t="s">
        <v>27</v>
      </c>
      <c r="CA906" s="2"/>
      <c r="CB906" s="2"/>
      <c r="CC906" s="2" t="s">
        <v>132</v>
      </c>
      <c r="CD906" s="2">
        <v>7530</v>
      </c>
      <c r="CE906" s="2" t="s">
        <v>144</v>
      </c>
      <c r="CF906" s="5">
        <v>42831</v>
      </c>
      <c r="CG906" s="2"/>
      <c r="CH906" s="2"/>
      <c r="CI906" s="2">
        <v>1</v>
      </c>
      <c r="CJ906" s="2">
        <v>1</v>
      </c>
      <c r="CK906" s="2">
        <v>21</v>
      </c>
      <c r="CL906" s="2" t="s">
        <v>86</v>
      </c>
      <c r="CM906" s="2"/>
    </row>
    <row r="907" spans="1:91">
      <c r="A907" s="2" t="s">
        <v>71</v>
      </c>
      <c r="B907" s="2" t="s">
        <v>72</v>
      </c>
      <c r="C907" s="2" t="s">
        <v>73</v>
      </c>
      <c r="D907" s="2"/>
      <c r="E907" s="2" t="str">
        <f>"FES1162542220"</f>
        <v>FES1162542220</v>
      </c>
      <c r="F907" s="3">
        <v>42831</v>
      </c>
      <c r="G907" s="2">
        <v>201710</v>
      </c>
      <c r="H907" s="2" t="s">
        <v>74</v>
      </c>
      <c r="I907" s="2" t="s">
        <v>75</v>
      </c>
      <c r="J907" s="2" t="s">
        <v>76</v>
      </c>
      <c r="K907" s="2" t="s">
        <v>77</v>
      </c>
      <c r="L907" s="2" t="s">
        <v>99</v>
      </c>
      <c r="M907" s="2" t="s">
        <v>100</v>
      </c>
      <c r="N907" s="2" t="s">
        <v>1517</v>
      </c>
      <c r="O907" s="2" t="s">
        <v>115</v>
      </c>
      <c r="P907" s="2" t="str">
        <f>"2170561118                    "</f>
        <v xml:space="preserve">2170561118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4.29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1</v>
      </c>
      <c r="BJ907" s="2">
        <v>0.2</v>
      </c>
      <c r="BK907" s="2">
        <v>1</v>
      </c>
      <c r="BL907" s="2">
        <v>41.73</v>
      </c>
      <c r="BM907" s="2">
        <v>5.84</v>
      </c>
      <c r="BN907" s="2">
        <v>47.57</v>
      </c>
      <c r="BO907" s="2">
        <v>47.57</v>
      </c>
      <c r="BP907" s="2"/>
      <c r="BQ907" s="2" t="s">
        <v>1518</v>
      </c>
      <c r="BR907" s="2" t="s">
        <v>123</v>
      </c>
      <c r="BS907" s="3">
        <v>42832</v>
      </c>
      <c r="BT907" s="4">
        <v>0.40138888888888885</v>
      </c>
      <c r="BU907" s="2" t="s">
        <v>245</v>
      </c>
      <c r="BV907" s="2" t="s">
        <v>111</v>
      </c>
      <c r="BW907" s="2"/>
      <c r="BX907" s="2"/>
      <c r="BY907" s="2">
        <v>1200</v>
      </c>
      <c r="BZ907" s="2" t="s">
        <v>27</v>
      </c>
      <c r="CA907" s="2"/>
      <c r="CB907" s="2"/>
      <c r="CC907" s="2" t="s">
        <v>100</v>
      </c>
      <c r="CD907" s="2">
        <v>6210</v>
      </c>
      <c r="CE907" s="2" t="s">
        <v>118</v>
      </c>
      <c r="CF907" s="5">
        <v>42835</v>
      </c>
      <c r="CG907" s="2"/>
      <c r="CH907" s="2"/>
      <c r="CI907" s="2">
        <v>1</v>
      </c>
      <c r="CJ907" s="2">
        <v>1</v>
      </c>
      <c r="CK907" s="2">
        <v>21</v>
      </c>
      <c r="CL907" s="2" t="s">
        <v>86</v>
      </c>
      <c r="CM907" s="2"/>
    </row>
    <row r="908" spans="1:91">
      <c r="A908" s="2" t="s">
        <v>71</v>
      </c>
      <c r="B908" s="2" t="s">
        <v>72</v>
      </c>
      <c r="C908" s="2" t="s">
        <v>73</v>
      </c>
      <c r="D908" s="2"/>
      <c r="E908" s="2" t="str">
        <f>"FES1162541759"</f>
        <v>FES1162541759</v>
      </c>
      <c r="F908" s="3">
        <v>42830</v>
      </c>
      <c r="G908" s="2">
        <v>201710</v>
      </c>
      <c r="H908" s="2" t="s">
        <v>74</v>
      </c>
      <c r="I908" s="2" t="s">
        <v>75</v>
      </c>
      <c r="J908" s="2" t="s">
        <v>76</v>
      </c>
      <c r="K908" s="2" t="s">
        <v>77</v>
      </c>
      <c r="L908" s="2" t="s">
        <v>99</v>
      </c>
      <c r="M908" s="2" t="s">
        <v>100</v>
      </c>
      <c r="N908" s="2" t="s">
        <v>876</v>
      </c>
      <c r="O908" s="2" t="s">
        <v>115</v>
      </c>
      <c r="P908" s="2" t="str">
        <f>"2170560220                    "</f>
        <v xml:space="preserve">2170560220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8.57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4</v>
      </c>
      <c r="BJ908" s="2">
        <v>1.1000000000000001</v>
      </c>
      <c r="BK908" s="2">
        <v>4</v>
      </c>
      <c r="BL908" s="2">
        <v>83.45</v>
      </c>
      <c r="BM908" s="2">
        <v>11.68</v>
      </c>
      <c r="BN908" s="2">
        <v>95.13</v>
      </c>
      <c r="BO908" s="2">
        <v>95.13</v>
      </c>
      <c r="BP908" s="2"/>
      <c r="BQ908" s="2" t="s">
        <v>877</v>
      </c>
      <c r="BR908" s="2" t="s">
        <v>123</v>
      </c>
      <c r="BS908" s="3">
        <v>42831</v>
      </c>
      <c r="BT908" s="4">
        <v>0.27083333333333331</v>
      </c>
      <c r="BU908" s="2" t="s">
        <v>687</v>
      </c>
      <c r="BV908" s="2" t="s">
        <v>111</v>
      </c>
      <c r="BW908" s="2"/>
      <c r="BX908" s="2"/>
      <c r="BY908" s="2">
        <v>5599.39</v>
      </c>
      <c r="BZ908" s="2" t="s">
        <v>27</v>
      </c>
      <c r="CA908" s="2" t="s">
        <v>106</v>
      </c>
      <c r="CB908" s="2"/>
      <c r="CC908" s="2" t="s">
        <v>100</v>
      </c>
      <c r="CD908" s="2">
        <v>6012</v>
      </c>
      <c r="CE908" s="2" t="s">
        <v>135</v>
      </c>
      <c r="CF908" s="5">
        <v>42831</v>
      </c>
      <c r="CG908" s="2"/>
      <c r="CH908" s="2"/>
      <c r="CI908" s="2">
        <v>1</v>
      </c>
      <c r="CJ908" s="2">
        <v>1</v>
      </c>
      <c r="CK908" s="2">
        <v>21</v>
      </c>
      <c r="CL908" s="2" t="s">
        <v>86</v>
      </c>
      <c r="CM908" s="2"/>
    </row>
    <row r="909" spans="1:91">
      <c r="A909" s="2" t="s">
        <v>71</v>
      </c>
      <c r="B909" s="2" t="s">
        <v>72</v>
      </c>
      <c r="C909" s="2" t="s">
        <v>73</v>
      </c>
      <c r="D909" s="2"/>
      <c r="E909" s="2" t="str">
        <f>"FES1162541240"</f>
        <v>FES1162541240</v>
      </c>
      <c r="F909" s="3">
        <v>42829</v>
      </c>
      <c r="G909" s="2">
        <v>201710</v>
      </c>
      <c r="H909" s="2" t="s">
        <v>74</v>
      </c>
      <c r="I909" s="2" t="s">
        <v>75</v>
      </c>
      <c r="J909" s="2" t="s">
        <v>76</v>
      </c>
      <c r="K909" s="2" t="s">
        <v>77</v>
      </c>
      <c r="L909" s="2" t="s">
        <v>991</v>
      </c>
      <c r="M909" s="2" t="s">
        <v>992</v>
      </c>
      <c r="N909" s="2" t="s">
        <v>993</v>
      </c>
      <c r="O909" s="2" t="s">
        <v>115</v>
      </c>
      <c r="P909" s="2" t="str">
        <f>"2170559654                    "</f>
        <v xml:space="preserve">2170559654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4.42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1</v>
      </c>
      <c r="BJ909" s="2">
        <v>0.2</v>
      </c>
      <c r="BK909" s="2">
        <v>1</v>
      </c>
      <c r="BL909" s="2">
        <v>41.86</v>
      </c>
      <c r="BM909" s="2">
        <v>5.86</v>
      </c>
      <c r="BN909" s="2">
        <v>47.72</v>
      </c>
      <c r="BO909" s="2">
        <v>47.72</v>
      </c>
      <c r="BP909" s="2"/>
      <c r="BQ909" s="2" t="s">
        <v>994</v>
      </c>
      <c r="BR909" s="2" t="s">
        <v>123</v>
      </c>
      <c r="BS909" s="3">
        <v>42830</v>
      </c>
      <c r="BT909" s="4">
        <v>0.41666666666666669</v>
      </c>
      <c r="BU909" s="2" t="s">
        <v>1519</v>
      </c>
      <c r="BV909" s="2" t="s">
        <v>111</v>
      </c>
      <c r="BW909" s="2"/>
      <c r="BX909" s="2"/>
      <c r="BY909" s="2">
        <v>1200</v>
      </c>
      <c r="BZ909" s="2" t="s">
        <v>27</v>
      </c>
      <c r="CA909" s="2"/>
      <c r="CB909" s="2"/>
      <c r="CC909" s="2" t="s">
        <v>992</v>
      </c>
      <c r="CD909" s="2">
        <v>7655</v>
      </c>
      <c r="CE909" s="2" t="s">
        <v>144</v>
      </c>
      <c r="CF909" s="5">
        <v>42831</v>
      </c>
      <c r="CG909" s="2"/>
      <c r="CH909" s="2"/>
      <c r="CI909" s="2">
        <v>1</v>
      </c>
      <c r="CJ909" s="2">
        <v>1</v>
      </c>
      <c r="CK909" s="2">
        <v>21</v>
      </c>
      <c r="CL909" s="2" t="s">
        <v>86</v>
      </c>
      <c r="CM909" s="2"/>
    </row>
    <row r="910" spans="1:91">
      <c r="A910" s="2" t="s">
        <v>71</v>
      </c>
      <c r="B910" s="2" t="s">
        <v>72</v>
      </c>
      <c r="C910" s="2" t="s">
        <v>73</v>
      </c>
      <c r="D910" s="2"/>
      <c r="E910" s="2" t="str">
        <f>"FES1162543086"</f>
        <v>FES1162543086</v>
      </c>
      <c r="F910" s="3">
        <v>42836</v>
      </c>
      <c r="G910" s="2">
        <v>201710</v>
      </c>
      <c r="H910" s="2" t="s">
        <v>74</v>
      </c>
      <c r="I910" s="2" t="s">
        <v>75</v>
      </c>
      <c r="J910" s="2" t="s">
        <v>76</v>
      </c>
      <c r="K910" s="2" t="s">
        <v>77</v>
      </c>
      <c r="L910" s="2" t="s">
        <v>180</v>
      </c>
      <c r="M910" s="2" t="s">
        <v>181</v>
      </c>
      <c r="N910" s="2" t="s">
        <v>1123</v>
      </c>
      <c r="O910" s="2" t="s">
        <v>115</v>
      </c>
      <c r="P910" s="2" t="str">
        <f>"2170561876                    "</f>
        <v xml:space="preserve">2170561876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4.29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1</v>
      </c>
      <c r="BJ910" s="2">
        <v>0.2</v>
      </c>
      <c r="BK910" s="2">
        <v>1</v>
      </c>
      <c r="BL910" s="2">
        <v>41.73</v>
      </c>
      <c r="BM910" s="2">
        <v>5.84</v>
      </c>
      <c r="BN910" s="2">
        <v>47.57</v>
      </c>
      <c r="BO910" s="2">
        <v>47.57</v>
      </c>
      <c r="BP910" s="2"/>
      <c r="BQ910" s="2" t="s">
        <v>1124</v>
      </c>
      <c r="BR910" s="2" t="s">
        <v>123</v>
      </c>
      <c r="BS910" s="3">
        <v>42837</v>
      </c>
      <c r="BT910" s="4">
        <v>0.4375</v>
      </c>
      <c r="BU910" s="2" t="s">
        <v>1520</v>
      </c>
      <c r="BV910" s="2" t="s">
        <v>111</v>
      </c>
      <c r="BW910" s="2"/>
      <c r="BX910" s="2"/>
      <c r="BY910" s="2">
        <v>1200</v>
      </c>
      <c r="BZ910" s="2" t="s">
        <v>27</v>
      </c>
      <c r="CA910" s="2"/>
      <c r="CB910" s="2"/>
      <c r="CC910" s="2" t="s">
        <v>181</v>
      </c>
      <c r="CD910" s="2">
        <v>4001</v>
      </c>
      <c r="CE910" s="2" t="s">
        <v>118</v>
      </c>
      <c r="CF910" s="5">
        <v>42838</v>
      </c>
      <c r="CG910" s="2"/>
      <c r="CH910" s="2"/>
      <c r="CI910" s="2">
        <v>1</v>
      </c>
      <c r="CJ910" s="2">
        <v>1</v>
      </c>
      <c r="CK910" s="2">
        <v>21</v>
      </c>
      <c r="CL910" s="2" t="s">
        <v>86</v>
      </c>
      <c r="CM910" s="2"/>
    </row>
    <row r="911" spans="1:91">
      <c r="A911" s="2" t="s">
        <v>71</v>
      </c>
      <c r="B911" s="2" t="s">
        <v>72</v>
      </c>
      <c r="C911" s="2" t="s">
        <v>73</v>
      </c>
      <c r="D911" s="2"/>
      <c r="E911" s="2" t="str">
        <f>"FES1162542109"</f>
        <v>FES1162542109</v>
      </c>
      <c r="F911" s="3">
        <v>42831</v>
      </c>
      <c r="G911" s="2">
        <v>201710</v>
      </c>
      <c r="H911" s="2" t="s">
        <v>74</v>
      </c>
      <c r="I911" s="2" t="s">
        <v>75</v>
      </c>
      <c r="J911" s="2" t="s">
        <v>76</v>
      </c>
      <c r="K911" s="2" t="s">
        <v>77</v>
      </c>
      <c r="L911" s="2" t="s">
        <v>322</v>
      </c>
      <c r="M911" s="2" t="s">
        <v>323</v>
      </c>
      <c r="N911" s="2" t="s">
        <v>1521</v>
      </c>
      <c r="O911" s="2" t="s">
        <v>115</v>
      </c>
      <c r="P911" s="2" t="str">
        <f>"2170560993                    "</f>
        <v xml:space="preserve">2170560993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3.35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1</v>
      </c>
      <c r="BJ911" s="2">
        <v>0.2</v>
      </c>
      <c r="BK911" s="2">
        <v>1</v>
      </c>
      <c r="BL911" s="2">
        <v>32.6</v>
      </c>
      <c r="BM911" s="2">
        <v>4.5599999999999996</v>
      </c>
      <c r="BN911" s="2">
        <v>37.159999999999997</v>
      </c>
      <c r="BO911" s="2">
        <v>37.159999999999997</v>
      </c>
      <c r="BP911" s="2"/>
      <c r="BQ911" s="2"/>
      <c r="BR911" s="2" t="s">
        <v>123</v>
      </c>
      <c r="BS911" s="3">
        <v>42832</v>
      </c>
      <c r="BT911" s="4">
        <v>0.41250000000000003</v>
      </c>
      <c r="BU911" s="2" t="s">
        <v>1522</v>
      </c>
      <c r="BV911" s="2" t="s">
        <v>111</v>
      </c>
      <c r="BW911" s="2"/>
      <c r="BX911" s="2"/>
      <c r="BY911" s="2">
        <v>1200</v>
      </c>
      <c r="BZ911" s="2" t="s">
        <v>27</v>
      </c>
      <c r="CA911" s="2"/>
      <c r="CB911" s="2"/>
      <c r="CC911" s="2" t="s">
        <v>323</v>
      </c>
      <c r="CD911" s="2">
        <v>1685</v>
      </c>
      <c r="CE911" s="2" t="s">
        <v>118</v>
      </c>
      <c r="CF911" s="5">
        <v>42835</v>
      </c>
      <c r="CG911" s="2"/>
      <c r="CH911" s="2"/>
      <c r="CI911" s="2">
        <v>1</v>
      </c>
      <c r="CJ911" s="2">
        <v>1</v>
      </c>
      <c r="CK911" s="2">
        <v>22</v>
      </c>
      <c r="CL911" s="2" t="s">
        <v>86</v>
      </c>
      <c r="CM911" s="2"/>
    </row>
    <row r="912" spans="1:91">
      <c r="A912" s="2" t="s">
        <v>71</v>
      </c>
      <c r="B912" s="2" t="s">
        <v>72</v>
      </c>
      <c r="C912" s="2" t="s">
        <v>73</v>
      </c>
      <c r="D912" s="2"/>
      <c r="E912" s="2" t="str">
        <f>"FES1162541688"</f>
        <v>FES1162541688</v>
      </c>
      <c r="F912" s="3">
        <v>42830</v>
      </c>
      <c r="G912" s="2">
        <v>201710</v>
      </c>
      <c r="H912" s="2" t="s">
        <v>74</v>
      </c>
      <c r="I912" s="2" t="s">
        <v>75</v>
      </c>
      <c r="J912" s="2" t="s">
        <v>76</v>
      </c>
      <c r="K912" s="2" t="s">
        <v>77</v>
      </c>
      <c r="L912" s="2" t="s">
        <v>99</v>
      </c>
      <c r="M912" s="2" t="s">
        <v>100</v>
      </c>
      <c r="N912" s="2" t="s">
        <v>313</v>
      </c>
      <c r="O912" s="2" t="s">
        <v>115</v>
      </c>
      <c r="P912" s="2" t="str">
        <f>"2170560392                    "</f>
        <v xml:space="preserve">2170560392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8.57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4</v>
      </c>
      <c r="BJ912" s="2">
        <v>1.4</v>
      </c>
      <c r="BK912" s="2">
        <v>4</v>
      </c>
      <c r="BL912" s="2">
        <v>83.45</v>
      </c>
      <c r="BM912" s="2">
        <v>11.68</v>
      </c>
      <c r="BN912" s="2">
        <v>95.13</v>
      </c>
      <c r="BO912" s="2">
        <v>95.13</v>
      </c>
      <c r="BP912" s="2"/>
      <c r="BQ912" s="2" t="s">
        <v>314</v>
      </c>
      <c r="BR912" s="2" t="s">
        <v>123</v>
      </c>
      <c r="BS912" s="3">
        <v>42831</v>
      </c>
      <c r="BT912" s="4">
        <v>0.29166666666666669</v>
      </c>
      <c r="BU912" s="2" t="s">
        <v>1523</v>
      </c>
      <c r="BV912" s="2" t="s">
        <v>111</v>
      </c>
      <c r="BW912" s="2"/>
      <c r="BX912" s="2"/>
      <c r="BY912" s="2">
        <v>7170.24</v>
      </c>
      <c r="BZ912" s="2" t="s">
        <v>27</v>
      </c>
      <c r="CA912" s="2" t="s">
        <v>106</v>
      </c>
      <c r="CB912" s="2"/>
      <c r="CC912" s="2" t="s">
        <v>100</v>
      </c>
      <c r="CD912" s="2">
        <v>6012</v>
      </c>
      <c r="CE912" s="2" t="s">
        <v>135</v>
      </c>
      <c r="CF912" s="5">
        <v>42831</v>
      </c>
      <c r="CG912" s="2"/>
      <c r="CH912" s="2"/>
      <c r="CI912" s="2">
        <v>1</v>
      </c>
      <c r="CJ912" s="2">
        <v>1</v>
      </c>
      <c r="CK912" s="2">
        <v>21</v>
      </c>
      <c r="CL912" s="2" t="s">
        <v>86</v>
      </c>
      <c r="CM912" s="2"/>
    </row>
    <row r="913" spans="1:91">
      <c r="A913" s="2" t="s">
        <v>71</v>
      </c>
      <c r="B913" s="2" t="s">
        <v>72</v>
      </c>
      <c r="C913" s="2" t="s">
        <v>73</v>
      </c>
      <c r="D913" s="2"/>
      <c r="E913" s="2" t="str">
        <f>"FES1162543065"</f>
        <v>FES1162543065</v>
      </c>
      <c r="F913" s="3">
        <v>42836</v>
      </c>
      <c r="G913" s="2">
        <v>201710</v>
      </c>
      <c r="H913" s="2" t="s">
        <v>74</v>
      </c>
      <c r="I913" s="2" t="s">
        <v>75</v>
      </c>
      <c r="J913" s="2" t="s">
        <v>76</v>
      </c>
      <c r="K913" s="2" t="s">
        <v>77</v>
      </c>
      <c r="L913" s="2" t="s">
        <v>294</v>
      </c>
      <c r="M913" s="2" t="s">
        <v>295</v>
      </c>
      <c r="N913" s="2" t="s">
        <v>1200</v>
      </c>
      <c r="O913" s="2" t="s">
        <v>115</v>
      </c>
      <c r="P913" s="2" t="str">
        <f>"2170561848                    "</f>
        <v xml:space="preserve">2170561848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4.29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1</v>
      </c>
      <c r="BJ913" s="2">
        <v>0.2</v>
      </c>
      <c r="BK913" s="2">
        <v>1</v>
      </c>
      <c r="BL913" s="2">
        <v>41.73</v>
      </c>
      <c r="BM913" s="2">
        <v>5.84</v>
      </c>
      <c r="BN913" s="2">
        <v>47.57</v>
      </c>
      <c r="BO913" s="2">
        <v>47.57</v>
      </c>
      <c r="BP913" s="2"/>
      <c r="BQ913" s="2" t="s">
        <v>1201</v>
      </c>
      <c r="BR913" s="2" t="s">
        <v>123</v>
      </c>
      <c r="BS913" s="3">
        <v>42837</v>
      </c>
      <c r="BT913" s="4">
        <v>0.4375</v>
      </c>
      <c r="BU913" s="2" t="s">
        <v>1524</v>
      </c>
      <c r="BV913" s="2" t="s">
        <v>111</v>
      </c>
      <c r="BW913" s="2"/>
      <c r="BX913" s="2"/>
      <c r="BY913" s="2">
        <v>1200</v>
      </c>
      <c r="BZ913" s="2" t="s">
        <v>27</v>
      </c>
      <c r="CA913" s="2"/>
      <c r="CB913" s="2"/>
      <c r="CC913" s="2" t="s">
        <v>295</v>
      </c>
      <c r="CD913" s="2">
        <v>3610</v>
      </c>
      <c r="CE913" s="2" t="s">
        <v>118</v>
      </c>
      <c r="CF913" s="5">
        <v>42843</v>
      </c>
      <c r="CG913" s="2"/>
      <c r="CH913" s="2"/>
      <c r="CI913" s="2">
        <v>1</v>
      </c>
      <c r="CJ913" s="2">
        <v>1</v>
      </c>
      <c r="CK913" s="2">
        <v>21</v>
      </c>
      <c r="CL913" s="2" t="s">
        <v>86</v>
      </c>
      <c r="CM913" s="2"/>
    </row>
    <row r="914" spans="1:91">
      <c r="A914" s="2" t="s">
        <v>71</v>
      </c>
      <c r="B914" s="2" t="s">
        <v>72</v>
      </c>
      <c r="C914" s="2" t="s">
        <v>73</v>
      </c>
      <c r="D914" s="2"/>
      <c r="E914" s="2" t="str">
        <f>"FES1162542244"</f>
        <v>FES1162542244</v>
      </c>
      <c r="F914" s="3">
        <v>42831</v>
      </c>
      <c r="G914" s="2">
        <v>201710</v>
      </c>
      <c r="H914" s="2" t="s">
        <v>74</v>
      </c>
      <c r="I914" s="2" t="s">
        <v>75</v>
      </c>
      <c r="J914" s="2" t="s">
        <v>76</v>
      </c>
      <c r="K914" s="2" t="s">
        <v>77</v>
      </c>
      <c r="L914" s="2" t="s">
        <v>294</v>
      </c>
      <c r="M914" s="2" t="s">
        <v>295</v>
      </c>
      <c r="N914" s="2" t="s">
        <v>1200</v>
      </c>
      <c r="O914" s="2" t="s">
        <v>115</v>
      </c>
      <c r="P914" s="2" t="str">
        <f>"2170561149                    "</f>
        <v xml:space="preserve">2170561149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6.43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2.6</v>
      </c>
      <c r="BJ914" s="2">
        <v>1.6</v>
      </c>
      <c r="BK914" s="2">
        <v>3</v>
      </c>
      <c r="BL914" s="2">
        <v>62.59</v>
      </c>
      <c r="BM914" s="2">
        <v>8.76</v>
      </c>
      <c r="BN914" s="2">
        <v>71.349999999999994</v>
      </c>
      <c r="BO914" s="2">
        <v>71.349999999999994</v>
      </c>
      <c r="BP914" s="2"/>
      <c r="BQ914" s="2" t="s">
        <v>1201</v>
      </c>
      <c r="BR914" s="2" t="s">
        <v>123</v>
      </c>
      <c r="BS914" s="3">
        <v>42832</v>
      </c>
      <c r="BT914" s="4">
        <v>0.54166666666666663</v>
      </c>
      <c r="BU914" s="2" t="s">
        <v>1525</v>
      </c>
      <c r="BV914" s="2" t="s">
        <v>111</v>
      </c>
      <c r="BW914" s="2"/>
      <c r="BX914" s="2"/>
      <c r="BY914" s="2">
        <v>8134.5</v>
      </c>
      <c r="BZ914" s="2" t="s">
        <v>27</v>
      </c>
      <c r="CA914" s="2"/>
      <c r="CB914" s="2"/>
      <c r="CC914" s="2" t="s">
        <v>295</v>
      </c>
      <c r="CD914" s="2">
        <v>3610</v>
      </c>
      <c r="CE914" s="2" t="s">
        <v>89</v>
      </c>
      <c r="CF914" s="5">
        <v>42835</v>
      </c>
      <c r="CG914" s="2"/>
      <c r="CH914" s="2"/>
      <c r="CI914" s="2">
        <v>1</v>
      </c>
      <c r="CJ914" s="2">
        <v>1</v>
      </c>
      <c r="CK914" s="2">
        <v>21</v>
      </c>
      <c r="CL914" s="2" t="s">
        <v>86</v>
      </c>
      <c r="CM914" s="2"/>
    </row>
    <row r="915" spans="1:91">
      <c r="A915" s="2" t="s">
        <v>71</v>
      </c>
      <c r="B915" s="2" t="s">
        <v>72</v>
      </c>
      <c r="C915" s="2" t="s">
        <v>73</v>
      </c>
      <c r="D915" s="2"/>
      <c r="E915" s="2" t="str">
        <f>"FES1162541304"</f>
        <v>FES1162541304</v>
      </c>
      <c r="F915" s="3">
        <v>42829</v>
      </c>
      <c r="G915" s="2">
        <v>201710</v>
      </c>
      <c r="H915" s="2" t="s">
        <v>74</v>
      </c>
      <c r="I915" s="2" t="s">
        <v>75</v>
      </c>
      <c r="J915" s="2" t="s">
        <v>76</v>
      </c>
      <c r="K915" s="2" t="s">
        <v>77</v>
      </c>
      <c r="L915" s="2" t="s">
        <v>131</v>
      </c>
      <c r="M915" s="2" t="s">
        <v>132</v>
      </c>
      <c r="N915" s="2" t="s">
        <v>280</v>
      </c>
      <c r="O915" s="2" t="s">
        <v>115</v>
      </c>
      <c r="P915" s="2" t="str">
        <f>"2170560326                    "</f>
        <v xml:space="preserve">2170560326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4.42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1</v>
      </c>
      <c r="BI915" s="2">
        <v>1</v>
      </c>
      <c r="BJ915" s="2">
        <v>0.2</v>
      </c>
      <c r="BK915" s="2">
        <v>1</v>
      </c>
      <c r="BL915" s="2">
        <v>41.86</v>
      </c>
      <c r="BM915" s="2">
        <v>5.86</v>
      </c>
      <c r="BN915" s="2">
        <v>47.72</v>
      </c>
      <c r="BO915" s="2">
        <v>47.72</v>
      </c>
      <c r="BP915" s="2"/>
      <c r="BQ915" s="2" t="s">
        <v>281</v>
      </c>
      <c r="BR915" s="2" t="s">
        <v>123</v>
      </c>
      <c r="BS915" s="3">
        <v>42830</v>
      </c>
      <c r="BT915" s="4">
        <v>0.3263888888888889</v>
      </c>
      <c r="BU915" s="2" t="s">
        <v>1526</v>
      </c>
      <c r="BV915" s="2" t="s">
        <v>111</v>
      </c>
      <c r="BW915" s="2"/>
      <c r="BX915" s="2"/>
      <c r="BY915" s="2">
        <v>1200</v>
      </c>
      <c r="BZ915" s="2" t="s">
        <v>27</v>
      </c>
      <c r="CA915" s="2"/>
      <c r="CB915" s="2"/>
      <c r="CC915" s="2" t="s">
        <v>132</v>
      </c>
      <c r="CD915" s="2">
        <v>7530</v>
      </c>
      <c r="CE915" s="2" t="s">
        <v>144</v>
      </c>
      <c r="CF915" s="5">
        <v>42831</v>
      </c>
      <c r="CG915" s="2"/>
      <c r="CH915" s="2"/>
      <c r="CI915" s="2">
        <v>1</v>
      </c>
      <c r="CJ915" s="2">
        <v>1</v>
      </c>
      <c r="CK915" s="2">
        <v>21</v>
      </c>
      <c r="CL915" s="2" t="s">
        <v>86</v>
      </c>
      <c r="CM915" s="2"/>
    </row>
    <row r="916" spans="1:91">
      <c r="A916" s="2" t="s">
        <v>71</v>
      </c>
      <c r="B916" s="2" t="s">
        <v>72</v>
      </c>
      <c r="C916" s="2" t="s">
        <v>73</v>
      </c>
      <c r="D916" s="2"/>
      <c r="E916" s="2" t="str">
        <f>"FES1162542858"</f>
        <v>FES1162542858</v>
      </c>
      <c r="F916" s="3">
        <v>42836</v>
      </c>
      <c r="G916" s="2">
        <v>201710</v>
      </c>
      <c r="H916" s="2" t="s">
        <v>74</v>
      </c>
      <c r="I916" s="2" t="s">
        <v>75</v>
      </c>
      <c r="J916" s="2" t="s">
        <v>76</v>
      </c>
      <c r="K916" s="2" t="s">
        <v>77</v>
      </c>
      <c r="L916" s="2" t="s">
        <v>119</v>
      </c>
      <c r="M916" s="2" t="s">
        <v>120</v>
      </c>
      <c r="N916" s="2" t="s">
        <v>1527</v>
      </c>
      <c r="O916" s="2" t="s">
        <v>115</v>
      </c>
      <c r="P916" s="2" t="str">
        <f>"2170558942                    "</f>
        <v xml:space="preserve">2170558942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3.35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5.0999999999999996</v>
      </c>
      <c r="BJ916" s="2">
        <v>1.9</v>
      </c>
      <c r="BK916" s="2">
        <v>6</v>
      </c>
      <c r="BL916" s="2">
        <v>32.6</v>
      </c>
      <c r="BM916" s="2">
        <v>4.5599999999999996</v>
      </c>
      <c r="BN916" s="2">
        <v>37.159999999999997</v>
      </c>
      <c r="BO916" s="2">
        <v>37.159999999999997</v>
      </c>
      <c r="BP916" s="2"/>
      <c r="BQ916" s="2" t="s">
        <v>1528</v>
      </c>
      <c r="BR916" s="2" t="s">
        <v>123</v>
      </c>
      <c r="BS916" s="3">
        <v>42837</v>
      </c>
      <c r="BT916" s="4">
        <v>0.43611111111111112</v>
      </c>
      <c r="BU916" s="2" t="s">
        <v>1529</v>
      </c>
      <c r="BV916" s="2" t="s">
        <v>111</v>
      </c>
      <c r="BW916" s="2"/>
      <c r="BX916" s="2"/>
      <c r="BY916" s="2">
        <v>9360</v>
      </c>
      <c r="BZ916" s="2" t="s">
        <v>27</v>
      </c>
      <c r="CA916" s="2" t="s">
        <v>125</v>
      </c>
      <c r="CB916" s="2"/>
      <c r="CC916" s="2" t="s">
        <v>120</v>
      </c>
      <c r="CD916" s="2">
        <v>2163</v>
      </c>
      <c r="CE916" s="2" t="s">
        <v>89</v>
      </c>
      <c r="CF916" s="5">
        <v>42838</v>
      </c>
      <c r="CG916" s="2"/>
      <c r="CH916" s="2"/>
      <c r="CI916" s="2">
        <v>1</v>
      </c>
      <c r="CJ916" s="2">
        <v>1</v>
      </c>
      <c r="CK916" s="2">
        <v>22</v>
      </c>
      <c r="CL916" s="2" t="s">
        <v>86</v>
      </c>
      <c r="CM916" s="2"/>
    </row>
    <row r="917" spans="1:91">
      <c r="A917" s="2" t="s">
        <v>71</v>
      </c>
      <c r="B917" s="2" t="s">
        <v>72</v>
      </c>
      <c r="C917" s="2" t="s">
        <v>73</v>
      </c>
      <c r="D917" s="2"/>
      <c r="E917" s="2" t="str">
        <f>"FES1162542222"</f>
        <v>FES1162542222</v>
      </c>
      <c r="F917" s="3">
        <v>42831</v>
      </c>
      <c r="G917" s="2">
        <v>201710</v>
      </c>
      <c r="H917" s="2" t="s">
        <v>74</v>
      </c>
      <c r="I917" s="2" t="s">
        <v>75</v>
      </c>
      <c r="J917" s="2" t="s">
        <v>76</v>
      </c>
      <c r="K917" s="2" t="s">
        <v>77</v>
      </c>
      <c r="L917" s="2" t="s">
        <v>659</v>
      </c>
      <c r="M917" s="2" t="s">
        <v>660</v>
      </c>
      <c r="N917" s="2" t="s">
        <v>661</v>
      </c>
      <c r="O917" s="2" t="s">
        <v>115</v>
      </c>
      <c r="P917" s="2" t="str">
        <f>"2170561120                    "</f>
        <v xml:space="preserve">2170561120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4.29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1</v>
      </c>
      <c r="BJ917" s="2">
        <v>0.2</v>
      </c>
      <c r="BK917" s="2">
        <v>1</v>
      </c>
      <c r="BL917" s="2">
        <v>41.73</v>
      </c>
      <c r="BM917" s="2">
        <v>5.84</v>
      </c>
      <c r="BN917" s="2">
        <v>47.57</v>
      </c>
      <c r="BO917" s="2">
        <v>47.57</v>
      </c>
      <c r="BP917" s="2"/>
      <c r="BQ917" s="2" t="s">
        <v>83</v>
      </c>
      <c r="BR917" s="2" t="s">
        <v>123</v>
      </c>
      <c r="BS917" s="3">
        <v>42832</v>
      </c>
      <c r="BT917" s="4">
        <v>0.43402777777777773</v>
      </c>
      <c r="BU917" s="2" t="s">
        <v>662</v>
      </c>
      <c r="BV917" s="2" t="s">
        <v>111</v>
      </c>
      <c r="BW917" s="2"/>
      <c r="BX917" s="2"/>
      <c r="BY917" s="2">
        <v>1200</v>
      </c>
      <c r="BZ917" s="2" t="s">
        <v>27</v>
      </c>
      <c r="CA917" s="2"/>
      <c r="CB917" s="2"/>
      <c r="CC917" s="2" t="s">
        <v>660</v>
      </c>
      <c r="CD917" s="2">
        <v>3310</v>
      </c>
      <c r="CE917" s="2" t="s">
        <v>118</v>
      </c>
      <c r="CF917" s="5">
        <v>42836</v>
      </c>
      <c r="CG917" s="2"/>
      <c r="CH917" s="2"/>
      <c r="CI917" s="2">
        <v>1</v>
      </c>
      <c r="CJ917" s="2">
        <v>1</v>
      </c>
      <c r="CK917" s="2">
        <v>21</v>
      </c>
      <c r="CL917" s="2" t="s">
        <v>86</v>
      </c>
      <c r="CM917" s="2"/>
    </row>
    <row r="918" spans="1:91">
      <c r="A918" s="2" t="s">
        <v>71</v>
      </c>
      <c r="B918" s="2" t="s">
        <v>72</v>
      </c>
      <c r="C918" s="2" t="s">
        <v>73</v>
      </c>
      <c r="D918" s="2"/>
      <c r="E918" s="2" t="str">
        <f>"FES1162541749"</f>
        <v>FES1162541749</v>
      </c>
      <c r="F918" s="3">
        <v>42830</v>
      </c>
      <c r="G918" s="2">
        <v>201710</v>
      </c>
      <c r="H918" s="2" t="s">
        <v>74</v>
      </c>
      <c r="I918" s="2" t="s">
        <v>75</v>
      </c>
      <c r="J918" s="2" t="s">
        <v>76</v>
      </c>
      <c r="K918" s="2" t="s">
        <v>77</v>
      </c>
      <c r="L918" s="2" t="s">
        <v>99</v>
      </c>
      <c r="M918" s="2" t="s">
        <v>100</v>
      </c>
      <c r="N918" s="2" t="s">
        <v>108</v>
      </c>
      <c r="O918" s="2" t="s">
        <v>115</v>
      </c>
      <c r="P918" s="2" t="str">
        <f>"2170556359                    "</f>
        <v xml:space="preserve">2170556359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12.86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2.4</v>
      </c>
      <c r="BJ918" s="2">
        <v>5.6</v>
      </c>
      <c r="BK918" s="2">
        <v>6</v>
      </c>
      <c r="BL918" s="2">
        <v>125.18</v>
      </c>
      <c r="BM918" s="2">
        <v>17.53</v>
      </c>
      <c r="BN918" s="2">
        <v>142.71</v>
      </c>
      <c r="BO918" s="2">
        <v>142.71</v>
      </c>
      <c r="BP918" s="2"/>
      <c r="BQ918" s="2" t="s">
        <v>109</v>
      </c>
      <c r="BR918" s="2" t="s">
        <v>123</v>
      </c>
      <c r="BS918" s="3">
        <v>42831</v>
      </c>
      <c r="BT918" s="4">
        <v>0.41666666666666669</v>
      </c>
      <c r="BU918" s="2" t="s">
        <v>110</v>
      </c>
      <c r="BV918" s="2" t="s">
        <v>111</v>
      </c>
      <c r="BW918" s="2"/>
      <c r="BX918" s="2"/>
      <c r="BY918" s="2">
        <v>28038.78</v>
      </c>
      <c r="BZ918" s="2" t="s">
        <v>27</v>
      </c>
      <c r="CA918" s="2" t="s">
        <v>106</v>
      </c>
      <c r="CB918" s="2"/>
      <c r="CC918" s="2" t="s">
        <v>100</v>
      </c>
      <c r="CD918" s="2">
        <v>6001</v>
      </c>
      <c r="CE918" s="2" t="s">
        <v>135</v>
      </c>
      <c r="CF918" s="5">
        <v>42831</v>
      </c>
      <c r="CG918" s="2"/>
      <c r="CH918" s="2"/>
      <c r="CI918" s="2">
        <v>1</v>
      </c>
      <c r="CJ918" s="2">
        <v>1</v>
      </c>
      <c r="CK918" s="2">
        <v>21</v>
      </c>
      <c r="CL918" s="2" t="s">
        <v>86</v>
      </c>
      <c r="CM918" s="2"/>
    </row>
    <row r="919" spans="1:91">
      <c r="A919" s="2" t="s">
        <v>71</v>
      </c>
      <c r="B919" s="2" t="s">
        <v>72</v>
      </c>
      <c r="C919" s="2" t="s">
        <v>73</v>
      </c>
      <c r="D919" s="2"/>
      <c r="E919" s="2" t="str">
        <f>"FES1162543024"</f>
        <v>FES1162543024</v>
      </c>
      <c r="F919" s="3">
        <v>42836</v>
      </c>
      <c r="G919" s="2">
        <v>201710</v>
      </c>
      <c r="H919" s="2" t="s">
        <v>74</v>
      </c>
      <c r="I919" s="2" t="s">
        <v>75</v>
      </c>
      <c r="J919" s="2" t="s">
        <v>76</v>
      </c>
      <c r="K919" s="2" t="s">
        <v>77</v>
      </c>
      <c r="L919" s="2" t="s">
        <v>294</v>
      </c>
      <c r="M919" s="2" t="s">
        <v>295</v>
      </c>
      <c r="N919" s="2" t="s">
        <v>1356</v>
      </c>
      <c r="O919" s="2" t="s">
        <v>115</v>
      </c>
      <c r="P919" s="2" t="str">
        <f>"2170561808                    "</f>
        <v xml:space="preserve">2170561808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4.29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1</v>
      </c>
      <c r="BJ919" s="2">
        <v>0.2</v>
      </c>
      <c r="BK919" s="2">
        <v>1</v>
      </c>
      <c r="BL919" s="2">
        <v>41.73</v>
      </c>
      <c r="BM919" s="2">
        <v>5.84</v>
      </c>
      <c r="BN919" s="2">
        <v>47.57</v>
      </c>
      <c r="BO919" s="2">
        <v>47.57</v>
      </c>
      <c r="BP919" s="2"/>
      <c r="BQ919" s="2" t="s">
        <v>129</v>
      </c>
      <c r="BR919" s="2" t="s">
        <v>123</v>
      </c>
      <c r="BS919" s="3">
        <v>42837</v>
      </c>
      <c r="BT919" s="4">
        <v>0.4375</v>
      </c>
      <c r="BU919" s="2" t="s">
        <v>1530</v>
      </c>
      <c r="BV919" s="2" t="s">
        <v>111</v>
      </c>
      <c r="BW919" s="2"/>
      <c r="BX919" s="2"/>
      <c r="BY919" s="2">
        <v>1200</v>
      </c>
      <c r="BZ919" s="2" t="s">
        <v>27</v>
      </c>
      <c r="CA919" s="2"/>
      <c r="CB919" s="2"/>
      <c r="CC919" s="2" t="s">
        <v>295</v>
      </c>
      <c r="CD919" s="2">
        <v>3610</v>
      </c>
      <c r="CE919" s="2" t="s">
        <v>118</v>
      </c>
      <c r="CF919" s="2"/>
      <c r="CG919" s="2"/>
      <c r="CH919" s="2"/>
      <c r="CI919" s="2">
        <v>1</v>
      </c>
      <c r="CJ919" s="2">
        <v>1</v>
      </c>
      <c r="CK919" s="2">
        <v>21</v>
      </c>
      <c r="CL919" s="2" t="s">
        <v>86</v>
      </c>
      <c r="CM919" s="2"/>
    </row>
    <row r="920" spans="1:91">
      <c r="A920" s="2" t="s">
        <v>71</v>
      </c>
      <c r="B920" s="2" t="s">
        <v>72</v>
      </c>
      <c r="C920" s="2" t="s">
        <v>73</v>
      </c>
      <c r="D920" s="2"/>
      <c r="E920" s="2" t="str">
        <f>"FES1162541930"</f>
        <v>FES1162541930</v>
      </c>
      <c r="F920" s="3">
        <v>42831</v>
      </c>
      <c r="G920" s="2">
        <v>201710</v>
      </c>
      <c r="H920" s="2" t="s">
        <v>74</v>
      </c>
      <c r="I920" s="2" t="s">
        <v>75</v>
      </c>
      <c r="J920" s="2" t="s">
        <v>76</v>
      </c>
      <c r="K920" s="2" t="s">
        <v>77</v>
      </c>
      <c r="L920" s="2" t="s">
        <v>516</v>
      </c>
      <c r="M920" s="2" t="s">
        <v>517</v>
      </c>
      <c r="N920" s="2" t="s">
        <v>755</v>
      </c>
      <c r="O920" s="2" t="s">
        <v>115</v>
      </c>
      <c r="P920" s="2" t="str">
        <f>"21705609217                   "</f>
        <v xml:space="preserve">21705609217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3.35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1.8</v>
      </c>
      <c r="BJ920" s="2">
        <v>1.6</v>
      </c>
      <c r="BK920" s="2">
        <v>2</v>
      </c>
      <c r="BL920" s="2">
        <v>32.6</v>
      </c>
      <c r="BM920" s="2">
        <v>4.5599999999999996</v>
      </c>
      <c r="BN920" s="2">
        <v>37.159999999999997</v>
      </c>
      <c r="BO920" s="2">
        <v>37.159999999999997</v>
      </c>
      <c r="BP920" s="2"/>
      <c r="BQ920" s="2" t="s">
        <v>122</v>
      </c>
      <c r="BR920" s="2" t="s">
        <v>123</v>
      </c>
      <c r="BS920" s="3">
        <v>42832</v>
      </c>
      <c r="BT920" s="4">
        <v>0.4236111111111111</v>
      </c>
      <c r="BU920" s="2" t="s">
        <v>290</v>
      </c>
      <c r="BV920" s="2" t="s">
        <v>111</v>
      </c>
      <c r="BW920" s="2"/>
      <c r="BX920" s="2"/>
      <c r="BY920" s="2">
        <v>8040.31</v>
      </c>
      <c r="BZ920" s="2" t="s">
        <v>27</v>
      </c>
      <c r="CA920" s="2"/>
      <c r="CB920" s="2"/>
      <c r="CC920" s="2" t="s">
        <v>517</v>
      </c>
      <c r="CD920" s="2">
        <v>1459</v>
      </c>
      <c r="CE920" s="2" t="s">
        <v>89</v>
      </c>
      <c r="CF920" s="5">
        <v>42835</v>
      </c>
      <c r="CG920" s="2"/>
      <c r="CH920" s="2"/>
      <c r="CI920" s="2">
        <v>1</v>
      </c>
      <c r="CJ920" s="2">
        <v>1</v>
      </c>
      <c r="CK920" s="2">
        <v>22</v>
      </c>
      <c r="CL920" s="2" t="s">
        <v>86</v>
      </c>
      <c r="CM920" s="2"/>
    </row>
    <row r="921" spans="1:91">
      <c r="A921" s="2" t="s">
        <v>71</v>
      </c>
      <c r="B921" s="2" t="s">
        <v>72</v>
      </c>
      <c r="C921" s="2" t="s">
        <v>73</v>
      </c>
      <c r="D921" s="2"/>
      <c r="E921" s="2" t="str">
        <f>"FES1162541234"</f>
        <v>FES1162541234</v>
      </c>
      <c r="F921" s="3">
        <v>42829</v>
      </c>
      <c r="G921" s="2">
        <v>201710</v>
      </c>
      <c r="H921" s="2" t="s">
        <v>74</v>
      </c>
      <c r="I921" s="2" t="s">
        <v>75</v>
      </c>
      <c r="J921" s="2" t="s">
        <v>76</v>
      </c>
      <c r="K921" s="2" t="s">
        <v>77</v>
      </c>
      <c r="L921" s="2" t="s">
        <v>591</v>
      </c>
      <c r="M921" s="2" t="s">
        <v>592</v>
      </c>
      <c r="N921" s="2" t="s">
        <v>675</v>
      </c>
      <c r="O921" s="2" t="s">
        <v>115</v>
      </c>
      <c r="P921" s="2" t="str">
        <f>"2170559485                    "</f>
        <v xml:space="preserve">2170559485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4.42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1</v>
      </c>
      <c r="BJ921" s="2">
        <v>0.2</v>
      </c>
      <c r="BK921" s="2">
        <v>1</v>
      </c>
      <c r="BL921" s="2">
        <v>41.86</v>
      </c>
      <c r="BM921" s="2">
        <v>5.86</v>
      </c>
      <c r="BN921" s="2">
        <v>47.72</v>
      </c>
      <c r="BO921" s="2">
        <v>47.72</v>
      </c>
      <c r="BP921" s="2"/>
      <c r="BQ921" s="2" t="s">
        <v>129</v>
      </c>
      <c r="BR921" s="2" t="s">
        <v>123</v>
      </c>
      <c r="BS921" s="3">
        <v>42830</v>
      </c>
      <c r="BT921" s="4">
        <v>0.43055555555555558</v>
      </c>
      <c r="BU921" s="2" t="s">
        <v>676</v>
      </c>
      <c r="BV921" s="2" t="s">
        <v>111</v>
      </c>
      <c r="BW921" s="2"/>
      <c r="BX921" s="2"/>
      <c r="BY921" s="2">
        <v>1200</v>
      </c>
      <c r="BZ921" s="2" t="s">
        <v>27</v>
      </c>
      <c r="CA921" s="2"/>
      <c r="CB921" s="2"/>
      <c r="CC921" s="2" t="s">
        <v>592</v>
      </c>
      <c r="CD921" s="2">
        <v>7600</v>
      </c>
      <c r="CE921" s="2" t="s">
        <v>144</v>
      </c>
      <c r="CF921" s="5">
        <v>42831</v>
      </c>
      <c r="CG921" s="2"/>
      <c r="CH921" s="2"/>
      <c r="CI921" s="2">
        <v>1</v>
      </c>
      <c r="CJ921" s="2">
        <v>1</v>
      </c>
      <c r="CK921" s="2">
        <v>21</v>
      </c>
      <c r="CL921" s="2" t="s">
        <v>86</v>
      </c>
      <c r="CM921" s="2"/>
    </row>
    <row r="922" spans="1:91">
      <c r="A922" s="2" t="s">
        <v>71</v>
      </c>
      <c r="B922" s="2" t="s">
        <v>72</v>
      </c>
      <c r="C922" s="2" t="s">
        <v>73</v>
      </c>
      <c r="D922" s="2"/>
      <c r="E922" s="2" t="str">
        <f>"FES1162542964"</f>
        <v>FES1162542964</v>
      </c>
      <c r="F922" s="3">
        <v>42836</v>
      </c>
      <c r="G922" s="2">
        <v>201710</v>
      </c>
      <c r="H922" s="2" t="s">
        <v>74</v>
      </c>
      <c r="I922" s="2" t="s">
        <v>75</v>
      </c>
      <c r="J922" s="2" t="s">
        <v>76</v>
      </c>
      <c r="K922" s="2" t="s">
        <v>77</v>
      </c>
      <c r="L922" s="2" t="s">
        <v>131</v>
      </c>
      <c r="M922" s="2" t="s">
        <v>132</v>
      </c>
      <c r="N922" s="2" t="s">
        <v>384</v>
      </c>
      <c r="O922" s="2" t="s">
        <v>115</v>
      </c>
      <c r="P922" s="2" t="str">
        <f>"2170561755                    "</f>
        <v xml:space="preserve">2170561755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4.29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1</v>
      </c>
      <c r="BJ922" s="2">
        <v>0.2</v>
      </c>
      <c r="BK922" s="2">
        <v>1</v>
      </c>
      <c r="BL922" s="2">
        <v>41.73</v>
      </c>
      <c r="BM922" s="2">
        <v>5.84</v>
      </c>
      <c r="BN922" s="2">
        <v>47.57</v>
      </c>
      <c r="BO922" s="2">
        <v>47.57</v>
      </c>
      <c r="BP922" s="2"/>
      <c r="BQ922" s="2" t="s">
        <v>1272</v>
      </c>
      <c r="BR922" s="2" t="s">
        <v>123</v>
      </c>
      <c r="BS922" s="3">
        <v>42837</v>
      </c>
      <c r="BT922" s="4">
        <v>0.45833333333333331</v>
      </c>
      <c r="BU922" s="2" t="s">
        <v>1516</v>
      </c>
      <c r="BV922" s="2" t="s">
        <v>86</v>
      </c>
      <c r="BW922" s="2" t="s">
        <v>164</v>
      </c>
      <c r="BX922" s="2" t="s">
        <v>1370</v>
      </c>
      <c r="BY922" s="2">
        <v>1200</v>
      </c>
      <c r="BZ922" s="2" t="s">
        <v>27</v>
      </c>
      <c r="CA922" s="2"/>
      <c r="CB922" s="2"/>
      <c r="CC922" s="2" t="s">
        <v>132</v>
      </c>
      <c r="CD922" s="2">
        <v>7530</v>
      </c>
      <c r="CE922" s="2" t="s">
        <v>118</v>
      </c>
      <c r="CF922" s="5">
        <v>42838</v>
      </c>
      <c r="CG922" s="2"/>
      <c r="CH922" s="2"/>
      <c r="CI922" s="2">
        <v>1</v>
      </c>
      <c r="CJ922" s="2">
        <v>1</v>
      </c>
      <c r="CK922" s="2">
        <v>21</v>
      </c>
      <c r="CL922" s="2" t="s">
        <v>86</v>
      </c>
      <c r="CM922" s="2"/>
    </row>
    <row r="923" spans="1:91">
      <c r="A923" s="2" t="s">
        <v>71</v>
      </c>
      <c r="B923" s="2" t="s">
        <v>72</v>
      </c>
      <c r="C923" s="2" t="s">
        <v>73</v>
      </c>
      <c r="D923" s="2"/>
      <c r="E923" s="2" t="str">
        <f>"FES1162542144"</f>
        <v>FES1162542144</v>
      </c>
      <c r="F923" s="3">
        <v>42831</v>
      </c>
      <c r="G923" s="2">
        <v>201710</v>
      </c>
      <c r="H923" s="2" t="s">
        <v>74</v>
      </c>
      <c r="I923" s="2" t="s">
        <v>75</v>
      </c>
      <c r="J923" s="2" t="s">
        <v>76</v>
      </c>
      <c r="K923" s="2" t="s">
        <v>77</v>
      </c>
      <c r="L923" s="2" t="s">
        <v>609</v>
      </c>
      <c r="M923" s="2" t="s">
        <v>610</v>
      </c>
      <c r="N923" s="2" t="s">
        <v>982</v>
      </c>
      <c r="O923" s="2" t="s">
        <v>115</v>
      </c>
      <c r="P923" s="2" t="str">
        <f>"2170560909                    "</f>
        <v xml:space="preserve">2170560909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6.43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3</v>
      </c>
      <c r="BJ923" s="2">
        <v>2.8</v>
      </c>
      <c r="BK923" s="2">
        <v>3</v>
      </c>
      <c r="BL923" s="2">
        <v>62.59</v>
      </c>
      <c r="BM923" s="2">
        <v>8.76</v>
      </c>
      <c r="BN923" s="2">
        <v>71.349999999999994</v>
      </c>
      <c r="BO923" s="2">
        <v>71.349999999999994</v>
      </c>
      <c r="BP923" s="2"/>
      <c r="BQ923" s="2" t="s">
        <v>129</v>
      </c>
      <c r="BR923" s="2" t="s">
        <v>123</v>
      </c>
      <c r="BS923" s="3">
        <v>42832</v>
      </c>
      <c r="BT923" s="4">
        <v>0.5</v>
      </c>
      <c r="BU923" s="2" t="s">
        <v>1265</v>
      </c>
      <c r="BV923" s="2" t="s">
        <v>86</v>
      </c>
      <c r="BW923" s="2" t="s">
        <v>96</v>
      </c>
      <c r="BX923" s="2" t="s">
        <v>1266</v>
      </c>
      <c r="BY923" s="2">
        <v>14124</v>
      </c>
      <c r="BZ923" s="2" t="s">
        <v>27</v>
      </c>
      <c r="CA923" s="2"/>
      <c r="CB923" s="2"/>
      <c r="CC923" s="2" t="s">
        <v>610</v>
      </c>
      <c r="CD923" s="2">
        <v>1911</v>
      </c>
      <c r="CE923" s="2" t="s">
        <v>172</v>
      </c>
      <c r="CF923" s="5">
        <v>42835</v>
      </c>
      <c r="CG923" s="2"/>
      <c r="CH923" s="2"/>
      <c r="CI923" s="2">
        <v>1</v>
      </c>
      <c r="CJ923" s="2">
        <v>1</v>
      </c>
      <c r="CK923" s="2">
        <v>21</v>
      </c>
      <c r="CL923" s="2" t="s">
        <v>86</v>
      </c>
      <c r="CM923" s="2"/>
    </row>
    <row r="924" spans="1:91">
      <c r="A924" s="2" t="s">
        <v>71</v>
      </c>
      <c r="B924" s="2" t="s">
        <v>72</v>
      </c>
      <c r="C924" s="2" t="s">
        <v>73</v>
      </c>
      <c r="D924" s="2"/>
      <c r="E924" s="2" t="str">
        <f>"FES1162542778"</f>
        <v>FES1162542778</v>
      </c>
      <c r="F924" s="3">
        <v>42836</v>
      </c>
      <c r="G924" s="2">
        <v>201710</v>
      </c>
      <c r="H924" s="2" t="s">
        <v>74</v>
      </c>
      <c r="I924" s="2" t="s">
        <v>75</v>
      </c>
      <c r="J924" s="2" t="s">
        <v>76</v>
      </c>
      <c r="K924" s="2" t="s">
        <v>77</v>
      </c>
      <c r="L924" s="2" t="s">
        <v>176</v>
      </c>
      <c r="M924" s="2" t="s">
        <v>176</v>
      </c>
      <c r="N924" s="2" t="s">
        <v>1413</v>
      </c>
      <c r="O924" s="2" t="s">
        <v>115</v>
      </c>
      <c r="P924" s="2" t="str">
        <f>"2170559967                    "</f>
        <v xml:space="preserve">2170559967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4.29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1</v>
      </c>
      <c r="BJ924" s="2">
        <v>0.2</v>
      </c>
      <c r="BK924" s="2">
        <v>1</v>
      </c>
      <c r="BL924" s="2">
        <v>41.73</v>
      </c>
      <c r="BM924" s="2">
        <v>5.84</v>
      </c>
      <c r="BN924" s="2">
        <v>47.57</v>
      </c>
      <c r="BO924" s="2">
        <v>47.57</v>
      </c>
      <c r="BP924" s="2"/>
      <c r="BQ924" s="2" t="s">
        <v>83</v>
      </c>
      <c r="BR924" s="2" t="s">
        <v>123</v>
      </c>
      <c r="BS924" s="3">
        <v>42837</v>
      </c>
      <c r="BT924" s="4">
        <v>0.5625</v>
      </c>
      <c r="BU924" s="2" t="s">
        <v>1531</v>
      </c>
      <c r="BV924" s="2" t="s">
        <v>111</v>
      </c>
      <c r="BW924" s="2"/>
      <c r="BX924" s="2"/>
      <c r="BY924" s="2">
        <v>1200</v>
      </c>
      <c r="BZ924" s="2" t="s">
        <v>27</v>
      </c>
      <c r="CA924" s="2"/>
      <c r="CB924" s="2"/>
      <c r="CC924" s="2" t="s">
        <v>176</v>
      </c>
      <c r="CD924" s="2">
        <v>7620</v>
      </c>
      <c r="CE924" s="2" t="s">
        <v>118</v>
      </c>
      <c r="CF924" s="5">
        <v>42838</v>
      </c>
      <c r="CG924" s="2"/>
      <c r="CH924" s="2"/>
      <c r="CI924" s="2">
        <v>1</v>
      </c>
      <c r="CJ924" s="2">
        <v>1</v>
      </c>
      <c r="CK924" s="2">
        <v>21</v>
      </c>
      <c r="CL924" s="2" t="s">
        <v>86</v>
      </c>
      <c r="CM924" s="2"/>
    </row>
    <row r="925" spans="1:91">
      <c r="A925" s="2" t="s">
        <v>71</v>
      </c>
      <c r="B925" s="2" t="s">
        <v>72</v>
      </c>
      <c r="C925" s="2" t="s">
        <v>73</v>
      </c>
      <c r="D925" s="2"/>
      <c r="E925" s="2" t="str">
        <f>"FES1162542100"</f>
        <v>FES1162542100</v>
      </c>
      <c r="F925" s="3">
        <v>42831</v>
      </c>
      <c r="G925" s="2">
        <v>201710</v>
      </c>
      <c r="H925" s="2" t="s">
        <v>74</v>
      </c>
      <c r="I925" s="2" t="s">
        <v>75</v>
      </c>
      <c r="J925" s="2" t="s">
        <v>76</v>
      </c>
      <c r="K925" s="2" t="s">
        <v>77</v>
      </c>
      <c r="L925" s="2" t="s">
        <v>119</v>
      </c>
      <c r="M925" s="2" t="s">
        <v>120</v>
      </c>
      <c r="N925" s="2" t="s">
        <v>725</v>
      </c>
      <c r="O925" s="2" t="s">
        <v>115</v>
      </c>
      <c r="P925" s="2" t="str">
        <f>"2170558794                    "</f>
        <v xml:space="preserve">2170558794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3.35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1</v>
      </c>
      <c r="BJ925" s="2">
        <v>1.5</v>
      </c>
      <c r="BK925" s="2">
        <v>2</v>
      </c>
      <c r="BL925" s="2">
        <v>32.6</v>
      </c>
      <c r="BM925" s="2">
        <v>4.5599999999999996</v>
      </c>
      <c r="BN925" s="2">
        <v>37.159999999999997</v>
      </c>
      <c r="BO925" s="2">
        <v>37.159999999999997</v>
      </c>
      <c r="BP925" s="2"/>
      <c r="BQ925" s="2" t="s">
        <v>726</v>
      </c>
      <c r="BR925" s="2" t="s">
        <v>123</v>
      </c>
      <c r="BS925" s="3">
        <v>42832</v>
      </c>
      <c r="BT925" s="4">
        <v>0.52152777777777781</v>
      </c>
      <c r="BU925" s="2" t="s">
        <v>767</v>
      </c>
      <c r="BV925" s="2" t="s">
        <v>86</v>
      </c>
      <c r="BW925" s="2" t="s">
        <v>157</v>
      </c>
      <c r="BX925" s="2" t="s">
        <v>618</v>
      </c>
      <c r="BY925" s="2">
        <v>7341.6</v>
      </c>
      <c r="BZ925" s="2" t="s">
        <v>27</v>
      </c>
      <c r="CA925" s="2"/>
      <c r="CB925" s="2"/>
      <c r="CC925" s="2" t="s">
        <v>120</v>
      </c>
      <c r="CD925" s="2">
        <v>2162</v>
      </c>
      <c r="CE925" s="2" t="s">
        <v>118</v>
      </c>
      <c r="CF925" s="5">
        <v>42835</v>
      </c>
      <c r="CG925" s="2"/>
      <c r="CH925" s="2"/>
      <c r="CI925" s="2">
        <v>1</v>
      </c>
      <c r="CJ925" s="2">
        <v>1</v>
      </c>
      <c r="CK925" s="2">
        <v>22</v>
      </c>
      <c r="CL925" s="2" t="s">
        <v>86</v>
      </c>
      <c r="CM925" s="2"/>
    </row>
    <row r="926" spans="1:91">
      <c r="A926" s="2" t="s">
        <v>71</v>
      </c>
      <c r="B926" s="2" t="s">
        <v>72</v>
      </c>
      <c r="C926" s="2" t="s">
        <v>73</v>
      </c>
      <c r="D926" s="2"/>
      <c r="E926" s="2" t="str">
        <f>"FES1162541238"</f>
        <v>FES1162541238</v>
      </c>
      <c r="F926" s="3">
        <v>42829</v>
      </c>
      <c r="G926" s="2">
        <v>201710</v>
      </c>
      <c r="H926" s="2" t="s">
        <v>74</v>
      </c>
      <c r="I926" s="2" t="s">
        <v>75</v>
      </c>
      <c r="J926" s="2" t="s">
        <v>76</v>
      </c>
      <c r="K926" s="2" t="s">
        <v>77</v>
      </c>
      <c r="L926" s="2" t="s">
        <v>1026</v>
      </c>
      <c r="M926" s="2" t="s">
        <v>1027</v>
      </c>
      <c r="N926" s="2" t="s">
        <v>1453</v>
      </c>
      <c r="O926" s="2" t="s">
        <v>115</v>
      </c>
      <c r="P926" s="2" t="str">
        <f>"2170559610                    "</f>
        <v xml:space="preserve">2170559610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8.57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1</v>
      </c>
      <c r="BJ926" s="2">
        <v>0.2</v>
      </c>
      <c r="BK926" s="2">
        <v>1</v>
      </c>
      <c r="BL926" s="2">
        <v>81.11</v>
      </c>
      <c r="BM926" s="2">
        <v>11.36</v>
      </c>
      <c r="BN926" s="2">
        <v>92.47</v>
      </c>
      <c r="BO926" s="2">
        <v>92.47</v>
      </c>
      <c r="BP926" s="2"/>
      <c r="BQ926" s="2" t="s">
        <v>129</v>
      </c>
      <c r="BR926" s="2" t="s">
        <v>123</v>
      </c>
      <c r="BS926" s="3">
        <v>42830</v>
      </c>
      <c r="BT926" s="4">
        <v>0.41666666666666669</v>
      </c>
      <c r="BU926" s="2" t="s">
        <v>1532</v>
      </c>
      <c r="BV926" s="2" t="s">
        <v>111</v>
      </c>
      <c r="BW926" s="2"/>
      <c r="BX926" s="2"/>
      <c r="BY926" s="2">
        <v>1200</v>
      </c>
      <c r="BZ926" s="2" t="s">
        <v>27</v>
      </c>
      <c r="CA926" s="2"/>
      <c r="CB926" s="2"/>
      <c r="CC926" s="2" t="s">
        <v>1027</v>
      </c>
      <c r="CD926" s="2">
        <v>7349</v>
      </c>
      <c r="CE926" s="2" t="s">
        <v>144</v>
      </c>
      <c r="CF926" s="5">
        <v>42831</v>
      </c>
      <c r="CG926" s="2"/>
      <c r="CH926" s="2"/>
      <c r="CI926" s="2">
        <v>1</v>
      </c>
      <c r="CJ926" s="2">
        <v>1</v>
      </c>
      <c r="CK926" s="2">
        <v>23</v>
      </c>
      <c r="CL926" s="2" t="s">
        <v>86</v>
      </c>
      <c r="CM926" s="2"/>
    </row>
    <row r="927" spans="1:91">
      <c r="A927" s="2" t="s">
        <v>71</v>
      </c>
      <c r="B927" s="2" t="s">
        <v>72</v>
      </c>
      <c r="C927" s="2" t="s">
        <v>73</v>
      </c>
      <c r="D927" s="2"/>
      <c r="E927" s="2" t="str">
        <f>"FES1162543027"</f>
        <v>FES1162543027</v>
      </c>
      <c r="F927" s="3">
        <v>42836</v>
      </c>
      <c r="G927" s="2">
        <v>201710</v>
      </c>
      <c r="H927" s="2" t="s">
        <v>74</v>
      </c>
      <c r="I927" s="2" t="s">
        <v>75</v>
      </c>
      <c r="J927" s="2" t="s">
        <v>76</v>
      </c>
      <c r="K927" s="2" t="s">
        <v>77</v>
      </c>
      <c r="L927" s="2" t="s">
        <v>294</v>
      </c>
      <c r="M927" s="2" t="s">
        <v>295</v>
      </c>
      <c r="N927" s="2" t="s">
        <v>1403</v>
      </c>
      <c r="O927" s="2" t="s">
        <v>115</v>
      </c>
      <c r="P927" s="2" t="str">
        <f>"2170561814                    "</f>
        <v xml:space="preserve">2170561814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4.29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1</v>
      </c>
      <c r="BJ927" s="2">
        <v>0.2</v>
      </c>
      <c r="BK927" s="2">
        <v>1</v>
      </c>
      <c r="BL927" s="2">
        <v>41.73</v>
      </c>
      <c r="BM927" s="2">
        <v>5.84</v>
      </c>
      <c r="BN927" s="2">
        <v>47.57</v>
      </c>
      <c r="BO927" s="2">
        <v>47.57</v>
      </c>
      <c r="BP927" s="2"/>
      <c r="BQ927" s="2"/>
      <c r="BR927" s="2" t="s">
        <v>123</v>
      </c>
      <c r="BS927" s="3">
        <v>42837</v>
      </c>
      <c r="BT927" s="4">
        <v>0.4375</v>
      </c>
      <c r="BU927" s="2" t="s">
        <v>1404</v>
      </c>
      <c r="BV927" s="2" t="s">
        <v>111</v>
      </c>
      <c r="BW927" s="2"/>
      <c r="BX927" s="2"/>
      <c r="BY927" s="2">
        <v>1200</v>
      </c>
      <c r="BZ927" s="2" t="s">
        <v>27</v>
      </c>
      <c r="CA927" s="2"/>
      <c r="CB927" s="2"/>
      <c r="CC927" s="2" t="s">
        <v>295</v>
      </c>
      <c r="CD927" s="2">
        <v>3610</v>
      </c>
      <c r="CE927" s="2" t="s">
        <v>118</v>
      </c>
      <c r="CF927" s="5">
        <v>42843</v>
      </c>
      <c r="CG927" s="2"/>
      <c r="CH927" s="2"/>
      <c r="CI927" s="2">
        <v>1</v>
      </c>
      <c r="CJ927" s="2">
        <v>1</v>
      </c>
      <c r="CK927" s="2">
        <v>21</v>
      </c>
      <c r="CL927" s="2" t="s">
        <v>86</v>
      </c>
      <c r="CM927" s="2"/>
    </row>
    <row r="928" spans="1:91">
      <c r="A928" s="2" t="s">
        <v>71</v>
      </c>
      <c r="B928" s="2" t="s">
        <v>72</v>
      </c>
      <c r="C928" s="2" t="s">
        <v>73</v>
      </c>
      <c r="D928" s="2"/>
      <c r="E928" s="2" t="str">
        <f>"FES1162542025"</f>
        <v>FES1162542025</v>
      </c>
      <c r="F928" s="3">
        <v>42831</v>
      </c>
      <c r="G928" s="2">
        <v>201710</v>
      </c>
      <c r="H928" s="2" t="s">
        <v>74</v>
      </c>
      <c r="I928" s="2" t="s">
        <v>75</v>
      </c>
      <c r="J928" s="2" t="s">
        <v>76</v>
      </c>
      <c r="K928" s="2" t="s">
        <v>77</v>
      </c>
      <c r="L928" s="2" t="s">
        <v>190</v>
      </c>
      <c r="M928" s="2" t="s">
        <v>191</v>
      </c>
      <c r="N928" s="2" t="s">
        <v>192</v>
      </c>
      <c r="O928" s="2" t="s">
        <v>115</v>
      </c>
      <c r="P928" s="2" t="str">
        <f>"2170560071                    "</f>
        <v xml:space="preserve">2170560071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6.03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1</v>
      </c>
      <c r="BJ928" s="2">
        <v>0.2</v>
      </c>
      <c r="BK928" s="2">
        <v>1</v>
      </c>
      <c r="BL928" s="2">
        <v>58.68</v>
      </c>
      <c r="BM928" s="2">
        <v>8.2200000000000006</v>
      </c>
      <c r="BN928" s="2">
        <v>66.900000000000006</v>
      </c>
      <c r="BO928" s="2">
        <v>66.900000000000006</v>
      </c>
      <c r="BP928" s="2"/>
      <c r="BQ928" s="2" t="s">
        <v>193</v>
      </c>
      <c r="BR928" s="2" t="s">
        <v>123</v>
      </c>
      <c r="BS928" s="3">
        <v>42832</v>
      </c>
      <c r="BT928" s="4">
        <v>0.42708333333333331</v>
      </c>
      <c r="BU928" s="2" t="s">
        <v>290</v>
      </c>
      <c r="BV928" s="2" t="s">
        <v>111</v>
      </c>
      <c r="BW928" s="2"/>
      <c r="BX928" s="2"/>
      <c r="BY928" s="2">
        <v>1200</v>
      </c>
      <c r="BZ928" s="2" t="s">
        <v>27</v>
      </c>
      <c r="CA928" s="2"/>
      <c r="CB928" s="2"/>
      <c r="CC928" s="2" t="s">
        <v>191</v>
      </c>
      <c r="CD928" s="2">
        <v>1739</v>
      </c>
      <c r="CE928" s="2" t="s">
        <v>118</v>
      </c>
      <c r="CF928" s="5">
        <v>42835</v>
      </c>
      <c r="CG928" s="2"/>
      <c r="CH928" s="2"/>
      <c r="CI928" s="2">
        <v>1</v>
      </c>
      <c r="CJ928" s="2">
        <v>1</v>
      </c>
      <c r="CK928" s="2">
        <v>24</v>
      </c>
      <c r="CL928" s="2" t="s">
        <v>86</v>
      </c>
      <c r="CM928" s="2"/>
    </row>
    <row r="929" spans="1:91">
      <c r="A929" s="2" t="s">
        <v>71</v>
      </c>
      <c r="B929" s="2" t="s">
        <v>72</v>
      </c>
      <c r="C929" s="2" t="s">
        <v>73</v>
      </c>
      <c r="D929" s="2"/>
      <c r="E929" s="2" t="str">
        <f>"FES1162541689"</f>
        <v>FES1162541689</v>
      </c>
      <c r="F929" s="3">
        <v>42830</v>
      </c>
      <c r="G929" s="2">
        <v>201710</v>
      </c>
      <c r="H929" s="2" t="s">
        <v>74</v>
      </c>
      <c r="I929" s="2" t="s">
        <v>75</v>
      </c>
      <c r="J929" s="2" t="s">
        <v>76</v>
      </c>
      <c r="K929" s="2" t="s">
        <v>77</v>
      </c>
      <c r="L929" s="2" t="s">
        <v>160</v>
      </c>
      <c r="M929" s="2" t="s">
        <v>161</v>
      </c>
      <c r="N929" s="2" t="s">
        <v>831</v>
      </c>
      <c r="O929" s="2" t="s">
        <v>115</v>
      </c>
      <c r="P929" s="2" t="str">
        <f>"2170560441                    "</f>
        <v xml:space="preserve">2170560441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7.5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3.2</v>
      </c>
      <c r="BJ929" s="2">
        <v>1.7</v>
      </c>
      <c r="BK929" s="2">
        <v>3.5</v>
      </c>
      <c r="BL929" s="2">
        <v>73.02</v>
      </c>
      <c r="BM929" s="2">
        <v>10.220000000000001</v>
      </c>
      <c r="BN929" s="2">
        <v>83.24</v>
      </c>
      <c r="BO929" s="2">
        <v>83.24</v>
      </c>
      <c r="BP929" s="2"/>
      <c r="BQ929" s="2" t="s">
        <v>83</v>
      </c>
      <c r="BR929" s="2" t="s">
        <v>123</v>
      </c>
      <c r="BS929" s="3">
        <v>42831</v>
      </c>
      <c r="BT929" s="4">
        <v>0.41666666666666669</v>
      </c>
      <c r="BU929" s="2" t="s">
        <v>832</v>
      </c>
      <c r="BV929" s="2" t="s">
        <v>111</v>
      </c>
      <c r="BW929" s="2"/>
      <c r="BX929" s="2"/>
      <c r="BY929" s="2">
        <v>8580.32</v>
      </c>
      <c r="BZ929" s="2" t="s">
        <v>27</v>
      </c>
      <c r="CA929" s="2" t="s">
        <v>159</v>
      </c>
      <c r="CB929" s="2"/>
      <c r="CC929" s="2" t="s">
        <v>161</v>
      </c>
      <c r="CD929" s="2">
        <v>5201</v>
      </c>
      <c r="CE929" s="2" t="s">
        <v>135</v>
      </c>
      <c r="CF929" s="5">
        <v>42832</v>
      </c>
      <c r="CG929" s="2"/>
      <c r="CH929" s="2"/>
      <c r="CI929" s="2">
        <v>1</v>
      </c>
      <c r="CJ929" s="2">
        <v>1</v>
      </c>
      <c r="CK929" s="2">
        <v>21</v>
      </c>
      <c r="CL929" s="2" t="s">
        <v>86</v>
      </c>
      <c r="CM929" s="2"/>
    </row>
    <row r="930" spans="1:91">
      <c r="A930" s="2" t="s">
        <v>71</v>
      </c>
      <c r="B930" s="2" t="s">
        <v>72</v>
      </c>
      <c r="C930" s="2" t="s">
        <v>73</v>
      </c>
      <c r="D930" s="2"/>
      <c r="E930" s="2" t="str">
        <f>"FES1162542807"</f>
        <v>FES1162542807</v>
      </c>
      <c r="F930" s="3">
        <v>42836</v>
      </c>
      <c r="G930" s="2">
        <v>201710</v>
      </c>
      <c r="H930" s="2" t="s">
        <v>74</v>
      </c>
      <c r="I930" s="2" t="s">
        <v>75</v>
      </c>
      <c r="J930" s="2" t="s">
        <v>76</v>
      </c>
      <c r="K930" s="2" t="s">
        <v>77</v>
      </c>
      <c r="L930" s="2" t="s">
        <v>131</v>
      </c>
      <c r="M930" s="2" t="s">
        <v>132</v>
      </c>
      <c r="N930" s="2" t="s">
        <v>744</v>
      </c>
      <c r="O930" s="2" t="s">
        <v>115</v>
      </c>
      <c r="P930" s="2" t="str">
        <f>"2170561687                    "</f>
        <v xml:space="preserve">2170561687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4.29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1</v>
      </c>
      <c r="BJ930" s="2">
        <v>0.2</v>
      </c>
      <c r="BK930" s="2">
        <v>1</v>
      </c>
      <c r="BL930" s="2">
        <v>41.73</v>
      </c>
      <c r="BM930" s="2">
        <v>5.84</v>
      </c>
      <c r="BN930" s="2">
        <v>47.57</v>
      </c>
      <c r="BO930" s="2">
        <v>47.57</v>
      </c>
      <c r="BP930" s="2"/>
      <c r="BQ930" s="2" t="s">
        <v>138</v>
      </c>
      <c r="BR930" s="2" t="s">
        <v>123</v>
      </c>
      <c r="BS930" s="3">
        <v>42837</v>
      </c>
      <c r="BT930" s="4">
        <v>0.41666666666666669</v>
      </c>
      <c r="BU930" s="2" t="s">
        <v>964</v>
      </c>
      <c r="BV930" s="2" t="s">
        <v>111</v>
      </c>
      <c r="BW930" s="2"/>
      <c r="BX930" s="2"/>
      <c r="BY930" s="2">
        <v>1200</v>
      </c>
      <c r="BZ930" s="2" t="s">
        <v>27</v>
      </c>
      <c r="CA930" s="2"/>
      <c r="CB930" s="2"/>
      <c r="CC930" s="2" t="s">
        <v>132</v>
      </c>
      <c r="CD930" s="2">
        <v>7405</v>
      </c>
      <c r="CE930" s="2" t="s">
        <v>118</v>
      </c>
      <c r="CF930" s="5">
        <v>42838</v>
      </c>
      <c r="CG930" s="2"/>
      <c r="CH930" s="2"/>
      <c r="CI930" s="2">
        <v>1</v>
      </c>
      <c r="CJ930" s="2">
        <v>1</v>
      </c>
      <c r="CK930" s="2">
        <v>21</v>
      </c>
      <c r="CL930" s="2" t="s">
        <v>86</v>
      </c>
      <c r="CM930" s="2"/>
    </row>
    <row r="931" spans="1:91">
      <c r="A931" s="2" t="s">
        <v>71</v>
      </c>
      <c r="B931" s="2" t="s">
        <v>72</v>
      </c>
      <c r="C931" s="2" t="s">
        <v>73</v>
      </c>
      <c r="D931" s="2"/>
      <c r="E931" s="2" t="str">
        <f>"Rfes1162534068"</f>
        <v>Rfes1162534068</v>
      </c>
      <c r="F931" s="3">
        <v>42831</v>
      </c>
      <c r="G931" s="2">
        <v>201710</v>
      </c>
      <c r="H931" s="2" t="s">
        <v>659</v>
      </c>
      <c r="I931" s="2" t="s">
        <v>660</v>
      </c>
      <c r="J931" s="2" t="s">
        <v>1465</v>
      </c>
      <c r="K931" s="2" t="s">
        <v>77</v>
      </c>
      <c r="L931" s="2" t="s">
        <v>234</v>
      </c>
      <c r="M931" s="2" t="s">
        <v>235</v>
      </c>
      <c r="N931" s="2" t="s">
        <v>76</v>
      </c>
      <c r="O931" s="2" t="s">
        <v>115</v>
      </c>
      <c r="P931" s="2" t="str">
        <f>"2170549488                    "</f>
        <v xml:space="preserve">2170549488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4.29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2</v>
      </c>
      <c r="BJ931" s="2">
        <v>0.2</v>
      </c>
      <c r="BK931" s="2">
        <v>2</v>
      </c>
      <c r="BL931" s="2">
        <v>41.73</v>
      </c>
      <c r="BM931" s="2">
        <v>5.84</v>
      </c>
      <c r="BN931" s="2">
        <v>47.57</v>
      </c>
      <c r="BO931" s="2">
        <v>47.57</v>
      </c>
      <c r="BP931" s="2"/>
      <c r="BQ931" s="2" t="s">
        <v>123</v>
      </c>
      <c r="BR931" s="2" t="s">
        <v>1466</v>
      </c>
      <c r="BS931" s="3">
        <v>42835</v>
      </c>
      <c r="BT931" s="4">
        <v>0.39166666666666666</v>
      </c>
      <c r="BU931" s="2" t="s">
        <v>1474</v>
      </c>
      <c r="BV931" s="2" t="s">
        <v>86</v>
      </c>
      <c r="BW931" s="2" t="s">
        <v>164</v>
      </c>
      <c r="BX931" s="2" t="s">
        <v>309</v>
      </c>
      <c r="BY931" s="2">
        <v>1200</v>
      </c>
      <c r="BZ931" s="2" t="s">
        <v>27</v>
      </c>
      <c r="CA931" s="2" t="s">
        <v>159</v>
      </c>
      <c r="CB931" s="2"/>
      <c r="CC931" s="2" t="s">
        <v>235</v>
      </c>
      <c r="CD931" s="2">
        <v>6242</v>
      </c>
      <c r="CE931" s="2" t="s">
        <v>1533</v>
      </c>
      <c r="CF931" s="5">
        <v>42836</v>
      </c>
      <c r="CG931" s="2"/>
      <c r="CH931" s="2"/>
      <c r="CI931" s="2">
        <v>1</v>
      </c>
      <c r="CJ931" s="2">
        <v>2</v>
      </c>
      <c r="CK931" s="2">
        <v>21</v>
      </c>
      <c r="CL931" s="2" t="s">
        <v>86</v>
      </c>
      <c r="CM931" s="2"/>
    </row>
    <row r="932" spans="1:91">
      <c r="A932" s="2" t="s">
        <v>71</v>
      </c>
      <c r="B932" s="2" t="s">
        <v>72</v>
      </c>
      <c r="C932" s="2" t="s">
        <v>73</v>
      </c>
      <c r="D932" s="2"/>
      <c r="E932" s="2" t="str">
        <f>"FES1162541250"</f>
        <v>FES1162541250</v>
      </c>
      <c r="F932" s="3">
        <v>42829</v>
      </c>
      <c r="G932" s="2">
        <v>201710</v>
      </c>
      <c r="H932" s="2" t="s">
        <v>74</v>
      </c>
      <c r="I932" s="2" t="s">
        <v>75</v>
      </c>
      <c r="J932" s="2" t="s">
        <v>76</v>
      </c>
      <c r="K932" s="2" t="s">
        <v>77</v>
      </c>
      <c r="L932" s="2" t="s">
        <v>131</v>
      </c>
      <c r="M932" s="2" t="s">
        <v>132</v>
      </c>
      <c r="N932" s="2" t="s">
        <v>1534</v>
      </c>
      <c r="O932" s="2" t="s">
        <v>115</v>
      </c>
      <c r="P932" s="2" t="str">
        <f>"2170560168                    "</f>
        <v xml:space="preserve">2170560168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4.42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</v>
      </c>
      <c r="BJ932" s="2">
        <v>0.2</v>
      </c>
      <c r="BK932" s="2">
        <v>1</v>
      </c>
      <c r="BL932" s="2">
        <v>41.86</v>
      </c>
      <c r="BM932" s="2">
        <v>5.86</v>
      </c>
      <c r="BN932" s="2">
        <v>47.72</v>
      </c>
      <c r="BO932" s="2">
        <v>47.72</v>
      </c>
      <c r="BP932" s="2"/>
      <c r="BQ932" s="2" t="s">
        <v>116</v>
      </c>
      <c r="BR932" s="2" t="s">
        <v>123</v>
      </c>
      <c r="BS932" s="3">
        <v>42830</v>
      </c>
      <c r="BT932" s="4">
        <v>0.3611111111111111</v>
      </c>
      <c r="BU932" s="2" t="s">
        <v>1535</v>
      </c>
      <c r="BV932" s="2" t="s">
        <v>111</v>
      </c>
      <c r="BW932" s="2"/>
      <c r="BX932" s="2"/>
      <c r="BY932" s="2">
        <v>1200</v>
      </c>
      <c r="BZ932" s="2" t="s">
        <v>27</v>
      </c>
      <c r="CA932" s="2"/>
      <c r="CB932" s="2"/>
      <c r="CC932" s="2" t="s">
        <v>132</v>
      </c>
      <c r="CD932" s="2">
        <v>7493</v>
      </c>
      <c r="CE932" s="2" t="s">
        <v>144</v>
      </c>
      <c r="CF932" s="5">
        <v>42831</v>
      </c>
      <c r="CG932" s="2"/>
      <c r="CH932" s="2"/>
      <c r="CI932" s="2">
        <v>1</v>
      </c>
      <c r="CJ932" s="2">
        <v>1</v>
      </c>
      <c r="CK932" s="2">
        <v>21</v>
      </c>
      <c r="CL932" s="2" t="s">
        <v>86</v>
      </c>
      <c r="CM932" s="2"/>
    </row>
    <row r="933" spans="1:91">
      <c r="A933" s="2" t="s">
        <v>71</v>
      </c>
      <c r="B933" s="2" t="s">
        <v>72</v>
      </c>
      <c r="C933" s="2" t="s">
        <v>73</v>
      </c>
      <c r="D933" s="2"/>
      <c r="E933" s="2" t="str">
        <f>"FES1162543057"</f>
        <v>FES1162543057</v>
      </c>
      <c r="F933" s="3">
        <v>42836</v>
      </c>
      <c r="G933" s="2">
        <v>201710</v>
      </c>
      <c r="H933" s="2" t="s">
        <v>74</v>
      </c>
      <c r="I933" s="2" t="s">
        <v>75</v>
      </c>
      <c r="J933" s="2" t="s">
        <v>76</v>
      </c>
      <c r="K933" s="2" t="s">
        <v>77</v>
      </c>
      <c r="L933" s="2" t="s">
        <v>633</v>
      </c>
      <c r="M933" s="2" t="s">
        <v>634</v>
      </c>
      <c r="N933" s="2" t="s">
        <v>635</v>
      </c>
      <c r="O933" s="2" t="s">
        <v>115</v>
      </c>
      <c r="P933" s="2" t="str">
        <f>"2170561842                    "</f>
        <v xml:space="preserve">2170561842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6.03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1</v>
      </c>
      <c r="BJ933" s="2">
        <v>0.2</v>
      </c>
      <c r="BK933" s="2">
        <v>1</v>
      </c>
      <c r="BL933" s="2">
        <v>58.68</v>
      </c>
      <c r="BM933" s="2">
        <v>8.2200000000000006</v>
      </c>
      <c r="BN933" s="2">
        <v>66.900000000000006</v>
      </c>
      <c r="BO933" s="2">
        <v>66.900000000000006</v>
      </c>
      <c r="BP933" s="2"/>
      <c r="BQ933" s="2" t="s">
        <v>636</v>
      </c>
      <c r="BR933" s="2" t="s">
        <v>123</v>
      </c>
      <c r="BS933" s="3">
        <v>42837</v>
      </c>
      <c r="BT933" s="4">
        <v>0.41666666666666669</v>
      </c>
      <c r="BU933" s="2" t="s">
        <v>380</v>
      </c>
      <c r="BV933" s="2" t="s">
        <v>111</v>
      </c>
      <c r="BW933" s="2"/>
      <c r="BX933" s="2"/>
      <c r="BY933" s="2">
        <v>1200</v>
      </c>
      <c r="BZ933" s="2" t="s">
        <v>27</v>
      </c>
      <c r="CA933" s="2"/>
      <c r="CB933" s="2"/>
      <c r="CC933" s="2" t="s">
        <v>634</v>
      </c>
      <c r="CD933" s="2">
        <v>1759</v>
      </c>
      <c r="CE933" s="2" t="s">
        <v>118</v>
      </c>
      <c r="CF933" s="5">
        <v>42838</v>
      </c>
      <c r="CG933" s="2"/>
      <c r="CH933" s="2"/>
      <c r="CI933" s="2">
        <v>1</v>
      </c>
      <c r="CJ933" s="2">
        <v>1</v>
      </c>
      <c r="CK933" s="2">
        <v>24</v>
      </c>
      <c r="CL933" s="2" t="s">
        <v>86</v>
      </c>
      <c r="CM933" s="2"/>
    </row>
    <row r="934" spans="1:91">
      <c r="A934" s="2" t="s">
        <v>71</v>
      </c>
      <c r="B934" s="2" t="s">
        <v>72</v>
      </c>
      <c r="C934" s="2" t="s">
        <v>73</v>
      </c>
      <c r="D934" s="2"/>
      <c r="E934" s="2" t="str">
        <f>"FES1162542155"</f>
        <v>FES1162542155</v>
      </c>
      <c r="F934" s="3">
        <v>42831</v>
      </c>
      <c r="G934" s="2">
        <v>201710</v>
      </c>
      <c r="H934" s="2" t="s">
        <v>74</v>
      </c>
      <c r="I934" s="2" t="s">
        <v>75</v>
      </c>
      <c r="J934" s="2" t="s">
        <v>76</v>
      </c>
      <c r="K934" s="2" t="s">
        <v>77</v>
      </c>
      <c r="L934" s="2" t="s">
        <v>131</v>
      </c>
      <c r="M934" s="2" t="s">
        <v>132</v>
      </c>
      <c r="N934" s="2" t="s">
        <v>1097</v>
      </c>
      <c r="O934" s="2" t="s">
        <v>115</v>
      </c>
      <c r="P934" s="2" t="str">
        <f>"2170561053                    "</f>
        <v xml:space="preserve">2170561053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4.29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</v>
      </c>
      <c r="BJ934" s="2">
        <v>0.2</v>
      </c>
      <c r="BK934" s="2">
        <v>1</v>
      </c>
      <c r="BL934" s="2">
        <v>41.73</v>
      </c>
      <c r="BM934" s="2">
        <v>5.84</v>
      </c>
      <c r="BN934" s="2">
        <v>47.57</v>
      </c>
      <c r="BO934" s="2">
        <v>47.57</v>
      </c>
      <c r="BP934" s="2"/>
      <c r="BQ934" s="2" t="s">
        <v>1098</v>
      </c>
      <c r="BR934" s="2" t="s">
        <v>123</v>
      </c>
      <c r="BS934" s="3">
        <v>42832</v>
      </c>
      <c r="BT934" s="4">
        <v>0.4916666666666667</v>
      </c>
      <c r="BU934" s="2" t="s">
        <v>1536</v>
      </c>
      <c r="BV934" s="2" t="s">
        <v>86</v>
      </c>
      <c r="BW934" s="2" t="s">
        <v>157</v>
      </c>
      <c r="BX934" s="2" t="s">
        <v>1537</v>
      </c>
      <c r="BY934" s="2">
        <v>1200</v>
      </c>
      <c r="BZ934" s="2" t="s">
        <v>27</v>
      </c>
      <c r="CA934" s="2"/>
      <c r="CB934" s="2"/>
      <c r="CC934" s="2" t="s">
        <v>132</v>
      </c>
      <c r="CD934" s="2">
        <v>7925</v>
      </c>
      <c r="CE934" s="2" t="s">
        <v>118</v>
      </c>
      <c r="CF934" s="5">
        <v>42835</v>
      </c>
      <c r="CG934" s="2"/>
      <c r="CH934" s="2"/>
      <c r="CI934" s="2">
        <v>1</v>
      </c>
      <c r="CJ934" s="2">
        <v>1</v>
      </c>
      <c r="CK934" s="2">
        <v>21</v>
      </c>
      <c r="CL934" s="2" t="s">
        <v>86</v>
      </c>
      <c r="CM934" s="2"/>
    </row>
    <row r="935" spans="1:91">
      <c r="A935" s="2" t="s">
        <v>71</v>
      </c>
      <c r="B935" s="2" t="s">
        <v>72</v>
      </c>
      <c r="C935" s="2" t="s">
        <v>73</v>
      </c>
      <c r="D935" s="2"/>
      <c r="E935" s="2" t="str">
        <f>"FES1162541588"</f>
        <v>FES1162541588</v>
      </c>
      <c r="F935" s="3">
        <v>42830</v>
      </c>
      <c r="G935" s="2">
        <v>201710</v>
      </c>
      <c r="H935" s="2" t="s">
        <v>74</v>
      </c>
      <c r="I935" s="2" t="s">
        <v>75</v>
      </c>
      <c r="J935" s="2" t="s">
        <v>76</v>
      </c>
      <c r="K935" s="2" t="s">
        <v>77</v>
      </c>
      <c r="L935" s="2" t="s">
        <v>396</v>
      </c>
      <c r="M935" s="2" t="s">
        <v>397</v>
      </c>
      <c r="N935" s="2" t="s">
        <v>1236</v>
      </c>
      <c r="O935" s="2" t="s">
        <v>115</v>
      </c>
      <c r="P935" s="2" t="str">
        <f>"2170560686                    "</f>
        <v xml:space="preserve">2170560686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8.57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3.8</v>
      </c>
      <c r="BJ935" s="2">
        <v>1.6</v>
      </c>
      <c r="BK935" s="2">
        <v>4</v>
      </c>
      <c r="BL935" s="2">
        <v>83.45</v>
      </c>
      <c r="BM935" s="2">
        <v>11.68</v>
      </c>
      <c r="BN935" s="2">
        <v>95.13</v>
      </c>
      <c r="BO935" s="2">
        <v>95.13</v>
      </c>
      <c r="BP935" s="2"/>
      <c r="BQ935" s="2" t="s">
        <v>83</v>
      </c>
      <c r="BR935" s="2" t="s">
        <v>123</v>
      </c>
      <c r="BS935" s="3">
        <v>42831</v>
      </c>
      <c r="BT935" s="4">
        <v>0.4375</v>
      </c>
      <c r="BU935" s="2" t="s">
        <v>1538</v>
      </c>
      <c r="BV935" s="2" t="s">
        <v>111</v>
      </c>
      <c r="BW935" s="2"/>
      <c r="BX935" s="2"/>
      <c r="BY935" s="2">
        <v>7972.23</v>
      </c>
      <c r="BZ935" s="2" t="s">
        <v>27</v>
      </c>
      <c r="CA935" s="2"/>
      <c r="CB935" s="2"/>
      <c r="CC935" s="2" t="s">
        <v>397</v>
      </c>
      <c r="CD935" s="2">
        <v>4302</v>
      </c>
      <c r="CE935" s="2" t="s">
        <v>135</v>
      </c>
      <c r="CF935" s="5">
        <v>42832</v>
      </c>
      <c r="CG935" s="2"/>
      <c r="CH935" s="2"/>
      <c r="CI935" s="2">
        <v>1</v>
      </c>
      <c r="CJ935" s="2">
        <v>1</v>
      </c>
      <c r="CK935" s="2">
        <v>21</v>
      </c>
      <c r="CL935" s="2" t="s">
        <v>86</v>
      </c>
      <c r="CM935" s="2"/>
    </row>
    <row r="936" spans="1:91">
      <c r="A936" s="2" t="s">
        <v>71</v>
      </c>
      <c r="B936" s="2" t="s">
        <v>72</v>
      </c>
      <c r="C936" s="2" t="s">
        <v>73</v>
      </c>
      <c r="D936" s="2"/>
      <c r="E936" s="2" t="str">
        <f>"FES1162542831"</f>
        <v>FES1162542831</v>
      </c>
      <c r="F936" s="3">
        <v>42836</v>
      </c>
      <c r="G936" s="2">
        <v>201710</v>
      </c>
      <c r="H936" s="2" t="s">
        <v>74</v>
      </c>
      <c r="I936" s="2" t="s">
        <v>75</v>
      </c>
      <c r="J936" s="2" t="s">
        <v>76</v>
      </c>
      <c r="K936" s="2" t="s">
        <v>77</v>
      </c>
      <c r="L936" s="2" t="s">
        <v>991</v>
      </c>
      <c r="M936" s="2" t="s">
        <v>992</v>
      </c>
      <c r="N936" s="2" t="s">
        <v>1539</v>
      </c>
      <c r="O936" s="2" t="s">
        <v>115</v>
      </c>
      <c r="P936" s="2" t="str">
        <f>"2170561692                    "</f>
        <v xml:space="preserve">2170561692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4.29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1</v>
      </c>
      <c r="BJ936" s="2">
        <v>0.2</v>
      </c>
      <c r="BK936" s="2">
        <v>1</v>
      </c>
      <c r="BL936" s="2">
        <v>41.73</v>
      </c>
      <c r="BM936" s="2">
        <v>5.84</v>
      </c>
      <c r="BN936" s="2">
        <v>47.57</v>
      </c>
      <c r="BO936" s="2">
        <v>47.57</v>
      </c>
      <c r="BP936" s="2"/>
      <c r="BQ936" s="2" t="s">
        <v>1540</v>
      </c>
      <c r="BR936" s="2" t="s">
        <v>123</v>
      </c>
      <c r="BS936" s="3">
        <v>42837</v>
      </c>
      <c r="BT936" s="4">
        <v>0.41666666666666669</v>
      </c>
      <c r="BU936" s="2" t="s">
        <v>1541</v>
      </c>
      <c r="BV936" s="2" t="s">
        <v>111</v>
      </c>
      <c r="BW936" s="2"/>
      <c r="BX936" s="2"/>
      <c r="BY936" s="2">
        <v>1200</v>
      </c>
      <c r="BZ936" s="2" t="s">
        <v>27</v>
      </c>
      <c r="CA936" s="2"/>
      <c r="CB936" s="2"/>
      <c r="CC936" s="2" t="s">
        <v>992</v>
      </c>
      <c r="CD936" s="2">
        <v>7654</v>
      </c>
      <c r="CE936" s="2" t="s">
        <v>118</v>
      </c>
      <c r="CF936" s="5">
        <v>42838</v>
      </c>
      <c r="CG936" s="2"/>
      <c r="CH936" s="2"/>
      <c r="CI936" s="2">
        <v>1</v>
      </c>
      <c r="CJ936" s="2">
        <v>1</v>
      </c>
      <c r="CK936" s="2">
        <v>21</v>
      </c>
      <c r="CL936" s="2" t="s">
        <v>86</v>
      </c>
      <c r="CM936" s="2"/>
    </row>
    <row r="937" spans="1:91">
      <c r="A937" s="2" t="s">
        <v>71</v>
      </c>
      <c r="B937" s="2" t="s">
        <v>72</v>
      </c>
      <c r="C937" s="2" t="s">
        <v>73</v>
      </c>
      <c r="D937" s="2"/>
      <c r="E937" s="2" t="str">
        <f>"FES1162542166"</f>
        <v>FES1162542166</v>
      </c>
      <c r="F937" s="3">
        <v>42831</v>
      </c>
      <c r="G937" s="2">
        <v>201710</v>
      </c>
      <c r="H937" s="2" t="s">
        <v>74</v>
      </c>
      <c r="I937" s="2" t="s">
        <v>75</v>
      </c>
      <c r="J937" s="2" t="s">
        <v>76</v>
      </c>
      <c r="K937" s="2" t="s">
        <v>77</v>
      </c>
      <c r="L937" s="2" t="s">
        <v>220</v>
      </c>
      <c r="M937" s="2" t="s">
        <v>221</v>
      </c>
      <c r="N937" s="2" t="s">
        <v>222</v>
      </c>
      <c r="O937" s="2" t="s">
        <v>115</v>
      </c>
      <c r="P937" s="2" t="str">
        <f>"2170561067                    "</f>
        <v xml:space="preserve">2170561067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4.29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1</v>
      </c>
      <c r="BJ937" s="2">
        <v>0.2</v>
      </c>
      <c r="BK937" s="2">
        <v>1</v>
      </c>
      <c r="BL937" s="2">
        <v>41.73</v>
      </c>
      <c r="BM937" s="2">
        <v>5.84</v>
      </c>
      <c r="BN937" s="2">
        <v>47.57</v>
      </c>
      <c r="BO937" s="2">
        <v>47.57</v>
      </c>
      <c r="BP937" s="2"/>
      <c r="BQ937" s="2" t="s">
        <v>223</v>
      </c>
      <c r="BR937" s="2" t="s">
        <v>123</v>
      </c>
      <c r="BS937" s="3">
        <v>42832</v>
      </c>
      <c r="BT937" s="4">
        <v>0.39374999999999999</v>
      </c>
      <c r="BU937" s="2" t="s">
        <v>223</v>
      </c>
      <c r="BV937" s="2" t="s">
        <v>111</v>
      </c>
      <c r="BW937" s="2"/>
      <c r="BX937" s="2"/>
      <c r="BY937" s="2">
        <v>1200</v>
      </c>
      <c r="BZ937" s="2" t="s">
        <v>27</v>
      </c>
      <c r="CA937" s="2"/>
      <c r="CB937" s="2"/>
      <c r="CC937" s="2" t="s">
        <v>221</v>
      </c>
      <c r="CD937" s="2">
        <v>6536</v>
      </c>
      <c r="CE937" s="2" t="s">
        <v>118</v>
      </c>
      <c r="CF937" s="5">
        <v>42836</v>
      </c>
      <c r="CG937" s="2"/>
      <c r="CH937" s="2"/>
      <c r="CI937" s="2">
        <v>1</v>
      </c>
      <c r="CJ937" s="2">
        <v>1</v>
      </c>
      <c r="CK937" s="2">
        <v>21</v>
      </c>
      <c r="CL937" s="2" t="s">
        <v>86</v>
      </c>
      <c r="CM937" s="2"/>
    </row>
    <row r="938" spans="1:91">
      <c r="A938" s="2" t="s">
        <v>71</v>
      </c>
      <c r="B938" s="2" t="s">
        <v>72</v>
      </c>
      <c r="C938" s="2" t="s">
        <v>73</v>
      </c>
      <c r="D938" s="2"/>
      <c r="E938" s="2" t="str">
        <f>"FES1162541218"</f>
        <v>FES1162541218</v>
      </c>
      <c r="F938" s="3">
        <v>42829</v>
      </c>
      <c r="G938" s="2">
        <v>201710</v>
      </c>
      <c r="H938" s="2" t="s">
        <v>74</v>
      </c>
      <c r="I938" s="2" t="s">
        <v>75</v>
      </c>
      <c r="J938" s="2" t="s">
        <v>76</v>
      </c>
      <c r="K938" s="2" t="s">
        <v>77</v>
      </c>
      <c r="L938" s="2" t="s">
        <v>126</v>
      </c>
      <c r="M938" s="2" t="s">
        <v>127</v>
      </c>
      <c r="N938" s="2" t="s">
        <v>718</v>
      </c>
      <c r="O938" s="2" t="s">
        <v>115</v>
      </c>
      <c r="P938" s="2" t="str">
        <f>"2170557503                    "</f>
        <v xml:space="preserve">2170557503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12.16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5.2</v>
      </c>
      <c r="BJ938" s="2">
        <v>3.2</v>
      </c>
      <c r="BK938" s="2">
        <v>5.5</v>
      </c>
      <c r="BL938" s="2">
        <v>115.12</v>
      </c>
      <c r="BM938" s="2">
        <v>16.12</v>
      </c>
      <c r="BN938" s="2">
        <v>131.24</v>
      </c>
      <c r="BO938" s="2">
        <v>131.24</v>
      </c>
      <c r="BP938" s="2"/>
      <c r="BQ938" s="2" t="s">
        <v>719</v>
      </c>
      <c r="BR938" s="2" t="s">
        <v>123</v>
      </c>
      <c r="BS938" s="3">
        <v>42830</v>
      </c>
      <c r="BT938" s="4">
        <v>0.41666666666666669</v>
      </c>
      <c r="BU938" s="2" t="s">
        <v>1258</v>
      </c>
      <c r="BV938" s="2" t="s">
        <v>111</v>
      </c>
      <c r="BW938" s="2"/>
      <c r="BX938" s="2"/>
      <c r="BY938" s="2">
        <v>16089.22</v>
      </c>
      <c r="BZ938" s="2" t="s">
        <v>27</v>
      </c>
      <c r="CA938" s="2"/>
      <c r="CB938" s="2"/>
      <c r="CC938" s="2" t="s">
        <v>127</v>
      </c>
      <c r="CD938" s="2">
        <v>6850</v>
      </c>
      <c r="CE938" s="2" t="s">
        <v>135</v>
      </c>
      <c r="CF938" s="5">
        <v>42831</v>
      </c>
      <c r="CG938" s="2"/>
      <c r="CH938" s="2"/>
      <c r="CI938" s="2">
        <v>3</v>
      </c>
      <c r="CJ938" s="2">
        <v>1</v>
      </c>
      <c r="CK938" s="2">
        <v>21</v>
      </c>
      <c r="CL938" s="2" t="s">
        <v>86</v>
      </c>
      <c r="CM938" s="2"/>
    </row>
    <row r="939" spans="1:91">
      <c r="A939" s="2" t="s">
        <v>71</v>
      </c>
      <c r="B939" s="2" t="s">
        <v>72</v>
      </c>
      <c r="C939" s="2" t="s">
        <v>73</v>
      </c>
      <c r="D939" s="2"/>
      <c r="E939" s="2" t="str">
        <f>"FES1162542976"</f>
        <v>FES1162542976</v>
      </c>
      <c r="F939" s="3">
        <v>42836</v>
      </c>
      <c r="G939" s="2">
        <v>201710</v>
      </c>
      <c r="H939" s="2" t="s">
        <v>74</v>
      </c>
      <c r="I939" s="2" t="s">
        <v>75</v>
      </c>
      <c r="J939" s="2" t="s">
        <v>76</v>
      </c>
      <c r="K939" s="2" t="s">
        <v>77</v>
      </c>
      <c r="L939" s="2" t="s">
        <v>176</v>
      </c>
      <c r="M939" s="2" t="s">
        <v>176</v>
      </c>
      <c r="N939" s="2" t="s">
        <v>339</v>
      </c>
      <c r="O939" s="2" t="s">
        <v>115</v>
      </c>
      <c r="P939" s="2" t="str">
        <f>"2170561765                    "</f>
        <v xml:space="preserve">2170561765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4.29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1</v>
      </c>
      <c r="BJ939" s="2">
        <v>0.2</v>
      </c>
      <c r="BK939" s="2">
        <v>1</v>
      </c>
      <c r="BL939" s="2">
        <v>41.73</v>
      </c>
      <c r="BM939" s="2">
        <v>5.84</v>
      </c>
      <c r="BN939" s="2">
        <v>47.57</v>
      </c>
      <c r="BO939" s="2">
        <v>47.57</v>
      </c>
      <c r="BP939" s="2"/>
      <c r="BQ939" s="2" t="s">
        <v>340</v>
      </c>
      <c r="BR939" s="2" t="s">
        <v>123</v>
      </c>
      <c r="BS939" s="3">
        <v>42837</v>
      </c>
      <c r="BT939" s="4">
        <v>0.55555555555555558</v>
      </c>
      <c r="BU939" s="2" t="s">
        <v>341</v>
      </c>
      <c r="BV939" s="2" t="s">
        <v>111</v>
      </c>
      <c r="BW939" s="2"/>
      <c r="BX939" s="2"/>
      <c r="BY939" s="2">
        <v>1200</v>
      </c>
      <c r="BZ939" s="2" t="s">
        <v>27</v>
      </c>
      <c r="CA939" s="2"/>
      <c r="CB939" s="2"/>
      <c r="CC939" s="2" t="s">
        <v>176</v>
      </c>
      <c r="CD939" s="2">
        <v>7646</v>
      </c>
      <c r="CE939" s="2" t="s">
        <v>118</v>
      </c>
      <c r="CF939" s="5">
        <v>42838</v>
      </c>
      <c r="CG939" s="2"/>
      <c r="CH939" s="2"/>
      <c r="CI939" s="2">
        <v>1</v>
      </c>
      <c r="CJ939" s="2">
        <v>1</v>
      </c>
      <c r="CK939" s="2">
        <v>21</v>
      </c>
      <c r="CL939" s="2" t="s">
        <v>86</v>
      </c>
      <c r="CM939" s="2"/>
    </row>
    <row r="940" spans="1:91">
      <c r="A940" s="2" t="s">
        <v>71</v>
      </c>
      <c r="B940" s="2" t="s">
        <v>72</v>
      </c>
      <c r="C940" s="2" t="s">
        <v>73</v>
      </c>
      <c r="D940" s="2"/>
      <c r="E940" s="2" t="str">
        <f>"FES1162542150"</f>
        <v>FES1162542150</v>
      </c>
      <c r="F940" s="3">
        <v>42831</v>
      </c>
      <c r="G940" s="2">
        <v>201710</v>
      </c>
      <c r="H940" s="2" t="s">
        <v>74</v>
      </c>
      <c r="I940" s="2" t="s">
        <v>75</v>
      </c>
      <c r="J940" s="2" t="s">
        <v>76</v>
      </c>
      <c r="K940" s="2" t="s">
        <v>77</v>
      </c>
      <c r="L940" s="2" t="s">
        <v>131</v>
      </c>
      <c r="M940" s="2" t="s">
        <v>132</v>
      </c>
      <c r="N940" s="2" t="s">
        <v>1468</v>
      </c>
      <c r="O940" s="2" t="s">
        <v>115</v>
      </c>
      <c r="P940" s="2" t="str">
        <f>"2170561048                    "</f>
        <v xml:space="preserve">2170561048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4.29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41.73</v>
      </c>
      <c r="BM940" s="2">
        <v>5.84</v>
      </c>
      <c r="BN940" s="2">
        <v>47.57</v>
      </c>
      <c r="BO940" s="2">
        <v>47.57</v>
      </c>
      <c r="BP940" s="2"/>
      <c r="BQ940" s="2" t="s">
        <v>1469</v>
      </c>
      <c r="BR940" s="2" t="s">
        <v>123</v>
      </c>
      <c r="BS940" s="3">
        <v>42835</v>
      </c>
      <c r="BT940" s="4">
        <v>0.3298611111111111</v>
      </c>
      <c r="BU940" s="2" t="s">
        <v>1470</v>
      </c>
      <c r="BV940" s="2" t="s">
        <v>86</v>
      </c>
      <c r="BW940" s="2" t="s">
        <v>96</v>
      </c>
      <c r="BX940" s="2" t="s">
        <v>860</v>
      </c>
      <c r="BY940" s="2">
        <v>1200</v>
      </c>
      <c r="BZ940" s="2" t="s">
        <v>27</v>
      </c>
      <c r="CA940" s="2"/>
      <c r="CB940" s="2"/>
      <c r="CC940" s="2" t="s">
        <v>132</v>
      </c>
      <c r="CD940" s="2">
        <v>7493</v>
      </c>
      <c r="CE940" s="2" t="s">
        <v>118</v>
      </c>
      <c r="CF940" s="5">
        <v>42836</v>
      </c>
      <c r="CG940" s="2"/>
      <c r="CH940" s="2"/>
      <c r="CI940" s="2">
        <v>1</v>
      </c>
      <c r="CJ940" s="2">
        <v>2</v>
      </c>
      <c r="CK940" s="2">
        <v>21</v>
      </c>
      <c r="CL940" s="2" t="s">
        <v>86</v>
      </c>
      <c r="CM940" s="2"/>
    </row>
    <row r="941" spans="1:91">
      <c r="A941" s="2" t="s">
        <v>71</v>
      </c>
      <c r="B941" s="2" t="s">
        <v>72</v>
      </c>
      <c r="C941" s="2" t="s">
        <v>73</v>
      </c>
      <c r="D941" s="2"/>
      <c r="E941" s="2" t="str">
        <f>"FES1162541572"</f>
        <v>FES1162541572</v>
      </c>
      <c r="F941" s="3">
        <v>42830</v>
      </c>
      <c r="G941" s="2">
        <v>201710</v>
      </c>
      <c r="H941" s="2" t="s">
        <v>74</v>
      </c>
      <c r="I941" s="2" t="s">
        <v>75</v>
      </c>
      <c r="J941" s="2" t="s">
        <v>76</v>
      </c>
      <c r="K941" s="2" t="s">
        <v>77</v>
      </c>
      <c r="L941" s="2" t="s">
        <v>176</v>
      </c>
      <c r="M941" s="2" t="s">
        <v>176</v>
      </c>
      <c r="N941" s="2" t="s">
        <v>1542</v>
      </c>
      <c r="O941" s="2" t="s">
        <v>115</v>
      </c>
      <c r="P941" s="2" t="str">
        <f>"2170560669                    "</f>
        <v xml:space="preserve">2170560669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4.29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1</v>
      </c>
      <c r="BJ941" s="2">
        <v>0.2</v>
      </c>
      <c r="BK941" s="2">
        <v>1</v>
      </c>
      <c r="BL941" s="2">
        <v>41.73</v>
      </c>
      <c r="BM941" s="2">
        <v>5.84</v>
      </c>
      <c r="BN941" s="2">
        <v>47.57</v>
      </c>
      <c r="BO941" s="2">
        <v>47.57</v>
      </c>
      <c r="BP941" s="2"/>
      <c r="BQ941" s="2" t="s">
        <v>1543</v>
      </c>
      <c r="BR941" s="2" t="s">
        <v>123</v>
      </c>
      <c r="BS941" s="3">
        <v>42831</v>
      </c>
      <c r="BT941" s="4">
        <v>0.4777777777777778</v>
      </c>
      <c r="BU941" s="2" t="s">
        <v>1544</v>
      </c>
      <c r="BV941" s="2" t="s">
        <v>111</v>
      </c>
      <c r="BW941" s="2"/>
      <c r="BX941" s="2"/>
      <c r="BY941" s="2">
        <v>1200</v>
      </c>
      <c r="BZ941" s="2" t="s">
        <v>27</v>
      </c>
      <c r="CA941" s="2"/>
      <c r="CB941" s="2"/>
      <c r="CC941" s="2" t="s">
        <v>176</v>
      </c>
      <c r="CD941" s="2">
        <v>7646</v>
      </c>
      <c r="CE941" s="2" t="s">
        <v>144</v>
      </c>
      <c r="CF941" s="5">
        <v>42832</v>
      </c>
      <c r="CG941" s="2"/>
      <c r="CH941" s="2"/>
      <c r="CI941" s="2">
        <v>1</v>
      </c>
      <c r="CJ941" s="2">
        <v>1</v>
      </c>
      <c r="CK941" s="2">
        <v>21</v>
      </c>
      <c r="CL941" s="2" t="s">
        <v>86</v>
      </c>
      <c r="CM941" s="2"/>
    </row>
    <row r="942" spans="1:91">
      <c r="A942" s="2" t="s">
        <v>71</v>
      </c>
      <c r="B942" s="2" t="s">
        <v>72</v>
      </c>
      <c r="C942" s="2" t="s">
        <v>73</v>
      </c>
      <c r="D942" s="2"/>
      <c r="E942" s="2" t="str">
        <f>"FES1162542920"</f>
        <v>FES1162542920</v>
      </c>
      <c r="F942" s="3">
        <v>42836</v>
      </c>
      <c r="G942" s="2">
        <v>201710</v>
      </c>
      <c r="H942" s="2" t="s">
        <v>74</v>
      </c>
      <c r="I942" s="2" t="s">
        <v>75</v>
      </c>
      <c r="J942" s="2" t="s">
        <v>76</v>
      </c>
      <c r="K942" s="2" t="s">
        <v>77</v>
      </c>
      <c r="L942" s="2" t="s">
        <v>131</v>
      </c>
      <c r="M942" s="2" t="s">
        <v>132</v>
      </c>
      <c r="N942" s="2" t="s">
        <v>1069</v>
      </c>
      <c r="O942" s="2" t="s">
        <v>115</v>
      </c>
      <c r="P942" s="2" t="str">
        <f>"2170559330                    "</f>
        <v xml:space="preserve">2170559330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4.29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1</v>
      </c>
      <c r="BJ942" s="2">
        <v>0.2</v>
      </c>
      <c r="BK942" s="2">
        <v>1</v>
      </c>
      <c r="BL942" s="2">
        <v>41.73</v>
      </c>
      <c r="BM942" s="2">
        <v>5.84</v>
      </c>
      <c r="BN942" s="2">
        <v>47.57</v>
      </c>
      <c r="BO942" s="2">
        <v>47.57</v>
      </c>
      <c r="BP942" s="2"/>
      <c r="BQ942" s="2" t="s">
        <v>1070</v>
      </c>
      <c r="BR942" s="2" t="s">
        <v>123</v>
      </c>
      <c r="BS942" s="3">
        <v>42837</v>
      </c>
      <c r="BT942" s="4">
        <v>0.44097222222222227</v>
      </c>
      <c r="BU942" s="2" t="s">
        <v>896</v>
      </c>
      <c r="BV942" s="2" t="s">
        <v>111</v>
      </c>
      <c r="BW942" s="2"/>
      <c r="BX942" s="2"/>
      <c r="BY942" s="2">
        <v>1200</v>
      </c>
      <c r="BZ942" s="2" t="s">
        <v>27</v>
      </c>
      <c r="CA942" s="2"/>
      <c r="CB942" s="2"/>
      <c r="CC942" s="2" t="s">
        <v>132</v>
      </c>
      <c r="CD942" s="2">
        <v>7800</v>
      </c>
      <c r="CE942" s="2" t="s">
        <v>118</v>
      </c>
      <c r="CF942" s="5">
        <v>42838</v>
      </c>
      <c r="CG942" s="2"/>
      <c r="CH942" s="2"/>
      <c r="CI942" s="2">
        <v>1</v>
      </c>
      <c r="CJ942" s="2">
        <v>1</v>
      </c>
      <c r="CK942" s="2">
        <v>21</v>
      </c>
      <c r="CL942" s="2" t="s">
        <v>86</v>
      </c>
      <c r="CM942" s="2"/>
    </row>
    <row r="943" spans="1:91">
      <c r="A943" s="2" t="s">
        <v>71</v>
      </c>
      <c r="B943" s="2" t="s">
        <v>72</v>
      </c>
      <c r="C943" s="2" t="s">
        <v>73</v>
      </c>
      <c r="D943" s="2"/>
      <c r="E943" s="2" t="str">
        <f>"FES1162542228"</f>
        <v>FES1162542228</v>
      </c>
      <c r="F943" s="3">
        <v>42831</v>
      </c>
      <c r="G943" s="2">
        <v>201710</v>
      </c>
      <c r="H943" s="2" t="s">
        <v>74</v>
      </c>
      <c r="I943" s="2" t="s">
        <v>75</v>
      </c>
      <c r="J943" s="2" t="s">
        <v>76</v>
      </c>
      <c r="K943" s="2" t="s">
        <v>77</v>
      </c>
      <c r="L943" s="2" t="s">
        <v>131</v>
      </c>
      <c r="M943" s="2" t="s">
        <v>132</v>
      </c>
      <c r="N943" s="2" t="s">
        <v>1534</v>
      </c>
      <c r="O943" s="2" t="s">
        <v>115</v>
      </c>
      <c r="P943" s="2" t="str">
        <f>"2170561131                    "</f>
        <v xml:space="preserve">2170561131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4.29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41.73</v>
      </c>
      <c r="BM943" s="2">
        <v>5.84</v>
      </c>
      <c r="BN943" s="2">
        <v>47.57</v>
      </c>
      <c r="BO943" s="2">
        <v>47.57</v>
      </c>
      <c r="BP943" s="2"/>
      <c r="BQ943" s="2" t="s">
        <v>116</v>
      </c>
      <c r="BR943" s="2" t="s">
        <v>123</v>
      </c>
      <c r="BS943" s="3">
        <v>42832</v>
      </c>
      <c r="BT943" s="4">
        <v>0.43958333333333338</v>
      </c>
      <c r="BU943" s="2" t="s">
        <v>1545</v>
      </c>
      <c r="BV943" s="2" t="s">
        <v>111</v>
      </c>
      <c r="BW943" s="2"/>
      <c r="BX943" s="2"/>
      <c r="BY943" s="2">
        <v>1200</v>
      </c>
      <c r="BZ943" s="2" t="s">
        <v>27</v>
      </c>
      <c r="CA943" s="2"/>
      <c r="CB943" s="2"/>
      <c r="CC943" s="2" t="s">
        <v>132</v>
      </c>
      <c r="CD943" s="2">
        <v>7493</v>
      </c>
      <c r="CE943" s="2" t="s">
        <v>118</v>
      </c>
      <c r="CF943" s="5">
        <v>42835</v>
      </c>
      <c r="CG943" s="2"/>
      <c r="CH943" s="2"/>
      <c r="CI943" s="2">
        <v>1</v>
      </c>
      <c r="CJ943" s="2">
        <v>1</v>
      </c>
      <c r="CK943" s="2">
        <v>21</v>
      </c>
      <c r="CL943" s="2" t="s">
        <v>86</v>
      </c>
      <c r="CM943" s="2"/>
    </row>
    <row r="944" spans="1:91">
      <c r="A944" s="2" t="s">
        <v>71</v>
      </c>
      <c r="B944" s="2" t="s">
        <v>72</v>
      </c>
      <c r="C944" s="2" t="s">
        <v>73</v>
      </c>
      <c r="D944" s="2"/>
      <c r="E944" s="2" t="str">
        <f>"FES1162541266"</f>
        <v>FES1162541266</v>
      </c>
      <c r="F944" s="3">
        <v>42829</v>
      </c>
      <c r="G944" s="2">
        <v>201710</v>
      </c>
      <c r="H944" s="2" t="s">
        <v>74</v>
      </c>
      <c r="I944" s="2" t="s">
        <v>75</v>
      </c>
      <c r="J944" s="2" t="s">
        <v>76</v>
      </c>
      <c r="K944" s="2" t="s">
        <v>77</v>
      </c>
      <c r="L944" s="2" t="s">
        <v>131</v>
      </c>
      <c r="M944" s="2" t="s">
        <v>132</v>
      </c>
      <c r="N944" s="2" t="s">
        <v>1497</v>
      </c>
      <c r="O944" s="2" t="s">
        <v>115</v>
      </c>
      <c r="P944" s="2" t="str">
        <f>"2170560328                    "</f>
        <v xml:space="preserve">2170560328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4.42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1.4</v>
      </c>
      <c r="BJ944" s="2">
        <v>1</v>
      </c>
      <c r="BK944" s="2">
        <v>1.5</v>
      </c>
      <c r="BL944" s="2">
        <v>41.86</v>
      </c>
      <c r="BM944" s="2">
        <v>5.86</v>
      </c>
      <c r="BN944" s="2">
        <v>47.72</v>
      </c>
      <c r="BO944" s="2">
        <v>47.72</v>
      </c>
      <c r="BP944" s="2"/>
      <c r="BQ944" s="2" t="s">
        <v>1498</v>
      </c>
      <c r="BR944" s="2" t="s">
        <v>123</v>
      </c>
      <c r="BS944" s="3">
        <v>42830</v>
      </c>
      <c r="BT944" s="4">
        <v>0.41666666666666669</v>
      </c>
      <c r="BU944" s="2" t="s">
        <v>1546</v>
      </c>
      <c r="BV944" s="2" t="s">
        <v>111</v>
      </c>
      <c r="BW944" s="2"/>
      <c r="BX944" s="2"/>
      <c r="BY944" s="2">
        <v>5227.2</v>
      </c>
      <c r="BZ944" s="2" t="s">
        <v>27</v>
      </c>
      <c r="CA944" s="2"/>
      <c r="CB944" s="2"/>
      <c r="CC944" s="2" t="s">
        <v>132</v>
      </c>
      <c r="CD944" s="2">
        <v>7441</v>
      </c>
      <c r="CE944" s="2" t="s">
        <v>135</v>
      </c>
      <c r="CF944" s="5">
        <v>42831</v>
      </c>
      <c r="CG944" s="2"/>
      <c r="CH944" s="2"/>
      <c r="CI944" s="2">
        <v>1</v>
      </c>
      <c r="CJ944" s="2">
        <v>1</v>
      </c>
      <c r="CK944" s="2">
        <v>21</v>
      </c>
      <c r="CL944" s="2" t="s">
        <v>86</v>
      </c>
      <c r="CM944" s="2"/>
    </row>
    <row r="945" spans="1:91">
      <c r="A945" s="2" t="s">
        <v>71</v>
      </c>
      <c r="B945" s="2" t="s">
        <v>72</v>
      </c>
      <c r="C945" s="2" t="s">
        <v>73</v>
      </c>
      <c r="D945" s="2"/>
      <c r="E945" s="2" t="str">
        <f>"FES1162542996"</f>
        <v>FES1162542996</v>
      </c>
      <c r="F945" s="3">
        <v>42836</v>
      </c>
      <c r="G945" s="2">
        <v>201710</v>
      </c>
      <c r="H945" s="2" t="s">
        <v>74</v>
      </c>
      <c r="I945" s="2" t="s">
        <v>75</v>
      </c>
      <c r="J945" s="2" t="s">
        <v>76</v>
      </c>
      <c r="K945" s="2" t="s">
        <v>77</v>
      </c>
      <c r="L945" s="2" t="s">
        <v>187</v>
      </c>
      <c r="M945" s="2" t="s">
        <v>146</v>
      </c>
      <c r="N945" s="2" t="s">
        <v>1547</v>
      </c>
      <c r="O945" s="2" t="s">
        <v>115</v>
      </c>
      <c r="P945" s="2" t="str">
        <f>"2170561782                    "</f>
        <v xml:space="preserve">2170561782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4.29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1.1000000000000001</v>
      </c>
      <c r="BJ945" s="2">
        <v>1.9</v>
      </c>
      <c r="BK945" s="2">
        <v>2</v>
      </c>
      <c r="BL945" s="2">
        <v>41.73</v>
      </c>
      <c r="BM945" s="2">
        <v>5.84</v>
      </c>
      <c r="BN945" s="2">
        <v>47.57</v>
      </c>
      <c r="BO945" s="2">
        <v>47.57</v>
      </c>
      <c r="BP945" s="2"/>
      <c r="BQ945" s="2" t="s">
        <v>1548</v>
      </c>
      <c r="BR945" s="2" t="s">
        <v>123</v>
      </c>
      <c r="BS945" s="3">
        <v>42837</v>
      </c>
      <c r="BT945" s="4">
        <v>0.375</v>
      </c>
      <c r="BU945" s="2" t="s">
        <v>1549</v>
      </c>
      <c r="BV945" s="2" t="s">
        <v>111</v>
      </c>
      <c r="BW945" s="2"/>
      <c r="BX945" s="2"/>
      <c r="BY945" s="2">
        <v>9745.66</v>
      </c>
      <c r="BZ945" s="2" t="s">
        <v>27</v>
      </c>
      <c r="CA945" s="2"/>
      <c r="CB945" s="2"/>
      <c r="CC945" s="2" t="s">
        <v>146</v>
      </c>
      <c r="CD945" s="2">
        <v>200</v>
      </c>
      <c r="CE945" s="2" t="s">
        <v>118</v>
      </c>
      <c r="CF945" s="5">
        <v>42843</v>
      </c>
      <c r="CG945" s="2"/>
      <c r="CH945" s="2"/>
      <c r="CI945" s="2">
        <v>0</v>
      </c>
      <c r="CJ945" s="2">
        <v>0</v>
      </c>
      <c r="CK945" s="2">
        <v>21</v>
      </c>
      <c r="CL945" s="2" t="s">
        <v>86</v>
      </c>
      <c r="CM945" s="2"/>
    </row>
    <row r="946" spans="1:91">
      <c r="A946" s="2" t="s">
        <v>71</v>
      </c>
      <c r="B946" s="2" t="s">
        <v>72</v>
      </c>
      <c r="C946" s="2" t="s">
        <v>73</v>
      </c>
      <c r="D946" s="2"/>
      <c r="E946" s="2" t="str">
        <f>"FES1162542036"</f>
        <v>FES1162542036</v>
      </c>
      <c r="F946" s="3">
        <v>42831</v>
      </c>
      <c r="G946" s="2">
        <v>201710</v>
      </c>
      <c r="H946" s="2" t="s">
        <v>74</v>
      </c>
      <c r="I946" s="2" t="s">
        <v>75</v>
      </c>
      <c r="J946" s="2" t="s">
        <v>76</v>
      </c>
      <c r="K946" s="2" t="s">
        <v>77</v>
      </c>
      <c r="L946" s="2" t="s">
        <v>119</v>
      </c>
      <c r="M946" s="2" t="s">
        <v>120</v>
      </c>
      <c r="N946" s="2" t="s">
        <v>121</v>
      </c>
      <c r="O946" s="2" t="s">
        <v>115</v>
      </c>
      <c r="P946" s="2" t="str">
        <f>"2170560973                    "</f>
        <v xml:space="preserve">2170560973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3.35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3</v>
      </c>
      <c r="BJ946" s="2">
        <v>1.6</v>
      </c>
      <c r="BK946" s="2">
        <v>3</v>
      </c>
      <c r="BL946" s="2">
        <v>32.6</v>
      </c>
      <c r="BM946" s="2">
        <v>4.5599999999999996</v>
      </c>
      <c r="BN946" s="2">
        <v>37.159999999999997</v>
      </c>
      <c r="BO946" s="2">
        <v>37.159999999999997</v>
      </c>
      <c r="BP946" s="2"/>
      <c r="BQ946" s="2" t="s">
        <v>122</v>
      </c>
      <c r="BR946" s="2" t="s">
        <v>123</v>
      </c>
      <c r="BS946" s="3">
        <v>42832</v>
      </c>
      <c r="BT946" s="4">
        <v>0.53472222222222221</v>
      </c>
      <c r="BU946" s="2" t="s">
        <v>124</v>
      </c>
      <c r="BV946" s="2" t="s">
        <v>111</v>
      </c>
      <c r="BW946" s="2"/>
      <c r="BX946" s="2"/>
      <c r="BY946" s="2">
        <v>7960.18</v>
      </c>
      <c r="BZ946" s="2" t="s">
        <v>27</v>
      </c>
      <c r="CA946" s="2"/>
      <c r="CB946" s="2"/>
      <c r="CC946" s="2" t="s">
        <v>120</v>
      </c>
      <c r="CD946" s="2">
        <v>2163</v>
      </c>
      <c r="CE946" s="2" t="s">
        <v>89</v>
      </c>
      <c r="CF946" s="5">
        <v>42835</v>
      </c>
      <c r="CG946" s="2"/>
      <c r="CH946" s="2"/>
      <c r="CI946" s="2">
        <v>1</v>
      </c>
      <c r="CJ946" s="2">
        <v>1</v>
      </c>
      <c r="CK946" s="2">
        <v>22</v>
      </c>
      <c r="CL946" s="2" t="s">
        <v>86</v>
      </c>
      <c r="CM946" s="2"/>
    </row>
    <row r="947" spans="1:91">
      <c r="A947" s="2" t="s">
        <v>71</v>
      </c>
      <c r="B947" s="2" t="s">
        <v>72</v>
      </c>
      <c r="C947" s="2" t="s">
        <v>73</v>
      </c>
      <c r="D947" s="2"/>
      <c r="E947" s="2" t="str">
        <f>"FES1162541520"</f>
        <v>FES1162541520</v>
      </c>
      <c r="F947" s="3">
        <v>42830</v>
      </c>
      <c r="G947" s="2">
        <v>201710</v>
      </c>
      <c r="H947" s="2" t="s">
        <v>74</v>
      </c>
      <c r="I947" s="2" t="s">
        <v>75</v>
      </c>
      <c r="J947" s="2" t="s">
        <v>76</v>
      </c>
      <c r="K947" s="2" t="s">
        <v>77</v>
      </c>
      <c r="L947" s="2" t="s">
        <v>591</v>
      </c>
      <c r="M947" s="2" t="s">
        <v>592</v>
      </c>
      <c r="N947" s="2" t="s">
        <v>593</v>
      </c>
      <c r="O947" s="2" t="s">
        <v>115</v>
      </c>
      <c r="P947" s="2" t="str">
        <f>"2170558600                    "</f>
        <v xml:space="preserve">2170558600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4.29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2</v>
      </c>
      <c r="BJ947" s="2">
        <v>1.9</v>
      </c>
      <c r="BK947" s="2">
        <v>2</v>
      </c>
      <c r="BL947" s="2">
        <v>41.73</v>
      </c>
      <c r="BM947" s="2">
        <v>5.84</v>
      </c>
      <c r="BN947" s="2">
        <v>47.57</v>
      </c>
      <c r="BO947" s="2">
        <v>47.57</v>
      </c>
      <c r="BP947" s="2"/>
      <c r="BQ947" s="2" t="s">
        <v>1550</v>
      </c>
      <c r="BR947" s="2" t="s">
        <v>123</v>
      </c>
      <c r="BS947" s="3">
        <v>42831</v>
      </c>
      <c r="BT947" s="4">
        <v>0.41666666666666669</v>
      </c>
      <c r="BU947" s="2" t="s">
        <v>1050</v>
      </c>
      <c r="BV947" s="2" t="s">
        <v>111</v>
      </c>
      <c r="BW947" s="2"/>
      <c r="BX947" s="2"/>
      <c r="BY947" s="2">
        <v>9368.0400000000009</v>
      </c>
      <c r="BZ947" s="2" t="s">
        <v>27</v>
      </c>
      <c r="CA947" s="2" t="s">
        <v>159</v>
      </c>
      <c r="CB947" s="2"/>
      <c r="CC947" s="2" t="s">
        <v>592</v>
      </c>
      <c r="CD947" s="2">
        <v>7599</v>
      </c>
      <c r="CE947" s="2" t="s">
        <v>135</v>
      </c>
      <c r="CF947" s="5">
        <v>42832</v>
      </c>
      <c r="CG947" s="2"/>
      <c r="CH947" s="2"/>
      <c r="CI947" s="2">
        <v>1</v>
      </c>
      <c r="CJ947" s="2">
        <v>1</v>
      </c>
      <c r="CK947" s="2">
        <v>21</v>
      </c>
      <c r="CL947" s="2" t="s">
        <v>86</v>
      </c>
      <c r="CM947" s="2"/>
    </row>
    <row r="948" spans="1:91">
      <c r="A948" s="2" t="s">
        <v>71</v>
      </c>
      <c r="B948" s="2" t="s">
        <v>72</v>
      </c>
      <c r="C948" s="2" t="s">
        <v>73</v>
      </c>
      <c r="D948" s="2"/>
      <c r="E948" s="2" t="str">
        <f>"FES1162543056"</f>
        <v>FES1162543056</v>
      </c>
      <c r="F948" s="3">
        <v>42836</v>
      </c>
      <c r="G948" s="2">
        <v>201710</v>
      </c>
      <c r="H948" s="2" t="s">
        <v>74</v>
      </c>
      <c r="I948" s="2" t="s">
        <v>75</v>
      </c>
      <c r="J948" s="2" t="s">
        <v>76</v>
      </c>
      <c r="K948" s="2" t="s">
        <v>77</v>
      </c>
      <c r="L948" s="2" t="s">
        <v>633</v>
      </c>
      <c r="M948" s="2" t="s">
        <v>634</v>
      </c>
      <c r="N948" s="2" t="s">
        <v>635</v>
      </c>
      <c r="O948" s="2" t="s">
        <v>115</v>
      </c>
      <c r="P948" s="2" t="str">
        <f>"2170561841                    "</f>
        <v xml:space="preserve">2170561841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6.03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1</v>
      </c>
      <c r="BJ948" s="2">
        <v>0.2</v>
      </c>
      <c r="BK948" s="2">
        <v>1</v>
      </c>
      <c r="BL948" s="2">
        <v>58.68</v>
      </c>
      <c r="BM948" s="2">
        <v>8.2200000000000006</v>
      </c>
      <c r="BN948" s="2">
        <v>66.900000000000006</v>
      </c>
      <c r="BO948" s="2">
        <v>66.900000000000006</v>
      </c>
      <c r="BP948" s="2"/>
      <c r="BQ948" s="2" t="s">
        <v>636</v>
      </c>
      <c r="BR948" s="2" t="s">
        <v>123</v>
      </c>
      <c r="BS948" s="3">
        <v>42837</v>
      </c>
      <c r="BT948" s="4">
        <v>0.41666666666666669</v>
      </c>
      <c r="BU948" s="2" t="s">
        <v>380</v>
      </c>
      <c r="BV948" s="2" t="s">
        <v>111</v>
      </c>
      <c r="BW948" s="2"/>
      <c r="BX948" s="2"/>
      <c r="BY948" s="2">
        <v>1200</v>
      </c>
      <c r="BZ948" s="2" t="s">
        <v>27</v>
      </c>
      <c r="CA948" s="2"/>
      <c r="CB948" s="2"/>
      <c r="CC948" s="2" t="s">
        <v>634</v>
      </c>
      <c r="CD948" s="2">
        <v>1759</v>
      </c>
      <c r="CE948" s="2" t="s">
        <v>118</v>
      </c>
      <c r="CF948" s="5">
        <v>42838</v>
      </c>
      <c r="CG948" s="2"/>
      <c r="CH948" s="2"/>
      <c r="CI948" s="2">
        <v>1</v>
      </c>
      <c r="CJ948" s="2">
        <v>1</v>
      </c>
      <c r="CK948" s="2">
        <v>24</v>
      </c>
      <c r="CL948" s="2" t="s">
        <v>86</v>
      </c>
      <c r="CM948" s="2"/>
    </row>
    <row r="949" spans="1:91">
      <c r="A949" s="2" t="s">
        <v>71</v>
      </c>
      <c r="B949" s="2" t="s">
        <v>72</v>
      </c>
      <c r="C949" s="2" t="s">
        <v>73</v>
      </c>
      <c r="D949" s="2"/>
      <c r="E949" s="2" t="str">
        <f>"FES1162542164"</f>
        <v>FES1162542164</v>
      </c>
      <c r="F949" s="3">
        <v>42831</v>
      </c>
      <c r="G949" s="2">
        <v>201710</v>
      </c>
      <c r="H949" s="2" t="s">
        <v>74</v>
      </c>
      <c r="I949" s="2" t="s">
        <v>75</v>
      </c>
      <c r="J949" s="2" t="s">
        <v>76</v>
      </c>
      <c r="K949" s="2" t="s">
        <v>77</v>
      </c>
      <c r="L949" s="2" t="s">
        <v>190</v>
      </c>
      <c r="M949" s="2" t="s">
        <v>191</v>
      </c>
      <c r="N949" s="2" t="s">
        <v>1551</v>
      </c>
      <c r="O949" s="2" t="s">
        <v>115</v>
      </c>
      <c r="P949" s="2" t="str">
        <f>"2170561063                    "</f>
        <v xml:space="preserve">2170561063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6.03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1</v>
      </c>
      <c r="BJ949" s="2">
        <v>0.2</v>
      </c>
      <c r="BK949" s="2">
        <v>1</v>
      </c>
      <c r="BL949" s="2">
        <v>58.68</v>
      </c>
      <c r="BM949" s="2">
        <v>8.2200000000000006</v>
      </c>
      <c r="BN949" s="2">
        <v>66.900000000000006</v>
      </c>
      <c r="BO949" s="2">
        <v>66.900000000000006</v>
      </c>
      <c r="BP949" s="2"/>
      <c r="BQ949" s="2" t="s">
        <v>1552</v>
      </c>
      <c r="BR949" s="2" t="s">
        <v>123</v>
      </c>
      <c r="BS949" s="3">
        <v>42832</v>
      </c>
      <c r="BT949" s="4">
        <v>0.3125</v>
      </c>
      <c r="BU949" s="2" t="s">
        <v>290</v>
      </c>
      <c r="BV949" s="2" t="s">
        <v>111</v>
      </c>
      <c r="BW949" s="2"/>
      <c r="BX949" s="2"/>
      <c r="BY949" s="2">
        <v>1200</v>
      </c>
      <c r="BZ949" s="2" t="s">
        <v>27</v>
      </c>
      <c r="CA949" s="2"/>
      <c r="CB949" s="2"/>
      <c r="CC949" s="2" t="s">
        <v>191</v>
      </c>
      <c r="CD949" s="2">
        <v>1754</v>
      </c>
      <c r="CE949" s="2" t="s">
        <v>118</v>
      </c>
      <c r="CF949" s="5">
        <v>42835</v>
      </c>
      <c r="CG949" s="2"/>
      <c r="CH949" s="2"/>
      <c r="CI949" s="2">
        <v>1</v>
      </c>
      <c r="CJ949" s="2">
        <v>1</v>
      </c>
      <c r="CK949" s="2">
        <v>24</v>
      </c>
      <c r="CL949" s="2" t="s">
        <v>86</v>
      </c>
      <c r="CM949" s="2"/>
    </row>
    <row r="950" spans="1:91">
      <c r="A950" s="2" t="s">
        <v>71</v>
      </c>
      <c r="B950" s="2" t="s">
        <v>72</v>
      </c>
      <c r="C950" s="2" t="s">
        <v>73</v>
      </c>
      <c r="D950" s="2"/>
      <c r="E950" s="2" t="str">
        <f>"FES1162541227"</f>
        <v>FES1162541227</v>
      </c>
      <c r="F950" s="3">
        <v>42829</v>
      </c>
      <c r="G950" s="2">
        <v>201710</v>
      </c>
      <c r="H950" s="2" t="s">
        <v>74</v>
      </c>
      <c r="I950" s="2" t="s">
        <v>75</v>
      </c>
      <c r="J950" s="2" t="s">
        <v>76</v>
      </c>
      <c r="K950" s="2" t="s">
        <v>77</v>
      </c>
      <c r="L950" s="2" t="s">
        <v>1026</v>
      </c>
      <c r="M950" s="2" t="s">
        <v>1027</v>
      </c>
      <c r="N950" s="2" t="s">
        <v>1453</v>
      </c>
      <c r="O950" s="2" t="s">
        <v>115</v>
      </c>
      <c r="P950" s="2" t="str">
        <f>"2170558698                    "</f>
        <v xml:space="preserve">2170558698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8.57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1</v>
      </c>
      <c r="BJ950" s="2">
        <v>0.2</v>
      </c>
      <c r="BK950" s="2">
        <v>1</v>
      </c>
      <c r="BL950" s="2">
        <v>81.11</v>
      </c>
      <c r="BM950" s="2">
        <v>11.36</v>
      </c>
      <c r="BN950" s="2">
        <v>92.47</v>
      </c>
      <c r="BO950" s="2">
        <v>92.47</v>
      </c>
      <c r="BP950" s="2"/>
      <c r="BQ950" s="2" t="s">
        <v>129</v>
      </c>
      <c r="BR950" s="2" t="s">
        <v>123</v>
      </c>
      <c r="BS950" s="3">
        <v>42830</v>
      </c>
      <c r="BT950" s="4">
        <v>0.41666666666666669</v>
      </c>
      <c r="BU950" s="2" t="s">
        <v>1532</v>
      </c>
      <c r="BV950" s="2" t="s">
        <v>111</v>
      </c>
      <c r="BW950" s="2"/>
      <c r="BX950" s="2"/>
      <c r="BY950" s="2">
        <v>1200</v>
      </c>
      <c r="BZ950" s="2" t="s">
        <v>27</v>
      </c>
      <c r="CA950" s="2"/>
      <c r="CB950" s="2"/>
      <c r="CC950" s="2" t="s">
        <v>1027</v>
      </c>
      <c r="CD950" s="2">
        <v>7349</v>
      </c>
      <c r="CE950" s="2" t="s">
        <v>144</v>
      </c>
      <c r="CF950" s="5">
        <v>42831</v>
      </c>
      <c r="CG950" s="2"/>
      <c r="CH950" s="2"/>
      <c r="CI950" s="2">
        <v>1</v>
      </c>
      <c r="CJ950" s="2">
        <v>1</v>
      </c>
      <c r="CK950" s="2">
        <v>23</v>
      </c>
      <c r="CL950" s="2" t="s">
        <v>86</v>
      </c>
      <c r="CM950" s="2"/>
    </row>
    <row r="951" spans="1:91">
      <c r="A951" s="2" t="s">
        <v>71</v>
      </c>
      <c r="B951" s="2" t="s">
        <v>72</v>
      </c>
      <c r="C951" s="2" t="s">
        <v>73</v>
      </c>
      <c r="D951" s="2"/>
      <c r="E951" s="2" t="str">
        <f>"FES1162542894"</f>
        <v>FES1162542894</v>
      </c>
      <c r="F951" s="3">
        <v>42836</v>
      </c>
      <c r="G951" s="2">
        <v>201710</v>
      </c>
      <c r="H951" s="2" t="s">
        <v>74</v>
      </c>
      <c r="I951" s="2" t="s">
        <v>75</v>
      </c>
      <c r="J951" s="2" t="s">
        <v>76</v>
      </c>
      <c r="K951" s="2" t="s">
        <v>77</v>
      </c>
      <c r="L951" s="2" t="s">
        <v>609</v>
      </c>
      <c r="M951" s="2" t="s">
        <v>610</v>
      </c>
      <c r="N951" s="2" t="s">
        <v>1120</v>
      </c>
      <c r="O951" s="2" t="s">
        <v>115</v>
      </c>
      <c r="P951" s="2" t="str">
        <f>"2170558751                    "</f>
        <v xml:space="preserve">2170558751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4.29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1</v>
      </c>
      <c r="BJ951" s="2">
        <v>0.2</v>
      </c>
      <c r="BK951" s="2">
        <v>1</v>
      </c>
      <c r="BL951" s="2">
        <v>41.73</v>
      </c>
      <c r="BM951" s="2">
        <v>5.84</v>
      </c>
      <c r="BN951" s="2">
        <v>47.57</v>
      </c>
      <c r="BO951" s="2">
        <v>47.57</v>
      </c>
      <c r="BP951" s="2"/>
      <c r="BQ951" s="2" t="s">
        <v>1121</v>
      </c>
      <c r="BR951" s="2" t="s">
        <v>123</v>
      </c>
      <c r="BS951" s="3">
        <v>42837</v>
      </c>
      <c r="BT951" s="4">
        <v>0.41666666666666669</v>
      </c>
      <c r="BU951" s="2" t="s">
        <v>221</v>
      </c>
      <c r="BV951" s="2" t="s">
        <v>111</v>
      </c>
      <c r="BW951" s="2"/>
      <c r="BX951" s="2"/>
      <c r="BY951" s="2">
        <v>1200</v>
      </c>
      <c r="BZ951" s="2"/>
      <c r="CA951" s="2"/>
      <c r="CB951" s="2"/>
      <c r="CC951" s="2" t="s">
        <v>610</v>
      </c>
      <c r="CD951" s="2">
        <v>1911</v>
      </c>
      <c r="CE951" s="2" t="s">
        <v>118</v>
      </c>
      <c r="CF951" s="5">
        <v>42843</v>
      </c>
      <c r="CG951" s="2"/>
      <c r="CH951" s="2"/>
      <c r="CI951" s="2">
        <v>1</v>
      </c>
      <c r="CJ951" s="2">
        <v>1</v>
      </c>
      <c r="CK951" s="2">
        <v>21</v>
      </c>
      <c r="CL951" s="2" t="s">
        <v>86</v>
      </c>
      <c r="CM951" s="2"/>
    </row>
    <row r="952" spans="1:91">
      <c r="A952" s="2" t="s">
        <v>71</v>
      </c>
      <c r="B952" s="2" t="s">
        <v>72</v>
      </c>
      <c r="C952" s="2" t="s">
        <v>73</v>
      </c>
      <c r="D952" s="2"/>
      <c r="E952" s="2" t="str">
        <f>"FES1162542231"</f>
        <v>FES1162542231</v>
      </c>
      <c r="F952" s="3">
        <v>42831</v>
      </c>
      <c r="G952" s="2">
        <v>201710</v>
      </c>
      <c r="H952" s="2" t="s">
        <v>74</v>
      </c>
      <c r="I952" s="2" t="s">
        <v>75</v>
      </c>
      <c r="J952" s="2" t="s">
        <v>76</v>
      </c>
      <c r="K952" s="2" t="s">
        <v>77</v>
      </c>
      <c r="L952" s="2" t="s">
        <v>112</v>
      </c>
      <c r="M952" s="2" t="s">
        <v>113</v>
      </c>
      <c r="N952" s="2" t="s">
        <v>1553</v>
      </c>
      <c r="O952" s="2" t="s">
        <v>115</v>
      </c>
      <c r="P952" s="2" t="str">
        <f>"2170561140                    "</f>
        <v xml:space="preserve">2170561140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4.29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1</v>
      </c>
      <c r="BJ952" s="2">
        <v>0.2</v>
      </c>
      <c r="BK952" s="2">
        <v>1</v>
      </c>
      <c r="BL952" s="2">
        <v>41.73</v>
      </c>
      <c r="BM952" s="2">
        <v>5.84</v>
      </c>
      <c r="BN952" s="2">
        <v>47.57</v>
      </c>
      <c r="BO952" s="2">
        <v>47.57</v>
      </c>
      <c r="BP952" s="2"/>
      <c r="BQ952" s="2" t="s">
        <v>116</v>
      </c>
      <c r="BR952" s="2" t="s">
        <v>123</v>
      </c>
      <c r="BS952" s="3">
        <v>42832</v>
      </c>
      <c r="BT952" s="4">
        <v>0.4236111111111111</v>
      </c>
      <c r="BU952" s="2" t="s">
        <v>1554</v>
      </c>
      <c r="BV952" s="2" t="s">
        <v>111</v>
      </c>
      <c r="BW952" s="2"/>
      <c r="BX952" s="2"/>
      <c r="BY952" s="2">
        <v>1200</v>
      </c>
      <c r="BZ952" s="2" t="s">
        <v>27</v>
      </c>
      <c r="CA952" s="2" t="s">
        <v>159</v>
      </c>
      <c r="CB952" s="2"/>
      <c r="CC952" s="2" t="s">
        <v>113</v>
      </c>
      <c r="CD952" s="2">
        <v>3201</v>
      </c>
      <c r="CE952" s="2" t="s">
        <v>118</v>
      </c>
      <c r="CF952" s="5">
        <v>42835</v>
      </c>
      <c r="CG952" s="2"/>
      <c r="CH952" s="2"/>
      <c r="CI952" s="2">
        <v>1</v>
      </c>
      <c r="CJ952" s="2">
        <v>1</v>
      </c>
      <c r="CK952" s="2">
        <v>21</v>
      </c>
      <c r="CL952" s="2" t="s">
        <v>86</v>
      </c>
      <c r="CM952" s="2"/>
    </row>
    <row r="953" spans="1:91">
      <c r="A953" s="2" t="s">
        <v>71</v>
      </c>
      <c r="B953" s="2" t="s">
        <v>72</v>
      </c>
      <c r="C953" s="2" t="s">
        <v>73</v>
      </c>
      <c r="D953" s="2"/>
      <c r="E953" s="2" t="str">
        <f>"FES1162543068"</f>
        <v>FES1162543068</v>
      </c>
      <c r="F953" s="3">
        <v>42836</v>
      </c>
      <c r="G953" s="2">
        <v>201710</v>
      </c>
      <c r="H953" s="2" t="s">
        <v>74</v>
      </c>
      <c r="I953" s="2" t="s">
        <v>75</v>
      </c>
      <c r="J953" s="2" t="s">
        <v>76</v>
      </c>
      <c r="K953" s="2" t="s">
        <v>77</v>
      </c>
      <c r="L953" s="2" t="s">
        <v>633</v>
      </c>
      <c r="M953" s="2" t="s">
        <v>634</v>
      </c>
      <c r="N953" s="2" t="s">
        <v>1555</v>
      </c>
      <c r="O953" s="2" t="s">
        <v>115</v>
      </c>
      <c r="P953" s="2" t="str">
        <f>"2170561852                    "</f>
        <v xml:space="preserve">2170561852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6.03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58.68</v>
      </c>
      <c r="BM953" s="2">
        <v>8.2200000000000006</v>
      </c>
      <c r="BN953" s="2">
        <v>66.900000000000006</v>
      </c>
      <c r="BO953" s="2">
        <v>66.900000000000006</v>
      </c>
      <c r="BP953" s="2"/>
      <c r="BQ953" s="2" t="s">
        <v>129</v>
      </c>
      <c r="BR953" s="2" t="s">
        <v>123</v>
      </c>
      <c r="BS953" s="3">
        <v>42837</v>
      </c>
      <c r="BT953" s="4">
        <v>0.41666666666666669</v>
      </c>
      <c r="BU953" s="2" t="s">
        <v>1556</v>
      </c>
      <c r="BV953" s="2" t="s">
        <v>111</v>
      </c>
      <c r="BW953" s="2"/>
      <c r="BX953" s="2"/>
      <c r="BY953" s="2">
        <v>1200</v>
      </c>
      <c r="BZ953" s="2" t="s">
        <v>27</v>
      </c>
      <c r="CA953" s="2"/>
      <c r="CB953" s="2"/>
      <c r="CC953" s="2" t="s">
        <v>634</v>
      </c>
      <c r="CD953" s="2">
        <v>1759</v>
      </c>
      <c r="CE953" s="2" t="s">
        <v>118</v>
      </c>
      <c r="CF953" s="5">
        <v>42838</v>
      </c>
      <c r="CG953" s="2"/>
      <c r="CH953" s="2"/>
      <c r="CI953" s="2">
        <v>1</v>
      </c>
      <c r="CJ953" s="2">
        <v>1</v>
      </c>
      <c r="CK953" s="2">
        <v>24</v>
      </c>
      <c r="CL953" s="2" t="s">
        <v>86</v>
      </c>
      <c r="CM953" s="2"/>
    </row>
    <row r="954" spans="1:91">
      <c r="A954" s="2" t="s">
        <v>71</v>
      </c>
      <c r="B954" s="2" t="s">
        <v>72</v>
      </c>
      <c r="C954" s="2" t="s">
        <v>73</v>
      </c>
      <c r="D954" s="2"/>
      <c r="E954" s="2" t="str">
        <f>"FES1162542078"</f>
        <v>FES1162542078</v>
      </c>
      <c r="F954" s="3">
        <v>42831</v>
      </c>
      <c r="G954" s="2">
        <v>201710</v>
      </c>
      <c r="H954" s="2" t="s">
        <v>74</v>
      </c>
      <c r="I954" s="2" t="s">
        <v>75</v>
      </c>
      <c r="J954" s="2" t="s">
        <v>76</v>
      </c>
      <c r="K954" s="2" t="s">
        <v>77</v>
      </c>
      <c r="L954" s="2" t="s">
        <v>1026</v>
      </c>
      <c r="M954" s="2" t="s">
        <v>1027</v>
      </c>
      <c r="N954" s="2" t="s">
        <v>1453</v>
      </c>
      <c r="O954" s="2" t="s">
        <v>115</v>
      </c>
      <c r="P954" s="2" t="str">
        <f>"2170558094                    "</f>
        <v xml:space="preserve">2170558094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8.31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1.3</v>
      </c>
      <c r="BJ954" s="2">
        <v>0.8</v>
      </c>
      <c r="BK954" s="2">
        <v>1.5</v>
      </c>
      <c r="BL954" s="2">
        <v>80.849999999999994</v>
      </c>
      <c r="BM954" s="2">
        <v>11.32</v>
      </c>
      <c r="BN954" s="2">
        <v>92.17</v>
      </c>
      <c r="BO954" s="2">
        <v>92.17</v>
      </c>
      <c r="BP954" s="2"/>
      <c r="BQ954" s="2"/>
      <c r="BR954" s="2" t="s">
        <v>123</v>
      </c>
      <c r="BS954" s="3">
        <v>42832</v>
      </c>
      <c r="BT954" s="4">
        <v>0.41666666666666669</v>
      </c>
      <c r="BU954" s="2" t="s">
        <v>1380</v>
      </c>
      <c r="BV954" s="2" t="s">
        <v>111</v>
      </c>
      <c r="BW954" s="2"/>
      <c r="BX954" s="2"/>
      <c r="BY954" s="2">
        <v>4095</v>
      </c>
      <c r="BZ954" s="2" t="s">
        <v>27</v>
      </c>
      <c r="CA954" s="2"/>
      <c r="CB954" s="2"/>
      <c r="CC954" s="2" t="s">
        <v>1027</v>
      </c>
      <c r="CD954" s="2">
        <v>7349</v>
      </c>
      <c r="CE954" s="2" t="s">
        <v>172</v>
      </c>
      <c r="CF954" s="5">
        <v>42835</v>
      </c>
      <c r="CG954" s="2"/>
      <c r="CH954" s="2"/>
      <c r="CI954" s="2">
        <v>1</v>
      </c>
      <c r="CJ954" s="2">
        <v>1</v>
      </c>
      <c r="CK954" s="2">
        <v>23</v>
      </c>
      <c r="CL954" s="2" t="s">
        <v>86</v>
      </c>
      <c r="CM954" s="2"/>
    </row>
    <row r="955" spans="1:91">
      <c r="A955" s="2" t="s">
        <v>71</v>
      </c>
      <c r="B955" s="2" t="s">
        <v>72</v>
      </c>
      <c r="C955" s="2" t="s">
        <v>73</v>
      </c>
      <c r="D955" s="2"/>
      <c r="E955" s="2" t="str">
        <f>"FES1162541241"</f>
        <v>FES1162541241</v>
      </c>
      <c r="F955" s="3">
        <v>42829</v>
      </c>
      <c r="G955" s="2">
        <v>201710</v>
      </c>
      <c r="H955" s="2" t="s">
        <v>74</v>
      </c>
      <c r="I955" s="2" t="s">
        <v>75</v>
      </c>
      <c r="J955" s="2" t="s">
        <v>76</v>
      </c>
      <c r="K955" s="2" t="s">
        <v>77</v>
      </c>
      <c r="L955" s="2" t="s">
        <v>131</v>
      </c>
      <c r="M955" s="2" t="s">
        <v>132</v>
      </c>
      <c r="N955" s="2" t="s">
        <v>363</v>
      </c>
      <c r="O955" s="2" t="s">
        <v>115</v>
      </c>
      <c r="P955" s="2" t="str">
        <f>"2170559708                    "</f>
        <v xml:space="preserve">2170559708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4.42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</v>
      </c>
      <c r="BJ955" s="2">
        <v>0.2</v>
      </c>
      <c r="BK955" s="2">
        <v>1</v>
      </c>
      <c r="BL955" s="2">
        <v>41.86</v>
      </c>
      <c r="BM955" s="2">
        <v>5.86</v>
      </c>
      <c r="BN955" s="2">
        <v>47.72</v>
      </c>
      <c r="BO955" s="2">
        <v>47.72</v>
      </c>
      <c r="BP955" s="2"/>
      <c r="BQ955" s="2" t="s">
        <v>170</v>
      </c>
      <c r="BR955" s="2" t="s">
        <v>123</v>
      </c>
      <c r="BS955" s="3">
        <v>42830</v>
      </c>
      <c r="BT955" s="4">
        <v>0.41666666666666669</v>
      </c>
      <c r="BU955" s="2" t="s">
        <v>1557</v>
      </c>
      <c r="BV955" s="2" t="s">
        <v>111</v>
      </c>
      <c r="BW955" s="2"/>
      <c r="BX955" s="2"/>
      <c r="BY955" s="2">
        <v>1200</v>
      </c>
      <c r="BZ955" s="2" t="s">
        <v>27</v>
      </c>
      <c r="CA955" s="2"/>
      <c r="CB955" s="2"/>
      <c r="CC955" s="2" t="s">
        <v>132</v>
      </c>
      <c r="CD955" s="2">
        <v>7441</v>
      </c>
      <c r="CE955" s="2" t="s">
        <v>144</v>
      </c>
      <c r="CF955" s="5">
        <v>42831</v>
      </c>
      <c r="CG955" s="2"/>
      <c r="CH955" s="2"/>
      <c r="CI955" s="2">
        <v>1</v>
      </c>
      <c r="CJ955" s="2">
        <v>1</v>
      </c>
      <c r="CK955" s="2">
        <v>21</v>
      </c>
      <c r="CL955" s="2" t="s">
        <v>86</v>
      </c>
      <c r="CM955" s="2"/>
    </row>
    <row r="956" spans="1:91">
      <c r="A956" s="2" t="s">
        <v>71</v>
      </c>
      <c r="B956" s="2" t="s">
        <v>72</v>
      </c>
      <c r="C956" s="2" t="s">
        <v>73</v>
      </c>
      <c r="D956" s="2"/>
      <c r="E956" s="2" t="str">
        <f>"FES1162543003"</f>
        <v>FES1162543003</v>
      </c>
      <c r="F956" s="3">
        <v>42836</v>
      </c>
      <c r="G956" s="2">
        <v>201710</v>
      </c>
      <c r="H956" s="2" t="s">
        <v>74</v>
      </c>
      <c r="I956" s="2" t="s">
        <v>75</v>
      </c>
      <c r="J956" s="2" t="s">
        <v>76</v>
      </c>
      <c r="K956" s="2" t="s">
        <v>77</v>
      </c>
      <c r="L956" s="2" t="s">
        <v>252</v>
      </c>
      <c r="M956" s="2" t="s">
        <v>253</v>
      </c>
      <c r="N956" s="2" t="s">
        <v>1558</v>
      </c>
      <c r="O956" s="2" t="s">
        <v>115</v>
      </c>
      <c r="P956" s="2" t="str">
        <f>"2170561791                    "</f>
        <v xml:space="preserve">2170561791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7.5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3.1</v>
      </c>
      <c r="BJ956" s="2">
        <v>2</v>
      </c>
      <c r="BK956" s="2">
        <v>3.5</v>
      </c>
      <c r="BL956" s="2">
        <v>73.02</v>
      </c>
      <c r="BM956" s="2">
        <v>10.220000000000001</v>
      </c>
      <c r="BN956" s="2">
        <v>83.24</v>
      </c>
      <c r="BO956" s="2">
        <v>83.24</v>
      </c>
      <c r="BP956" s="2"/>
      <c r="BQ956" s="2" t="s">
        <v>1559</v>
      </c>
      <c r="BR956" s="2" t="s">
        <v>123</v>
      </c>
      <c r="BS956" s="3">
        <v>42837</v>
      </c>
      <c r="BT956" s="4">
        <v>0.43055555555555558</v>
      </c>
      <c r="BU956" s="2" t="s">
        <v>1560</v>
      </c>
      <c r="BV956" s="2" t="s">
        <v>111</v>
      </c>
      <c r="BW956" s="2"/>
      <c r="BX956" s="2"/>
      <c r="BY956" s="2">
        <v>10071.700000000001</v>
      </c>
      <c r="BZ956" s="2" t="s">
        <v>27</v>
      </c>
      <c r="CA956" s="2" t="s">
        <v>159</v>
      </c>
      <c r="CB956" s="2"/>
      <c r="CC956" s="2" t="s">
        <v>253</v>
      </c>
      <c r="CD956" s="2">
        <v>3900</v>
      </c>
      <c r="CE956" s="2" t="s">
        <v>89</v>
      </c>
      <c r="CF956" s="5">
        <v>42843</v>
      </c>
      <c r="CG956" s="2"/>
      <c r="CH956" s="2"/>
      <c r="CI956" s="2">
        <v>1</v>
      </c>
      <c r="CJ956" s="2">
        <v>1</v>
      </c>
      <c r="CK956" s="2">
        <v>21</v>
      </c>
      <c r="CL956" s="2" t="s">
        <v>86</v>
      </c>
      <c r="CM956" s="2"/>
    </row>
    <row r="957" spans="1:91">
      <c r="A957" s="2" t="s">
        <v>71</v>
      </c>
      <c r="B957" s="2" t="s">
        <v>72</v>
      </c>
      <c r="C957" s="2" t="s">
        <v>73</v>
      </c>
      <c r="D957" s="2"/>
      <c r="E957" s="2" t="str">
        <f>"FES1162542197"</f>
        <v>FES1162542197</v>
      </c>
      <c r="F957" s="3">
        <v>42831</v>
      </c>
      <c r="G957" s="2">
        <v>201710</v>
      </c>
      <c r="H957" s="2" t="s">
        <v>74</v>
      </c>
      <c r="I957" s="2" t="s">
        <v>75</v>
      </c>
      <c r="J957" s="2" t="s">
        <v>76</v>
      </c>
      <c r="K957" s="2" t="s">
        <v>77</v>
      </c>
      <c r="L957" s="2" t="s">
        <v>131</v>
      </c>
      <c r="M957" s="2" t="s">
        <v>132</v>
      </c>
      <c r="N957" s="2" t="s">
        <v>1255</v>
      </c>
      <c r="O957" s="2" t="s">
        <v>115</v>
      </c>
      <c r="P957" s="2" t="str">
        <f>"2170561099                    "</f>
        <v xml:space="preserve">2170561099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4.29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</v>
      </c>
      <c r="BJ957" s="2">
        <v>0.2</v>
      </c>
      <c r="BK957" s="2">
        <v>1</v>
      </c>
      <c r="BL957" s="2">
        <v>41.73</v>
      </c>
      <c r="BM957" s="2">
        <v>5.84</v>
      </c>
      <c r="BN957" s="2">
        <v>47.57</v>
      </c>
      <c r="BO957" s="2">
        <v>47.57</v>
      </c>
      <c r="BP957" s="2"/>
      <c r="BQ957" s="2" t="s">
        <v>1256</v>
      </c>
      <c r="BR957" s="2" t="s">
        <v>123</v>
      </c>
      <c r="BS957" s="3">
        <v>42837</v>
      </c>
      <c r="BT957" s="4">
        <v>0.38541666666666669</v>
      </c>
      <c r="BU957" s="2" t="s">
        <v>1561</v>
      </c>
      <c r="BV957" s="2" t="s">
        <v>86</v>
      </c>
      <c r="BW957" s="2" t="s">
        <v>164</v>
      </c>
      <c r="BX957" s="2" t="s">
        <v>1370</v>
      </c>
      <c r="BY957" s="2">
        <v>1200</v>
      </c>
      <c r="BZ957" s="2" t="s">
        <v>27</v>
      </c>
      <c r="CA957" s="2"/>
      <c r="CB957" s="2"/>
      <c r="CC957" s="2" t="s">
        <v>132</v>
      </c>
      <c r="CD957" s="2">
        <v>7493</v>
      </c>
      <c r="CE957" s="2" t="s">
        <v>118</v>
      </c>
      <c r="CF957" s="5">
        <v>42838</v>
      </c>
      <c r="CG957" s="2"/>
      <c r="CH957" s="2"/>
      <c r="CI957" s="2">
        <v>1</v>
      </c>
      <c r="CJ957" s="2">
        <v>4</v>
      </c>
      <c r="CK957" s="2">
        <v>21</v>
      </c>
      <c r="CL957" s="2" t="s">
        <v>86</v>
      </c>
      <c r="CM957" s="2"/>
    </row>
    <row r="958" spans="1:91">
      <c r="A958" s="2" t="s">
        <v>71</v>
      </c>
      <c r="B958" s="2" t="s">
        <v>72</v>
      </c>
      <c r="C958" s="2" t="s">
        <v>73</v>
      </c>
      <c r="D958" s="2"/>
      <c r="E958" s="2" t="str">
        <f>"FES1162541553"</f>
        <v>FES1162541553</v>
      </c>
      <c r="F958" s="3">
        <v>42830</v>
      </c>
      <c r="G958" s="2">
        <v>201710</v>
      </c>
      <c r="H958" s="2" t="s">
        <v>74</v>
      </c>
      <c r="I958" s="2" t="s">
        <v>75</v>
      </c>
      <c r="J958" s="2" t="s">
        <v>76</v>
      </c>
      <c r="K958" s="2" t="s">
        <v>77</v>
      </c>
      <c r="L958" s="2" t="s">
        <v>131</v>
      </c>
      <c r="M958" s="2" t="s">
        <v>132</v>
      </c>
      <c r="N958" s="2" t="s">
        <v>384</v>
      </c>
      <c r="O958" s="2" t="s">
        <v>115</v>
      </c>
      <c r="P958" s="2" t="str">
        <f>"2170560638                    "</f>
        <v xml:space="preserve">2170560638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4.29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1</v>
      </c>
      <c r="BJ958" s="2">
        <v>0.2</v>
      </c>
      <c r="BK958" s="2">
        <v>1</v>
      </c>
      <c r="BL958" s="2">
        <v>41.73</v>
      </c>
      <c r="BM958" s="2">
        <v>5.84</v>
      </c>
      <c r="BN958" s="2">
        <v>47.57</v>
      </c>
      <c r="BO958" s="2">
        <v>47.57</v>
      </c>
      <c r="BP958" s="2"/>
      <c r="BQ958" s="2" t="s">
        <v>468</v>
      </c>
      <c r="BR958" s="2" t="s">
        <v>123</v>
      </c>
      <c r="BS958" s="3">
        <v>42831</v>
      </c>
      <c r="BT958" s="4">
        <v>0.41666666666666669</v>
      </c>
      <c r="BU958" s="2" t="s">
        <v>469</v>
      </c>
      <c r="BV958" s="2" t="s">
        <v>111</v>
      </c>
      <c r="BW958" s="2"/>
      <c r="BX958" s="2"/>
      <c r="BY958" s="2">
        <v>1200</v>
      </c>
      <c r="BZ958" s="2" t="s">
        <v>27</v>
      </c>
      <c r="CA958" s="2"/>
      <c r="CB958" s="2"/>
      <c r="CC958" s="2" t="s">
        <v>132</v>
      </c>
      <c r="CD958" s="2">
        <v>7405</v>
      </c>
      <c r="CE958" s="2" t="s">
        <v>144</v>
      </c>
      <c r="CF958" s="5">
        <v>42833</v>
      </c>
      <c r="CG958" s="2"/>
      <c r="CH958" s="2"/>
      <c r="CI958" s="2">
        <v>1</v>
      </c>
      <c r="CJ958" s="2">
        <v>1</v>
      </c>
      <c r="CK958" s="2">
        <v>21</v>
      </c>
      <c r="CL958" s="2" t="s">
        <v>86</v>
      </c>
      <c r="CM958" s="2"/>
    </row>
    <row r="959" spans="1:91">
      <c r="A959" s="2" t="s">
        <v>71</v>
      </c>
      <c r="B959" s="2" t="s">
        <v>72</v>
      </c>
      <c r="C959" s="2" t="s">
        <v>73</v>
      </c>
      <c r="D959" s="2"/>
      <c r="E959" s="2" t="str">
        <f>"FES1162543094"</f>
        <v>FES1162543094</v>
      </c>
      <c r="F959" s="3">
        <v>42836</v>
      </c>
      <c r="G959" s="2">
        <v>201710</v>
      </c>
      <c r="H959" s="2" t="s">
        <v>74</v>
      </c>
      <c r="I959" s="2" t="s">
        <v>75</v>
      </c>
      <c r="J959" s="2" t="s">
        <v>76</v>
      </c>
      <c r="K959" s="2" t="s">
        <v>77</v>
      </c>
      <c r="L959" s="2" t="s">
        <v>275</v>
      </c>
      <c r="M959" s="2" t="s">
        <v>276</v>
      </c>
      <c r="N959" s="2" t="s">
        <v>277</v>
      </c>
      <c r="O959" s="2" t="s">
        <v>115</v>
      </c>
      <c r="P959" s="2" t="str">
        <f>"2170559055                    "</f>
        <v xml:space="preserve">2170559055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8.57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2.9</v>
      </c>
      <c r="BJ959" s="2">
        <v>3.6</v>
      </c>
      <c r="BK959" s="2">
        <v>4</v>
      </c>
      <c r="BL959" s="2">
        <v>83.45</v>
      </c>
      <c r="BM959" s="2">
        <v>11.68</v>
      </c>
      <c r="BN959" s="2">
        <v>95.13</v>
      </c>
      <c r="BO959" s="2">
        <v>95.13</v>
      </c>
      <c r="BP959" s="2"/>
      <c r="BQ959" s="2" t="s">
        <v>278</v>
      </c>
      <c r="BR959" s="2" t="s">
        <v>123</v>
      </c>
      <c r="BS959" s="3">
        <v>42837</v>
      </c>
      <c r="BT959" s="4">
        <v>0.34375</v>
      </c>
      <c r="BU959" s="2" t="s">
        <v>841</v>
      </c>
      <c r="BV959" s="2" t="s">
        <v>111</v>
      </c>
      <c r="BW959" s="2"/>
      <c r="BX959" s="2"/>
      <c r="BY959" s="2">
        <v>17806.8</v>
      </c>
      <c r="BZ959" s="2" t="s">
        <v>27</v>
      </c>
      <c r="CA959" s="2"/>
      <c r="CB959" s="2"/>
      <c r="CC959" s="2" t="s">
        <v>276</v>
      </c>
      <c r="CD959" s="2">
        <v>4126</v>
      </c>
      <c r="CE959" s="2" t="s">
        <v>89</v>
      </c>
      <c r="CF959" s="5">
        <v>42843</v>
      </c>
      <c r="CG959" s="2"/>
      <c r="CH959" s="2"/>
      <c r="CI959" s="2">
        <v>1</v>
      </c>
      <c r="CJ959" s="2">
        <v>1</v>
      </c>
      <c r="CK959" s="2">
        <v>21</v>
      </c>
      <c r="CL959" s="2" t="s">
        <v>86</v>
      </c>
      <c r="CM959" s="2"/>
    </row>
    <row r="960" spans="1:91">
      <c r="A960" s="2" t="s">
        <v>71</v>
      </c>
      <c r="B960" s="2" t="s">
        <v>72</v>
      </c>
      <c r="C960" s="2" t="s">
        <v>73</v>
      </c>
      <c r="D960" s="2"/>
      <c r="E960" s="2" t="str">
        <f>"FES1162542191"</f>
        <v>FES1162542191</v>
      </c>
      <c r="F960" s="3">
        <v>42831</v>
      </c>
      <c r="G960" s="2">
        <v>201710</v>
      </c>
      <c r="H960" s="2" t="s">
        <v>74</v>
      </c>
      <c r="I960" s="2" t="s">
        <v>75</v>
      </c>
      <c r="J960" s="2" t="s">
        <v>76</v>
      </c>
      <c r="K960" s="2" t="s">
        <v>77</v>
      </c>
      <c r="L960" s="2" t="s">
        <v>131</v>
      </c>
      <c r="M960" s="2" t="s">
        <v>132</v>
      </c>
      <c r="N960" s="2" t="s">
        <v>1497</v>
      </c>
      <c r="O960" s="2" t="s">
        <v>115</v>
      </c>
      <c r="P960" s="2" t="str">
        <f>"2170561095                    "</f>
        <v xml:space="preserve">2170561095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4.29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1</v>
      </c>
      <c r="BJ960" s="2">
        <v>1.2</v>
      </c>
      <c r="BK960" s="2">
        <v>1.5</v>
      </c>
      <c r="BL960" s="2">
        <v>41.73</v>
      </c>
      <c r="BM960" s="2">
        <v>5.84</v>
      </c>
      <c r="BN960" s="2">
        <v>47.57</v>
      </c>
      <c r="BO960" s="2">
        <v>47.57</v>
      </c>
      <c r="BP960" s="2"/>
      <c r="BQ960" s="2" t="s">
        <v>1498</v>
      </c>
      <c r="BR960" s="2" t="s">
        <v>123</v>
      </c>
      <c r="BS960" s="3">
        <v>42832</v>
      </c>
      <c r="BT960" s="4">
        <v>0.41666666666666669</v>
      </c>
      <c r="BU960" s="2" t="s">
        <v>1499</v>
      </c>
      <c r="BV960" s="2" t="s">
        <v>111</v>
      </c>
      <c r="BW960" s="2"/>
      <c r="BX960" s="2"/>
      <c r="BY960" s="2">
        <v>5969.38</v>
      </c>
      <c r="BZ960" s="2" t="s">
        <v>27</v>
      </c>
      <c r="CA960" s="2"/>
      <c r="CB960" s="2"/>
      <c r="CC960" s="2" t="s">
        <v>132</v>
      </c>
      <c r="CD960" s="2">
        <v>7441</v>
      </c>
      <c r="CE960" s="2" t="s">
        <v>118</v>
      </c>
      <c r="CF960" s="5">
        <v>42835</v>
      </c>
      <c r="CG960" s="2"/>
      <c r="CH960" s="2"/>
      <c r="CI960" s="2">
        <v>1</v>
      </c>
      <c r="CJ960" s="2">
        <v>1</v>
      </c>
      <c r="CK960" s="2">
        <v>21</v>
      </c>
      <c r="CL960" s="2" t="s">
        <v>86</v>
      </c>
      <c r="CM960" s="2"/>
    </row>
    <row r="961" spans="1:91">
      <c r="A961" s="2" t="s">
        <v>71</v>
      </c>
      <c r="B961" s="2" t="s">
        <v>72</v>
      </c>
      <c r="C961" s="2" t="s">
        <v>73</v>
      </c>
      <c r="D961" s="2"/>
      <c r="E961" s="2" t="str">
        <f>"FES1162541201"</f>
        <v>FES1162541201</v>
      </c>
      <c r="F961" s="3">
        <v>42829</v>
      </c>
      <c r="G961" s="2">
        <v>201710</v>
      </c>
      <c r="H961" s="2" t="s">
        <v>74</v>
      </c>
      <c r="I961" s="2" t="s">
        <v>75</v>
      </c>
      <c r="J961" s="2" t="s">
        <v>76</v>
      </c>
      <c r="K961" s="2" t="s">
        <v>77</v>
      </c>
      <c r="L961" s="2" t="s">
        <v>176</v>
      </c>
      <c r="M961" s="2" t="s">
        <v>176</v>
      </c>
      <c r="N961" s="2" t="s">
        <v>1562</v>
      </c>
      <c r="O961" s="2" t="s">
        <v>115</v>
      </c>
      <c r="P961" s="2" t="str">
        <f>"2170560300                    "</f>
        <v xml:space="preserve">2170560300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4.42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1</v>
      </c>
      <c r="BJ961" s="2">
        <v>0.2</v>
      </c>
      <c r="BK961" s="2">
        <v>1</v>
      </c>
      <c r="BL961" s="2">
        <v>41.86</v>
      </c>
      <c r="BM961" s="2">
        <v>5.86</v>
      </c>
      <c r="BN961" s="2">
        <v>47.72</v>
      </c>
      <c r="BO961" s="2">
        <v>47.72</v>
      </c>
      <c r="BP961" s="2"/>
      <c r="BQ961" s="2" t="s">
        <v>116</v>
      </c>
      <c r="BR961" s="2" t="s">
        <v>123</v>
      </c>
      <c r="BS961" s="3">
        <v>42830</v>
      </c>
      <c r="BT961" s="4">
        <v>0.50347222222222221</v>
      </c>
      <c r="BU961" s="2" t="s">
        <v>1205</v>
      </c>
      <c r="BV961" s="2" t="s">
        <v>111</v>
      </c>
      <c r="BW961" s="2"/>
      <c r="BX961" s="2"/>
      <c r="BY961" s="2">
        <v>1200</v>
      </c>
      <c r="BZ961" s="2" t="s">
        <v>27</v>
      </c>
      <c r="CA961" s="2"/>
      <c r="CB961" s="2"/>
      <c r="CC961" s="2" t="s">
        <v>176</v>
      </c>
      <c r="CD961" s="2">
        <v>7646</v>
      </c>
      <c r="CE961" s="2" t="s">
        <v>144</v>
      </c>
      <c r="CF961" s="5">
        <v>42831</v>
      </c>
      <c r="CG961" s="2"/>
      <c r="CH961" s="2"/>
      <c r="CI961" s="2">
        <v>1</v>
      </c>
      <c r="CJ961" s="2">
        <v>1</v>
      </c>
      <c r="CK961" s="2">
        <v>21</v>
      </c>
      <c r="CL961" s="2" t="s">
        <v>86</v>
      </c>
      <c r="CM961" s="2"/>
    </row>
    <row r="962" spans="1:91">
      <c r="A962" s="2" t="s">
        <v>71</v>
      </c>
      <c r="B962" s="2" t="s">
        <v>72</v>
      </c>
      <c r="C962" s="2" t="s">
        <v>73</v>
      </c>
      <c r="D962" s="2"/>
      <c r="E962" s="2" t="str">
        <f>"FES1162542788"</f>
        <v>FES1162542788</v>
      </c>
      <c r="F962" s="3">
        <v>42836</v>
      </c>
      <c r="G962" s="2">
        <v>201710</v>
      </c>
      <c r="H962" s="2" t="s">
        <v>74</v>
      </c>
      <c r="I962" s="2" t="s">
        <v>75</v>
      </c>
      <c r="J962" s="2" t="s">
        <v>76</v>
      </c>
      <c r="K962" s="2" t="s">
        <v>77</v>
      </c>
      <c r="L962" s="2" t="s">
        <v>1026</v>
      </c>
      <c r="M962" s="2" t="s">
        <v>1027</v>
      </c>
      <c r="N962" s="2" t="s">
        <v>1453</v>
      </c>
      <c r="O962" s="2" t="s">
        <v>115</v>
      </c>
      <c r="P962" s="2" t="str">
        <f>"2170561643                    "</f>
        <v xml:space="preserve">2170561643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8.31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</v>
      </c>
      <c r="BJ962" s="2">
        <v>1</v>
      </c>
      <c r="BK962" s="2">
        <v>1</v>
      </c>
      <c r="BL962" s="2">
        <v>80.849999999999994</v>
      </c>
      <c r="BM962" s="2">
        <v>11.32</v>
      </c>
      <c r="BN962" s="2">
        <v>92.17</v>
      </c>
      <c r="BO962" s="2">
        <v>92.17</v>
      </c>
      <c r="BP962" s="2"/>
      <c r="BQ962" s="2"/>
      <c r="BR962" s="2" t="s">
        <v>123</v>
      </c>
      <c r="BS962" s="3">
        <v>42837</v>
      </c>
      <c r="BT962" s="4">
        <v>0.41666666666666669</v>
      </c>
      <c r="BU962" s="2" t="s">
        <v>1563</v>
      </c>
      <c r="BV962" s="2" t="s">
        <v>111</v>
      </c>
      <c r="BW962" s="2"/>
      <c r="BX962" s="2"/>
      <c r="BY962" s="2">
        <v>5007.1899999999996</v>
      </c>
      <c r="BZ962" s="2" t="s">
        <v>27</v>
      </c>
      <c r="CA962" s="2"/>
      <c r="CB962" s="2"/>
      <c r="CC962" s="2" t="s">
        <v>1027</v>
      </c>
      <c r="CD962" s="2">
        <v>7349</v>
      </c>
      <c r="CE962" s="2" t="s">
        <v>89</v>
      </c>
      <c r="CF962" s="5">
        <v>42838</v>
      </c>
      <c r="CG962" s="2"/>
      <c r="CH962" s="2"/>
      <c r="CI962" s="2">
        <v>1</v>
      </c>
      <c r="CJ962" s="2">
        <v>1</v>
      </c>
      <c r="CK962" s="2">
        <v>23</v>
      </c>
      <c r="CL962" s="2" t="s">
        <v>86</v>
      </c>
      <c r="CM962" s="2"/>
    </row>
    <row r="963" spans="1:91">
      <c r="A963" s="2" t="s">
        <v>71</v>
      </c>
      <c r="B963" s="2" t="s">
        <v>72</v>
      </c>
      <c r="C963" s="2" t="s">
        <v>73</v>
      </c>
      <c r="D963" s="2"/>
      <c r="E963" s="2" t="str">
        <f>"FES1162542224"</f>
        <v>FES1162542224</v>
      </c>
      <c r="F963" s="3">
        <v>42831</v>
      </c>
      <c r="G963" s="2">
        <v>201710</v>
      </c>
      <c r="H963" s="2" t="s">
        <v>74</v>
      </c>
      <c r="I963" s="2" t="s">
        <v>75</v>
      </c>
      <c r="J963" s="2" t="s">
        <v>76</v>
      </c>
      <c r="K963" s="2" t="s">
        <v>77</v>
      </c>
      <c r="L963" s="2" t="s">
        <v>131</v>
      </c>
      <c r="M963" s="2" t="s">
        <v>132</v>
      </c>
      <c r="N963" s="2" t="s">
        <v>1564</v>
      </c>
      <c r="O963" s="2" t="s">
        <v>115</v>
      </c>
      <c r="P963" s="2" t="str">
        <f>"2170561126                    "</f>
        <v xml:space="preserve">2170561126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7.5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2.7</v>
      </c>
      <c r="BJ963" s="2">
        <v>3.1</v>
      </c>
      <c r="BK963" s="2">
        <v>3.5</v>
      </c>
      <c r="BL963" s="2">
        <v>73.02</v>
      </c>
      <c r="BM963" s="2">
        <v>10.220000000000001</v>
      </c>
      <c r="BN963" s="2">
        <v>83.24</v>
      </c>
      <c r="BO963" s="2">
        <v>83.24</v>
      </c>
      <c r="BP963" s="2"/>
      <c r="BQ963" s="2" t="s">
        <v>1565</v>
      </c>
      <c r="BR963" s="2" t="s">
        <v>123</v>
      </c>
      <c r="BS963" s="3">
        <v>42832</v>
      </c>
      <c r="BT963" s="4">
        <v>0.41666666666666669</v>
      </c>
      <c r="BU963" s="2" t="s">
        <v>1566</v>
      </c>
      <c r="BV963" s="2" t="s">
        <v>111</v>
      </c>
      <c r="BW963" s="2"/>
      <c r="BX963" s="2"/>
      <c r="BY963" s="2">
        <v>15545.25</v>
      </c>
      <c r="BZ963" s="2" t="s">
        <v>27</v>
      </c>
      <c r="CA963" s="2"/>
      <c r="CB963" s="2"/>
      <c r="CC963" s="2" t="s">
        <v>132</v>
      </c>
      <c r="CD963" s="2">
        <v>7475</v>
      </c>
      <c r="CE963" s="2" t="s">
        <v>118</v>
      </c>
      <c r="CF963" s="5">
        <v>42836</v>
      </c>
      <c r="CG963" s="2"/>
      <c r="CH963" s="2"/>
      <c r="CI963" s="2">
        <v>1</v>
      </c>
      <c r="CJ963" s="2">
        <v>1</v>
      </c>
      <c r="CK963" s="2">
        <v>21</v>
      </c>
      <c r="CL963" s="2" t="s">
        <v>86</v>
      </c>
      <c r="CM963" s="2"/>
    </row>
    <row r="964" spans="1:91">
      <c r="A964" s="2" t="s">
        <v>71</v>
      </c>
      <c r="B964" s="2" t="s">
        <v>72</v>
      </c>
      <c r="C964" s="2" t="s">
        <v>73</v>
      </c>
      <c r="D964" s="2"/>
      <c r="E964" s="2" t="str">
        <f>"FES1162541531"</f>
        <v>FES1162541531</v>
      </c>
      <c r="F964" s="3">
        <v>42830</v>
      </c>
      <c r="G964" s="2">
        <v>201710</v>
      </c>
      <c r="H964" s="2" t="s">
        <v>74</v>
      </c>
      <c r="I964" s="2" t="s">
        <v>75</v>
      </c>
      <c r="J964" s="2" t="s">
        <v>76</v>
      </c>
      <c r="K964" s="2" t="s">
        <v>77</v>
      </c>
      <c r="L964" s="2" t="s">
        <v>74</v>
      </c>
      <c r="M964" s="2" t="s">
        <v>75</v>
      </c>
      <c r="N964" s="2" t="s">
        <v>1475</v>
      </c>
      <c r="O964" s="2" t="s">
        <v>115</v>
      </c>
      <c r="P964" s="2" t="str">
        <f>"2170560143                    "</f>
        <v xml:space="preserve">2170560143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3.35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1</v>
      </c>
      <c r="BJ964" s="2">
        <v>3.5</v>
      </c>
      <c r="BK964" s="2">
        <v>4</v>
      </c>
      <c r="BL964" s="2">
        <v>32.6</v>
      </c>
      <c r="BM964" s="2">
        <v>4.5599999999999996</v>
      </c>
      <c r="BN964" s="2">
        <v>37.159999999999997</v>
      </c>
      <c r="BO964" s="2">
        <v>37.159999999999997</v>
      </c>
      <c r="BP964" s="2"/>
      <c r="BQ964" s="2" t="s">
        <v>1476</v>
      </c>
      <c r="BR964" s="2" t="s">
        <v>123</v>
      </c>
      <c r="BS964" s="3">
        <v>42831</v>
      </c>
      <c r="BT964" s="4">
        <v>0.41666666666666669</v>
      </c>
      <c r="BU964" s="2" t="s">
        <v>290</v>
      </c>
      <c r="BV964" s="2" t="s">
        <v>111</v>
      </c>
      <c r="BW964" s="2"/>
      <c r="BX964" s="2"/>
      <c r="BY964" s="2">
        <v>17636.05</v>
      </c>
      <c r="BZ964" s="2" t="s">
        <v>27</v>
      </c>
      <c r="CA964" s="2"/>
      <c r="CB964" s="2"/>
      <c r="CC964" s="2" t="s">
        <v>75</v>
      </c>
      <c r="CD964" s="2">
        <v>1665</v>
      </c>
      <c r="CE964" s="2" t="s">
        <v>118</v>
      </c>
      <c r="CF964" s="5">
        <v>42832</v>
      </c>
      <c r="CG964" s="2"/>
      <c r="CH964" s="2"/>
      <c r="CI964" s="2">
        <v>1</v>
      </c>
      <c r="CJ964" s="2">
        <v>1</v>
      </c>
      <c r="CK964" s="2">
        <v>22</v>
      </c>
      <c r="CL964" s="2" t="s">
        <v>86</v>
      </c>
      <c r="CM964" s="2"/>
    </row>
    <row r="965" spans="1:91">
      <c r="A965" s="2" t="s">
        <v>71</v>
      </c>
      <c r="B965" s="2" t="s">
        <v>72</v>
      </c>
      <c r="C965" s="2" t="s">
        <v>73</v>
      </c>
      <c r="D965" s="2"/>
      <c r="E965" s="2" t="str">
        <f>"FES1162542771"</f>
        <v>FES1162542771</v>
      </c>
      <c r="F965" s="3">
        <v>42836</v>
      </c>
      <c r="G965" s="2">
        <v>201710</v>
      </c>
      <c r="H965" s="2" t="s">
        <v>74</v>
      </c>
      <c r="I965" s="2" t="s">
        <v>75</v>
      </c>
      <c r="J965" s="2" t="s">
        <v>76</v>
      </c>
      <c r="K965" s="2" t="s">
        <v>77</v>
      </c>
      <c r="L965" s="2" t="s">
        <v>131</v>
      </c>
      <c r="M965" s="2" t="s">
        <v>132</v>
      </c>
      <c r="N965" s="2" t="s">
        <v>1081</v>
      </c>
      <c r="O965" s="2" t="s">
        <v>115</v>
      </c>
      <c r="P965" s="2" t="str">
        <f>"2170559167                    "</f>
        <v xml:space="preserve">2170559167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4.29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1.7</v>
      </c>
      <c r="BJ965" s="2">
        <v>1.3</v>
      </c>
      <c r="BK965" s="2">
        <v>2</v>
      </c>
      <c r="BL965" s="2">
        <v>41.73</v>
      </c>
      <c r="BM965" s="2">
        <v>5.84</v>
      </c>
      <c r="BN965" s="2">
        <v>47.57</v>
      </c>
      <c r="BO965" s="2">
        <v>47.57</v>
      </c>
      <c r="BP965" s="2"/>
      <c r="BQ965" s="2" t="s">
        <v>1082</v>
      </c>
      <c r="BR965" s="2" t="s">
        <v>123</v>
      </c>
      <c r="BS965" s="3">
        <v>42837</v>
      </c>
      <c r="BT965" s="4">
        <v>0.41666666666666669</v>
      </c>
      <c r="BU965" s="2" t="s">
        <v>1567</v>
      </c>
      <c r="BV965" s="2" t="s">
        <v>111</v>
      </c>
      <c r="BW965" s="2"/>
      <c r="BX965" s="2"/>
      <c r="BY965" s="2">
        <v>6290.82</v>
      </c>
      <c r="BZ965" s="2" t="s">
        <v>27</v>
      </c>
      <c r="CA965" s="2" t="s">
        <v>159</v>
      </c>
      <c r="CB965" s="2"/>
      <c r="CC965" s="2" t="s">
        <v>132</v>
      </c>
      <c r="CD965" s="2">
        <v>7460</v>
      </c>
      <c r="CE965" s="2" t="s">
        <v>89</v>
      </c>
      <c r="CF965" s="5">
        <v>42838</v>
      </c>
      <c r="CG965" s="2"/>
      <c r="CH965" s="2"/>
      <c r="CI965" s="2">
        <v>1</v>
      </c>
      <c r="CJ965" s="2">
        <v>1</v>
      </c>
      <c r="CK965" s="2">
        <v>21</v>
      </c>
      <c r="CL965" s="2" t="s">
        <v>86</v>
      </c>
      <c r="CM965" s="2"/>
    </row>
    <row r="966" spans="1:91">
      <c r="A966" s="2" t="s">
        <v>71</v>
      </c>
      <c r="B966" s="2" t="s">
        <v>72</v>
      </c>
      <c r="C966" s="2" t="s">
        <v>73</v>
      </c>
      <c r="D966" s="2"/>
      <c r="E966" s="2" t="str">
        <f>"FES1162542195"</f>
        <v>FES1162542195</v>
      </c>
      <c r="F966" s="3">
        <v>42831</v>
      </c>
      <c r="G966" s="2">
        <v>201710</v>
      </c>
      <c r="H966" s="2" t="s">
        <v>74</v>
      </c>
      <c r="I966" s="2" t="s">
        <v>75</v>
      </c>
      <c r="J966" s="2" t="s">
        <v>76</v>
      </c>
      <c r="K966" s="2" t="s">
        <v>77</v>
      </c>
      <c r="L966" s="2" t="s">
        <v>131</v>
      </c>
      <c r="M966" s="2" t="s">
        <v>132</v>
      </c>
      <c r="N966" s="2" t="s">
        <v>1568</v>
      </c>
      <c r="O966" s="2" t="s">
        <v>115</v>
      </c>
      <c r="P966" s="2" t="str">
        <f>"2170561088                    "</f>
        <v xml:space="preserve">2170561088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5.36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</v>
      </c>
      <c r="BJ966" s="2">
        <v>2.2000000000000002</v>
      </c>
      <c r="BK966" s="2">
        <v>2.5</v>
      </c>
      <c r="BL966" s="2">
        <v>52.16</v>
      </c>
      <c r="BM966" s="2">
        <v>7.3</v>
      </c>
      <c r="BN966" s="2">
        <v>59.46</v>
      </c>
      <c r="BO966" s="2">
        <v>59.46</v>
      </c>
      <c r="BP966" s="2"/>
      <c r="BQ966" s="2" t="s">
        <v>129</v>
      </c>
      <c r="BR966" s="2" t="s">
        <v>123</v>
      </c>
      <c r="BS966" s="3">
        <v>42832</v>
      </c>
      <c r="BT966" s="4">
        <v>0.46875</v>
      </c>
      <c r="BU966" s="2" t="s">
        <v>1569</v>
      </c>
      <c r="BV966" s="2" t="s">
        <v>86</v>
      </c>
      <c r="BW966" s="2" t="s">
        <v>164</v>
      </c>
      <c r="BX966" s="2" t="s">
        <v>860</v>
      </c>
      <c r="BY966" s="2">
        <v>10908.9</v>
      </c>
      <c r="BZ966" s="2" t="s">
        <v>27</v>
      </c>
      <c r="CA966" s="2"/>
      <c r="CB966" s="2"/>
      <c r="CC966" s="2" t="s">
        <v>132</v>
      </c>
      <c r="CD966" s="2">
        <v>7500</v>
      </c>
      <c r="CE966" s="2" t="s">
        <v>118</v>
      </c>
      <c r="CF966" s="5">
        <v>42835</v>
      </c>
      <c r="CG966" s="2"/>
      <c r="CH966" s="2"/>
      <c r="CI966" s="2">
        <v>1</v>
      </c>
      <c r="CJ966" s="2">
        <v>1</v>
      </c>
      <c r="CK966" s="2">
        <v>21</v>
      </c>
      <c r="CL966" s="2" t="s">
        <v>86</v>
      </c>
      <c r="CM966" s="2"/>
    </row>
    <row r="967" spans="1:91">
      <c r="A967" s="2" t="s">
        <v>71</v>
      </c>
      <c r="B967" s="2" t="s">
        <v>72</v>
      </c>
      <c r="C967" s="2" t="s">
        <v>73</v>
      </c>
      <c r="D967" s="2"/>
      <c r="E967" s="2" t="str">
        <f>"FES1162541360"</f>
        <v>FES1162541360</v>
      </c>
      <c r="F967" s="3">
        <v>42829</v>
      </c>
      <c r="G967" s="2">
        <v>201710</v>
      </c>
      <c r="H967" s="2" t="s">
        <v>74</v>
      </c>
      <c r="I967" s="2" t="s">
        <v>75</v>
      </c>
      <c r="J967" s="2" t="s">
        <v>76</v>
      </c>
      <c r="K967" s="2" t="s">
        <v>77</v>
      </c>
      <c r="L967" s="2" t="s">
        <v>176</v>
      </c>
      <c r="M967" s="2" t="s">
        <v>176</v>
      </c>
      <c r="N967" s="2" t="s">
        <v>177</v>
      </c>
      <c r="O967" s="2" t="s">
        <v>115</v>
      </c>
      <c r="P967" s="2" t="str">
        <f>"2170560436                    "</f>
        <v xml:space="preserve">2170560436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4.42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1</v>
      </c>
      <c r="BJ967" s="2">
        <v>0.2</v>
      </c>
      <c r="BK967" s="2">
        <v>1</v>
      </c>
      <c r="BL967" s="2">
        <v>41.86</v>
      </c>
      <c r="BM967" s="2">
        <v>5.86</v>
      </c>
      <c r="BN967" s="2">
        <v>47.72</v>
      </c>
      <c r="BO967" s="2">
        <v>47.72</v>
      </c>
      <c r="BP967" s="2"/>
      <c r="BQ967" s="2" t="s">
        <v>178</v>
      </c>
      <c r="BR967" s="2" t="s">
        <v>123</v>
      </c>
      <c r="BS967" s="3">
        <v>42830</v>
      </c>
      <c r="BT967" s="4">
        <v>0.47569444444444442</v>
      </c>
      <c r="BU967" s="2" t="s">
        <v>179</v>
      </c>
      <c r="BV967" s="2" t="s">
        <v>111</v>
      </c>
      <c r="BW967" s="2"/>
      <c r="BX967" s="2"/>
      <c r="BY967" s="2">
        <v>1200</v>
      </c>
      <c r="BZ967" s="2" t="s">
        <v>27</v>
      </c>
      <c r="CA967" s="2"/>
      <c r="CB967" s="2"/>
      <c r="CC967" s="2" t="s">
        <v>176</v>
      </c>
      <c r="CD967" s="2">
        <v>7646</v>
      </c>
      <c r="CE967" s="2" t="s">
        <v>144</v>
      </c>
      <c r="CF967" s="5">
        <v>42831</v>
      </c>
      <c r="CG967" s="2"/>
      <c r="CH967" s="2"/>
      <c r="CI967" s="2">
        <v>1</v>
      </c>
      <c r="CJ967" s="2">
        <v>1</v>
      </c>
      <c r="CK967" s="2">
        <v>21</v>
      </c>
      <c r="CL967" s="2" t="s">
        <v>86</v>
      </c>
      <c r="CM967" s="2"/>
    </row>
    <row r="968" spans="1:91">
      <c r="A968" s="2" t="s">
        <v>71</v>
      </c>
      <c r="B968" s="2" t="s">
        <v>72</v>
      </c>
      <c r="C968" s="2" t="s">
        <v>73</v>
      </c>
      <c r="D968" s="2"/>
      <c r="E968" s="2" t="str">
        <f>"FES1162543053"</f>
        <v>FES1162543053</v>
      </c>
      <c r="F968" s="3">
        <v>42836</v>
      </c>
      <c r="G968" s="2">
        <v>201710</v>
      </c>
      <c r="H968" s="2" t="s">
        <v>74</v>
      </c>
      <c r="I968" s="2" t="s">
        <v>75</v>
      </c>
      <c r="J968" s="2" t="s">
        <v>76</v>
      </c>
      <c r="K968" s="2" t="s">
        <v>77</v>
      </c>
      <c r="L968" s="2" t="s">
        <v>180</v>
      </c>
      <c r="M968" s="2" t="s">
        <v>181</v>
      </c>
      <c r="N968" s="2" t="s">
        <v>1123</v>
      </c>
      <c r="O968" s="2" t="s">
        <v>115</v>
      </c>
      <c r="P968" s="2" t="str">
        <f>"2170561837                    "</f>
        <v xml:space="preserve">2170561837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13.93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6.5</v>
      </c>
      <c r="BJ968" s="2">
        <v>3.2</v>
      </c>
      <c r="BK968" s="2">
        <v>6.5</v>
      </c>
      <c r="BL968" s="2">
        <v>135.61000000000001</v>
      </c>
      <c r="BM968" s="2">
        <v>18.989999999999998</v>
      </c>
      <c r="BN968" s="2">
        <v>154.6</v>
      </c>
      <c r="BO968" s="2">
        <v>154.6</v>
      </c>
      <c r="BP968" s="2"/>
      <c r="BQ968" s="2" t="s">
        <v>1124</v>
      </c>
      <c r="BR968" s="2" t="s">
        <v>123</v>
      </c>
      <c r="BS968" s="3">
        <v>42837</v>
      </c>
      <c r="BT968" s="4">
        <v>0.4375</v>
      </c>
      <c r="BU968" s="2" t="s">
        <v>1427</v>
      </c>
      <c r="BV968" s="2" t="s">
        <v>111</v>
      </c>
      <c r="BW968" s="2"/>
      <c r="BX968" s="2"/>
      <c r="BY968" s="2">
        <v>16197.12</v>
      </c>
      <c r="BZ968" s="2" t="s">
        <v>27</v>
      </c>
      <c r="CA968" s="2"/>
      <c r="CB968" s="2"/>
      <c r="CC968" s="2" t="s">
        <v>181</v>
      </c>
      <c r="CD968" s="2">
        <v>4001</v>
      </c>
      <c r="CE968" s="2" t="s">
        <v>89</v>
      </c>
      <c r="CF968" s="5">
        <v>42838</v>
      </c>
      <c r="CG968" s="2"/>
      <c r="CH968" s="2"/>
      <c r="CI968" s="2">
        <v>1</v>
      </c>
      <c r="CJ968" s="2">
        <v>1</v>
      </c>
      <c r="CK968" s="2">
        <v>21</v>
      </c>
      <c r="CL968" s="2" t="s">
        <v>86</v>
      </c>
      <c r="CM968" s="2"/>
    </row>
    <row r="969" spans="1:91">
      <c r="A969" s="2" t="s">
        <v>71</v>
      </c>
      <c r="B969" s="2" t="s">
        <v>72</v>
      </c>
      <c r="C969" s="2" t="s">
        <v>73</v>
      </c>
      <c r="D969" s="2"/>
      <c r="E969" s="2" t="str">
        <f>"FES1162542202"</f>
        <v>FES1162542202</v>
      </c>
      <c r="F969" s="3">
        <v>42831</v>
      </c>
      <c r="G969" s="2">
        <v>201710</v>
      </c>
      <c r="H969" s="2" t="s">
        <v>74</v>
      </c>
      <c r="I969" s="2" t="s">
        <v>75</v>
      </c>
      <c r="J969" s="2" t="s">
        <v>76</v>
      </c>
      <c r="K969" s="2" t="s">
        <v>77</v>
      </c>
      <c r="L969" s="2" t="s">
        <v>234</v>
      </c>
      <c r="M969" s="2" t="s">
        <v>235</v>
      </c>
      <c r="N969" s="2" t="s">
        <v>236</v>
      </c>
      <c r="O969" s="2" t="s">
        <v>115</v>
      </c>
      <c r="P969" s="2" t="str">
        <f>"2170558394                    "</f>
        <v xml:space="preserve">2170558394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10.72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5</v>
      </c>
      <c r="BJ969" s="2">
        <v>2</v>
      </c>
      <c r="BK969" s="2">
        <v>5</v>
      </c>
      <c r="BL969" s="2">
        <v>104.32</v>
      </c>
      <c r="BM969" s="2">
        <v>14.6</v>
      </c>
      <c r="BN969" s="2">
        <v>118.92</v>
      </c>
      <c r="BO969" s="2">
        <v>118.92</v>
      </c>
      <c r="BP969" s="2"/>
      <c r="BQ969" s="2" t="s">
        <v>285</v>
      </c>
      <c r="BR969" s="2" t="s">
        <v>123</v>
      </c>
      <c r="BS969" s="3">
        <v>42832</v>
      </c>
      <c r="BT969" s="4">
        <v>0.36805555555555558</v>
      </c>
      <c r="BU969" s="2" t="s">
        <v>1570</v>
      </c>
      <c r="BV969" s="2" t="s">
        <v>111</v>
      </c>
      <c r="BW969" s="2"/>
      <c r="BX969" s="2"/>
      <c r="BY969" s="2">
        <v>9918</v>
      </c>
      <c r="BZ969" s="2" t="s">
        <v>27</v>
      </c>
      <c r="CA969" s="2"/>
      <c r="CB969" s="2"/>
      <c r="CC969" s="2" t="s">
        <v>235</v>
      </c>
      <c r="CD969" s="2">
        <v>6220</v>
      </c>
      <c r="CE969" s="2" t="s">
        <v>89</v>
      </c>
      <c r="CF969" s="5">
        <v>42835</v>
      </c>
      <c r="CG969" s="2"/>
      <c r="CH969" s="2"/>
      <c r="CI969" s="2">
        <v>1</v>
      </c>
      <c r="CJ969" s="2">
        <v>1</v>
      </c>
      <c r="CK969" s="2">
        <v>21</v>
      </c>
      <c r="CL969" s="2" t="s">
        <v>86</v>
      </c>
      <c r="CM969" s="2"/>
    </row>
    <row r="970" spans="1:91">
      <c r="A970" s="2" t="s">
        <v>71</v>
      </c>
      <c r="B970" s="2" t="s">
        <v>72</v>
      </c>
      <c r="C970" s="2" t="s">
        <v>73</v>
      </c>
      <c r="D970" s="2"/>
      <c r="E970" s="2" t="str">
        <f>"FES1162541541"</f>
        <v>FES1162541541</v>
      </c>
      <c r="F970" s="3">
        <v>42830</v>
      </c>
      <c r="G970" s="2">
        <v>201710</v>
      </c>
      <c r="H970" s="2" t="s">
        <v>74</v>
      </c>
      <c r="I970" s="2" t="s">
        <v>75</v>
      </c>
      <c r="J970" s="2" t="s">
        <v>76</v>
      </c>
      <c r="K970" s="2" t="s">
        <v>77</v>
      </c>
      <c r="L970" s="2" t="s">
        <v>166</v>
      </c>
      <c r="M970" s="2" t="s">
        <v>167</v>
      </c>
      <c r="N970" s="2" t="s">
        <v>1507</v>
      </c>
      <c r="O970" s="2" t="s">
        <v>115</v>
      </c>
      <c r="P970" s="2" t="str">
        <f>"2170560622                    "</f>
        <v xml:space="preserve">2170560622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3.35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1.5</v>
      </c>
      <c r="BJ970" s="2">
        <v>0.2</v>
      </c>
      <c r="BK970" s="2">
        <v>2</v>
      </c>
      <c r="BL970" s="2">
        <v>32.6</v>
      </c>
      <c r="BM970" s="2">
        <v>4.5599999999999996</v>
      </c>
      <c r="BN970" s="2">
        <v>37.159999999999997</v>
      </c>
      <c r="BO970" s="2">
        <v>37.159999999999997</v>
      </c>
      <c r="BP970" s="2"/>
      <c r="BQ970" s="2" t="s">
        <v>1571</v>
      </c>
      <c r="BR970" s="2" t="s">
        <v>123</v>
      </c>
      <c r="BS970" s="3">
        <v>42831</v>
      </c>
      <c r="BT970" s="4">
        <v>0.41666666666666669</v>
      </c>
      <c r="BU970" s="2" t="s">
        <v>290</v>
      </c>
      <c r="BV970" s="2" t="s">
        <v>111</v>
      </c>
      <c r="BW970" s="2"/>
      <c r="BX970" s="2"/>
      <c r="BY970" s="2">
        <v>1200</v>
      </c>
      <c r="BZ970" s="2" t="s">
        <v>27</v>
      </c>
      <c r="CA970" s="2"/>
      <c r="CB970" s="2"/>
      <c r="CC970" s="2" t="s">
        <v>167</v>
      </c>
      <c r="CD970" s="2">
        <v>2091</v>
      </c>
      <c r="CE970" s="2" t="s">
        <v>118</v>
      </c>
      <c r="CF970" s="5">
        <v>42832</v>
      </c>
      <c r="CG970" s="2"/>
      <c r="CH970" s="2"/>
      <c r="CI970" s="2">
        <v>1</v>
      </c>
      <c r="CJ970" s="2">
        <v>1</v>
      </c>
      <c r="CK970" s="2">
        <v>22</v>
      </c>
      <c r="CL970" s="2" t="s">
        <v>86</v>
      </c>
      <c r="CM970" s="2"/>
    </row>
    <row r="971" spans="1:91">
      <c r="A971" s="2" t="s">
        <v>71</v>
      </c>
      <c r="B971" s="2" t="s">
        <v>72</v>
      </c>
      <c r="C971" s="2" t="s">
        <v>73</v>
      </c>
      <c r="D971" s="2"/>
      <c r="E971" s="2" t="str">
        <f>"FES1162543054"</f>
        <v>FES1162543054</v>
      </c>
      <c r="F971" s="3">
        <v>42836</v>
      </c>
      <c r="G971" s="2">
        <v>201710</v>
      </c>
      <c r="H971" s="2" t="s">
        <v>74</v>
      </c>
      <c r="I971" s="2" t="s">
        <v>75</v>
      </c>
      <c r="J971" s="2" t="s">
        <v>76</v>
      </c>
      <c r="K971" s="2" t="s">
        <v>77</v>
      </c>
      <c r="L971" s="2" t="s">
        <v>396</v>
      </c>
      <c r="M971" s="2" t="s">
        <v>397</v>
      </c>
      <c r="N971" s="2" t="s">
        <v>1572</v>
      </c>
      <c r="O971" s="2" t="s">
        <v>115</v>
      </c>
      <c r="P971" s="2" t="str">
        <f>"2170561838                    "</f>
        <v xml:space="preserve">2170561838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5.36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2.5</v>
      </c>
      <c r="BJ971" s="2">
        <v>1.9</v>
      </c>
      <c r="BK971" s="2">
        <v>2.5</v>
      </c>
      <c r="BL971" s="2">
        <v>52.16</v>
      </c>
      <c r="BM971" s="2">
        <v>7.3</v>
      </c>
      <c r="BN971" s="2">
        <v>59.46</v>
      </c>
      <c r="BO971" s="2">
        <v>59.46</v>
      </c>
      <c r="BP971" s="2"/>
      <c r="BQ971" s="2" t="s">
        <v>1573</v>
      </c>
      <c r="BR971" s="2" t="s">
        <v>123</v>
      </c>
      <c r="BS971" s="3">
        <v>42837</v>
      </c>
      <c r="BT971" s="4">
        <v>0.33333333333333331</v>
      </c>
      <c r="BU971" s="2" t="s">
        <v>1574</v>
      </c>
      <c r="BV971" s="2" t="s">
        <v>111</v>
      </c>
      <c r="BW971" s="2"/>
      <c r="BX971" s="2"/>
      <c r="BY971" s="2">
        <v>9360</v>
      </c>
      <c r="BZ971" s="2" t="s">
        <v>27</v>
      </c>
      <c r="CA971" s="2"/>
      <c r="CB971" s="2"/>
      <c r="CC971" s="2" t="s">
        <v>397</v>
      </c>
      <c r="CD971" s="2">
        <v>4300</v>
      </c>
      <c r="CE971" s="2" t="s">
        <v>89</v>
      </c>
      <c r="CF971" s="5">
        <v>42838</v>
      </c>
      <c r="CG971" s="2"/>
      <c r="CH971" s="2"/>
      <c r="CI971" s="2">
        <v>1</v>
      </c>
      <c r="CJ971" s="2">
        <v>1</v>
      </c>
      <c r="CK971" s="2">
        <v>21</v>
      </c>
      <c r="CL971" s="2" t="s">
        <v>86</v>
      </c>
      <c r="CM971" s="2"/>
    </row>
    <row r="972" spans="1:91">
      <c r="A972" s="2" t="s">
        <v>71</v>
      </c>
      <c r="B972" s="2" t="s">
        <v>72</v>
      </c>
      <c r="C972" s="2" t="s">
        <v>73</v>
      </c>
      <c r="D972" s="2"/>
      <c r="E972" s="2" t="str">
        <f>"FES1162542243"</f>
        <v>FES1162542243</v>
      </c>
      <c r="F972" s="3">
        <v>42831</v>
      </c>
      <c r="G972" s="2">
        <v>201710</v>
      </c>
      <c r="H972" s="2" t="s">
        <v>74</v>
      </c>
      <c r="I972" s="2" t="s">
        <v>75</v>
      </c>
      <c r="J972" s="2" t="s">
        <v>76</v>
      </c>
      <c r="K972" s="2" t="s">
        <v>77</v>
      </c>
      <c r="L972" s="2" t="s">
        <v>294</v>
      </c>
      <c r="M972" s="2" t="s">
        <v>295</v>
      </c>
      <c r="N972" s="2" t="s">
        <v>1282</v>
      </c>
      <c r="O972" s="2" t="s">
        <v>115</v>
      </c>
      <c r="P972" s="2" t="str">
        <f>"2170561147                    "</f>
        <v xml:space="preserve">2170561147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4.29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41.73</v>
      </c>
      <c r="BM972" s="2">
        <v>5.84</v>
      </c>
      <c r="BN972" s="2">
        <v>47.57</v>
      </c>
      <c r="BO972" s="2">
        <v>47.57</v>
      </c>
      <c r="BP972" s="2"/>
      <c r="BQ972" s="2" t="s">
        <v>116</v>
      </c>
      <c r="BR972" s="2" t="s">
        <v>123</v>
      </c>
      <c r="BS972" s="3">
        <v>42832</v>
      </c>
      <c r="BT972" s="4">
        <v>0.4375</v>
      </c>
      <c r="BU972" s="2" t="s">
        <v>245</v>
      </c>
      <c r="BV972" s="2" t="s">
        <v>111</v>
      </c>
      <c r="BW972" s="2"/>
      <c r="BX972" s="2"/>
      <c r="BY972" s="2">
        <v>1200</v>
      </c>
      <c r="BZ972" s="2" t="s">
        <v>27</v>
      </c>
      <c r="CA972" s="2"/>
      <c r="CB972" s="2"/>
      <c r="CC972" s="2" t="s">
        <v>295</v>
      </c>
      <c r="CD972" s="2">
        <v>3610</v>
      </c>
      <c r="CE972" s="2" t="s">
        <v>118</v>
      </c>
      <c r="CF972" s="5">
        <v>42835</v>
      </c>
      <c r="CG972" s="2"/>
      <c r="CH972" s="2"/>
      <c r="CI972" s="2">
        <v>1</v>
      </c>
      <c r="CJ972" s="2">
        <v>1</v>
      </c>
      <c r="CK972" s="2">
        <v>21</v>
      </c>
      <c r="CL972" s="2" t="s">
        <v>86</v>
      </c>
      <c r="CM972" s="2"/>
    </row>
    <row r="973" spans="1:91">
      <c r="A973" s="2" t="s">
        <v>71</v>
      </c>
      <c r="B973" s="2" t="s">
        <v>72</v>
      </c>
      <c r="C973" s="2" t="s">
        <v>73</v>
      </c>
      <c r="D973" s="2"/>
      <c r="E973" s="2" t="str">
        <f>"FES1162541200"</f>
        <v>FES1162541200</v>
      </c>
      <c r="F973" s="3">
        <v>42829</v>
      </c>
      <c r="G973" s="2">
        <v>201710</v>
      </c>
      <c r="H973" s="2" t="s">
        <v>74</v>
      </c>
      <c r="I973" s="2" t="s">
        <v>75</v>
      </c>
      <c r="J973" s="2" t="s">
        <v>76</v>
      </c>
      <c r="K973" s="2" t="s">
        <v>77</v>
      </c>
      <c r="L973" s="2" t="s">
        <v>598</v>
      </c>
      <c r="M973" s="2" t="s">
        <v>599</v>
      </c>
      <c r="N973" s="2" t="s">
        <v>600</v>
      </c>
      <c r="O973" s="2" t="s">
        <v>115</v>
      </c>
      <c r="P973" s="2" t="str">
        <f>"2170560275                    "</f>
        <v xml:space="preserve">2170560275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14.37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3</v>
      </c>
      <c r="BJ973" s="2">
        <v>3.5</v>
      </c>
      <c r="BK973" s="2">
        <v>3.5</v>
      </c>
      <c r="BL973" s="2">
        <v>136.05000000000001</v>
      </c>
      <c r="BM973" s="2">
        <v>19.05</v>
      </c>
      <c r="BN973" s="2">
        <v>155.1</v>
      </c>
      <c r="BO973" s="2">
        <v>155.1</v>
      </c>
      <c r="BP973" s="2"/>
      <c r="BQ973" s="2" t="s">
        <v>601</v>
      </c>
      <c r="BR973" s="2" t="s">
        <v>123</v>
      </c>
      <c r="BS973" s="3">
        <v>42830</v>
      </c>
      <c r="BT973" s="4">
        <v>0.625</v>
      </c>
      <c r="BU973" s="2" t="s">
        <v>602</v>
      </c>
      <c r="BV973" s="2" t="s">
        <v>111</v>
      </c>
      <c r="BW973" s="2"/>
      <c r="BX973" s="2"/>
      <c r="BY973" s="2">
        <v>17589</v>
      </c>
      <c r="BZ973" s="2" t="s">
        <v>27</v>
      </c>
      <c r="CA973" s="2"/>
      <c r="CB973" s="2"/>
      <c r="CC973" s="2" t="s">
        <v>599</v>
      </c>
      <c r="CD973" s="2">
        <v>3370</v>
      </c>
      <c r="CE973" s="2" t="s">
        <v>135</v>
      </c>
      <c r="CF973" s="5">
        <v>42832</v>
      </c>
      <c r="CG973" s="2"/>
      <c r="CH973" s="2"/>
      <c r="CI973" s="2">
        <v>3</v>
      </c>
      <c r="CJ973" s="2">
        <v>1</v>
      </c>
      <c r="CK973" s="2">
        <v>23</v>
      </c>
      <c r="CL973" s="2" t="s">
        <v>86</v>
      </c>
      <c r="CM973" s="2"/>
    </row>
    <row r="974" spans="1:91">
      <c r="A974" s="2" t="s">
        <v>71</v>
      </c>
      <c r="B974" s="2" t="s">
        <v>72</v>
      </c>
      <c r="C974" s="2" t="s">
        <v>73</v>
      </c>
      <c r="D974" s="2"/>
      <c r="E974" s="2" t="str">
        <f>"FES1162543008"</f>
        <v>FES1162543008</v>
      </c>
      <c r="F974" s="3">
        <v>42836</v>
      </c>
      <c r="G974" s="2">
        <v>201710</v>
      </c>
      <c r="H974" s="2" t="s">
        <v>74</v>
      </c>
      <c r="I974" s="2" t="s">
        <v>75</v>
      </c>
      <c r="J974" s="2" t="s">
        <v>76</v>
      </c>
      <c r="K974" s="2" t="s">
        <v>77</v>
      </c>
      <c r="L974" s="2" t="s">
        <v>506</v>
      </c>
      <c r="M974" s="2" t="s">
        <v>507</v>
      </c>
      <c r="N974" s="2" t="s">
        <v>283</v>
      </c>
      <c r="O974" s="2" t="s">
        <v>115</v>
      </c>
      <c r="P974" s="2" t="str">
        <f>"2170560558                    "</f>
        <v xml:space="preserve">2170560558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105.83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27.8</v>
      </c>
      <c r="BJ974" s="2">
        <v>17.5</v>
      </c>
      <c r="BK974" s="2">
        <v>28</v>
      </c>
      <c r="BL974" s="2">
        <v>1030.1300000000001</v>
      </c>
      <c r="BM974" s="2">
        <v>144.22</v>
      </c>
      <c r="BN974" s="2">
        <v>1174.3499999999999</v>
      </c>
      <c r="BO974" s="2">
        <v>1174.3499999999999</v>
      </c>
      <c r="BP974" s="2"/>
      <c r="BQ974" s="2" t="s">
        <v>122</v>
      </c>
      <c r="BR974" s="2" t="s">
        <v>123</v>
      </c>
      <c r="BS974" s="3">
        <v>42837</v>
      </c>
      <c r="BT974" s="4">
        <v>0.41666666666666669</v>
      </c>
      <c r="BU974" s="2" t="s">
        <v>1575</v>
      </c>
      <c r="BV974" s="2" t="s">
        <v>111</v>
      </c>
      <c r="BW974" s="2"/>
      <c r="BX974" s="2"/>
      <c r="BY974" s="2">
        <v>87496.320000000007</v>
      </c>
      <c r="BZ974" s="2" t="s">
        <v>27</v>
      </c>
      <c r="CA974" s="2"/>
      <c r="CB974" s="2"/>
      <c r="CC974" s="2" t="s">
        <v>507</v>
      </c>
      <c r="CD974" s="2">
        <v>7380</v>
      </c>
      <c r="CE974" s="2" t="s">
        <v>89</v>
      </c>
      <c r="CF974" s="5">
        <v>42838</v>
      </c>
      <c r="CG974" s="2"/>
      <c r="CH974" s="2"/>
      <c r="CI974" s="2">
        <v>3</v>
      </c>
      <c r="CJ974" s="2">
        <v>1</v>
      </c>
      <c r="CK974" s="2">
        <v>23</v>
      </c>
      <c r="CL974" s="2" t="s">
        <v>86</v>
      </c>
      <c r="CM974" s="2"/>
    </row>
    <row r="975" spans="1:91">
      <c r="A975" s="2" t="s">
        <v>71</v>
      </c>
      <c r="B975" s="2" t="s">
        <v>72</v>
      </c>
      <c r="C975" s="2" t="s">
        <v>73</v>
      </c>
      <c r="D975" s="2"/>
      <c r="E975" s="2" t="str">
        <f>"FES1162542172"</f>
        <v>FES1162542172</v>
      </c>
      <c r="F975" s="3">
        <v>42831</v>
      </c>
      <c r="G975" s="2">
        <v>201710</v>
      </c>
      <c r="H975" s="2" t="s">
        <v>74</v>
      </c>
      <c r="I975" s="2" t="s">
        <v>75</v>
      </c>
      <c r="J975" s="2" t="s">
        <v>76</v>
      </c>
      <c r="K975" s="2" t="s">
        <v>77</v>
      </c>
      <c r="L975" s="2" t="s">
        <v>187</v>
      </c>
      <c r="M975" s="2" t="s">
        <v>146</v>
      </c>
      <c r="N975" s="2" t="s">
        <v>147</v>
      </c>
      <c r="O975" s="2" t="s">
        <v>115</v>
      </c>
      <c r="P975" s="2" t="str">
        <f>"2170561077                    "</f>
        <v xml:space="preserve">2170561077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7.5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3</v>
      </c>
      <c r="BJ975" s="2">
        <v>3.3</v>
      </c>
      <c r="BK975" s="2">
        <v>3.5</v>
      </c>
      <c r="BL975" s="2">
        <v>73.02</v>
      </c>
      <c r="BM975" s="2">
        <v>10.220000000000001</v>
      </c>
      <c r="BN975" s="2">
        <v>83.24</v>
      </c>
      <c r="BO975" s="2">
        <v>83.24</v>
      </c>
      <c r="BP975" s="2"/>
      <c r="BQ975" s="2" t="s">
        <v>148</v>
      </c>
      <c r="BR975" s="2" t="s">
        <v>123</v>
      </c>
      <c r="BS975" s="3">
        <v>42832</v>
      </c>
      <c r="BT975" s="4">
        <v>0.33958333333333335</v>
      </c>
      <c r="BU975" s="2" t="s">
        <v>149</v>
      </c>
      <c r="BV975" s="2" t="s">
        <v>111</v>
      </c>
      <c r="BW975" s="2"/>
      <c r="BX975" s="2"/>
      <c r="BY975" s="2">
        <v>16363.78</v>
      </c>
      <c r="BZ975" s="2" t="s">
        <v>27</v>
      </c>
      <c r="CA975" s="2"/>
      <c r="CB975" s="2"/>
      <c r="CC975" s="2" t="s">
        <v>146</v>
      </c>
      <c r="CD975" s="2">
        <v>1</v>
      </c>
      <c r="CE975" s="2" t="s">
        <v>89</v>
      </c>
      <c r="CF975" s="5">
        <v>42836</v>
      </c>
      <c r="CG975" s="2"/>
      <c r="CH975" s="2"/>
      <c r="CI975" s="2">
        <v>0</v>
      </c>
      <c r="CJ975" s="2">
        <v>0</v>
      </c>
      <c r="CK975" s="2">
        <v>21</v>
      </c>
      <c r="CL975" s="2" t="s">
        <v>86</v>
      </c>
      <c r="CM975" s="2"/>
    </row>
    <row r="976" spans="1:91">
      <c r="A976" s="2" t="s">
        <v>71</v>
      </c>
      <c r="B976" s="2" t="s">
        <v>72</v>
      </c>
      <c r="C976" s="2" t="s">
        <v>73</v>
      </c>
      <c r="D976" s="2"/>
      <c r="E976" s="2" t="str">
        <f>"FES1162541764"</f>
        <v>FES1162541764</v>
      </c>
      <c r="F976" s="3">
        <v>42830</v>
      </c>
      <c r="G976" s="2">
        <v>201710</v>
      </c>
      <c r="H976" s="2" t="s">
        <v>74</v>
      </c>
      <c r="I976" s="2" t="s">
        <v>75</v>
      </c>
      <c r="J976" s="2" t="s">
        <v>76</v>
      </c>
      <c r="K976" s="2" t="s">
        <v>77</v>
      </c>
      <c r="L976" s="2" t="s">
        <v>99</v>
      </c>
      <c r="M976" s="2" t="s">
        <v>100</v>
      </c>
      <c r="N976" s="2" t="s">
        <v>700</v>
      </c>
      <c r="O976" s="2" t="s">
        <v>115</v>
      </c>
      <c r="P976" s="2" t="str">
        <f>"2170560767                    "</f>
        <v xml:space="preserve">2170560767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4.29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1</v>
      </c>
      <c r="BJ976" s="2">
        <v>0.2</v>
      </c>
      <c r="BK976" s="2">
        <v>1</v>
      </c>
      <c r="BL976" s="2">
        <v>41.73</v>
      </c>
      <c r="BM976" s="2">
        <v>5.84</v>
      </c>
      <c r="BN976" s="2">
        <v>47.57</v>
      </c>
      <c r="BO976" s="2">
        <v>47.57</v>
      </c>
      <c r="BP976" s="2"/>
      <c r="BQ976" s="2" t="s">
        <v>701</v>
      </c>
      <c r="BR976" s="2" t="s">
        <v>123</v>
      </c>
      <c r="BS976" s="3">
        <v>42831</v>
      </c>
      <c r="BT976" s="4">
        <v>0.39583333333333331</v>
      </c>
      <c r="BU976" s="2" t="s">
        <v>838</v>
      </c>
      <c r="BV976" s="2" t="s">
        <v>111</v>
      </c>
      <c r="BW976" s="2"/>
      <c r="BX976" s="2"/>
      <c r="BY976" s="2">
        <v>1200</v>
      </c>
      <c r="BZ976" s="2" t="s">
        <v>27</v>
      </c>
      <c r="CA976" s="2" t="s">
        <v>106</v>
      </c>
      <c r="CB976" s="2"/>
      <c r="CC976" s="2" t="s">
        <v>100</v>
      </c>
      <c r="CD976" s="2">
        <v>6001</v>
      </c>
      <c r="CE976" s="2" t="s">
        <v>144</v>
      </c>
      <c r="CF976" s="5">
        <v>42831</v>
      </c>
      <c r="CG976" s="2"/>
      <c r="CH976" s="2"/>
      <c r="CI976" s="2">
        <v>1</v>
      </c>
      <c r="CJ976" s="2">
        <v>1</v>
      </c>
      <c r="CK976" s="2">
        <v>21</v>
      </c>
      <c r="CL976" s="2" t="s">
        <v>86</v>
      </c>
      <c r="CM976" s="2"/>
    </row>
    <row r="977" spans="1:91">
      <c r="A977" s="2" t="s">
        <v>71</v>
      </c>
      <c r="B977" s="2" t="s">
        <v>72</v>
      </c>
      <c r="C977" s="2" t="s">
        <v>73</v>
      </c>
      <c r="D977" s="2"/>
      <c r="E977" s="2" t="str">
        <f>"FES1162543039"</f>
        <v>FES1162543039</v>
      </c>
      <c r="F977" s="3">
        <v>42836</v>
      </c>
      <c r="G977" s="2">
        <v>201710</v>
      </c>
      <c r="H977" s="2" t="s">
        <v>74</v>
      </c>
      <c r="I977" s="2" t="s">
        <v>75</v>
      </c>
      <c r="J977" s="2" t="s">
        <v>76</v>
      </c>
      <c r="K977" s="2" t="s">
        <v>77</v>
      </c>
      <c r="L977" s="2" t="s">
        <v>598</v>
      </c>
      <c r="M977" s="2" t="s">
        <v>599</v>
      </c>
      <c r="N977" s="2" t="s">
        <v>600</v>
      </c>
      <c r="O977" s="2" t="s">
        <v>115</v>
      </c>
      <c r="P977" s="2" t="str">
        <f>"2170561391                    "</f>
        <v xml:space="preserve">2170561391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8.31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1.9</v>
      </c>
      <c r="BK977" s="2">
        <v>2</v>
      </c>
      <c r="BL977" s="2">
        <v>80.849999999999994</v>
      </c>
      <c r="BM977" s="2">
        <v>11.32</v>
      </c>
      <c r="BN977" s="2">
        <v>92.17</v>
      </c>
      <c r="BO977" s="2">
        <v>92.17</v>
      </c>
      <c r="BP977" s="2"/>
      <c r="BQ977" s="2" t="s">
        <v>601</v>
      </c>
      <c r="BR977" s="2" t="s">
        <v>123</v>
      </c>
      <c r="BS977" s="3">
        <v>42837</v>
      </c>
      <c r="BT977" s="4">
        <v>0.6479166666666667</v>
      </c>
      <c r="BU977" s="2" t="s">
        <v>602</v>
      </c>
      <c r="BV977" s="2" t="s">
        <v>111</v>
      </c>
      <c r="BW977" s="2"/>
      <c r="BX977" s="2"/>
      <c r="BY977" s="2">
        <v>9262.01</v>
      </c>
      <c r="BZ977" s="2" t="s">
        <v>27</v>
      </c>
      <c r="CA977" s="2"/>
      <c r="CB977" s="2"/>
      <c r="CC977" s="2" t="s">
        <v>599</v>
      </c>
      <c r="CD977" s="2">
        <v>3370</v>
      </c>
      <c r="CE977" s="2" t="s">
        <v>172</v>
      </c>
      <c r="CF977" s="5">
        <v>42843</v>
      </c>
      <c r="CG977" s="2"/>
      <c r="CH977" s="2"/>
      <c r="CI977" s="2">
        <v>3</v>
      </c>
      <c r="CJ977" s="2">
        <v>1</v>
      </c>
      <c r="CK977" s="2">
        <v>23</v>
      </c>
      <c r="CL977" s="2" t="s">
        <v>86</v>
      </c>
      <c r="CM977" s="2"/>
    </row>
    <row r="978" spans="1:91">
      <c r="A978" s="2" t="s">
        <v>71</v>
      </c>
      <c r="B978" s="2" t="s">
        <v>72</v>
      </c>
      <c r="C978" s="2" t="s">
        <v>73</v>
      </c>
      <c r="D978" s="2"/>
      <c r="E978" s="2" t="str">
        <f>"FES1162542204"</f>
        <v>FES1162542204</v>
      </c>
      <c r="F978" s="3">
        <v>42831</v>
      </c>
      <c r="G978" s="2">
        <v>201710</v>
      </c>
      <c r="H978" s="2" t="s">
        <v>74</v>
      </c>
      <c r="I978" s="2" t="s">
        <v>75</v>
      </c>
      <c r="J978" s="2" t="s">
        <v>76</v>
      </c>
      <c r="K978" s="2" t="s">
        <v>77</v>
      </c>
      <c r="L978" s="2" t="s">
        <v>234</v>
      </c>
      <c r="M978" s="2" t="s">
        <v>235</v>
      </c>
      <c r="N978" s="2" t="s">
        <v>236</v>
      </c>
      <c r="O978" s="2" t="s">
        <v>115</v>
      </c>
      <c r="P978" s="2" t="str">
        <f>"2170559925                    "</f>
        <v xml:space="preserve">2170559925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4.29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2</v>
      </c>
      <c r="BJ978" s="2">
        <v>0.2</v>
      </c>
      <c r="BK978" s="2">
        <v>2</v>
      </c>
      <c r="BL978" s="2">
        <v>41.73</v>
      </c>
      <c r="BM978" s="2">
        <v>5.84</v>
      </c>
      <c r="BN978" s="2">
        <v>47.57</v>
      </c>
      <c r="BO978" s="2">
        <v>47.57</v>
      </c>
      <c r="BP978" s="2"/>
      <c r="BQ978" s="2" t="s">
        <v>285</v>
      </c>
      <c r="BR978" s="2" t="s">
        <v>123</v>
      </c>
      <c r="BS978" s="3">
        <v>42832</v>
      </c>
      <c r="BT978" s="4">
        <v>0.3263888888888889</v>
      </c>
      <c r="BU978" s="2" t="s">
        <v>245</v>
      </c>
      <c r="BV978" s="2" t="s">
        <v>111</v>
      </c>
      <c r="BW978" s="2"/>
      <c r="BX978" s="2"/>
      <c r="BY978" s="2">
        <v>1200</v>
      </c>
      <c r="BZ978" s="2" t="s">
        <v>27</v>
      </c>
      <c r="CA978" s="2"/>
      <c r="CB978" s="2"/>
      <c r="CC978" s="2" t="s">
        <v>235</v>
      </c>
      <c r="CD978" s="2">
        <v>6220</v>
      </c>
      <c r="CE978" s="2" t="s">
        <v>118</v>
      </c>
      <c r="CF978" s="5">
        <v>42835</v>
      </c>
      <c r="CG978" s="2"/>
      <c r="CH978" s="2"/>
      <c r="CI978" s="2">
        <v>1</v>
      </c>
      <c r="CJ978" s="2">
        <v>1</v>
      </c>
      <c r="CK978" s="2">
        <v>21</v>
      </c>
      <c r="CL978" s="2" t="s">
        <v>86</v>
      </c>
      <c r="CM978" s="2"/>
    </row>
    <row r="979" spans="1:91">
      <c r="A979" s="2" t="s">
        <v>71</v>
      </c>
      <c r="B979" s="2" t="s">
        <v>72</v>
      </c>
      <c r="C979" s="2" t="s">
        <v>73</v>
      </c>
      <c r="D979" s="2"/>
      <c r="E979" s="2" t="str">
        <f>"FES116254131"</f>
        <v>FES116254131</v>
      </c>
      <c r="F979" s="3">
        <v>42829</v>
      </c>
      <c r="G979" s="2">
        <v>201710</v>
      </c>
      <c r="H979" s="2" t="s">
        <v>74</v>
      </c>
      <c r="I979" s="2" t="s">
        <v>75</v>
      </c>
      <c r="J979" s="2" t="s">
        <v>76</v>
      </c>
      <c r="K979" s="2" t="s">
        <v>77</v>
      </c>
      <c r="L979" s="2" t="s">
        <v>294</v>
      </c>
      <c r="M979" s="2" t="s">
        <v>295</v>
      </c>
      <c r="N979" s="2" t="s">
        <v>296</v>
      </c>
      <c r="O979" s="2" t="s">
        <v>115</v>
      </c>
      <c r="P979" s="2" t="str">
        <f>"2170558938                    "</f>
        <v xml:space="preserve">2170558938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33.159999999999997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15</v>
      </c>
      <c r="BJ979" s="2">
        <v>9.3000000000000007</v>
      </c>
      <c r="BK979" s="2">
        <v>15</v>
      </c>
      <c r="BL979" s="2">
        <v>313.95999999999998</v>
      </c>
      <c r="BM979" s="2">
        <v>43.95</v>
      </c>
      <c r="BN979" s="2">
        <v>357.91</v>
      </c>
      <c r="BO979" s="2">
        <v>357.91</v>
      </c>
      <c r="BP979" s="2"/>
      <c r="BQ979" s="2" t="s">
        <v>297</v>
      </c>
      <c r="BR979" s="2" t="s">
        <v>123</v>
      </c>
      <c r="BS979" s="3">
        <v>42830</v>
      </c>
      <c r="BT979" s="4">
        <v>0.4375</v>
      </c>
      <c r="BU979" s="2" t="s">
        <v>1576</v>
      </c>
      <c r="BV979" s="2" t="s">
        <v>111</v>
      </c>
      <c r="BW979" s="2"/>
      <c r="BX979" s="2"/>
      <c r="BY979" s="2">
        <v>46512</v>
      </c>
      <c r="BZ979" s="2" t="s">
        <v>27</v>
      </c>
      <c r="CA979" s="2"/>
      <c r="CB979" s="2"/>
      <c r="CC979" s="2" t="s">
        <v>295</v>
      </c>
      <c r="CD979" s="2">
        <v>3620</v>
      </c>
      <c r="CE979" s="2" t="s">
        <v>135</v>
      </c>
      <c r="CF979" s="5">
        <v>42831</v>
      </c>
      <c r="CG979" s="2"/>
      <c r="CH979" s="2"/>
      <c r="CI979" s="2">
        <v>1</v>
      </c>
      <c r="CJ979" s="2">
        <v>1</v>
      </c>
      <c r="CK979" s="2">
        <v>21</v>
      </c>
      <c r="CL979" s="2" t="s">
        <v>86</v>
      </c>
      <c r="CM979" s="2"/>
    </row>
    <row r="980" spans="1:91">
      <c r="A980" s="2" t="s">
        <v>71</v>
      </c>
      <c r="B980" s="2" t="s">
        <v>72</v>
      </c>
      <c r="C980" s="2" t="s">
        <v>73</v>
      </c>
      <c r="D980" s="2"/>
      <c r="E980" s="2" t="str">
        <f>"FES1162543124"</f>
        <v>FES1162543124</v>
      </c>
      <c r="F980" s="3">
        <v>42836</v>
      </c>
      <c r="G980" s="2">
        <v>201710</v>
      </c>
      <c r="H980" s="2" t="s">
        <v>74</v>
      </c>
      <c r="I980" s="2" t="s">
        <v>75</v>
      </c>
      <c r="J980" s="2" t="s">
        <v>76</v>
      </c>
      <c r="K980" s="2" t="s">
        <v>77</v>
      </c>
      <c r="L980" s="2" t="s">
        <v>187</v>
      </c>
      <c r="M980" s="2" t="s">
        <v>146</v>
      </c>
      <c r="N980" s="2" t="s">
        <v>1577</v>
      </c>
      <c r="O980" s="2" t="s">
        <v>115</v>
      </c>
      <c r="P980" s="2" t="str">
        <f>"2170561908                    "</f>
        <v xml:space="preserve">2170561908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4.29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1</v>
      </c>
      <c r="BJ980" s="2">
        <v>0.2</v>
      </c>
      <c r="BK980" s="2">
        <v>1</v>
      </c>
      <c r="BL980" s="2">
        <v>41.73</v>
      </c>
      <c r="BM980" s="2">
        <v>5.84</v>
      </c>
      <c r="BN980" s="2">
        <v>47.57</v>
      </c>
      <c r="BO980" s="2">
        <v>47.57</v>
      </c>
      <c r="BP980" s="2"/>
      <c r="BQ980" s="2" t="s">
        <v>1578</v>
      </c>
      <c r="BR980" s="2" t="s">
        <v>123</v>
      </c>
      <c r="BS980" s="3">
        <v>42837</v>
      </c>
      <c r="BT980" s="4">
        <v>0.3923611111111111</v>
      </c>
      <c r="BU980" s="2" t="s">
        <v>1579</v>
      </c>
      <c r="BV980" s="2" t="s">
        <v>111</v>
      </c>
      <c r="BW980" s="2"/>
      <c r="BX980" s="2"/>
      <c r="BY980" s="2">
        <v>1200</v>
      </c>
      <c r="BZ980" s="2" t="s">
        <v>27</v>
      </c>
      <c r="CA980" s="2"/>
      <c r="CB980" s="2"/>
      <c r="CC980" s="2" t="s">
        <v>146</v>
      </c>
      <c r="CD980" s="2">
        <v>200</v>
      </c>
      <c r="CE980" s="2" t="s">
        <v>118</v>
      </c>
      <c r="CF980" s="5">
        <v>42843</v>
      </c>
      <c r="CG980" s="2"/>
      <c r="CH980" s="2"/>
      <c r="CI980" s="2">
        <v>0</v>
      </c>
      <c r="CJ980" s="2">
        <v>0</v>
      </c>
      <c r="CK980" s="2">
        <v>21</v>
      </c>
      <c r="CL980" s="2" t="s">
        <v>86</v>
      </c>
      <c r="CM980" s="2"/>
    </row>
    <row r="981" spans="1:91">
      <c r="A981" s="2" t="s">
        <v>71</v>
      </c>
      <c r="B981" s="2" t="s">
        <v>72</v>
      </c>
      <c r="C981" s="2" t="s">
        <v>73</v>
      </c>
      <c r="D981" s="2"/>
      <c r="E981" s="2" t="str">
        <f>"FES1162542213"</f>
        <v>FES1162542213</v>
      </c>
      <c r="F981" s="3">
        <v>42831</v>
      </c>
      <c r="G981" s="2">
        <v>201710</v>
      </c>
      <c r="H981" s="2" t="s">
        <v>74</v>
      </c>
      <c r="I981" s="2" t="s">
        <v>75</v>
      </c>
      <c r="J981" s="2" t="s">
        <v>76</v>
      </c>
      <c r="K981" s="2" t="s">
        <v>77</v>
      </c>
      <c r="L981" s="2" t="s">
        <v>131</v>
      </c>
      <c r="M981" s="2" t="s">
        <v>132</v>
      </c>
      <c r="N981" s="2" t="s">
        <v>1534</v>
      </c>
      <c r="O981" s="2" t="s">
        <v>115</v>
      </c>
      <c r="P981" s="2" t="str">
        <f>"21705611111                   "</f>
        <v xml:space="preserve">21705611111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4.29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1</v>
      </c>
      <c r="BJ981" s="2">
        <v>0.2</v>
      </c>
      <c r="BK981" s="2">
        <v>1</v>
      </c>
      <c r="BL981" s="2">
        <v>41.73</v>
      </c>
      <c r="BM981" s="2">
        <v>5.84</v>
      </c>
      <c r="BN981" s="2">
        <v>47.57</v>
      </c>
      <c r="BO981" s="2">
        <v>47.57</v>
      </c>
      <c r="BP981" s="2"/>
      <c r="BQ981" s="2" t="s">
        <v>116</v>
      </c>
      <c r="BR981" s="2" t="s">
        <v>123</v>
      </c>
      <c r="BS981" s="3">
        <v>42832</v>
      </c>
      <c r="BT981" s="4">
        <v>0.44097222222222227</v>
      </c>
      <c r="BU981" s="2" t="s">
        <v>1545</v>
      </c>
      <c r="BV981" s="2" t="s">
        <v>111</v>
      </c>
      <c r="BW981" s="2"/>
      <c r="BX981" s="2"/>
      <c r="BY981" s="2">
        <v>1200</v>
      </c>
      <c r="BZ981" s="2" t="s">
        <v>27</v>
      </c>
      <c r="CA981" s="2"/>
      <c r="CB981" s="2"/>
      <c r="CC981" s="2" t="s">
        <v>132</v>
      </c>
      <c r="CD981" s="2">
        <v>7493</v>
      </c>
      <c r="CE981" s="2" t="s">
        <v>118</v>
      </c>
      <c r="CF981" s="5">
        <v>42835</v>
      </c>
      <c r="CG981" s="2"/>
      <c r="CH981" s="2"/>
      <c r="CI981" s="2">
        <v>1</v>
      </c>
      <c r="CJ981" s="2">
        <v>1</v>
      </c>
      <c r="CK981" s="2">
        <v>21</v>
      </c>
      <c r="CL981" s="2" t="s">
        <v>86</v>
      </c>
      <c r="CM981" s="2"/>
    </row>
    <row r="982" spans="1:91">
      <c r="A982" s="2" t="s">
        <v>71</v>
      </c>
      <c r="B982" s="2" t="s">
        <v>72</v>
      </c>
      <c r="C982" s="2" t="s">
        <v>73</v>
      </c>
      <c r="D982" s="2"/>
      <c r="E982" s="2" t="str">
        <f>"FES1162541685"</f>
        <v>FES1162541685</v>
      </c>
      <c r="F982" s="3">
        <v>42830</v>
      </c>
      <c r="G982" s="2">
        <v>201710</v>
      </c>
      <c r="H982" s="2" t="s">
        <v>74</v>
      </c>
      <c r="I982" s="2" t="s">
        <v>75</v>
      </c>
      <c r="J982" s="2" t="s">
        <v>76</v>
      </c>
      <c r="K982" s="2" t="s">
        <v>77</v>
      </c>
      <c r="L982" s="2" t="s">
        <v>160</v>
      </c>
      <c r="M982" s="2" t="s">
        <v>161</v>
      </c>
      <c r="N982" s="2" t="s">
        <v>463</v>
      </c>
      <c r="O982" s="2" t="s">
        <v>115</v>
      </c>
      <c r="P982" s="2" t="str">
        <f>"2170560369                    "</f>
        <v xml:space="preserve">2170560369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4.29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</v>
      </c>
      <c r="BJ982" s="2">
        <v>0.2</v>
      </c>
      <c r="BK982" s="2">
        <v>1</v>
      </c>
      <c r="BL982" s="2">
        <v>41.73</v>
      </c>
      <c r="BM982" s="2">
        <v>5.84</v>
      </c>
      <c r="BN982" s="2">
        <v>47.57</v>
      </c>
      <c r="BO982" s="2">
        <v>47.57</v>
      </c>
      <c r="BP982" s="2"/>
      <c r="BQ982" s="2" t="s">
        <v>129</v>
      </c>
      <c r="BR982" s="2" t="s">
        <v>123</v>
      </c>
      <c r="BS982" s="3">
        <v>42831</v>
      </c>
      <c r="BT982" s="4">
        <v>0.41666666666666669</v>
      </c>
      <c r="BU982" s="2" t="s">
        <v>803</v>
      </c>
      <c r="BV982" s="2" t="s">
        <v>111</v>
      </c>
      <c r="BW982" s="2"/>
      <c r="BX982" s="2"/>
      <c r="BY982" s="2">
        <v>1200</v>
      </c>
      <c r="BZ982" s="2" t="s">
        <v>27</v>
      </c>
      <c r="CA982" s="2"/>
      <c r="CB982" s="2"/>
      <c r="CC982" s="2" t="s">
        <v>161</v>
      </c>
      <c r="CD982" s="2">
        <v>5201</v>
      </c>
      <c r="CE982" s="2" t="s">
        <v>144</v>
      </c>
      <c r="CF982" s="5">
        <v>42832</v>
      </c>
      <c r="CG982" s="2"/>
      <c r="CH982" s="2"/>
      <c r="CI982" s="2">
        <v>1</v>
      </c>
      <c r="CJ982" s="2">
        <v>1</v>
      </c>
      <c r="CK982" s="2">
        <v>21</v>
      </c>
      <c r="CL982" s="2" t="s">
        <v>86</v>
      </c>
      <c r="CM982" s="2"/>
    </row>
    <row r="983" spans="1:91">
      <c r="A983" s="2" t="s">
        <v>71</v>
      </c>
      <c r="B983" s="2" t="s">
        <v>72</v>
      </c>
      <c r="C983" s="2" t="s">
        <v>73</v>
      </c>
      <c r="D983" s="2"/>
      <c r="E983" s="2" t="str">
        <f>"FES1162542182"</f>
        <v>FES1162542182</v>
      </c>
      <c r="F983" s="3">
        <v>42831</v>
      </c>
      <c r="G983" s="2">
        <v>201710</v>
      </c>
      <c r="H983" s="2" t="s">
        <v>74</v>
      </c>
      <c r="I983" s="2" t="s">
        <v>75</v>
      </c>
      <c r="J983" s="2" t="s">
        <v>76</v>
      </c>
      <c r="K983" s="2" t="s">
        <v>77</v>
      </c>
      <c r="L983" s="2" t="s">
        <v>131</v>
      </c>
      <c r="M983" s="2" t="s">
        <v>132</v>
      </c>
      <c r="N983" s="2" t="s">
        <v>1580</v>
      </c>
      <c r="O983" s="2" t="s">
        <v>115</v>
      </c>
      <c r="P983" s="2" t="str">
        <f>"2170561084                    "</f>
        <v xml:space="preserve">2170561084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4.29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1</v>
      </c>
      <c r="BJ983" s="2">
        <v>0.2</v>
      </c>
      <c r="BK983" s="2">
        <v>1</v>
      </c>
      <c r="BL983" s="2">
        <v>41.73</v>
      </c>
      <c r="BM983" s="2">
        <v>5.84</v>
      </c>
      <c r="BN983" s="2">
        <v>47.57</v>
      </c>
      <c r="BO983" s="2">
        <v>47.57</v>
      </c>
      <c r="BP983" s="2"/>
      <c r="BQ983" s="2" t="s">
        <v>1581</v>
      </c>
      <c r="BR983" s="2" t="s">
        <v>123</v>
      </c>
      <c r="BS983" s="3">
        <v>42832</v>
      </c>
      <c r="BT983" s="4">
        <v>0.37152777777777773</v>
      </c>
      <c r="BU983" s="2" t="s">
        <v>1582</v>
      </c>
      <c r="BV983" s="2" t="s">
        <v>111</v>
      </c>
      <c r="BW983" s="2"/>
      <c r="BX983" s="2"/>
      <c r="BY983" s="2">
        <v>1200</v>
      </c>
      <c r="BZ983" s="2" t="s">
        <v>27</v>
      </c>
      <c r="CA983" s="2"/>
      <c r="CB983" s="2"/>
      <c r="CC983" s="2" t="s">
        <v>132</v>
      </c>
      <c r="CD983" s="2">
        <v>7530</v>
      </c>
      <c r="CE983" s="2" t="s">
        <v>118</v>
      </c>
      <c r="CF983" s="5">
        <v>42835</v>
      </c>
      <c r="CG983" s="2"/>
      <c r="CH983" s="2"/>
      <c r="CI983" s="2">
        <v>1</v>
      </c>
      <c r="CJ983" s="2">
        <v>1</v>
      </c>
      <c r="CK983" s="2">
        <v>21</v>
      </c>
      <c r="CL983" s="2" t="s">
        <v>86</v>
      </c>
      <c r="CM983" s="2"/>
    </row>
    <row r="984" spans="1:91">
      <c r="A984" s="2" t="s">
        <v>71</v>
      </c>
      <c r="B984" s="2" t="s">
        <v>72</v>
      </c>
      <c r="C984" s="2" t="s">
        <v>73</v>
      </c>
      <c r="D984" s="2"/>
      <c r="E984" s="2" t="str">
        <f>"FES1162541269"</f>
        <v>FES1162541269</v>
      </c>
      <c r="F984" s="3">
        <v>42829</v>
      </c>
      <c r="G984" s="2">
        <v>201710</v>
      </c>
      <c r="H984" s="2" t="s">
        <v>74</v>
      </c>
      <c r="I984" s="2" t="s">
        <v>75</v>
      </c>
      <c r="J984" s="2" t="s">
        <v>76</v>
      </c>
      <c r="K984" s="2" t="s">
        <v>77</v>
      </c>
      <c r="L984" s="2" t="s">
        <v>139</v>
      </c>
      <c r="M984" s="2" t="s">
        <v>140</v>
      </c>
      <c r="N984" s="2" t="s">
        <v>530</v>
      </c>
      <c r="O984" s="2" t="s">
        <v>115</v>
      </c>
      <c r="P984" s="2" t="str">
        <f>"2170560309                    "</f>
        <v xml:space="preserve">2170560309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4.42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2</v>
      </c>
      <c r="BJ984" s="2">
        <v>0.2</v>
      </c>
      <c r="BK984" s="2">
        <v>2</v>
      </c>
      <c r="BL984" s="2">
        <v>41.86</v>
      </c>
      <c r="BM984" s="2">
        <v>5.86</v>
      </c>
      <c r="BN984" s="2">
        <v>47.72</v>
      </c>
      <c r="BO984" s="2">
        <v>47.72</v>
      </c>
      <c r="BP984" s="2"/>
      <c r="BQ984" s="2" t="s">
        <v>531</v>
      </c>
      <c r="BR984" s="2" t="s">
        <v>123</v>
      </c>
      <c r="BS984" s="3">
        <v>42830</v>
      </c>
      <c r="BT984" s="4">
        <v>0.35833333333333334</v>
      </c>
      <c r="BU984" s="2" t="s">
        <v>532</v>
      </c>
      <c r="BV984" s="2" t="s">
        <v>111</v>
      </c>
      <c r="BW984" s="2"/>
      <c r="BX984" s="2"/>
      <c r="BY984" s="2">
        <v>1200</v>
      </c>
      <c r="BZ984" s="2" t="s">
        <v>27</v>
      </c>
      <c r="CA984" s="2"/>
      <c r="CB984" s="2"/>
      <c r="CC984" s="2" t="s">
        <v>140</v>
      </c>
      <c r="CD984" s="2">
        <v>157</v>
      </c>
      <c r="CE984" s="2" t="s">
        <v>144</v>
      </c>
      <c r="CF984" s="5">
        <v>42832</v>
      </c>
      <c r="CG984" s="2"/>
      <c r="CH984" s="2"/>
      <c r="CI984" s="2">
        <v>0</v>
      </c>
      <c r="CJ984" s="2">
        <v>0</v>
      </c>
      <c r="CK984" s="2">
        <v>21</v>
      </c>
      <c r="CL984" s="2" t="s">
        <v>86</v>
      </c>
      <c r="CM984" s="2"/>
    </row>
    <row r="985" spans="1:91">
      <c r="A985" s="2" t="s">
        <v>71</v>
      </c>
      <c r="B985" s="2" t="s">
        <v>72</v>
      </c>
      <c r="C985" s="2" t="s">
        <v>73</v>
      </c>
      <c r="D985" s="2"/>
      <c r="E985" s="2" t="str">
        <f>"FES1162542869"</f>
        <v>FES1162542869</v>
      </c>
      <c r="F985" s="3">
        <v>42836</v>
      </c>
      <c r="G985" s="2">
        <v>201710</v>
      </c>
      <c r="H985" s="2" t="s">
        <v>74</v>
      </c>
      <c r="I985" s="2" t="s">
        <v>75</v>
      </c>
      <c r="J985" s="2" t="s">
        <v>76</v>
      </c>
      <c r="K985" s="2" t="s">
        <v>77</v>
      </c>
      <c r="L985" s="2" t="s">
        <v>119</v>
      </c>
      <c r="M985" s="2" t="s">
        <v>120</v>
      </c>
      <c r="N985" s="2" t="s">
        <v>725</v>
      </c>
      <c r="O985" s="2" t="s">
        <v>115</v>
      </c>
      <c r="P985" s="2" t="str">
        <f>"2170561006                    "</f>
        <v xml:space="preserve">2170561006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3.35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1.4</v>
      </c>
      <c r="BJ985" s="2">
        <v>0.2</v>
      </c>
      <c r="BK985" s="2">
        <v>2</v>
      </c>
      <c r="BL985" s="2">
        <v>32.6</v>
      </c>
      <c r="BM985" s="2">
        <v>4.5599999999999996</v>
      </c>
      <c r="BN985" s="2">
        <v>37.159999999999997</v>
      </c>
      <c r="BO985" s="2">
        <v>37.159999999999997</v>
      </c>
      <c r="BP985" s="2"/>
      <c r="BQ985" s="2" t="s">
        <v>726</v>
      </c>
      <c r="BR985" s="2" t="s">
        <v>123</v>
      </c>
      <c r="BS985" s="3">
        <v>42837</v>
      </c>
      <c r="BT985" s="4">
        <v>0.41319444444444442</v>
      </c>
      <c r="BU985" s="2" t="s">
        <v>198</v>
      </c>
      <c r="BV985" s="2" t="s">
        <v>111</v>
      </c>
      <c r="BW985" s="2"/>
      <c r="BX985" s="2"/>
      <c r="BY985" s="2">
        <v>1200</v>
      </c>
      <c r="BZ985" s="2" t="s">
        <v>27</v>
      </c>
      <c r="CA985" s="2" t="s">
        <v>125</v>
      </c>
      <c r="CB985" s="2"/>
      <c r="CC985" s="2" t="s">
        <v>120</v>
      </c>
      <c r="CD985" s="2">
        <v>2162</v>
      </c>
      <c r="CE985" s="2" t="s">
        <v>118</v>
      </c>
      <c r="CF985" s="5">
        <v>42838</v>
      </c>
      <c r="CG985" s="2"/>
      <c r="CH985" s="2"/>
      <c r="CI985" s="2">
        <v>1</v>
      </c>
      <c r="CJ985" s="2">
        <v>1</v>
      </c>
      <c r="CK985" s="2">
        <v>22</v>
      </c>
      <c r="CL985" s="2" t="s">
        <v>86</v>
      </c>
      <c r="CM985" s="2"/>
    </row>
    <row r="986" spans="1:91">
      <c r="A986" s="2" t="s">
        <v>71</v>
      </c>
      <c r="B986" s="2" t="s">
        <v>72</v>
      </c>
      <c r="C986" s="2" t="s">
        <v>73</v>
      </c>
      <c r="D986" s="2"/>
      <c r="E986" s="2" t="str">
        <f>"FES1162542181"</f>
        <v>FES1162542181</v>
      </c>
      <c r="F986" s="3">
        <v>42831</v>
      </c>
      <c r="G986" s="2">
        <v>201710</v>
      </c>
      <c r="H986" s="2" t="s">
        <v>74</v>
      </c>
      <c r="I986" s="2" t="s">
        <v>75</v>
      </c>
      <c r="J986" s="2" t="s">
        <v>76</v>
      </c>
      <c r="K986" s="2" t="s">
        <v>77</v>
      </c>
      <c r="L986" s="2" t="s">
        <v>131</v>
      </c>
      <c r="M986" s="2" t="s">
        <v>132</v>
      </c>
      <c r="N986" s="2" t="s">
        <v>586</v>
      </c>
      <c r="O986" s="2" t="s">
        <v>115</v>
      </c>
      <c r="P986" s="2" t="str">
        <f>"2170560989                    "</f>
        <v xml:space="preserve">2170560989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4.29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1</v>
      </c>
      <c r="BJ986" s="2">
        <v>0.2</v>
      </c>
      <c r="BK986" s="2">
        <v>1</v>
      </c>
      <c r="BL986" s="2">
        <v>41.73</v>
      </c>
      <c r="BM986" s="2">
        <v>5.84</v>
      </c>
      <c r="BN986" s="2">
        <v>47.57</v>
      </c>
      <c r="BO986" s="2">
        <v>47.57</v>
      </c>
      <c r="BP986" s="2"/>
      <c r="BQ986" s="2" t="s">
        <v>129</v>
      </c>
      <c r="BR986" s="2" t="s">
        <v>123</v>
      </c>
      <c r="BS986" s="3">
        <v>42832</v>
      </c>
      <c r="BT986" s="4">
        <v>0.40277777777777773</v>
      </c>
      <c r="BU986" s="2" t="s">
        <v>587</v>
      </c>
      <c r="BV986" s="2" t="s">
        <v>111</v>
      </c>
      <c r="BW986" s="2"/>
      <c r="BX986" s="2"/>
      <c r="BY986" s="2">
        <v>1200</v>
      </c>
      <c r="BZ986" s="2" t="s">
        <v>27</v>
      </c>
      <c r="CA986" s="2"/>
      <c r="CB986" s="2"/>
      <c r="CC986" s="2" t="s">
        <v>132</v>
      </c>
      <c r="CD986" s="2">
        <v>7490</v>
      </c>
      <c r="CE986" s="2" t="s">
        <v>118</v>
      </c>
      <c r="CF986" s="5">
        <v>42835</v>
      </c>
      <c r="CG986" s="2"/>
      <c r="CH986" s="2"/>
      <c r="CI986" s="2">
        <v>1</v>
      </c>
      <c r="CJ986" s="2">
        <v>1</v>
      </c>
      <c r="CK986" s="2">
        <v>21</v>
      </c>
      <c r="CL986" s="2" t="s">
        <v>86</v>
      </c>
      <c r="CM986" s="2"/>
    </row>
    <row r="987" spans="1:91">
      <c r="A987" s="2" t="s">
        <v>71</v>
      </c>
      <c r="B987" s="2" t="s">
        <v>72</v>
      </c>
      <c r="C987" s="2" t="s">
        <v>73</v>
      </c>
      <c r="D987" s="2"/>
      <c r="E987" s="2" t="str">
        <f>"FES1162541757"</f>
        <v>FES1162541757</v>
      </c>
      <c r="F987" s="3">
        <v>42830</v>
      </c>
      <c r="G987" s="2">
        <v>201710</v>
      </c>
      <c r="H987" s="2" t="s">
        <v>74</v>
      </c>
      <c r="I987" s="2" t="s">
        <v>75</v>
      </c>
      <c r="J987" s="2" t="s">
        <v>76</v>
      </c>
      <c r="K987" s="2" t="s">
        <v>77</v>
      </c>
      <c r="L987" s="2" t="s">
        <v>99</v>
      </c>
      <c r="M987" s="2" t="s">
        <v>100</v>
      </c>
      <c r="N987" s="2" t="s">
        <v>910</v>
      </c>
      <c r="O987" s="2" t="s">
        <v>115</v>
      </c>
      <c r="P987" s="2" t="str">
        <f>"2170560756                    "</f>
        <v xml:space="preserve">2170560756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4.29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1</v>
      </c>
      <c r="BJ987" s="2">
        <v>0.2</v>
      </c>
      <c r="BK987" s="2">
        <v>1</v>
      </c>
      <c r="BL987" s="2">
        <v>41.73</v>
      </c>
      <c r="BM987" s="2">
        <v>5.84</v>
      </c>
      <c r="BN987" s="2">
        <v>47.57</v>
      </c>
      <c r="BO987" s="2">
        <v>47.57</v>
      </c>
      <c r="BP987" s="2"/>
      <c r="BQ987" s="2" t="s">
        <v>911</v>
      </c>
      <c r="BR987" s="2" t="s">
        <v>123</v>
      </c>
      <c r="BS987" s="3">
        <v>42831</v>
      </c>
      <c r="BT987" s="4">
        <v>0.65972222222222221</v>
      </c>
      <c r="BU987" s="2" t="s">
        <v>1583</v>
      </c>
      <c r="BV987" s="2" t="s">
        <v>86</v>
      </c>
      <c r="BW987" s="2"/>
      <c r="BX987" s="2"/>
      <c r="BY987" s="2">
        <v>1200</v>
      </c>
      <c r="BZ987" s="2" t="s">
        <v>27</v>
      </c>
      <c r="CA987" s="2"/>
      <c r="CB987" s="2"/>
      <c r="CC987" s="2" t="s">
        <v>100</v>
      </c>
      <c r="CD987" s="2">
        <v>6065</v>
      </c>
      <c r="CE987" s="2" t="s">
        <v>144</v>
      </c>
      <c r="CF987" s="5">
        <v>42832</v>
      </c>
      <c r="CG987" s="2"/>
      <c r="CH987" s="2"/>
      <c r="CI987" s="2">
        <v>1</v>
      </c>
      <c r="CJ987" s="2">
        <v>1</v>
      </c>
      <c r="CK987" s="2">
        <v>21</v>
      </c>
      <c r="CL987" s="2" t="s">
        <v>86</v>
      </c>
      <c r="CM987" s="2"/>
    </row>
    <row r="988" spans="1:91">
      <c r="A988" s="2" t="s">
        <v>71</v>
      </c>
      <c r="B988" s="2" t="s">
        <v>72</v>
      </c>
      <c r="C988" s="2" t="s">
        <v>73</v>
      </c>
      <c r="D988" s="2"/>
      <c r="E988" s="2" t="str">
        <f>"FES1162543102"</f>
        <v>FES1162543102</v>
      </c>
      <c r="F988" s="3">
        <v>42836</v>
      </c>
      <c r="G988" s="2">
        <v>201710</v>
      </c>
      <c r="H988" s="2" t="s">
        <v>74</v>
      </c>
      <c r="I988" s="2" t="s">
        <v>75</v>
      </c>
      <c r="J988" s="2" t="s">
        <v>76</v>
      </c>
      <c r="K988" s="2" t="s">
        <v>77</v>
      </c>
      <c r="L988" s="2" t="s">
        <v>99</v>
      </c>
      <c r="M988" s="2" t="s">
        <v>100</v>
      </c>
      <c r="N988" s="2" t="s">
        <v>451</v>
      </c>
      <c r="O988" s="2" t="s">
        <v>115</v>
      </c>
      <c r="P988" s="2" t="str">
        <f>"2170561874                    "</f>
        <v xml:space="preserve">2170561874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4.29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1</v>
      </c>
      <c r="BJ988" s="2">
        <v>0.2</v>
      </c>
      <c r="BK988" s="2">
        <v>1</v>
      </c>
      <c r="BL988" s="2">
        <v>41.73</v>
      </c>
      <c r="BM988" s="2">
        <v>5.84</v>
      </c>
      <c r="BN988" s="2">
        <v>47.57</v>
      </c>
      <c r="BO988" s="2">
        <v>47.57</v>
      </c>
      <c r="BP988" s="2"/>
      <c r="BQ988" s="2" t="s">
        <v>452</v>
      </c>
      <c r="BR988" s="2" t="s">
        <v>123</v>
      </c>
      <c r="BS988" s="3">
        <v>42837</v>
      </c>
      <c r="BT988" s="4">
        <v>0.3347222222222222</v>
      </c>
      <c r="BU988" s="2" t="s">
        <v>453</v>
      </c>
      <c r="BV988" s="2" t="s">
        <v>111</v>
      </c>
      <c r="BW988" s="2"/>
      <c r="BX988" s="2"/>
      <c r="BY988" s="2">
        <v>1200</v>
      </c>
      <c r="BZ988" s="2" t="s">
        <v>27</v>
      </c>
      <c r="CA988" s="2" t="s">
        <v>154</v>
      </c>
      <c r="CB988" s="2"/>
      <c r="CC988" s="2" t="s">
        <v>100</v>
      </c>
      <c r="CD988" s="2">
        <v>6001</v>
      </c>
      <c r="CE988" s="2" t="s">
        <v>118</v>
      </c>
      <c r="CF988" s="5">
        <v>42837</v>
      </c>
      <c r="CG988" s="2"/>
      <c r="CH988" s="2"/>
      <c r="CI988" s="2">
        <v>1</v>
      </c>
      <c r="CJ988" s="2">
        <v>1</v>
      </c>
      <c r="CK988" s="2">
        <v>21</v>
      </c>
      <c r="CL988" s="2" t="s">
        <v>86</v>
      </c>
      <c r="CM988" s="2"/>
    </row>
    <row r="989" spans="1:91">
      <c r="A989" s="2" t="s">
        <v>71</v>
      </c>
      <c r="B989" s="2" t="s">
        <v>72</v>
      </c>
      <c r="C989" s="2" t="s">
        <v>73</v>
      </c>
      <c r="D989" s="2"/>
      <c r="E989" s="2" t="str">
        <f>"FES1162542225"</f>
        <v>FES1162542225</v>
      </c>
      <c r="F989" s="3">
        <v>42831</v>
      </c>
      <c r="G989" s="2">
        <v>201710</v>
      </c>
      <c r="H989" s="2" t="s">
        <v>74</v>
      </c>
      <c r="I989" s="2" t="s">
        <v>75</v>
      </c>
      <c r="J989" s="2" t="s">
        <v>76</v>
      </c>
      <c r="K989" s="2" t="s">
        <v>77</v>
      </c>
      <c r="L989" s="2" t="s">
        <v>166</v>
      </c>
      <c r="M989" s="2" t="s">
        <v>167</v>
      </c>
      <c r="N989" s="2" t="s">
        <v>703</v>
      </c>
      <c r="O989" s="2" t="s">
        <v>115</v>
      </c>
      <c r="P989" s="2" t="str">
        <f>"2170561128                    "</f>
        <v xml:space="preserve">2170561128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3.35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1</v>
      </c>
      <c r="BJ989" s="2">
        <v>0.2</v>
      </c>
      <c r="BK989" s="2">
        <v>1</v>
      </c>
      <c r="BL989" s="2">
        <v>32.6</v>
      </c>
      <c r="BM989" s="2">
        <v>4.5599999999999996</v>
      </c>
      <c r="BN989" s="2">
        <v>37.159999999999997</v>
      </c>
      <c r="BO989" s="2">
        <v>37.159999999999997</v>
      </c>
      <c r="BP989" s="2"/>
      <c r="BQ989" s="2" t="s">
        <v>704</v>
      </c>
      <c r="BR989" s="2" t="s">
        <v>123</v>
      </c>
      <c r="BS989" s="3">
        <v>42832</v>
      </c>
      <c r="BT989" s="4">
        <v>0.35069444444444442</v>
      </c>
      <c r="BU989" s="2" t="s">
        <v>290</v>
      </c>
      <c r="BV989" s="2" t="s">
        <v>111</v>
      </c>
      <c r="BW989" s="2"/>
      <c r="BX989" s="2"/>
      <c r="BY989" s="2">
        <v>1200</v>
      </c>
      <c r="BZ989" s="2" t="s">
        <v>27</v>
      </c>
      <c r="CA989" s="2"/>
      <c r="CB989" s="2"/>
      <c r="CC989" s="2" t="s">
        <v>167</v>
      </c>
      <c r="CD989" s="2">
        <v>2091</v>
      </c>
      <c r="CE989" s="2" t="s">
        <v>118</v>
      </c>
      <c r="CF989" s="5">
        <v>42835</v>
      </c>
      <c r="CG989" s="2"/>
      <c r="CH989" s="2"/>
      <c r="CI989" s="2">
        <v>1</v>
      </c>
      <c r="CJ989" s="2">
        <v>1</v>
      </c>
      <c r="CK989" s="2">
        <v>22</v>
      </c>
      <c r="CL989" s="2" t="s">
        <v>86</v>
      </c>
      <c r="CM989" s="2"/>
    </row>
    <row r="990" spans="1:91">
      <c r="A990" s="2" t="s">
        <v>71</v>
      </c>
      <c r="B990" s="2" t="s">
        <v>72</v>
      </c>
      <c r="C990" s="2" t="s">
        <v>73</v>
      </c>
      <c r="D990" s="2"/>
      <c r="E990" s="2" t="str">
        <f>"FES1162541281"</f>
        <v>FES1162541281</v>
      </c>
      <c r="F990" s="3">
        <v>42829</v>
      </c>
      <c r="G990" s="2">
        <v>201710</v>
      </c>
      <c r="H990" s="2" t="s">
        <v>74</v>
      </c>
      <c r="I990" s="2" t="s">
        <v>75</v>
      </c>
      <c r="J990" s="2" t="s">
        <v>76</v>
      </c>
      <c r="K990" s="2" t="s">
        <v>77</v>
      </c>
      <c r="L990" s="2" t="s">
        <v>180</v>
      </c>
      <c r="M990" s="2" t="s">
        <v>181</v>
      </c>
      <c r="N990" s="2" t="s">
        <v>457</v>
      </c>
      <c r="O990" s="2" t="s">
        <v>115</v>
      </c>
      <c r="P990" s="2" t="str">
        <f>"2170560343                    "</f>
        <v xml:space="preserve">2170560343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4.42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1</v>
      </c>
      <c r="BJ990" s="2">
        <v>0.2</v>
      </c>
      <c r="BK990" s="2">
        <v>1</v>
      </c>
      <c r="BL990" s="2">
        <v>41.86</v>
      </c>
      <c r="BM990" s="2">
        <v>5.86</v>
      </c>
      <c r="BN990" s="2">
        <v>47.72</v>
      </c>
      <c r="BO990" s="2">
        <v>47.72</v>
      </c>
      <c r="BP990" s="2"/>
      <c r="BQ990" s="2" t="s">
        <v>458</v>
      </c>
      <c r="BR990" s="2" t="s">
        <v>123</v>
      </c>
      <c r="BS990" s="3">
        <v>42830</v>
      </c>
      <c r="BT990" s="4">
        <v>0.4375</v>
      </c>
      <c r="BU990" s="2" t="s">
        <v>522</v>
      </c>
      <c r="BV990" s="2" t="s">
        <v>111</v>
      </c>
      <c r="BW990" s="2"/>
      <c r="BX990" s="2"/>
      <c r="BY990" s="2">
        <v>1200</v>
      </c>
      <c r="BZ990" s="2" t="s">
        <v>27</v>
      </c>
      <c r="CA990" s="2"/>
      <c r="CB990" s="2"/>
      <c r="CC990" s="2" t="s">
        <v>181</v>
      </c>
      <c r="CD990" s="2">
        <v>4001</v>
      </c>
      <c r="CE990" s="2" t="s">
        <v>144</v>
      </c>
      <c r="CF990" s="5">
        <v>42831</v>
      </c>
      <c r="CG990" s="2"/>
      <c r="CH990" s="2"/>
      <c r="CI990" s="2">
        <v>1</v>
      </c>
      <c r="CJ990" s="2">
        <v>1</v>
      </c>
      <c r="CK990" s="2">
        <v>21</v>
      </c>
      <c r="CL990" s="2" t="s">
        <v>86</v>
      </c>
      <c r="CM990" s="2"/>
    </row>
    <row r="991" spans="1:91">
      <c r="A991" s="2" t="s">
        <v>71</v>
      </c>
      <c r="B991" s="2" t="s">
        <v>72</v>
      </c>
      <c r="C991" s="2" t="s">
        <v>73</v>
      </c>
      <c r="D991" s="2"/>
      <c r="E991" s="2" t="str">
        <f>"FES1162541928"</f>
        <v>FES1162541928</v>
      </c>
      <c r="F991" s="3">
        <v>42831</v>
      </c>
      <c r="G991" s="2">
        <v>201710</v>
      </c>
      <c r="H991" s="2" t="s">
        <v>74</v>
      </c>
      <c r="I991" s="2" t="s">
        <v>75</v>
      </c>
      <c r="J991" s="2" t="s">
        <v>76</v>
      </c>
      <c r="K991" s="2" t="s">
        <v>77</v>
      </c>
      <c r="L991" s="2" t="s">
        <v>166</v>
      </c>
      <c r="M991" s="2" t="s">
        <v>167</v>
      </c>
      <c r="N991" s="2" t="s">
        <v>168</v>
      </c>
      <c r="O991" s="2" t="s">
        <v>115</v>
      </c>
      <c r="P991" s="2" t="str">
        <f>"2170560915                    "</f>
        <v xml:space="preserve">2170560915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3.35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1</v>
      </c>
      <c r="BJ991" s="2">
        <v>0.2</v>
      </c>
      <c r="BK991" s="2">
        <v>1</v>
      </c>
      <c r="BL991" s="2">
        <v>32.6</v>
      </c>
      <c r="BM991" s="2">
        <v>4.5599999999999996</v>
      </c>
      <c r="BN991" s="2">
        <v>37.159999999999997</v>
      </c>
      <c r="BO991" s="2">
        <v>37.159999999999997</v>
      </c>
      <c r="BP991" s="2"/>
      <c r="BQ991" s="2" t="s">
        <v>169</v>
      </c>
      <c r="BR991" s="2" t="s">
        <v>123</v>
      </c>
      <c r="BS991" s="3">
        <v>42832</v>
      </c>
      <c r="BT991" s="4">
        <v>0.41736111111111113</v>
      </c>
      <c r="BU991" s="2" t="s">
        <v>823</v>
      </c>
      <c r="BV991" s="2" t="s">
        <v>111</v>
      </c>
      <c r="BW991" s="2"/>
      <c r="BX991" s="2"/>
      <c r="BY991" s="2">
        <v>1200</v>
      </c>
      <c r="BZ991" s="2" t="s">
        <v>27</v>
      </c>
      <c r="CA991" s="2" t="s">
        <v>171</v>
      </c>
      <c r="CB991" s="2"/>
      <c r="CC991" s="2" t="s">
        <v>167</v>
      </c>
      <c r="CD991" s="2">
        <v>2094</v>
      </c>
      <c r="CE991" s="2" t="s">
        <v>118</v>
      </c>
      <c r="CF991" s="5">
        <v>42835</v>
      </c>
      <c r="CG991" s="2"/>
      <c r="CH991" s="2"/>
      <c r="CI991" s="2">
        <v>1</v>
      </c>
      <c r="CJ991" s="2">
        <v>1</v>
      </c>
      <c r="CK991" s="2">
        <v>22</v>
      </c>
      <c r="CL991" s="2" t="s">
        <v>86</v>
      </c>
      <c r="CM991" s="2"/>
    </row>
    <row r="992" spans="1:91">
      <c r="A992" s="2" t="s">
        <v>71</v>
      </c>
      <c r="B992" s="2" t="s">
        <v>72</v>
      </c>
      <c r="C992" s="2" t="s">
        <v>73</v>
      </c>
      <c r="D992" s="2"/>
      <c r="E992" s="2" t="str">
        <f>"FES1162541648"</f>
        <v>FES1162541648</v>
      </c>
      <c r="F992" s="3">
        <v>42830</v>
      </c>
      <c r="G992" s="2">
        <v>201710</v>
      </c>
      <c r="H992" s="2" t="s">
        <v>74</v>
      </c>
      <c r="I992" s="2" t="s">
        <v>75</v>
      </c>
      <c r="J992" s="2" t="s">
        <v>76</v>
      </c>
      <c r="K992" s="2" t="s">
        <v>77</v>
      </c>
      <c r="L992" s="2" t="s">
        <v>180</v>
      </c>
      <c r="M992" s="2" t="s">
        <v>181</v>
      </c>
      <c r="N992" s="2" t="s">
        <v>320</v>
      </c>
      <c r="O992" s="2" t="s">
        <v>115</v>
      </c>
      <c r="P992" s="2" t="str">
        <f>"2170558409                    "</f>
        <v xml:space="preserve">2170558409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4.29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1</v>
      </c>
      <c r="BJ992" s="2">
        <v>0.6</v>
      </c>
      <c r="BK992" s="2">
        <v>1</v>
      </c>
      <c r="BL992" s="2">
        <v>41.73</v>
      </c>
      <c r="BM992" s="2">
        <v>5.84</v>
      </c>
      <c r="BN992" s="2">
        <v>47.57</v>
      </c>
      <c r="BO992" s="2">
        <v>47.57</v>
      </c>
      <c r="BP992" s="2"/>
      <c r="BQ992" s="2" t="s">
        <v>129</v>
      </c>
      <c r="BR992" s="2" t="s">
        <v>123</v>
      </c>
      <c r="BS992" s="3">
        <v>42831</v>
      </c>
      <c r="BT992" s="4">
        <v>0.43402777777777773</v>
      </c>
      <c r="BU992" s="2" t="s">
        <v>721</v>
      </c>
      <c r="BV992" s="2" t="s">
        <v>111</v>
      </c>
      <c r="BW992" s="2"/>
      <c r="BX992" s="2"/>
      <c r="BY992" s="2">
        <v>2843.9</v>
      </c>
      <c r="BZ992" s="2" t="s">
        <v>27</v>
      </c>
      <c r="CA992" s="2"/>
      <c r="CB992" s="2"/>
      <c r="CC992" s="2" t="s">
        <v>181</v>
      </c>
      <c r="CD992" s="2">
        <v>4051</v>
      </c>
      <c r="CE992" s="2" t="s">
        <v>144</v>
      </c>
      <c r="CF992" s="5">
        <v>42832</v>
      </c>
      <c r="CG992" s="2"/>
      <c r="CH992" s="2"/>
      <c r="CI992" s="2">
        <v>1</v>
      </c>
      <c r="CJ992" s="2">
        <v>1</v>
      </c>
      <c r="CK992" s="2">
        <v>21</v>
      </c>
      <c r="CL992" s="2" t="s">
        <v>86</v>
      </c>
      <c r="CM992" s="2"/>
    </row>
    <row r="993" spans="1:91">
      <c r="A993" s="2" t="s">
        <v>71</v>
      </c>
      <c r="B993" s="2" t="s">
        <v>72</v>
      </c>
      <c r="C993" s="2" t="s">
        <v>73</v>
      </c>
      <c r="D993" s="2"/>
      <c r="E993" s="2" t="str">
        <f>"FES1162542754"</f>
        <v>FES1162542754</v>
      </c>
      <c r="F993" s="3">
        <v>42836</v>
      </c>
      <c r="G993" s="2">
        <v>201710</v>
      </c>
      <c r="H993" s="2" t="s">
        <v>74</v>
      </c>
      <c r="I993" s="2" t="s">
        <v>75</v>
      </c>
      <c r="J993" s="2" t="s">
        <v>76</v>
      </c>
      <c r="K993" s="2" t="s">
        <v>77</v>
      </c>
      <c r="L993" s="2" t="s">
        <v>166</v>
      </c>
      <c r="M993" s="2" t="s">
        <v>167</v>
      </c>
      <c r="N993" s="2" t="s">
        <v>168</v>
      </c>
      <c r="O993" s="2" t="s">
        <v>115</v>
      </c>
      <c r="P993" s="2" t="str">
        <f>"2170542754                    "</f>
        <v xml:space="preserve">2170542754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3.35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1</v>
      </c>
      <c r="BJ993" s="2">
        <v>0.2</v>
      </c>
      <c r="BK993" s="2">
        <v>1</v>
      </c>
      <c r="BL993" s="2">
        <v>32.6</v>
      </c>
      <c r="BM993" s="2">
        <v>4.5599999999999996</v>
      </c>
      <c r="BN993" s="2">
        <v>37.159999999999997</v>
      </c>
      <c r="BO993" s="2">
        <v>37.159999999999997</v>
      </c>
      <c r="BP993" s="2"/>
      <c r="BQ993" s="2" t="s">
        <v>169</v>
      </c>
      <c r="BR993" s="2" t="s">
        <v>123</v>
      </c>
      <c r="BS993" s="3">
        <v>42837</v>
      </c>
      <c r="BT993" s="4">
        <v>0.39444444444444443</v>
      </c>
      <c r="BU993" s="2" t="s">
        <v>170</v>
      </c>
      <c r="BV993" s="2" t="s">
        <v>111</v>
      </c>
      <c r="BW993" s="2"/>
      <c r="BX993" s="2"/>
      <c r="BY993" s="2">
        <v>1200</v>
      </c>
      <c r="BZ993" s="2" t="s">
        <v>27</v>
      </c>
      <c r="CA993" s="2" t="s">
        <v>171</v>
      </c>
      <c r="CB993" s="2"/>
      <c r="CC993" s="2" t="s">
        <v>167</v>
      </c>
      <c r="CD993" s="2">
        <v>2094</v>
      </c>
      <c r="CE993" s="2" t="s">
        <v>118</v>
      </c>
      <c r="CF993" s="5">
        <v>42837</v>
      </c>
      <c r="CG993" s="2"/>
      <c r="CH993" s="2"/>
      <c r="CI993" s="2">
        <v>1</v>
      </c>
      <c r="CJ993" s="2">
        <v>1</v>
      </c>
      <c r="CK993" s="2">
        <v>22</v>
      </c>
      <c r="CL993" s="2" t="s">
        <v>86</v>
      </c>
      <c r="CM993" s="2"/>
    </row>
    <row r="994" spans="1:91">
      <c r="A994" s="2" t="s">
        <v>71</v>
      </c>
      <c r="B994" s="2" t="s">
        <v>72</v>
      </c>
      <c r="C994" s="2" t="s">
        <v>73</v>
      </c>
      <c r="D994" s="2"/>
      <c r="E994" s="2" t="str">
        <f>"FES1162541912"</f>
        <v>FES1162541912</v>
      </c>
      <c r="F994" s="3">
        <v>42831</v>
      </c>
      <c r="G994" s="2">
        <v>201710</v>
      </c>
      <c r="H994" s="2" t="s">
        <v>74</v>
      </c>
      <c r="I994" s="2" t="s">
        <v>75</v>
      </c>
      <c r="J994" s="2" t="s">
        <v>76</v>
      </c>
      <c r="K994" s="2" t="s">
        <v>77</v>
      </c>
      <c r="L994" s="2" t="s">
        <v>99</v>
      </c>
      <c r="M994" s="2" t="s">
        <v>100</v>
      </c>
      <c r="N994" s="2" t="s">
        <v>671</v>
      </c>
      <c r="O994" s="2" t="s">
        <v>115</v>
      </c>
      <c r="P994" s="2" t="str">
        <f>"2170558883                    "</f>
        <v xml:space="preserve">2170558883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4.29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1</v>
      </c>
      <c r="BJ994" s="2">
        <v>0.2</v>
      </c>
      <c r="BK994" s="2">
        <v>1</v>
      </c>
      <c r="BL994" s="2">
        <v>41.73</v>
      </c>
      <c r="BM994" s="2">
        <v>5.84</v>
      </c>
      <c r="BN994" s="2">
        <v>47.57</v>
      </c>
      <c r="BO994" s="2">
        <v>47.57</v>
      </c>
      <c r="BP994" s="2"/>
      <c r="BQ994" s="2" t="s">
        <v>672</v>
      </c>
      <c r="BR994" s="2" t="s">
        <v>123</v>
      </c>
      <c r="BS994" s="3">
        <v>42832</v>
      </c>
      <c r="BT994" s="4">
        <v>0.33333333333333331</v>
      </c>
      <c r="BU994" s="2" t="s">
        <v>672</v>
      </c>
      <c r="BV994" s="2" t="s">
        <v>111</v>
      </c>
      <c r="BW994" s="2"/>
      <c r="BX994" s="2"/>
      <c r="BY994" s="2">
        <v>1200</v>
      </c>
      <c r="BZ994" s="2" t="s">
        <v>27</v>
      </c>
      <c r="CA994" s="2" t="s">
        <v>106</v>
      </c>
      <c r="CB994" s="2"/>
      <c r="CC994" s="2" t="s">
        <v>100</v>
      </c>
      <c r="CD994" s="2">
        <v>6001</v>
      </c>
      <c r="CE994" s="2" t="s">
        <v>118</v>
      </c>
      <c r="CF994" s="5">
        <v>42832</v>
      </c>
      <c r="CG994" s="2"/>
      <c r="CH994" s="2"/>
      <c r="CI994" s="2">
        <v>1</v>
      </c>
      <c r="CJ994" s="2">
        <v>1</v>
      </c>
      <c r="CK994" s="2">
        <v>21</v>
      </c>
      <c r="CL994" s="2" t="s">
        <v>86</v>
      </c>
      <c r="CM994" s="2"/>
    </row>
    <row r="995" spans="1:91">
      <c r="A995" s="2" t="s">
        <v>71</v>
      </c>
      <c r="B995" s="2" t="s">
        <v>72</v>
      </c>
      <c r="C995" s="2" t="s">
        <v>73</v>
      </c>
      <c r="D995" s="2"/>
      <c r="E995" s="2" t="str">
        <f>"FES1162541329"</f>
        <v>FES1162541329</v>
      </c>
      <c r="F995" s="3">
        <v>42829</v>
      </c>
      <c r="G995" s="2">
        <v>201710</v>
      </c>
      <c r="H995" s="2" t="s">
        <v>74</v>
      </c>
      <c r="I995" s="2" t="s">
        <v>75</v>
      </c>
      <c r="J995" s="2" t="s">
        <v>76</v>
      </c>
      <c r="K995" s="2" t="s">
        <v>77</v>
      </c>
      <c r="L995" s="2" t="s">
        <v>187</v>
      </c>
      <c r="M995" s="2" t="s">
        <v>146</v>
      </c>
      <c r="N995" s="2" t="s">
        <v>1584</v>
      </c>
      <c r="O995" s="2" t="s">
        <v>115</v>
      </c>
      <c r="P995" s="2" t="str">
        <f>"2170560402                    "</f>
        <v xml:space="preserve">2170560402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4.42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1.3</v>
      </c>
      <c r="BJ995" s="2">
        <v>0.2</v>
      </c>
      <c r="BK995" s="2">
        <v>1.5</v>
      </c>
      <c r="BL995" s="2">
        <v>41.86</v>
      </c>
      <c r="BM995" s="2">
        <v>5.86</v>
      </c>
      <c r="BN995" s="2">
        <v>47.72</v>
      </c>
      <c r="BO995" s="2">
        <v>47.72</v>
      </c>
      <c r="BP995" s="2"/>
      <c r="BQ995" s="2" t="s">
        <v>1585</v>
      </c>
      <c r="BR995" s="2" t="s">
        <v>123</v>
      </c>
      <c r="BS995" s="3">
        <v>42830</v>
      </c>
      <c r="BT995" s="4">
        <v>0.33333333333333331</v>
      </c>
      <c r="BU995" s="2" t="s">
        <v>1586</v>
      </c>
      <c r="BV995" s="2" t="s">
        <v>111</v>
      </c>
      <c r="BW995" s="2"/>
      <c r="BX995" s="2"/>
      <c r="BY995" s="2">
        <v>1200</v>
      </c>
      <c r="BZ995" s="2" t="s">
        <v>27</v>
      </c>
      <c r="CA995" s="2"/>
      <c r="CB995" s="2"/>
      <c r="CC995" s="2" t="s">
        <v>146</v>
      </c>
      <c r="CD995" s="2">
        <v>30</v>
      </c>
      <c r="CE995" s="2" t="s">
        <v>144</v>
      </c>
      <c r="CF995" s="5">
        <v>42832</v>
      </c>
      <c r="CG995" s="2"/>
      <c r="CH995" s="2"/>
      <c r="CI995" s="2">
        <v>0</v>
      </c>
      <c r="CJ995" s="2">
        <v>0</v>
      </c>
      <c r="CK995" s="2">
        <v>21</v>
      </c>
      <c r="CL995" s="2" t="s">
        <v>86</v>
      </c>
      <c r="CM995" s="2"/>
    </row>
    <row r="996" spans="1:91">
      <c r="A996" s="2" t="s">
        <v>71</v>
      </c>
      <c r="B996" s="2" t="s">
        <v>72</v>
      </c>
      <c r="C996" s="2" t="s">
        <v>73</v>
      </c>
      <c r="D996" s="2"/>
      <c r="E996" s="2" t="str">
        <f>"FES1162543106"</f>
        <v>FES1162543106</v>
      </c>
      <c r="F996" s="3">
        <v>42836</v>
      </c>
      <c r="G996" s="2">
        <v>201710</v>
      </c>
      <c r="H996" s="2" t="s">
        <v>74</v>
      </c>
      <c r="I996" s="2" t="s">
        <v>75</v>
      </c>
      <c r="J996" s="2" t="s">
        <v>76</v>
      </c>
      <c r="K996" s="2" t="s">
        <v>77</v>
      </c>
      <c r="L996" s="2" t="s">
        <v>166</v>
      </c>
      <c r="M996" s="2" t="s">
        <v>167</v>
      </c>
      <c r="N996" s="2" t="s">
        <v>1507</v>
      </c>
      <c r="O996" s="2" t="s">
        <v>115</v>
      </c>
      <c r="P996" s="2" t="str">
        <f>"2170548367                    "</f>
        <v xml:space="preserve">2170548367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3.35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1</v>
      </c>
      <c r="BJ996" s="2">
        <v>0.2</v>
      </c>
      <c r="BK996" s="2">
        <v>1</v>
      </c>
      <c r="BL996" s="2">
        <v>32.6</v>
      </c>
      <c r="BM996" s="2">
        <v>4.5599999999999996</v>
      </c>
      <c r="BN996" s="2">
        <v>37.159999999999997</v>
      </c>
      <c r="BO996" s="2">
        <v>37.159999999999997</v>
      </c>
      <c r="BP996" s="2"/>
      <c r="BQ996" s="2" t="s">
        <v>1571</v>
      </c>
      <c r="BR996" s="2" t="s">
        <v>84</v>
      </c>
      <c r="BS996" s="3">
        <v>42837</v>
      </c>
      <c r="BT996" s="4">
        <v>0.41666666666666669</v>
      </c>
      <c r="BU996" s="2" t="s">
        <v>1587</v>
      </c>
      <c r="BV996" s="2" t="s">
        <v>111</v>
      </c>
      <c r="BW996" s="2"/>
      <c r="BX996" s="2"/>
      <c r="BY996" s="2">
        <v>1200</v>
      </c>
      <c r="BZ996" s="2" t="s">
        <v>27</v>
      </c>
      <c r="CA996" s="2"/>
      <c r="CB996" s="2"/>
      <c r="CC996" s="2" t="s">
        <v>167</v>
      </c>
      <c r="CD996" s="2">
        <v>2091</v>
      </c>
      <c r="CE996" s="2" t="s">
        <v>118</v>
      </c>
      <c r="CF996" s="5">
        <v>42838</v>
      </c>
      <c r="CG996" s="2"/>
      <c r="CH996" s="2"/>
      <c r="CI996" s="2">
        <v>1</v>
      </c>
      <c r="CJ996" s="2">
        <v>1</v>
      </c>
      <c r="CK996" s="2">
        <v>22</v>
      </c>
      <c r="CL996" s="2" t="s">
        <v>86</v>
      </c>
      <c r="CM996" s="2"/>
    </row>
    <row r="997" spans="1:91">
      <c r="A997" s="2" t="s">
        <v>71</v>
      </c>
      <c r="B997" s="2" t="s">
        <v>72</v>
      </c>
      <c r="C997" s="2" t="s">
        <v>73</v>
      </c>
      <c r="D997" s="2"/>
      <c r="E997" s="2" t="str">
        <f>"FES1162542032"</f>
        <v>FES1162542032</v>
      </c>
      <c r="F997" s="3">
        <v>42831</v>
      </c>
      <c r="G997" s="2">
        <v>201710</v>
      </c>
      <c r="H997" s="2" t="s">
        <v>74</v>
      </c>
      <c r="I997" s="2" t="s">
        <v>75</v>
      </c>
      <c r="J997" s="2" t="s">
        <v>76</v>
      </c>
      <c r="K997" s="2" t="s">
        <v>77</v>
      </c>
      <c r="L997" s="2" t="s">
        <v>358</v>
      </c>
      <c r="M997" s="2" t="s">
        <v>359</v>
      </c>
      <c r="N997" s="2" t="s">
        <v>800</v>
      </c>
      <c r="O997" s="2" t="s">
        <v>115</v>
      </c>
      <c r="P997" s="2" t="str">
        <f>"2170560968                    "</f>
        <v xml:space="preserve">2170560968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12.86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4</v>
      </c>
      <c r="BJ997" s="2">
        <v>5.9</v>
      </c>
      <c r="BK997" s="2">
        <v>6</v>
      </c>
      <c r="BL997" s="2">
        <v>125.18</v>
      </c>
      <c r="BM997" s="2">
        <v>17.53</v>
      </c>
      <c r="BN997" s="2">
        <v>142.71</v>
      </c>
      <c r="BO997" s="2">
        <v>142.71</v>
      </c>
      <c r="BP997" s="2"/>
      <c r="BQ997" s="2" t="s">
        <v>801</v>
      </c>
      <c r="BR997" s="2" t="s">
        <v>123</v>
      </c>
      <c r="BS997" s="3">
        <v>42832</v>
      </c>
      <c r="BT997" s="4">
        <v>0.31041666666666667</v>
      </c>
      <c r="BU997" s="2" t="s">
        <v>918</v>
      </c>
      <c r="BV997" s="2" t="s">
        <v>111</v>
      </c>
      <c r="BW997" s="2"/>
      <c r="BX997" s="2"/>
      <c r="BY997" s="2">
        <v>29403</v>
      </c>
      <c r="BZ997" s="2" t="s">
        <v>27</v>
      </c>
      <c r="CA997" s="2"/>
      <c r="CB997" s="2"/>
      <c r="CC997" s="2" t="s">
        <v>359</v>
      </c>
      <c r="CD997" s="2">
        <v>6230</v>
      </c>
      <c r="CE997" s="2" t="s">
        <v>172</v>
      </c>
      <c r="CF997" s="5">
        <v>42835</v>
      </c>
      <c r="CG997" s="2"/>
      <c r="CH997" s="2"/>
      <c r="CI997" s="2">
        <v>1</v>
      </c>
      <c r="CJ997" s="2">
        <v>1</v>
      </c>
      <c r="CK997" s="2">
        <v>21</v>
      </c>
      <c r="CL997" s="2" t="s">
        <v>86</v>
      </c>
      <c r="CM997" s="2"/>
    </row>
    <row r="998" spans="1:91">
      <c r="A998" s="2" t="s">
        <v>71</v>
      </c>
      <c r="B998" s="2" t="s">
        <v>72</v>
      </c>
      <c r="C998" s="2" t="s">
        <v>73</v>
      </c>
      <c r="D998" s="2"/>
      <c r="E998" s="2" t="str">
        <f>"FES1162541684"</f>
        <v>FES1162541684</v>
      </c>
      <c r="F998" s="3">
        <v>42830</v>
      </c>
      <c r="G998" s="2">
        <v>201710</v>
      </c>
      <c r="H998" s="2" t="s">
        <v>74</v>
      </c>
      <c r="I998" s="2" t="s">
        <v>75</v>
      </c>
      <c r="J998" s="2" t="s">
        <v>76</v>
      </c>
      <c r="K998" s="2" t="s">
        <v>77</v>
      </c>
      <c r="L998" s="2" t="s">
        <v>139</v>
      </c>
      <c r="M998" s="2" t="s">
        <v>140</v>
      </c>
      <c r="N998" s="2" t="s">
        <v>530</v>
      </c>
      <c r="O998" s="2" t="s">
        <v>115</v>
      </c>
      <c r="P998" s="2" t="str">
        <f>"2170560309                    "</f>
        <v xml:space="preserve">2170560309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4.29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1</v>
      </c>
      <c r="BJ998" s="2">
        <v>0.2</v>
      </c>
      <c r="BK998" s="2">
        <v>1</v>
      </c>
      <c r="BL998" s="2">
        <v>41.73</v>
      </c>
      <c r="BM998" s="2">
        <v>5.84</v>
      </c>
      <c r="BN998" s="2">
        <v>47.57</v>
      </c>
      <c r="BO998" s="2">
        <v>47.57</v>
      </c>
      <c r="BP998" s="2"/>
      <c r="BQ998" s="2" t="s">
        <v>531</v>
      </c>
      <c r="BR998" s="2" t="s">
        <v>123</v>
      </c>
      <c r="BS998" s="3">
        <v>42831</v>
      </c>
      <c r="BT998" s="4">
        <v>0.36805555555555558</v>
      </c>
      <c r="BU998" s="2" t="s">
        <v>1588</v>
      </c>
      <c r="BV998" s="2" t="s">
        <v>111</v>
      </c>
      <c r="BW998" s="2"/>
      <c r="BX998" s="2"/>
      <c r="BY998" s="2">
        <v>1200</v>
      </c>
      <c r="BZ998" s="2" t="s">
        <v>27</v>
      </c>
      <c r="CA998" s="2"/>
      <c r="CB998" s="2"/>
      <c r="CC998" s="2" t="s">
        <v>140</v>
      </c>
      <c r="CD998" s="2">
        <v>157</v>
      </c>
      <c r="CE998" s="2" t="s">
        <v>144</v>
      </c>
      <c r="CF998" s="5">
        <v>42835</v>
      </c>
      <c r="CG998" s="2"/>
      <c r="CH998" s="2"/>
      <c r="CI998" s="2">
        <v>0</v>
      </c>
      <c r="CJ998" s="2">
        <v>0</v>
      </c>
      <c r="CK998" s="2">
        <v>21</v>
      </c>
      <c r="CL998" s="2" t="s">
        <v>86</v>
      </c>
      <c r="CM998" s="2"/>
    </row>
    <row r="999" spans="1:91">
      <c r="A999" s="2" t="s">
        <v>71</v>
      </c>
      <c r="B999" s="2" t="s">
        <v>72</v>
      </c>
      <c r="C999" s="2" t="s">
        <v>73</v>
      </c>
      <c r="D999" s="2"/>
      <c r="E999" s="2" t="str">
        <f>"FES1162543125"</f>
        <v>FES1162543125</v>
      </c>
      <c r="F999" s="3">
        <v>42836</v>
      </c>
      <c r="G999" s="2">
        <v>201710</v>
      </c>
      <c r="H999" s="2" t="s">
        <v>74</v>
      </c>
      <c r="I999" s="2" t="s">
        <v>75</v>
      </c>
      <c r="J999" s="2" t="s">
        <v>76</v>
      </c>
      <c r="K999" s="2" t="s">
        <v>77</v>
      </c>
      <c r="L999" s="2" t="s">
        <v>396</v>
      </c>
      <c r="M999" s="2" t="s">
        <v>397</v>
      </c>
      <c r="N999" s="2" t="s">
        <v>398</v>
      </c>
      <c r="O999" s="2" t="s">
        <v>115</v>
      </c>
      <c r="P999" s="2" t="str">
        <f>"2170561911                    "</f>
        <v xml:space="preserve">2170561911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4.29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1.8</v>
      </c>
      <c r="BJ999" s="2">
        <v>1.6</v>
      </c>
      <c r="BK999" s="2">
        <v>2</v>
      </c>
      <c r="BL999" s="2">
        <v>41.73</v>
      </c>
      <c r="BM999" s="2">
        <v>5.84</v>
      </c>
      <c r="BN999" s="2">
        <v>47.57</v>
      </c>
      <c r="BO999" s="2">
        <v>47.57</v>
      </c>
      <c r="BP999" s="2"/>
      <c r="BQ999" s="2" t="s">
        <v>399</v>
      </c>
      <c r="BR999" s="2" t="s">
        <v>123</v>
      </c>
      <c r="BS999" s="3">
        <v>42837</v>
      </c>
      <c r="BT999" s="4">
        <v>0.4375</v>
      </c>
      <c r="BU999" s="2" t="s">
        <v>632</v>
      </c>
      <c r="BV999" s="2" t="s">
        <v>111</v>
      </c>
      <c r="BW999" s="2"/>
      <c r="BX999" s="2"/>
      <c r="BY999" s="2">
        <v>8141.45</v>
      </c>
      <c r="BZ999" s="2" t="s">
        <v>27</v>
      </c>
      <c r="CA999" s="2" t="s">
        <v>159</v>
      </c>
      <c r="CB999" s="2"/>
      <c r="CC999" s="2" t="s">
        <v>397</v>
      </c>
      <c r="CD999" s="2">
        <v>4300</v>
      </c>
      <c r="CE999" s="2" t="s">
        <v>89</v>
      </c>
      <c r="CF999" s="5">
        <v>42838</v>
      </c>
      <c r="CG999" s="2"/>
      <c r="CH999" s="2"/>
      <c r="CI999" s="2">
        <v>1</v>
      </c>
      <c r="CJ999" s="2">
        <v>1</v>
      </c>
      <c r="CK999" s="2">
        <v>21</v>
      </c>
      <c r="CL999" s="2" t="s">
        <v>86</v>
      </c>
      <c r="CM999" s="2"/>
    </row>
    <row r="1000" spans="1:91">
      <c r="A1000" s="2" t="s">
        <v>71</v>
      </c>
      <c r="B1000" s="2" t="s">
        <v>72</v>
      </c>
      <c r="C1000" s="2" t="s">
        <v>73</v>
      </c>
      <c r="D1000" s="2"/>
      <c r="E1000" s="2" t="str">
        <f>"FES1162542238"</f>
        <v>FES1162542238</v>
      </c>
      <c r="F1000" s="3">
        <v>42831</v>
      </c>
      <c r="G1000" s="2">
        <v>201710</v>
      </c>
      <c r="H1000" s="2" t="s">
        <v>74</v>
      </c>
      <c r="I1000" s="2" t="s">
        <v>75</v>
      </c>
      <c r="J1000" s="2" t="s">
        <v>76</v>
      </c>
      <c r="K1000" s="2" t="s">
        <v>77</v>
      </c>
      <c r="L1000" s="2" t="s">
        <v>160</v>
      </c>
      <c r="M1000" s="2" t="s">
        <v>161</v>
      </c>
      <c r="N1000" s="2" t="s">
        <v>1432</v>
      </c>
      <c r="O1000" s="2" t="s">
        <v>115</v>
      </c>
      <c r="P1000" s="2" t="str">
        <f>"217056110                     "</f>
        <v xml:space="preserve">217056110 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4.29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41.73</v>
      </c>
      <c r="BM1000" s="2">
        <v>5.84</v>
      </c>
      <c r="BN1000" s="2">
        <v>47.57</v>
      </c>
      <c r="BO1000" s="2">
        <v>47.57</v>
      </c>
      <c r="BP1000" s="2"/>
      <c r="BQ1000" s="2" t="s">
        <v>129</v>
      </c>
      <c r="BR1000" s="2" t="s">
        <v>123</v>
      </c>
      <c r="BS1000" s="3">
        <v>42832</v>
      </c>
      <c r="BT1000" s="4">
        <v>0.54166666666666663</v>
      </c>
      <c r="BU1000" s="2" t="s">
        <v>1433</v>
      </c>
      <c r="BV1000" s="2" t="s">
        <v>86</v>
      </c>
      <c r="BW1000" s="2" t="s">
        <v>164</v>
      </c>
      <c r="BX1000" s="2" t="s">
        <v>1434</v>
      </c>
      <c r="BY1000" s="2">
        <v>1200</v>
      </c>
      <c r="BZ1000" s="2" t="s">
        <v>27</v>
      </c>
      <c r="CA1000" s="2"/>
      <c r="CB1000" s="2"/>
      <c r="CC1000" s="2" t="s">
        <v>161</v>
      </c>
      <c r="CD1000" s="2">
        <v>5201</v>
      </c>
      <c r="CE1000" s="2" t="s">
        <v>118</v>
      </c>
      <c r="CF1000" s="5">
        <v>42835</v>
      </c>
      <c r="CG1000" s="2"/>
      <c r="CH1000" s="2"/>
      <c r="CI1000" s="2">
        <v>1</v>
      </c>
      <c r="CJ1000" s="2">
        <v>1</v>
      </c>
      <c r="CK1000" s="2">
        <v>21</v>
      </c>
      <c r="CL1000" s="2" t="s">
        <v>86</v>
      </c>
      <c r="CM1000" s="2"/>
    </row>
    <row r="1001" spans="1:91">
      <c r="A1001" s="2" t="s">
        <v>71</v>
      </c>
      <c r="B1001" s="2" t="s">
        <v>72</v>
      </c>
      <c r="C1001" s="2" t="s">
        <v>73</v>
      </c>
      <c r="D1001" s="2"/>
      <c r="E1001" s="2" t="str">
        <f>"FES1162543079"</f>
        <v>FES1162543079</v>
      </c>
      <c r="F1001" s="3">
        <v>42836</v>
      </c>
      <c r="G1001" s="2">
        <v>201710</v>
      </c>
      <c r="H1001" s="2" t="s">
        <v>74</v>
      </c>
      <c r="I1001" s="2" t="s">
        <v>75</v>
      </c>
      <c r="J1001" s="2" t="s">
        <v>76</v>
      </c>
      <c r="K1001" s="2" t="s">
        <v>77</v>
      </c>
      <c r="L1001" s="2" t="s">
        <v>591</v>
      </c>
      <c r="M1001" s="2" t="s">
        <v>592</v>
      </c>
      <c r="N1001" s="2" t="s">
        <v>1589</v>
      </c>
      <c r="O1001" s="2" t="s">
        <v>115</v>
      </c>
      <c r="P1001" s="2" t="str">
        <f>"2170561868                    "</f>
        <v xml:space="preserve">2170561868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7.5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2.8</v>
      </c>
      <c r="BJ1001" s="2">
        <v>3.4</v>
      </c>
      <c r="BK1001" s="2">
        <v>3.5</v>
      </c>
      <c r="BL1001" s="2">
        <v>73.02</v>
      </c>
      <c r="BM1001" s="2">
        <v>10.220000000000001</v>
      </c>
      <c r="BN1001" s="2">
        <v>83.24</v>
      </c>
      <c r="BO1001" s="2">
        <v>83.24</v>
      </c>
      <c r="BP1001" s="2"/>
      <c r="BQ1001" s="2" t="s">
        <v>129</v>
      </c>
      <c r="BR1001" s="2" t="s">
        <v>123</v>
      </c>
      <c r="BS1001" s="3">
        <v>42837</v>
      </c>
      <c r="BT1001" s="4">
        <v>0.41666666666666669</v>
      </c>
      <c r="BU1001" s="2" t="s">
        <v>1590</v>
      </c>
      <c r="BV1001" s="2" t="s">
        <v>111</v>
      </c>
      <c r="BW1001" s="2"/>
      <c r="BX1001" s="2"/>
      <c r="BY1001" s="2">
        <v>17061</v>
      </c>
      <c r="BZ1001" s="2" t="s">
        <v>27</v>
      </c>
      <c r="CA1001" s="2"/>
      <c r="CB1001" s="2"/>
      <c r="CC1001" s="2" t="s">
        <v>592</v>
      </c>
      <c r="CD1001" s="2">
        <v>7600</v>
      </c>
      <c r="CE1001" s="2" t="s">
        <v>89</v>
      </c>
      <c r="CF1001" s="5">
        <v>42838</v>
      </c>
      <c r="CG1001" s="2"/>
      <c r="CH1001" s="2"/>
      <c r="CI1001" s="2">
        <v>1</v>
      </c>
      <c r="CJ1001" s="2">
        <v>1</v>
      </c>
      <c r="CK1001" s="2">
        <v>21</v>
      </c>
      <c r="CL1001" s="2" t="s">
        <v>86</v>
      </c>
      <c r="CM1001" s="2"/>
    </row>
    <row r="1002" spans="1:91">
      <c r="A1002" s="2" t="s">
        <v>71</v>
      </c>
      <c r="B1002" s="2" t="s">
        <v>72</v>
      </c>
      <c r="C1002" s="2" t="s">
        <v>73</v>
      </c>
      <c r="D1002" s="2"/>
      <c r="E1002" s="2" t="str">
        <f>"FES1162542099"</f>
        <v>FES1162542099</v>
      </c>
      <c r="F1002" s="3">
        <v>42831</v>
      </c>
      <c r="G1002" s="2">
        <v>201710</v>
      </c>
      <c r="H1002" s="2" t="s">
        <v>74</v>
      </c>
      <c r="I1002" s="2" t="s">
        <v>75</v>
      </c>
      <c r="J1002" s="2" t="s">
        <v>76</v>
      </c>
      <c r="K1002" s="2" t="s">
        <v>77</v>
      </c>
      <c r="L1002" s="2" t="s">
        <v>176</v>
      </c>
      <c r="M1002" s="2" t="s">
        <v>176</v>
      </c>
      <c r="N1002" s="2" t="s">
        <v>460</v>
      </c>
      <c r="O1002" s="2" t="s">
        <v>115</v>
      </c>
      <c r="P1002" s="2" t="str">
        <f>"2170558742                    "</f>
        <v xml:space="preserve">2170558742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4.29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41.73</v>
      </c>
      <c r="BM1002" s="2">
        <v>5.84</v>
      </c>
      <c r="BN1002" s="2">
        <v>47.57</v>
      </c>
      <c r="BO1002" s="2">
        <v>47.57</v>
      </c>
      <c r="BP1002" s="2"/>
      <c r="BQ1002" s="2" t="s">
        <v>461</v>
      </c>
      <c r="BR1002" s="2" t="s">
        <v>123</v>
      </c>
      <c r="BS1002" s="3">
        <v>42832</v>
      </c>
      <c r="BT1002" s="4">
        <v>0.49305555555555558</v>
      </c>
      <c r="BU1002" s="2" t="s">
        <v>727</v>
      </c>
      <c r="BV1002" s="2" t="s">
        <v>111</v>
      </c>
      <c r="BW1002" s="2"/>
      <c r="BX1002" s="2"/>
      <c r="BY1002" s="2">
        <v>1200</v>
      </c>
      <c r="BZ1002" s="2" t="s">
        <v>27</v>
      </c>
      <c r="CA1002" s="2"/>
      <c r="CB1002" s="2"/>
      <c r="CC1002" s="2" t="s">
        <v>176</v>
      </c>
      <c r="CD1002" s="2">
        <v>7646</v>
      </c>
      <c r="CE1002" s="2" t="s">
        <v>118</v>
      </c>
      <c r="CF1002" s="5">
        <v>42835</v>
      </c>
      <c r="CG1002" s="2"/>
      <c r="CH1002" s="2"/>
      <c r="CI1002" s="2">
        <v>1</v>
      </c>
      <c r="CJ1002" s="2">
        <v>1</v>
      </c>
      <c r="CK1002" s="2">
        <v>21</v>
      </c>
      <c r="CL1002" s="2" t="s">
        <v>86</v>
      </c>
      <c r="CM1002" s="2"/>
    </row>
    <row r="1003" spans="1:91">
      <c r="A1003" s="2" t="s">
        <v>71</v>
      </c>
      <c r="B1003" s="2" t="s">
        <v>72</v>
      </c>
      <c r="C1003" s="2" t="s">
        <v>73</v>
      </c>
      <c r="D1003" s="2"/>
      <c r="E1003" s="2" t="str">
        <f>"FES1162541637"</f>
        <v>FES1162541637</v>
      </c>
      <c r="F1003" s="3">
        <v>42830</v>
      </c>
      <c r="G1003" s="2">
        <v>201710</v>
      </c>
      <c r="H1003" s="2" t="s">
        <v>74</v>
      </c>
      <c r="I1003" s="2" t="s">
        <v>75</v>
      </c>
      <c r="J1003" s="2" t="s">
        <v>76</v>
      </c>
      <c r="K1003" s="2" t="s">
        <v>77</v>
      </c>
      <c r="L1003" s="2" t="s">
        <v>187</v>
      </c>
      <c r="M1003" s="2" t="s">
        <v>146</v>
      </c>
      <c r="N1003" s="2" t="s">
        <v>850</v>
      </c>
      <c r="O1003" s="2" t="s">
        <v>115</v>
      </c>
      <c r="P1003" s="2" t="str">
        <f>"2170558312                    "</f>
        <v xml:space="preserve">2170558312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4.29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1</v>
      </c>
      <c r="BJ1003" s="2">
        <v>0.2</v>
      </c>
      <c r="BK1003" s="2">
        <v>1</v>
      </c>
      <c r="BL1003" s="2">
        <v>41.73</v>
      </c>
      <c r="BM1003" s="2">
        <v>5.84</v>
      </c>
      <c r="BN1003" s="2">
        <v>47.57</v>
      </c>
      <c r="BO1003" s="2">
        <v>47.57</v>
      </c>
      <c r="BP1003" s="2"/>
      <c r="BQ1003" s="2" t="s">
        <v>851</v>
      </c>
      <c r="BR1003" s="2" t="s">
        <v>123</v>
      </c>
      <c r="BS1003" s="3">
        <v>42851</v>
      </c>
      <c r="BT1003" s="4">
        <v>0.41666666666666669</v>
      </c>
      <c r="BU1003" s="2" t="s">
        <v>1591</v>
      </c>
      <c r="BV1003" s="2" t="s">
        <v>86</v>
      </c>
      <c r="BW1003" s="2" t="s">
        <v>164</v>
      </c>
      <c r="BX1003" s="2" t="s">
        <v>1592</v>
      </c>
      <c r="BY1003" s="2">
        <v>1200</v>
      </c>
      <c r="BZ1003" s="2" t="s">
        <v>27</v>
      </c>
      <c r="CA1003" s="2" t="s">
        <v>590</v>
      </c>
      <c r="CB1003" s="2"/>
      <c r="CC1003" s="2" t="s">
        <v>146</v>
      </c>
      <c r="CD1003" s="2">
        <v>200</v>
      </c>
      <c r="CE1003" s="2" t="s">
        <v>118</v>
      </c>
      <c r="CF1003" s="2"/>
      <c r="CG1003" s="2"/>
      <c r="CH1003" s="2"/>
      <c r="CI1003" s="2">
        <v>0</v>
      </c>
      <c r="CJ1003" s="2">
        <v>0</v>
      </c>
      <c r="CK1003" s="2">
        <v>21</v>
      </c>
      <c r="CL1003" s="2" t="s">
        <v>86</v>
      </c>
      <c r="CM1003" s="2"/>
    </row>
    <row r="1004" spans="1:91">
      <c r="A1004" s="2" t="s">
        <v>71</v>
      </c>
      <c r="B1004" s="2" t="s">
        <v>72</v>
      </c>
      <c r="C1004" s="2" t="s">
        <v>73</v>
      </c>
      <c r="D1004" s="2"/>
      <c r="E1004" s="2" t="str">
        <f>"FES1162543120"</f>
        <v>FES1162543120</v>
      </c>
      <c r="F1004" s="3">
        <v>42836</v>
      </c>
      <c r="G1004" s="2">
        <v>201710</v>
      </c>
      <c r="H1004" s="2" t="s">
        <v>74</v>
      </c>
      <c r="I1004" s="2" t="s">
        <v>75</v>
      </c>
      <c r="J1004" s="2" t="s">
        <v>76</v>
      </c>
      <c r="K1004" s="2" t="s">
        <v>77</v>
      </c>
      <c r="L1004" s="2" t="s">
        <v>304</v>
      </c>
      <c r="M1004" s="2" t="s">
        <v>305</v>
      </c>
      <c r="N1004" s="2" t="s">
        <v>1593</v>
      </c>
      <c r="O1004" s="2" t="s">
        <v>115</v>
      </c>
      <c r="P1004" s="2" t="str">
        <f>"2170561902                    "</f>
        <v xml:space="preserve">2170561902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6.03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</v>
      </c>
      <c r="BJ1004" s="2">
        <v>0.2</v>
      </c>
      <c r="BK1004" s="2">
        <v>1</v>
      </c>
      <c r="BL1004" s="2">
        <v>58.68</v>
      </c>
      <c r="BM1004" s="2">
        <v>8.2200000000000006</v>
      </c>
      <c r="BN1004" s="2">
        <v>66.900000000000006</v>
      </c>
      <c r="BO1004" s="2">
        <v>66.900000000000006</v>
      </c>
      <c r="BP1004" s="2"/>
      <c r="BQ1004" s="2" t="s">
        <v>1594</v>
      </c>
      <c r="BR1004" s="2" t="s">
        <v>123</v>
      </c>
      <c r="BS1004" s="3">
        <v>42837</v>
      </c>
      <c r="BT1004" s="4">
        <v>0.42708333333333331</v>
      </c>
      <c r="BU1004" s="2" t="s">
        <v>1595</v>
      </c>
      <c r="BV1004" s="2" t="s">
        <v>111</v>
      </c>
      <c r="BW1004" s="2"/>
      <c r="BX1004" s="2"/>
      <c r="BY1004" s="2">
        <v>1200</v>
      </c>
      <c r="BZ1004" s="2" t="s">
        <v>27</v>
      </c>
      <c r="CA1004" s="2"/>
      <c r="CB1004" s="2"/>
      <c r="CC1004" s="2" t="s">
        <v>305</v>
      </c>
      <c r="CD1004" s="2">
        <v>1441</v>
      </c>
      <c r="CE1004" s="2" t="s">
        <v>118</v>
      </c>
      <c r="CF1004" s="5">
        <v>42838</v>
      </c>
      <c r="CG1004" s="2"/>
      <c r="CH1004" s="2"/>
      <c r="CI1004" s="2">
        <v>1</v>
      </c>
      <c r="CJ1004" s="2">
        <v>1</v>
      </c>
      <c r="CK1004" s="2">
        <v>24</v>
      </c>
      <c r="CL1004" s="2" t="s">
        <v>86</v>
      </c>
      <c r="CM1004" s="2"/>
    </row>
    <row r="1005" spans="1:91">
      <c r="A1005" s="2" t="s">
        <v>71</v>
      </c>
      <c r="B1005" s="2" t="s">
        <v>72</v>
      </c>
      <c r="C1005" s="2" t="s">
        <v>73</v>
      </c>
      <c r="D1005" s="2"/>
      <c r="E1005" s="2" t="str">
        <f>"FES1162542223"</f>
        <v>FES1162542223</v>
      </c>
      <c r="F1005" s="3">
        <v>42831</v>
      </c>
      <c r="G1005" s="2">
        <v>201710</v>
      </c>
      <c r="H1005" s="2" t="s">
        <v>74</v>
      </c>
      <c r="I1005" s="2" t="s">
        <v>75</v>
      </c>
      <c r="J1005" s="2" t="s">
        <v>76</v>
      </c>
      <c r="K1005" s="2" t="s">
        <v>77</v>
      </c>
      <c r="L1005" s="2" t="s">
        <v>131</v>
      </c>
      <c r="M1005" s="2" t="s">
        <v>132</v>
      </c>
      <c r="N1005" s="2" t="s">
        <v>649</v>
      </c>
      <c r="O1005" s="2" t="s">
        <v>115</v>
      </c>
      <c r="P1005" s="2" t="str">
        <f>"2170561122                    "</f>
        <v xml:space="preserve">2170561122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27.86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13</v>
      </c>
      <c r="BJ1005" s="2">
        <v>9.4</v>
      </c>
      <c r="BK1005" s="2">
        <v>13</v>
      </c>
      <c r="BL1005" s="2">
        <v>271.22000000000003</v>
      </c>
      <c r="BM1005" s="2">
        <v>37.97</v>
      </c>
      <c r="BN1005" s="2">
        <v>309.19</v>
      </c>
      <c r="BO1005" s="2">
        <v>309.19</v>
      </c>
      <c r="BP1005" s="2"/>
      <c r="BQ1005" s="2" t="s">
        <v>138</v>
      </c>
      <c r="BR1005" s="2" t="s">
        <v>123</v>
      </c>
      <c r="BS1005" s="3">
        <v>42832</v>
      </c>
      <c r="BT1005" s="4">
        <v>0.41666666666666669</v>
      </c>
      <c r="BU1005" s="2" t="s">
        <v>130</v>
      </c>
      <c r="BV1005" s="2" t="s">
        <v>111</v>
      </c>
      <c r="BW1005" s="2"/>
      <c r="BX1005" s="2"/>
      <c r="BY1005" s="2">
        <v>46978.17</v>
      </c>
      <c r="BZ1005" s="2" t="s">
        <v>27</v>
      </c>
      <c r="CA1005" s="2"/>
      <c r="CB1005" s="2"/>
      <c r="CC1005" s="2" t="s">
        <v>132</v>
      </c>
      <c r="CD1005" s="2">
        <v>7405</v>
      </c>
      <c r="CE1005" s="2" t="s">
        <v>89</v>
      </c>
      <c r="CF1005" s="5">
        <v>42835</v>
      </c>
      <c r="CG1005" s="2"/>
      <c r="CH1005" s="2"/>
      <c r="CI1005" s="2">
        <v>1</v>
      </c>
      <c r="CJ1005" s="2">
        <v>1</v>
      </c>
      <c r="CK1005" s="2">
        <v>21</v>
      </c>
      <c r="CL1005" s="2" t="s">
        <v>86</v>
      </c>
      <c r="CM1005" s="2"/>
    </row>
    <row r="1006" spans="1:91">
      <c r="A1006" s="2" t="s">
        <v>71</v>
      </c>
      <c r="B1006" s="2" t="s">
        <v>72</v>
      </c>
      <c r="C1006" s="2" t="s">
        <v>73</v>
      </c>
      <c r="D1006" s="2"/>
      <c r="E1006" s="2" t="str">
        <f>"FES1162541228"</f>
        <v>FES1162541228</v>
      </c>
      <c r="F1006" s="3">
        <v>42829</v>
      </c>
      <c r="G1006" s="2">
        <v>201710</v>
      </c>
      <c r="H1006" s="2" t="s">
        <v>74</v>
      </c>
      <c r="I1006" s="2" t="s">
        <v>75</v>
      </c>
      <c r="J1006" s="2" t="s">
        <v>76</v>
      </c>
      <c r="K1006" s="2" t="s">
        <v>77</v>
      </c>
      <c r="L1006" s="2" t="s">
        <v>1333</v>
      </c>
      <c r="M1006" s="2" t="s">
        <v>1334</v>
      </c>
      <c r="N1006" s="2" t="s">
        <v>1335</v>
      </c>
      <c r="O1006" s="2" t="s">
        <v>115</v>
      </c>
      <c r="P1006" s="2" t="str">
        <f>"2170558894                    "</f>
        <v xml:space="preserve">2170558894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8.57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</v>
      </c>
      <c r="BJ1006" s="2">
        <v>0.2</v>
      </c>
      <c r="BK1006" s="2">
        <v>1</v>
      </c>
      <c r="BL1006" s="2">
        <v>81.11</v>
      </c>
      <c r="BM1006" s="2">
        <v>11.36</v>
      </c>
      <c r="BN1006" s="2">
        <v>92.47</v>
      </c>
      <c r="BO1006" s="2">
        <v>92.47</v>
      </c>
      <c r="BP1006" s="2"/>
      <c r="BQ1006" s="2" t="s">
        <v>116</v>
      </c>
      <c r="BR1006" s="2" t="s">
        <v>123</v>
      </c>
      <c r="BS1006" s="3">
        <v>42830</v>
      </c>
      <c r="BT1006" s="4">
        <v>0.50555555555555554</v>
      </c>
      <c r="BU1006" s="2" t="s">
        <v>1596</v>
      </c>
      <c r="BV1006" s="2" t="s">
        <v>111</v>
      </c>
      <c r="BW1006" s="2"/>
      <c r="BX1006" s="2"/>
      <c r="BY1006" s="2">
        <v>1200</v>
      </c>
      <c r="BZ1006" s="2" t="s">
        <v>27</v>
      </c>
      <c r="CA1006" s="2"/>
      <c r="CB1006" s="2"/>
      <c r="CC1006" s="2" t="s">
        <v>1334</v>
      </c>
      <c r="CD1006" s="2">
        <v>4449</v>
      </c>
      <c r="CE1006" s="2" t="s">
        <v>144</v>
      </c>
      <c r="CF1006" s="5">
        <v>42832</v>
      </c>
      <c r="CG1006" s="2"/>
      <c r="CH1006" s="2"/>
      <c r="CI1006" s="2">
        <v>1</v>
      </c>
      <c r="CJ1006" s="2">
        <v>1</v>
      </c>
      <c r="CK1006" s="2">
        <v>23</v>
      </c>
      <c r="CL1006" s="2" t="s">
        <v>86</v>
      </c>
      <c r="CM1006" s="2"/>
    </row>
    <row r="1007" spans="1:91">
      <c r="A1007" s="2" t="s">
        <v>71</v>
      </c>
      <c r="B1007" s="2" t="s">
        <v>72</v>
      </c>
      <c r="C1007" s="2" t="s">
        <v>73</v>
      </c>
      <c r="D1007" s="2"/>
      <c r="E1007" s="2" t="str">
        <f>"FES1162543041"</f>
        <v>FES1162543041</v>
      </c>
      <c r="F1007" s="3">
        <v>42836</v>
      </c>
      <c r="G1007" s="2">
        <v>201710</v>
      </c>
      <c r="H1007" s="2" t="s">
        <v>74</v>
      </c>
      <c r="I1007" s="2" t="s">
        <v>75</v>
      </c>
      <c r="J1007" s="2" t="s">
        <v>76</v>
      </c>
      <c r="K1007" s="2" t="s">
        <v>77</v>
      </c>
      <c r="L1007" s="2" t="s">
        <v>190</v>
      </c>
      <c r="M1007" s="2" t="s">
        <v>191</v>
      </c>
      <c r="N1007" s="2" t="s">
        <v>192</v>
      </c>
      <c r="O1007" s="2" t="s">
        <v>115</v>
      </c>
      <c r="P1007" s="2" t="str">
        <f>"2170561619                    "</f>
        <v xml:space="preserve">2170561619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6.03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58.68</v>
      </c>
      <c r="BM1007" s="2">
        <v>8.2200000000000006</v>
      </c>
      <c r="BN1007" s="2">
        <v>66.900000000000006</v>
      </c>
      <c r="BO1007" s="2">
        <v>66.900000000000006</v>
      </c>
      <c r="BP1007" s="2"/>
      <c r="BQ1007" s="2" t="s">
        <v>193</v>
      </c>
      <c r="BR1007" s="2" t="s">
        <v>84</v>
      </c>
      <c r="BS1007" s="3">
        <v>42837</v>
      </c>
      <c r="BT1007" s="4">
        <v>0.61597222222222225</v>
      </c>
      <c r="BU1007" s="2" t="s">
        <v>194</v>
      </c>
      <c r="BV1007" s="2" t="s">
        <v>86</v>
      </c>
      <c r="BW1007" s="2" t="s">
        <v>157</v>
      </c>
      <c r="BX1007" s="2" t="s">
        <v>309</v>
      </c>
      <c r="BY1007" s="2">
        <v>1200</v>
      </c>
      <c r="BZ1007" s="2" t="s">
        <v>27</v>
      </c>
      <c r="CA1007" s="2"/>
      <c r="CB1007" s="2"/>
      <c r="CC1007" s="2" t="s">
        <v>191</v>
      </c>
      <c r="CD1007" s="2">
        <v>1739</v>
      </c>
      <c r="CE1007" s="2" t="s">
        <v>118</v>
      </c>
      <c r="CF1007" s="5">
        <v>42838</v>
      </c>
      <c r="CG1007" s="2"/>
      <c r="CH1007" s="2"/>
      <c r="CI1007" s="2">
        <v>1</v>
      </c>
      <c r="CJ1007" s="2">
        <v>1</v>
      </c>
      <c r="CK1007" s="2">
        <v>24</v>
      </c>
      <c r="CL1007" s="2" t="s">
        <v>86</v>
      </c>
      <c r="CM1007" s="2"/>
    </row>
    <row r="1008" spans="1:91">
      <c r="A1008" s="2" t="s">
        <v>71</v>
      </c>
      <c r="B1008" s="2" t="s">
        <v>72</v>
      </c>
      <c r="C1008" s="2" t="s">
        <v>73</v>
      </c>
      <c r="D1008" s="2"/>
      <c r="E1008" s="2" t="str">
        <f>"FES1162541922"</f>
        <v>FES1162541922</v>
      </c>
      <c r="F1008" s="3">
        <v>42831</v>
      </c>
      <c r="G1008" s="2">
        <v>201710</v>
      </c>
      <c r="H1008" s="2" t="s">
        <v>74</v>
      </c>
      <c r="I1008" s="2" t="s">
        <v>75</v>
      </c>
      <c r="J1008" s="2" t="s">
        <v>76</v>
      </c>
      <c r="K1008" s="2" t="s">
        <v>77</v>
      </c>
      <c r="L1008" s="2" t="s">
        <v>139</v>
      </c>
      <c r="M1008" s="2" t="s">
        <v>140</v>
      </c>
      <c r="N1008" s="2" t="s">
        <v>530</v>
      </c>
      <c r="O1008" s="2" t="s">
        <v>115</v>
      </c>
      <c r="P1008" s="2" t="str">
        <f>"2170560309                    "</f>
        <v xml:space="preserve">2170560309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5.36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2.2999999999999998</v>
      </c>
      <c r="BJ1008" s="2">
        <v>2.1</v>
      </c>
      <c r="BK1008" s="2">
        <v>2.5</v>
      </c>
      <c r="BL1008" s="2">
        <v>52.16</v>
      </c>
      <c r="BM1008" s="2">
        <v>7.3</v>
      </c>
      <c r="BN1008" s="2">
        <v>59.46</v>
      </c>
      <c r="BO1008" s="2">
        <v>59.46</v>
      </c>
      <c r="BP1008" s="2"/>
      <c r="BQ1008" s="2" t="s">
        <v>531</v>
      </c>
      <c r="BR1008" s="2" t="s">
        <v>123</v>
      </c>
      <c r="BS1008" s="3">
        <v>42832</v>
      </c>
      <c r="BT1008" s="4">
        <v>0.36527777777777781</v>
      </c>
      <c r="BU1008" s="2" t="s">
        <v>1109</v>
      </c>
      <c r="BV1008" s="2" t="s">
        <v>111</v>
      </c>
      <c r="BW1008" s="2"/>
      <c r="BX1008" s="2"/>
      <c r="BY1008" s="2">
        <v>10345.120000000001</v>
      </c>
      <c r="BZ1008" s="2" t="s">
        <v>27</v>
      </c>
      <c r="CA1008" s="2"/>
      <c r="CB1008" s="2"/>
      <c r="CC1008" s="2" t="s">
        <v>140</v>
      </c>
      <c r="CD1008" s="2">
        <v>157</v>
      </c>
      <c r="CE1008" s="2" t="s">
        <v>118</v>
      </c>
      <c r="CF1008" s="5">
        <v>42837</v>
      </c>
      <c r="CG1008" s="2"/>
      <c r="CH1008" s="2"/>
      <c r="CI1008" s="2">
        <v>0</v>
      </c>
      <c r="CJ1008" s="2">
        <v>0</v>
      </c>
      <c r="CK1008" s="2">
        <v>21</v>
      </c>
      <c r="CL1008" s="2" t="s">
        <v>86</v>
      </c>
      <c r="CM1008" s="2"/>
    </row>
    <row r="1009" spans="1:91">
      <c r="A1009" s="2" t="s">
        <v>71</v>
      </c>
      <c r="B1009" s="2" t="s">
        <v>72</v>
      </c>
      <c r="C1009" s="2" t="s">
        <v>73</v>
      </c>
      <c r="D1009" s="2"/>
      <c r="E1009" s="2" t="str">
        <f>"FES1162541653"</f>
        <v>FES1162541653</v>
      </c>
      <c r="F1009" s="3">
        <v>42830</v>
      </c>
      <c r="G1009" s="2">
        <v>201710</v>
      </c>
      <c r="H1009" s="2" t="s">
        <v>74</v>
      </c>
      <c r="I1009" s="2" t="s">
        <v>75</v>
      </c>
      <c r="J1009" s="2" t="s">
        <v>76</v>
      </c>
      <c r="K1009" s="2" t="s">
        <v>77</v>
      </c>
      <c r="L1009" s="2" t="s">
        <v>187</v>
      </c>
      <c r="M1009" s="2" t="s">
        <v>146</v>
      </c>
      <c r="N1009" s="2" t="s">
        <v>1597</v>
      </c>
      <c r="O1009" s="2" t="s">
        <v>115</v>
      </c>
      <c r="P1009" s="2" t="str">
        <f>"2170558461                    "</f>
        <v xml:space="preserve">2170558461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4.29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</v>
      </c>
      <c r="BJ1009" s="2">
        <v>1.4</v>
      </c>
      <c r="BK1009" s="2">
        <v>1.5</v>
      </c>
      <c r="BL1009" s="2">
        <v>41.73</v>
      </c>
      <c r="BM1009" s="2">
        <v>5.84</v>
      </c>
      <c r="BN1009" s="2">
        <v>47.57</v>
      </c>
      <c r="BO1009" s="2">
        <v>47.57</v>
      </c>
      <c r="BP1009" s="2"/>
      <c r="BQ1009" s="2" t="s">
        <v>1598</v>
      </c>
      <c r="BR1009" s="2" t="s">
        <v>123</v>
      </c>
      <c r="BS1009" s="3">
        <v>42831</v>
      </c>
      <c r="BT1009" s="4">
        <v>0.33333333333333331</v>
      </c>
      <c r="BU1009" s="2" t="s">
        <v>429</v>
      </c>
      <c r="BV1009" s="2" t="s">
        <v>111</v>
      </c>
      <c r="BW1009" s="2"/>
      <c r="BX1009" s="2"/>
      <c r="BY1009" s="2">
        <v>7157.86</v>
      </c>
      <c r="BZ1009" s="2" t="s">
        <v>27</v>
      </c>
      <c r="CA1009" s="2" t="s">
        <v>159</v>
      </c>
      <c r="CB1009" s="2"/>
      <c r="CC1009" s="2" t="s">
        <v>146</v>
      </c>
      <c r="CD1009" s="2">
        <v>184</v>
      </c>
      <c r="CE1009" s="2" t="s">
        <v>144</v>
      </c>
      <c r="CF1009" s="5">
        <v>42835</v>
      </c>
      <c r="CG1009" s="2"/>
      <c r="CH1009" s="2"/>
      <c r="CI1009" s="2">
        <v>0</v>
      </c>
      <c r="CJ1009" s="2">
        <v>0</v>
      </c>
      <c r="CK1009" s="2">
        <v>21</v>
      </c>
      <c r="CL1009" s="2" t="s">
        <v>86</v>
      </c>
      <c r="CM1009" s="2"/>
    </row>
    <row r="1010" spans="1:91">
      <c r="A1010" s="2" t="s">
        <v>71</v>
      </c>
      <c r="B1010" s="2" t="s">
        <v>72</v>
      </c>
      <c r="C1010" s="2" t="s">
        <v>73</v>
      </c>
      <c r="D1010" s="2"/>
      <c r="E1010" s="2" t="str">
        <f>"FES1162542899"</f>
        <v>FES1162542899</v>
      </c>
      <c r="F1010" s="3">
        <v>42836</v>
      </c>
      <c r="G1010" s="2">
        <v>201710</v>
      </c>
      <c r="H1010" s="2" t="s">
        <v>74</v>
      </c>
      <c r="I1010" s="2" t="s">
        <v>75</v>
      </c>
      <c r="J1010" s="2" t="s">
        <v>76</v>
      </c>
      <c r="K1010" s="2" t="s">
        <v>77</v>
      </c>
      <c r="L1010" s="2" t="s">
        <v>1073</v>
      </c>
      <c r="M1010" s="2" t="s">
        <v>1074</v>
      </c>
      <c r="N1010" s="2" t="s">
        <v>1394</v>
      </c>
      <c r="O1010" s="2" t="s">
        <v>115</v>
      </c>
      <c r="P1010" s="2" t="str">
        <f>"2170558975                    "</f>
        <v xml:space="preserve">2170558975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4.29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1.8</v>
      </c>
      <c r="BJ1010" s="2">
        <v>0.2</v>
      </c>
      <c r="BK1010" s="2">
        <v>2</v>
      </c>
      <c r="BL1010" s="2">
        <v>41.73</v>
      </c>
      <c r="BM1010" s="2">
        <v>5.84</v>
      </c>
      <c r="BN1010" s="2">
        <v>47.57</v>
      </c>
      <c r="BO1010" s="2">
        <v>47.57</v>
      </c>
      <c r="BP1010" s="2"/>
      <c r="BQ1010" s="2" t="s">
        <v>1395</v>
      </c>
      <c r="BR1010" s="2" t="s">
        <v>123</v>
      </c>
      <c r="BS1010" s="3">
        <v>42837</v>
      </c>
      <c r="BT1010" s="4">
        <v>0.41666666666666669</v>
      </c>
      <c r="BU1010" s="2" t="s">
        <v>266</v>
      </c>
      <c r="BV1010" s="2" t="s">
        <v>111</v>
      </c>
      <c r="BW1010" s="2"/>
      <c r="BX1010" s="2"/>
      <c r="BY1010" s="2">
        <v>1200</v>
      </c>
      <c r="BZ1010" s="2"/>
      <c r="CA1010" s="2"/>
      <c r="CB1010" s="2"/>
      <c r="CC1010" s="2" t="s">
        <v>1074</v>
      </c>
      <c r="CD1010" s="2">
        <v>1947</v>
      </c>
      <c r="CE1010" s="2" t="s">
        <v>118</v>
      </c>
      <c r="CF1010" s="5">
        <v>42843</v>
      </c>
      <c r="CG1010" s="2"/>
      <c r="CH1010" s="2"/>
      <c r="CI1010" s="2">
        <v>1</v>
      </c>
      <c r="CJ1010" s="2">
        <v>1</v>
      </c>
      <c r="CK1010" s="2">
        <v>21</v>
      </c>
      <c r="CL1010" s="2" t="s">
        <v>86</v>
      </c>
      <c r="CM1010" s="2"/>
    </row>
    <row r="1011" spans="1:91">
      <c r="A1011" s="2" t="s">
        <v>71</v>
      </c>
      <c r="B1011" s="2" t="s">
        <v>72</v>
      </c>
      <c r="C1011" s="2" t="s">
        <v>73</v>
      </c>
      <c r="D1011" s="2"/>
      <c r="E1011" s="2" t="str">
        <f>"FES1162541984"</f>
        <v>FES1162541984</v>
      </c>
      <c r="F1011" s="3">
        <v>42831</v>
      </c>
      <c r="G1011" s="2">
        <v>201710</v>
      </c>
      <c r="H1011" s="2" t="s">
        <v>74</v>
      </c>
      <c r="I1011" s="2" t="s">
        <v>75</v>
      </c>
      <c r="J1011" s="2" t="s">
        <v>76</v>
      </c>
      <c r="K1011" s="2" t="s">
        <v>77</v>
      </c>
      <c r="L1011" s="2" t="s">
        <v>139</v>
      </c>
      <c r="M1011" s="2" t="s">
        <v>140</v>
      </c>
      <c r="N1011" s="2" t="s">
        <v>421</v>
      </c>
      <c r="O1011" s="2" t="s">
        <v>115</v>
      </c>
      <c r="P1011" s="2" t="str">
        <f>"2170558170                    "</f>
        <v xml:space="preserve">2170558170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4.29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1</v>
      </c>
      <c r="BJ1011" s="2">
        <v>0.2</v>
      </c>
      <c r="BK1011" s="2">
        <v>1</v>
      </c>
      <c r="BL1011" s="2">
        <v>41.73</v>
      </c>
      <c r="BM1011" s="2">
        <v>5.84</v>
      </c>
      <c r="BN1011" s="2">
        <v>47.57</v>
      </c>
      <c r="BO1011" s="2">
        <v>47.57</v>
      </c>
      <c r="BP1011" s="2"/>
      <c r="BQ1011" s="2" t="s">
        <v>422</v>
      </c>
      <c r="BR1011" s="2" t="s">
        <v>123</v>
      </c>
      <c r="BS1011" s="3">
        <v>42835</v>
      </c>
      <c r="BT1011" s="4">
        <v>0.64583333333333337</v>
      </c>
      <c r="BU1011" s="2" t="s">
        <v>1599</v>
      </c>
      <c r="BV1011" s="2" t="s">
        <v>86</v>
      </c>
      <c r="BW1011" s="2"/>
      <c r="BX1011" s="2"/>
      <c r="BY1011" s="2">
        <v>1200</v>
      </c>
      <c r="BZ1011" s="2" t="s">
        <v>27</v>
      </c>
      <c r="CA1011" s="2"/>
      <c r="CB1011" s="2"/>
      <c r="CC1011" s="2" t="s">
        <v>140</v>
      </c>
      <c r="CD1011" s="2">
        <v>157</v>
      </c>
      <c r="CE1011" s="2" t="s">
        <v>118</v>
      </c>
      <c r="CF1011" s="5">
        <v>42837</v>
      </c>
      <c r="CG1011" s="2"/>
      <c r="CH1011" s="2"/>
      <c r="CI1011" s="2">
        <v>0</v>
      </c>
      <c r="CJ1011" s="2">
        <v>0</v>
      </c>
      <c r="CK1011" s="2">
        <v>21</v>
      </c>
      <c r="CL1011" s="2" t="s">
        <v>86</v>
      </c>
      <c r="CM1011" s="2"/>
    </row>
    <row r="1012" spans="1:91">
      <c r="A1012" s="2" t="s">
        <v>71</v>
      </c>
      <c r="B1012" s="2" t="s">
        <v>72</v>
      </c>
      <c r="C1012" s="2" t="s">
        <v>73</v>
      </c>
      <c r="D1012" s="2"/>
      <c r="E1012" s="2" t="str">
        <f>"FES1162541243"</f>
        <v>FES1162541243</v>
      </c>
      <c r="F1012" s="3">
        <v>42829</v>
      </c>
      <c r="G1012" s="2">
        <v>201710</v>
      </c>
      <c r="H1012" s="2" t="s">
        <v>74</v>
      </c>
      <c r="I1012" s="2" t="s">
        <v>75</v>
      </c>
      <c r="J1012" s="2" t="s">
        <v>76</v>
      </c>
      <c r="K1012" s="2" t="s">
        <v>77</v>
      </c>
      <c r="L1012" s="2" t="s">
        <v>187</v>
      </c>
      <c r="M1012" s="2" t="s">
        <v>146</v>
      </c>
      <c r="N1012" s="2" t="s">
        <v>979</v>
      </c>
      <c r="O1012" s="2" t="s">
        <v>115</v>
      </c>
      <c r="P1012" s="2" t="str">
        <f>"2170559996                    "</f>
        <v xml:space="preserve">2170559996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4.42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</v>
      </c>
      <c r="BJ1012" s="2">
        <v>0.2</v>
      </c>
      <c r="BK1012" s="2">
        <v>1</v>
      </c>
      <c r="BL1012" s="2">
        <v>41.86</v>
      </c>
      <c r="BM1012" s="2">
        <v>5.86</v>
      </c>
      <c r="BN1012" s="2">
        <v>47.72</v>
      </c>
      <c r="BO1012" s="2">
        <v>47.72</v>
      </c>
      <c r="BP1012" s="2"/>
      <c r="BQ1012" s="2"/>
      <c r="BR1012" s="2" t="s">
        <v>123</v>
      </c>
      <c r="BS1012" s="3">
        <v>42830</v>
      </c>
      <c r="BT1012" s="4">
        <v>0.4236111111111111</v>
      </c>
      <c r="BU1012" s="2" t="s">
        <v>1600</v>
      </c>
      <c r="BV1012" s="2" t="s">
        <v>111</v>
      </c>
      <c r="BW1012" s="2"/>
      <c r="BX1012" s="2"/>
      <c r="BY1012" s="2">
        <v>1200</v>
      </c>
      <c r="BZ1012" s="2" t="s">
        <v>27</v>
      </c>
      <c r="CA1012" s="2"/>
      <c r="CB1012" s="2"/>
      <c r="CC1012" s="2" t="s">
        <v>146</v>
      </c>
      <c r="CD1012" s="2">
        <v>200</v>
      </c>
      <c r="CE1012" s="2" t="s">
        <v>144</v>
      </c>
      <c r="CF1012" s="5">
        <v>42832</v>
      </c>
      <c r="CG1012" s="2"/>
      <c r="CH1012" s="2"/>
      <c r="CI1012" s="2">
        <v>0</v>
      </c>
      <c r="CJ1012" s="2">
        <v>0</v>
      </c>
      <c r="CK1012" s="2">
        <v>21</v>
      </c>
      <c r="CL1012" s="2" t="s">
        <v>86</v>
      </c>
      <c r="CM1012" s="2"/>
    </row>
    <row r="1013" spans="1:91">
      <c r="A1013" s="2" t="s">
        <v>71</v>
      </c>
      <c r="B1013" s="2" t="s">
        <v>72</v>
      </c>
      <c r="C1013" s="2" t="s">
        <v>73</v>
      </c>
      <c r="D1013" s="2"/>
      <c r="E1013" s="2" t="str">
        <f>"FES1162542818"</f>
        <v>FES1162542818</v>
      </c>
      <c r="F1013" s="3">
        <v>42836</v>
      </c>
      <c r="G1013" s="2">
        <v>201710</v>
      </c>
      <c r="H1013" s="2" t="s">
        <v>74</v>
      </c>
      <c r="I1013" s="2" t="s">
        <v>75</v>
      </c>
      <c r="J1013" s="2" t="s">
        <v>76</v>
      </c>
      <c r="K1013" s="2" t="s">
        <v>77</v>
      </c>
      <c r="L1013" s="2" t="s">
        <v>119</v>
      </c>
      <c r="M1013" s="2" t="s">
        <v>120</v>
      </c>
      <c r="N1013" s="2" t="s">
        <v>725</v>
      </c>
      <c r="O1013" s="2" t="s">
        <v>115</v>
      </c>
      <c r="P1013" s="2" t="str">
        <f>"2170559558                    "</f>
        <v xml:space="preserve">2170559558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3.35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1</v>
      </c>
      <c r="BJ1013" s="2">
        <v>0.2</v>
      </c>
      <c r="BK1013" s="2">
        <v>1</v>
      </c>
      <c r="BL1013" s="2">
        <v>32.6</v>
      </c>
      <c r="BM1013" s="2">
        <v>4.5599999999999996</v>
      </c>
      <c r="BN1013" s="2">
        <v>37.159999999999997</v>
      </c>
      <c r="BO1013" s="2">
        <v>37.159999999999997</v>
      </c>
      <c r="BP1013" s="2"/>
      <c r="BQ1013" s="2" t="s">
        <v>726</v>
      </c>
      <c r="BR1013" s="2" t="s">
        <v>123</v>
      </c>
      <c r="BS1013" s="3">
        <v>42837</v>
      </c>
      <c r="BT1013" s="4">
        <v>0.41319444444444442</v>
      </c>
      <c r="BU1013" s="2" t="s">
        <v>198</v>
      </c>
      <c r="BV1013" s="2" t="s">
        <v>111</v>
      </c>
      <c r="BW1013" s="2"/>
      <c r="BX1013" s="2"/>
      <c r="BY1013" s="2">
        <v>1200</v>
      </c>
      <c r="BZ1013" s="2" t="s">
        <v>27</v>
      </c>
      <c r="CA1013" s="2" t="s">
        <v>125</v>
      </c>
      <c r="CB1013" s="2"/>
      <c r="CC1013" s="2" t="s">
        <v>120</v>
      </c>
      <c r="CD1013" s="2">
        <v>2162</v>
      </c>
      <c r="CE1013" s="2" t="s">
        <v>118</v>
      </c>
      <c r="CF1013" s="5">
        <v>42838</v>
      </c>
      <c r="CG1013" s="2"/>
      <c r="CH1013" s="2"/>
      <c r="CI1013" s="2">
        <v>1</v>
      </c>
      <c r="CJ1013" s="2">
        <v>1</v>
      </c>
      <c r="CK1013" s="2">
        <v>22</v>
      </c>
      <c r="CL1013" s="2" t="s">
        <v>86</v>
      </c>
      <c r="CM1013" s="2"/>
    </row>
    <row r="1014" spans="1:91">
      <c r="A1014" s="2" t="s">
        <v>71</v>
      </c>
      <c r="B1014" s="2" t="s">
        <v>72</v>
      </c>
      <c r="C1014" s="2" t="s">
        <v>73</v>
      </c>
      <c r="D1014" s="2"/>
      <c r="E1014" s="2" t="str">
        <f>"FES1162542229"</f>
        <v>FES1162542229</v>
      </c>
      <c r="F1014" s="3">
        <v>42831</v>
      </c>
      <c r="G1014" s="2">
        <v>201710</v>
      </c>
      <c r="H1014" s="2" t="s">
        <v>74</v>
      </c>
      <c r="I1014" s="2" t="s">
        <v>75</v>
      </c>
      <c r="J1014" s="2" t="s">
        <v>76</v>
      </c>
      <c r="K1014" s="2" t="s">
        <v>77</v>
      </c>
      <c r="L1014" s="2" t="s">
        <v>131</v>
      </c>
      <c r="M1014" s="2" t="s">
        <v>132</v>
      </c>
      <c r="N1014" s="2" t="s">
        <v>649</v>
      </c>
      <c r="O1014" s="2" t="s">
        <v>115</v>
      </c>
      <c r="P1014" s="2" t="str">
        <f>"2170561134                    "</f>
        <v xml:space="preserve">2170561134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4.29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1</v>
      </c>
      <c r="BJ1014" s="2">
        <v>0.2</v>
      </c>
      <c r="BK1014" s="2">
        <v>1</v>
      </c>
      <c r="BL1014" s="2">
        <v>41.73</v>
      </c>
      <c r="BM1014" s="2">
        <v>5.84</v>
      </c>
      <c r="BN1014" s="2">
        <v>47.57</v>
      </c>
      <c r="BO1014" s="2">
        <v>47.57</v>
      </c>
      <c r="BP1014" s="2"/>
      <c r="BQ1014" s="2" t="s">
        <v>650</v>
      </c>
      <c r="BR1014" s="2" t="s">
        <v>123</v>
      </c>
      <c r="BS1014" s="3">
        <v>42832</v>
      </c>
      <c r="BT1014" s="4">
        <v>0.41666666666666669</v>
      </c>
      <c r="BU1014" s="2" t="s">
        <v>1601</v>
      </c>
      <c r="BV1014" s="2" t="s">
        <v>111</v>
      </c>
      <c r="BW1014" s="2"/>
      <c r="BX1014" s="2"/>
      <c r="BY1014" s="2">
        <v>1200</v>
      </c>
      <c r="BZ1014" s="2" t="s">
        <v>27</v>
      </c>
      <c r="CA1014" s="2"/>
      <c r="CB1014" s="2"/>
      <c r="CC1014" s="2" t="s">
        <v>132</v>
      </c>
      <c r="CD1014" s="2">
        <v>7405</v>
      </c>
      <c r="CE1014" s="2" t="s">
        <v>118</v>
      </c>
      <c r="CF1014" s="5">
        <v>42835</v>
      </c>
      <c r="CG1014" s="2"/>
      <c r="CH1014" s="2"/>
      <c r="CI1014" s="2">
        <v>1</v>
      </c>
      <c r="CJ1014" s="2">
        <v>1</v>
      </c>
      <c r="CK1014" s="2">
        <v>21</v>
      </c>
      <c r="CL1014" s="2" t="s">
        <v>86</v>
      </c>
      <c r="CM1014" s="2"/>
    </row>
    <row r="1015" spans="1:91">
      <c r="A1015" s="2" t="s">
        <v>71</v>
      </c>
      <c r="B1015" s="2" t="s">
        <v>72</v>
      </c>
      <c r="C1015" s="2" t="s">
        <v>73</v>
      </c>
      <c r="D1015" s="2"/>
      <c r="E1015" s="2" t="str">
        <f>"FES1162541649"</f>
        <v>FES1162541649</v>
      </c>
      <c r="F1015" s="3">
        <v>42830</v>
      </c>
      <c r="G1015" s="2">
        <v>201710</v>
      </c>
      <c r="H1015" s="2" t="s">
        <v>74</v>
      </c>
      <c r="I1015" s="2" t="s">
        <v>75</v>
      </c>
      <c r="J1015" s="2" t="s">
        <v>76</v>
      </c>
      <c r="K1015" s="2" t="s">
        <v>77</v>
      </c>
      <c r="L1015" s="2" t="s">
        <v>180</v>
      </c>
      <c r="M1015" s="2" t="s">
        <v>181</v>
      </c>
      <c r="N1015" s="2" t="s">
        <v>320</v>
      </c>
      <c r="O1015" s="2" t="s">
        <v>115</v>
      </c>
      <c r="P1015" s="2" t="str">
        <f>"2170558411                    "</f>
        <v xml:space="preserve">2170558411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4.29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1</v>
      </c>
      <c r="BJ1015" s="2">
        <v>0.2</v>
      </c>
      <c r="BK1015" s="2">
        <v>1</v>
      </c>
      <c r="BL1015" s="2">
        <v>41.73</v>
      </c>
      <c r="BM1015" s="2">
        <v>5.84</v>
      </c>
      <c r="BN1015" s="2">
        <v>47.57</v>
      </c>
      <c r="BO1015" s="2">
        <v>47.57</v>
      </c>
      <c r="BP1015" s="2"/>
      <c r="BQ1015" s="2" t="s">
        <v>129</v>
      </c>
      <c r="BR1015" s="2" t="s">
        <v>123</v>
      </c>
      <c r="BS1015" s="3">
        <v>42831</v>
      </c>
      <c r="BT1015" s="4">
        <v>0.43402777777777773</v>
      </c>
      <c r="BU1015" s="2" t="s">
        <v>721</v>
      </c>
      <c r="BV1015" s="2" t="s">
        <v>111</v>
      </c>
      <c r="BW1015" s="2"/>
      <c r="BX1015" s="2"/>
      <c r="BY1015" s="2">
        <v>1200</v>
      </c>
      <c r="BZ1015" s="2" t="s">
        <v>27</v>
      </c>
      <c r="CA1015" s="2"/>
      <c r="CB1015" s="2"/>
      <c r="CC1015" s="2" t="s">
        <v>181</v>
      </c>
      <c r="CD1015" s="2">
        <v>4051</v>
      </c>
      <c r="CE1015" s="2" t="s">
        <v>144</v>
      </c>
      <c r="CF1015" s="5">
        <v>42832</v>
      </c>
      <c r="CG1015" s="2"/>
      <c r="CH1015" s="2"/>
      <c r="CI1015" s="2">
        <v>1</v>
      </c>
      <c r="CJ1015" s="2">
        <v>1</v>
      </c>
      <c r="CK1015" s="2">
        <v>21</v>
      </c>
      <c r="CL1015" s="2" t="s">
        <v>86</v>
      </c>
      <c r="CM1015" s="2"/>
    </row>
    <row r="1016" spans="1:91">
      <c r="A1016" s="2" t="s">
        <v>71</v>
      </c>
      <c r="B1016" s="2" t="s">
        <v>72</v>
      </c>
      <c r="C1016" s="2" t="s">
        <v>73</v>
      </c>
      <c r="D1016" s="2"/>
      <c r="E1016" s="2" t="str">
        <f>"FES1162543109"</f>
        <v>FES1162543109</v>
      </c>
      <c r="F1016" s="3">
        <v>42836</v>
      </c>
      <c r="G1016" s="2">
        <v>201710</v>
      </c>
      <c r="H1016" s="2" t="s">
        <v>74</v>
      </c>
      <c r="I1016" s="2" t="s">
        <v>75</v>
      </c>
      <c r="J1016" s="2" t="s">
        <v>76</v>
      </c>
      <c r="K1016" s="2" t="s">
        <v>77</v>
      </c>
      <c r="L1016" s="2" t="s">
        <v>166</v>
      </c>
      <c r="M1016" s="2" t="s">
        <v>167</v>
      </c>
      <c r="N1016" s="2" t="s">
        <v>1285</v>
      </c>
      <c r="O1016" s="2" t="s">
        <v>115</v>
      </c>
      <c r="P1016" s="2" t="str">
        <f>"2170561616                    "</f>
        <v xml:space="preserve">2170561616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3.35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1</v>
      </c>
      <c r="BJ1016" s="2">
        <v>0.2</v>
      </c>
      <c r="BK1016" s="2">
        <v>1</v>
      </c>
      <c r="BL1016" s="2">
        <v>32.6</v>
      </c>
      <c r="BM1016" s="2">
        <v>4.5599999999999996</v>
      </c>
      <c r="BN1016" s="2">
        <v>37.159999999999997</v>
      </c>
      <c r="BO1016" s="2">
        <v>37.159999999999997</v>
      </c>
      <c r="BP1016" s="2"/>
      <c r="BQ1016" s="2" t="s">
        <v>122</v>
      </c>
      <c r="BR1016" s="2" t="s">
        <v>84</v>
      </c>
      <c r="BS1016" s="3">
        <v>42837</v>
      </c>
      <c r="BT1016" s="4">
        <v>0.4201388888888889</v>
      </c>
      <c r="BU1016" s="2" t="s">
        <v>124</v>
      </c>
      <c r="BV1016" s="2" t="s">
        <v>111</v>
      </c>
      <c r="BW1016" s="2"/>
      <c r="BX1016" s="2"/>
      <c r="BY1016" s="2">
        <v>1200</v>
      </c>
      <c r="BZ1016" s="2" t="s">
        <v>27</v>
      </c>
      <c r="CA1016" s="2"/>
      <c r="CB1016" s="2"/>
      <c r="CC1016" s="2" t="s">
        <v>167</v>
      </c>
      <c r="CD1016" s="2">
        <v>2197</v>
      </c>
      <c r="CE1016" s="2" t="s">
        <v>118</v>
      </c>
      <c r="CF1016" s="5">
        <v>42838</v>
      </c>
      <c r="CG1016" s="2"/>
      <c r="CH1016" s="2"/>
      <c r="CI1016" s="2">
        <v>1</v>
      </c>
      <c r="CJ1016" s="2">
        <v>1</v>
      </c>
      <c r="CK1016" s="2">
        <v>22</v>
      </c>
      <c r="CL1016" s="2" t="s">
        <v>86</v>
      </c>
      <c r="CM1016" s="2"/>
    </row>
    <row r="1017" spans="1:91">
      <c r="A1017" s="2" t="s">
        <v>71</v>
      </c>
      <c r="B1017" s="2" t="s">
        <v>72</v>
      </c>
      <c r="C1017" s="2" t="s">
        <v>73</v>
      </c>
      <c r="D1017" s="2"/>
      <c r="E1017" s="2" t="str">
        <f>"FES1162542146"</f>
        <v>FES1162542146</v>
      </c>
      <c r="F1017" s="3">
        <v>42831</v>
      </c>
      <c r="G1017" s="2">
        <v>201710</v>
      </c>
      <c r="H1017" s="2" t="s">
        <v>74</v>
      </c>
      <c r="I1017" s="2" t="s">
        <v>75</v>
      </c>
      <c r="J1017" s="2" t="s">
        <v>76</v>
      </c>
      <c r="K1017" s="2" t="s">
        <v>77</v>
      </c>
      <c r="L1017" s="2" t="s">
        <v>187</v>
      </c>
      <c r="M1017" s="2" t="s">
        <v>146</v>
      </c>
      <c r="N1017" s="2" t="s">
        <v>1602</v>
      </c>
      <c r="O1017" s="2" t="s">
        <v>115</v>
      </c>
      <c r="P1017" s="2" t="str">
        <f>"2170561022                    "</f>
        <v xml:space="preserve">2170561022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4.29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2</v>
      </c>
      <c r="BJ1017" s="2">
        <v>0.2</v>
      </c>
      <c r="BK1017" s="2">
        <v>2</v>
      </c>
      <c r="BL1017" s="2">
        <v>41.73</v>
      </c>
      <c r="BM1017" s="2">
        <v>5.84</v>
      </c>
      <c r="BN1017" s="2">
        <v>47.57</v>
      </c>
      <c r="BO1017" s="2">
        <v>47.57</v>
      </c>
      <c r="BP1017" s="2"/>
      <c r="BQ1017" s="2" t="s">
        <v>1603</v>
      </c>
      <c r="BR1017" s="2" t="s">
        <v>123</v>
      </c>
      <c r="BS1017" s="3">
        <v>42832</v>
      </c>
      <c r="BT1017" s="4">
        <v>0.38194444444444442</v>
      </c>
      <c r="BU1017" s="2" t="s">
        <v>1137</v>
      </c>
      <c r="BV1017" s="2" t="s">
        <v>111</v>
      </c>
      <c r="BW1017" s="2"/>
      <c r="BX1017" s="2"/>
      <c r="BY1017" s="2">
        <v>1200</v>
      </c>
      <c r="BZ1017" s="2" t="s">
        <v>27</v>
      </c>
      <c r="CA1017" s="2"/>
      <c r="CB1017" s="2"/>
      <c r="CC1017" s="2" t="s">
        <v>146</v>
      </c>
      <c r="CD1017" s="2">
        <v>117</v>
      </c>
      <c r="CE1017" s="2" t="s">
        <v>118</v>
      </c>
      <c r="CF1017" s="5">
        <v>42836</v>
      </c>
      <c r="CG1017" s="2"/>
      <c r="CH1017" s="2"/>
      <c r="CI1017" s="2">
        <v>0</v>
      </c>
      <c r="CJ1017" s="2">
        <v>0</v>
      </c>
      <c r="CK1017" s="2">
        <v>21</v>
      </c>
      <c r="CL1017" s="2" t="s">
        <v>86</v>
      </c>
      <c r="CM1017" s="2"/>
    </row>
    <row r="1018" spans="1:91">
      <c r="A1018" s="2" t="s">
        <v>71</v>
      </c>
      <c r="B1018" s="2" t="s">
        <v>72</v>
      </c>
      <c r="C1018" s="2" t="s">
        <v>73</v>
      </c>
      <c r="D1018" s="2"/>
      <c r="E1018" s="2" t="str">
        <f>"FES1162541256"</f>
        <v>FES1162541256</v>
      </c>
      <c r="F1018" s="3">
        <v>42829</v>
      </c>
      <c r="G1018" s="2">
        <v>201710</v>
      </c>
      <c r="H1018" s="2" t="s">
        <v>74</v>
      </c>
      <c r="I1018" s="2" t="s">
        <v>75</v>
      </c>
      <c r="J1018" s="2" t="s">
        <v>76</v>
      </c>
      <c r="K1018" s="2" t="s">
        <v>77</v>
      </c>
      <c r="L1018" s="2" t="s">
        <v>180</v>
      </c>
      <c r="M1018" s="2" t="s">
        <v>181</v>
      </c>
      <c r="N1018" s="2" t="s">
        <v>1604</v>
      </c>
      <c r="O1018" s="2" t="s">
        <v>115</v>
      </c>
      <c r="P1018" s="2" t="str">
        <f>"2170560313                    "</f>
        <v xml:space="preserve">2170560313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4.42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</v>
      </c>
      <c r="BJ1018" s="2">
        <v>0.2</v>
      </c>
      <c r="BK1018" s="2">
        <v>1</v>
      </c>
      <c r="BL1018" s="2">
        <v>41.86</v>
      </c>
      <c r="BM1018" s="2">
        <v>5.86</v>
      </c>
      <c r="BN1018" s="2">
        <v>47.72</v>
      </c>
      <c r="BO1018" s="2">
        <v>47.72</v>
      </c>
      <c r="BP1018" s="2"/>
      <c r="BQ1018" s="2"/>
      <c r="BR1018" s="2" t="s">
        <v>123</v>
      </c>
      <c r="BS1018" s="3">
        <v>42830</v>
      </c>
      <c r="BT1018" s="4">
        <v>0.52083333333333337</v>
      </c>
      <c r="BU1018" s="2" t="s">
        <v>1605</v>
      </c>
      <c r="BV1018" s="2" t="s">
        <v>86</v>
      </c>
      <c r="BW1018" s="2" t="s">
        <v>164</v>
      </c>
      <c r="BX1018" s="2" t="s">
        <v>88</v>
      </c>
      <c r="BY1018" s="2">
        <v>1200</v>
      </c>
      <c r="BZ1018" s="2" t="s">
        <v>27</v>
      </c>
      <c r="CA1018" s="2"/>
      <c r="CB1018" s="2"/>
      <c r="CC1018" s="2" t="s">
        <v>181</v>
      </c>
      <c r="CD1018" s="2">
        <v>4052</v>
      </c>
      <c r="CE1018" s="2" t="s">
        <v>144</v>
      </c>
      <c r="CF1018" s="5">
        <v>42831</v>
      </c>
      <c r="CG1018" s="2"/>
      <c r="CH1018" s="2"/>
      <c r="CI1018" s="2">
        <v>1</v>
      </c>
      <c r="CJ1018" s="2">
        <v>1</v>
      </c>
      <c r="CK1018" s="2">
        <v>21</v>
      </c>
      <c r="CL1018" s="2" t="s">
        <v>86</v>
      </c>
      <c r="CM1018" s="2"/>
    </row>
    <row r="1019" spans="1:91">
      <c r="A1019" s="2" t="s">
        <v>71</v>
      </c>
      <c r="B1019" s="2" t="s">
        <v>72</v>
      </c>
      <c r="C1019" s="2" t="s">
        <v>73</v>
      </c>
      <c r="D1019" s="2"/>
      <c r="E1019" s="2" t="str">
        <f>"FES1162543007"</f>
        <v>FES1162543007</v>
      </c>
      <c r="F1019" s="3">
        <v>42836</v>
      </c>
      <c r="G1019" s="2">
        <v>201710</v>
      </c>
      <c r="H1019" s="2" t="s">
        <v>74</v>
      </c>
      <c r="I1019" s="2" t="s">
        <v>75</v>
      </c>
      <c r="J1019" s="2" t="s">
        <v>76</v>
      </c>
      <c r="K1019" s="2" t="s">
        <v>77</v>
      </c>
      <c r="L1019" s="2" t="s">
        <v>99</v>
      </c>
      <c r="M1019" s="2" t="s">
        <v>100</v>
      </c>
      <c r="N1019" s="2" t="s">
        <v>700</v>
      </c>
      <c r="O1019" s="2" t="s">
        <v>115</v>
      </c>
      <c r="P1019" s="2" t="str">
        <f>"2170559176                    "</f>
        <v xml:space="preserve">2170559176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55.73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2</v>
      </c>
      <c r="BI1019" s="2">
        <v>26</v>
      </c>
      <c r="BJ1019" s="2">
        <v>7.9</v>
      </c>
      <c r="BK1019" s="2">
        <v>26</v>
      </c>
      <c r="BL1019" s="2">
        <v>542.45000000000005</v>
      </c>
      <c r="BM1019" s="2">
        <v>75.94</v>
      </c>
      <c r="BN1019" s="2">
        <v>618.39</v>
      </c>
      <c r="BO1019" s="2">
        <v>618.39</v>
      </c>
      <c r="BP1019" s="2"/>
      <c r="BQ1019" s="2" t="s">
        <v>701</v>
      </c>
      <c r="BR1019" s="2" t="s">
        <v>1606</v>
      </c>
      <c r="BS1019" s="3">
        <v>42837</v>
      </c>
      <c r="BT1019" s="4">
        <v>0.41666666666666669</v>
      </c>
      <c r="BU1019" s="2" t="s">
        <v>702</v>
      </c>
      <c r="BV1019" s="2" t="s">
        <v>111</v>
      </c>
      <c r="BW1019" s="2"/>
      <c r="BX1019" s="2"/>
      <c r="BY1019" s="2">
        <v>39536.019999999997</v>
      </c>
      <c r="BZ1019" s="2" t="s">
        <v>27</v>
      </c>
      <c r="CA1019" s="2" t="s">
        <v>106</v>
      </c>
      <c r="CB1019" s="2"/>
      <c r="CC1019" s="2" t="s">
        <v>100</v>
      </c>
      <c r="CD1019" s="2">
        <v>6001</v>
      </c>
      <c r="CE1019" s="2" t="s">
        <v>135</v>
      </c>
      <c r="CF1019" s="5">
        <v>42837</v>
      </c>
      <c r="CG1019" s="2"/>
      <c r="CH1019" s="2"/>
      <c r="CI1019" s="2">
        <v>1</v>
      </c>
      <c r="CJ1019" s="2">
        <v>1</v>
      </c>
      <c r="CK1019" s="2">
        <v>21</v>
      </c>
      <c r="CL1019" s="2" t="s">
        <v>86</v>
      </c>
      <c r="CM1019" s="2"/>
    </row>
    <row r="1020" spans="1:91">
      <c r="A1020" s="2" t="s">
        <v>71</v>
      </c>
      <c r="B1020" s="2" t="s">
        <v>72</v>
      </c>
      <c r="C1020" s="2" t="s">
        <v>73</v>
      </c>
      <c r="D1020" s="2"/>
      <c r="E1020" s="2" t="str">
        <f>"FES1162542214"</f>
        <v>FES1162542214</v>
      </c>
      <c r="F1020" s="3">
        <v>42831</v>
      </c>
      <c r="G1020" s="2">
        <v>201710</v>
      </c>
      <c r="H1020" s="2" t="s">
        <v>74</v>
      </c>
      <c r="I1020" s="2" t="s">
        <v>75</v>
      </c>
      <c r="J1020" s="2" t="s">
        <v>76</v>
      </c>
      <c r="K1020" s="2" t="s">
        <v>77</v>
      </c>
      <c r="L1020" s="2" t="s">
        <v>190</v>
      </c>
      <c r="M1020" s="2" t="s">
        <v>191</v>
      </c>
      <c r="N1020" s="2" t="s">
        <v>311</v>
      </c>
      <c r="O1020" s="2" t="s">
        <v>115</v>
      </c>
      <c r="P1020" s="2" t="str">
        <f>"2170561113                    "</f>
        <v xml:space="preserve">2170561113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6.03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1</v>
      </c>
      <c r="BJ1020" s="2">
        <v>0.2</v>
      </c>
      <c r="BK1020" s="2">
        <v>1</v>
      </c>
      <c r="BL1020" s="2">
        <v>58.68</v>
      </c>
      <c r="BM1020" s="2">
        <v>8.2200000000000006</v>
      </c>
      <c r="BN1020" s="2">
        <v>66.900000000000006</v>
      </c>
      <c r="BO1020" s="2">
        <v>66.900000000000006</v>
      </c>
      <c r="BP1020" s="2"/>
      <c r="BQ1020" s="2" t="s">
        <v>312</v>
      </c>
      <c r="BR1020" s="2" t="s">
        <v>123</v>
      </c>
      <c r="BS1020" s="3">
        <v>42832</v>
      </c>
      <c r="BT1020" s="4">
        <v>0.30208333333333331</v>
      </c>
      <c r="BU1020" s="2" t="s">
        <v>290</v>
      </c>
      <c r="BV1020" s="2" t="s">
        <v>111</v>
      </c>
      <c r="BW1020" s="2"/>
      <c r="BX1020" s="2"/>
      <c r="BY1020" s="2">
        <v>1200</v>
      </c>
      <c r="BZ1020" s="2" t="s">
        <v>27</v>
      </c>
      <c r="CA1020" s="2"/>
      <c r="CB1020" s="2"/>
      <c r="CC1020" s="2" t="s">
        <v>191</v>
      </c>
      <c r="CD1020" s="2">
        <v>1754</v>
      </c>
      <c r="CE1020" s="2" t="s">
        <v>118</v>
      </c>
      <c r="CF1020" s="5">
        <v>42835</v>
      </c>
      <c r="CG1020" s="2"/>
      <c r="CH1020" s="2"/>
      <c r="CI1020" s="2">
        <v>1</v>
      </c>
      <c r="CJ1020" s="2">
        <v>1</v>
      </c>
      <c r="CK1020" s="2">
        <v>24</v>
      </c>
      <c r="CL1020" s="2" t="s">
        <v>86</v>
      </c>
      <c r="CM1020" s="2"/>
    </row>
    <row r="1021" spans="1:91">
      <c r="A1021" s="2" t="s">
        <v>71</v>
      </c>
      <c r="B1021" s="2" t="s">
        <v>72</v>
      </c>
      <c r="C1021" s="2" t="s">
        <v>73</v>
      </c>
      <c r="D1021" s="2"/>
      <c r="E1021" s="2" t="str">
        <f>"FES1162541630"</f>
        <v>FES1162541630</v>
      </c>
      <c r="F1021" s="3">
        <v>42830</v>
      </c>
      <c r="G1021" s="2">
        <v>201710</v>
      </c>
      <c r="H1021" s="2" t="s">
        <v>74</v>
      </c>
      <c r="I1021" s="2" t="s">
        <v>75</v>
      </c>
      <c r="J1021" s="2" t="s">
        <v>76</v>
      </c>
      <c r="K1021" s="2" t="s">
        <v>77</v>
      </c>
      <c r="L1021" s="2" t="s">
        <v>180</v>
      </c>
      <c r="M1021" s="2" t="s">
        <v>181</v>
      </c>
      <c r="N1021" s="2" t="s">
        <v>709</v>
      </c>
      <c r="O1021" s="2" t="s">
        <v>115</v>
      </c>
      <c r="P1021" s="2" t="str">
        <f>"2170558125                    "</f>
        <v xml:space="preserve">2170558125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4.29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1</v>
      </c>
      <c r="BJ1021" s="2">
        <v>0.2</v>
      </c>
      <c r="BK1021" s="2">
        <v>1</v>
      </c>
      <c r="BL1021" s="2">
        <v>41.73</v>
      </c>
      <c r="BM1021" s="2">
        <v>5.84</v>
      </c>
      <c r="BN1021" s="2">
        <v>47.57</v>
      </c>
      <c r="BO1021" s="2">
        <v>47.57</v>
      </c>
      <c r="BP1021" s="2"/>
      <c r="BQ1021" s="2" t="s">
        <v>116</v>
      </c>
      <c r="BR1021" s="2" t="s">
        <v>123</v>
      </c>
      <c r="BS1021" s="3">
        <v>42831</v>
      </c>
      <c r="BT1021" s="4">
        <v>0.4375</v>
      </c>
      <c r="BU1021" s="2" t="s">
        <v>710</v>
      </c>
      <c r="BV1021" s="2" t="s">
        <v>111</v>
      </c>
      <c r="BW1021" s="2"/>
      <c r="BX1021" s="2"/>
      <c r="BY1021" s="2">
        <v>1200</v>
      </c>
      <c r="BZ1021" s="2" t="s">
        <v>27</v>
      </c>
      <c r="CA1021" s="2"/>
      <c r="CB1021" s="2"/>
      <c r="CC1021" s="2" t="s">
        <v>181</v>
      </c>
      <c r="CD1021" s="2">
        <v>4052</v>
      </c>
      <c r="CE1021" s="2" t="s">
        <v>144</v>
      </c>
      <c r="CF1021" s="5">
        <v>42832</v>
      </c>
      <c r="CG1021" s="2"/>
      <c r="CH1021" s="2"/>
      <c r="CI1021" s="2">
        <v>1</v>
      </c>
      <c r="CJ1021" s="2">
        <v>1</v>
      </c>
      <c r="CK1021" s="2">
        <v>21</v>
      </c>
      <c r="CL1021" s="2" t="s">
        <v>86</v>
      </c>
      <c r="CM1021" s="2"/>
    </row>
    <row r="1022" spans="1:91">
      <c r="A1022" s="2" t="s">
        <v>71</v>
      </c>
      <c r="B1022" s="2" t="s">
        <v>72</v>
      </c>
      <c r="C1022" s="2" t="s">
        <v>73</v>
      </c>
      <c r="D1022" s="2"/>
      <c r="E1022" s="2" t="str">
        <f>"FES1162542770"</f>
        <v>FES1162542770</v>
      </c>
      <c r="F1022" s="3">
        <v>42836</v>
      </c>
      <c r="G1022" s="2">
        <v>201710</v>
      </c>
      <c r="H1022" s="2" t="s">
        <v>74</v>
      </c>
      <c r="I1022" s="2" t="s">
        <v>75</v>
      </c>
      <c r="J1022" s="2" t="s">
        <v>76</v>
      </c>
      <c r="K1022" s="2" t="s">
        <v>77</v>
      </c>
      <c r="L1022" s="2" t="s">
        <v>91</v>
      </c>
      <c r="M1022" s="2" t="s">
        <v>92</v>
      </c>
      <c r="N1022" s="2" t="s">
        <v>1475</v>
      </c>
      <c r="O1022" s="2" t="s">
        <v>115</v>
      </c>
      <c r="P1022" s="2" t="str">
        <f>"2170558850                    "</f>
        <v xml:space="preserve">2170558850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3.35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1</v>
      </c>
      <c r="BJ1022" s="2">
        <v>0.2</v>
      </c>
      <c r="BK1022" s="2">
        <v>1</v>
      </c>
      <c r="BL1022" s="2">
        <v>32.6</v>
      </c>
      <c r="BM1022" s="2">
        <v>4.5599999999999996</v>
      </c>
      <c r="BN1022" s="2">
        <v>37.159999999999997</v>
      </c>
      <c r="BO1022" s="2">
        <v>37.159999999999997</v>
      </c>
      <c r="BP1022" s="2"/>
      <c r="BQ1022" s="2" t="s">
        <v>1476</v>
      </c>
      <c r="BR1022" s="2" t="s">
        <v>123</v>
      </c>
      <c r="BS1022" s="3">
        <v>42837</v>
      </c>
      <c r="BT1022" s="4">
        <v>0.41666666666666669</v>
      </c>
      <c r="BU1022" s="2" t="s">
        <v>1607</v>
      </c>
      <c r="BV1022" s="2" t="s">
        <v>111</v>
      </c>
      <c r="BW1022" s="2"/>
      <c r="BX1022" s="2"/>
      <c r="BY1022" s="2">
        <v>1200</v>
      </c>
      <c r="BZ1022" s="2" t="s">
        <v>27</v>
      </c>
      <c r="CA1022" s="2"/>
      <c r="CB1022" s="2"/>
      <c r="CC1022" s="2" t="s">
        <v>92</v>
      </c>
      <c r="CD1022" s="2">
        <v>1422</v>
      </c>
      <c r="CE1022" s="2" t="s">
        <v>118</v>
      </c>
      <c r="CF1022" s="5">
        <v>42838</v>
      </c>
      <c r="CG1022" s="2"/>
      <c r="CH1022" s="2"/>
      <c r="CI1022" s="2">
        <v>1</v>
      </c>
      <c r="CJ1022" s="2">
        <v>1</v>
      </c>
      <c r="CK1022" s="2">
        <v>22</v>
      </c>
      <c r="CL1022" s="2" t="s">
        <v>86</v>
      </c>
      <c r="CM1022" s="2"/>
    </row>
    <row r="1023" spans="1:91">
      <c r="A1023" s="2" t="s">
        <v>71</v>
      </c>
      <c r="B1023" s="2" t="s">
        <v>72</v>
      </c>
      <c r="C1023" s="2" t="s">
        <v>73</v>
      </c>
      <c r="D1023" s="2"/>
      <c r="E1023" s="2" t="str">
        <f>"FES1162542252"</f>
        <v>FES1162542252</v>
      </c>
      <c r="F1023" s="3">
        <v>42831</v>
      </c>
      <c r="G1023" s="2">
        <v>201710</v>
      </c>
      <c r="H1023" s="2" t="s">
        <v>74</v>
      </c>
      <c r="I1023" s="2" t="s">
        <v>75</v>
      </c>
      <c r="J1023" s="2" t="s">
        <v>76</v>
      </c>
      <c r="K1023" s="2" t="s">
        <v>77</v>
      </c>
      <c r="L1023" s="2" t="s">
        <v>231</v>
      </c>
      <c r="M1023" s="2" t="s">
        <v>232</v>
      </c>
      <c r="N1023" s="2" t="s">
        <v>1608</v>
      </c>
      <c r="O1023" s="2" t="s">
        <v>115</v>
      </c>
      <c r="P1023" s="2" t="str">
        <f>"2170561157                    "</f>
        <v xml:space="preserve">2170561157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6.03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1</v>
      </c>
      <c r="BJ1023" s="2">
        <v>0.2</v>
      </c>
      <c r="BK1023" s="2">
        <v>1</v>
      </c>
      <c r="BL1023" s="2">
        <v>58.68</v>
      </c>
      <c r="BM1023" s="2">
        <v>8.2200000000000006</v>
      </c>
      <c r="BN1023" s="2">
        <v>66.900000000000006</v>
      </c>
      <c r="BO1023" s="2">
        <v>66.900000000000006</v>
      </c>
      <c r="BP1023" s="2"/>
      <c r="BQ1023" s="2" t="s">
        <v>122</v>
      </c>
      <c r="BR1023" s="2" t="s">
        <v>123</v>
      </c>
      <c r="BS1023" s="3">
        <v>42832</v>
      </c>
      <c r="BT1023" s="4">
        <v>0.53125</v>
      </c>
      <c r="BU1023" s="2" t="s">
        <v>1609</v>
      </c>
      <c r="BV1023" s="2" t="s">
        <v>111</v>
      </c>
      <c r="BW1023" s="2"/>
      <c r="BX1023" s="2"/>
      <c r="BY1023" s="2">
        <v>1200</v>
      </c>
      <c r="BZ1023" s="2" t="s">
        <v>27</v>
      </c>
      <c r="CA1023" s="2"/>
      <c r="CB1023" s="2"/>
      <c r="CC1023" s="2" t="s">
        <v>232</v>
      </c>
      <c r="CD1023" s="2">
        <v>250</v>
      </c>
      <c r="CE1023" s="2" t="s">
        <v>118</v>
      </c>
      <c r="CF1023" s="5">
        <v>42836</v>
      </c>
      <c r="CG1023" s="2"/>
      <c r="CH1023" s="2"/>
      <c r="CI1023" s="2">
        <v>1</v>
      </c>
      <c r="CJ1023" s="2">
        <v>1</v>
      </c>
      <c r="CK1023" s="2">
        <v>24</v>
      </c>
      <c r="CL1023" s="2" t="s">
        <v>86</v>
      </c>
      <c r="CM1023" s="2"/>
    </row>
    <row r="1024" spans="1:91">
      <c r="A1024" s="2" t="s">
        <v>71</v>
      </c>
      <c r="B1024" s="2" t="s">
        <v>72</v>
      </c>
      <c r="C1024" s="2" t="s">
        <v>73</v>
      </c>
      <c r="D1024" s="2"/>
      <c r="E1024" s="2" t="str">
        <f>"FES1162541212"</f>
        <v>FES1162541212</v>
      </c>
      <c r="F1024" s="3">
        <v>42829</v>
      </c>
      <c r="G1024" s="2">
        <v>201710</v>
      </c>
      <c r="H1024" s="2" t="s">
        <v>74</v>
      </c>
      <c r="I1024" s="2" t="s">
        <v>75</v>
      </c>
      <c r="J1024" s="2" t="s">
        <v>76</v>
      </c>
      <c r="K1024" s="2" t="s">
        <v>77</v>
      </c>
      <c r="L1024" s="2" t="s">
        <v>180</v>
      </c>
      <c r="M1024" s="2" t="s">
        <v>181</v>
      </c>
      <c r="N1024" s="2" t="s">
        <v>931</v>
      </c>
      <c r="O1024" s="2" t="s">
        <v>115</v>
      </c>
      <c r="P1024" s="2" t="str">
        <f>"2170556153                    "</f>
        <v xml:space="preserve">2170556153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4.42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1</v>
      </c>
      <c r="BJ1024" s="2">
        <v>0.2</v>
      </c>
      <c r="BK1024" s="2">
        <v>1</v>
      </c>
      <c r="BL1024" s="2">
        <v>41.86</v>
      </c>
      <c r="BM1024" s="2">
        <v>5.86</v>
      </c>
      <c r="BN1024" s="2">
        <v>47.72</v>
      </c>
      <c r="BO1024" s="2">
        <v>47.72</v>
      </c>
      <c r="BP1024" s="2"/>
      <c r="BQ1024" s="2" t="s">
        <v>932</v>
      </c>
      <c r="BR1024" s="2" t="s">
        <v>123</v>
      </c>
      <c r="BS1024" s="3">
        <v>42830</v>
      </c>
      <c r="BT1024" s="4">
        <v>0.34375</v>
      </c>
      <c r="BU1024" s="2" t="s">
        <v>1610</v>
      </c>
      <c r="BV1024" s="2" t="s">
        <v>111</v>
      </c>
      <c r="BW1024" s="2"/>
      <c r="BX1024" s="2"/>
      <c r="BY1024" s="2">
        <v>1200</v>
      </c>
      <c r="BZ1024" s="2" t="s">
        <v>27</v>
      </c>
      <c r="CA1024" s="2"/>
      <c r="CB1024" s="2"/>
      <c r="CC1024" s="2" t="s">
        <v>181</v>
      </c>
      <c r="CD1024" s="2">
        <v>4072</v>
      </c>
      <c r="CE1024" s="2" t="s">
        <v>144</v>
      </c>
      <c r="CF1024" s="5">
        <v>42831</v>
      </c>
      <c r="CG1024" s="2"/>
      <c r="CH1024" s="2"/>
      <c r="CI1024" s="2">
        <v>1</v>
      </c>
      <c r="CJ1024" s="2">
        <v>1</v>
      </c>
      <c r="CK1024" s="2">
        <v>21</v>
      </c>
      <c r="CL1024" s="2" t="s">
        <v>86</v>
      </c>
      <c r="CM1024" s="2"/>
    </row>
    <row r="1025" spans="1:91">
      <c r="A1025" s="2" t="s">
        <v>71</v>
      </c>
      <c r="B1025" s="2" t="s">
        <v>72</v>
      </c>
      <c r="C1025" s="2" t="s">
        <v>73</v>
      </c>
      <c r="D1025" s="2"/>
      <c r="E1025" s="2" t="str">
        <f>"FES1162542219"</f>
        <v>FES1162542219</v>
      </c>
      <c r="F1025" s="3">
        <v>42831</v>
      </c>
      <c r="G1025" s="2">
        <v>201710</v>
      </c>
      <c r="H1025" s="2" t="s">
        <v>74</v>
      </c>
      <c r="I1025" s="2" t="s">
        <v>75</v>
      </c>
      <c r="J1025" s="2" t="s">
        <v>76</v>
      </c>
      <c r="K1025" s="2" t="s">
        <v>77</v>
      </c>
      <c r="L1025" s="2" t="s">
        <v>166</v>
      </c>
      <c r="M1025" s="2" t="s">
        <v>167</v>
      </c>
      <c r="N1025" s="2" t="s">
        <v>703</v>
      </c>
      <c r="O1025" s="2" t="s">
        <v>115</v>
      </c>
      <c r="P1025" s="2" t="str">
        <f>"2170561125                    "</f>
        <v xml:space="preserve">2170561125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3.35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1.8</v>
      </c>
      <c r="BJ1025" s="2">
        <v>1.6</v>
      </c>
      <c r="BK1025" s="2">
        <v>2</v>
      </c>
      <c r="BL1025" s="2">
        <v>32.6</v>
      </c>
      <c r="BM1025" s="2">
        <v>4.5599999999999996</v>
      </c>
      <c r="BN1025" s="2">
        <v>37.159999999999997</v>
      </c>
      <c r="BO1025" s="2">
        <v>37.159999999999997</v>
      </c>
      <c r="BP1025" s="2"/>
      <c r="BQ1025" s="2" t="s">
        <v>704</v>
      </c>
      <c r="BR1025" s="2" t="s">
        <v>123</v>
      </c>
      <c r="BS1025" s="3">
        <v>42832</v>
      </c>
      <c r="BT1025" s="4">
        <v>0.35069444444444442</v>
      </c>
      <c r="BU1025" s="2" t="s">
        <v>290</v>
      </c>
      <c r="BV1025" s="2" t="s">
        <v>111</v>
      </c>
      <c r="BW1025" s="2"/>
      <c r="BX1025" s="2"/>
      <c r="BY1025" s="2">
        <v>7918.2</v>
      </c>
      <c r="BZ1025" s="2" t="s">
        <v>27</v>
      </c>
      <c r="CA1025" s="2"/>
      <c r="CB1025" s="2"/>
      <c r="CC1025" s="2" t="s">
        <v>167</v>
      </c>
      <c r="CD1025" s="2">
        <v>2091</v>
      </c>
      <c r="CE1025" s="2" t="s">
        <v>89</v>
      </c>
      <c r="CF1025" s="5">
        <v>42835</v>
      </c>
      <c r="CG1025" s="2"/>
      <c r="CH1025" s="2"/>
      <c r="CI1025" s="2">
        <v>1</v>
      </c>
      <c r="CJ1025" s="2">
        <v>1</v>
      </c>
      <c r="CK1025" s="2">
        <v>22</v>
      </c>
      <c r="CL1025" s="2" t="s">
        <v>86</v>
      </c>
      <c r="CM1025" s="2"/>
    </row>
    <row r="1026" spans="1:91">
      <c r="A1026" s="2" t="s">
        <v>71</v>
      </c>
      <c r="B1026" s="2" t="s">
        <v>72</v>
      </c>
      <c r="C1026" s="2" t="s">
        <v>73</v>
      </c>
      <c r="D1026" s="2"/>
      <c r="E1026" s="2" t="str">
        <f>"FES1162541638"</f>
        <v>FES1162541638</v>
      </c>
      <c r="F1026" s="3">
        <v>42830</v>
      </c>
      <c r="G1026" s="2">
        <v>201710</v>
      </c>
      <c r="H1026" s="2" t="s">
        <v>74</v>
      </c>
      <c r="I1026" s="2" t="s">
        <v>75</v>
      </c>
      <c r="J1026" s="2" t="s">
        <v>76</v>
      </c>
      <c r="K1026" s="2" t="s">
        <v>77</v>
      </c>
      <c r="L1026" s="2" t="s">
        <v>1611</v>
      </c>
      <c r="M1026" s="2" t="s">
        <v>1612</v>
      </c>
      <c r="N1026" s="2" t="s">
        <v>1613</v>
      </c>
      <c r="O1026" s="2" t="s">
        <v>115</v>
      </c>
      <c r="P1026" s="2" t="str">
        <f>"2170558318                    "</f>
        <v xml:space="preserve">2170558318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15.81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1</v>
      </c>
      <c r="BJ1026" s="2">
        <v>4</v>
      </c>
      <c r="BK1026" s="2">
        <v>4</v>
      </c>
      <c r="BL1026" s="2">
        <v>153.87</v>
      </c>
      <c r="BM1026" s="2">
        <v>21.54</v>
      </c>
      <c r="BN1026" s="2">
        <v>175.41</v>
      </c>
      <c r="BO1026" s="2">
        <v>175.41</v>
      </c>
      <c r="BP1026" s="2"/>
      <c r="BQ1026" s="2" t="s">
        <v>1614</v>
      </c>
      <c r="BR1026" s="2" t="s">
        <v>123</v>
      </c>
      <c r="BS1026" s="3">
        <v>42831</v>
      </c>
      <c r="BT1026" s="4">
        <v>0.39583333333333331</v>
      </c>
      <c r="BU1026" s="2" t="s">
        <v>434</v>
      </c>
      <c r="BV1026" s="2" t="s">
        <v>111</v>
      </c>
      <c r="BW1026" s="2"/>
      <c r="BX1026" s="2"/>
      <c r="BY1026" s="2">
        <v>20160.900000000001</v>
      </c>
      <c r="BZ1026" s="2" t="s">
        <v>27</v>
      </c>
      <c r="CA1026" s="2"/>
      <c r="CB1026" s="2"/>
      <c r="CC1026" s="2" t="s">
        <v>1612</v>
      </c>
      <c r="CD1026" s="2">
        <v>9880</v>
      </c>
      <c r="CE1026" s="2" t="s">
        <v>144</v>
      </c>
      <c r="CF1026" s="5">
        <v>42835</v>
      </c>
      <c r="CG1026" s="2"/>
      <c r="CH1026" s="2"/>
      <c r="CI1026" s="2">
        <v>1</v>
      </c>
      <c r="CJ1026" s="2">
        <v>1</v>
      </c>
      <c r="CK1026" s="2">
        <v>23</v>
      </c>
      <c r="CL1026" s="2" t="s">
        <v>86</v>
      </c>
      <c r="CM1026" s="2"/>
    </row>
    <row r="1027" spans="1:91">
      <c r="A1027" s="2" t="s">
        <v>71</v>
      </c>
      <c r="B1027" s="2" t="s">
        <v>72</v>
      </c>
      <c r="C1027" s="2" t="s">
        <v>73</v>
      </c>
      <c r="D1027" s="2"/>
      <c r="E1027" s="2" t="str">
        <f>"FES1162542940"</f>
        <v>FES1162542940</v>
      </c>
      <c r="F1027" s="3">
        <v>42836</v>
      </c>
      <c r="G1027" s="2">
        <v>201710</v>
      </c>
      <c r="H1027" s="2" t="s">
        <v>74</v>
      </c>
      <c r="I1027" s="2" t="s">
        <v>75</v>
      </c>
      <c r="J1027" s="2" t="s">
        <v>76</v>
      </c>
      <c r="K1027" s="2" t="s">
        <v>77</v>
      </c>
      <c r="L1027" s="2" t="s">
        <v>166</v>
      </c>
      <c r="M1027" s="2" t="s">
        <v>167</v>
      </c>
      <c r="N1027" s="2" t="s">
        <v>168</v>
      </c>
      <c r="O1027" s="2" t="s">
        <v>115</v>
      </c>
      <c r="P1027" s="2" t="str">
        <f>"2170560858                    "</f>
        <v xml:space="preserve">2170560858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3.35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1</v>
      </c>
      <c r="BJ1027" s="2">
        <v>0.2</v>
      </c>
      <c r="BK1027" s="2">
        <v>1</v>
      </c>
      <c r="BL1027" s="2">
        <v>32.6</v>
      </c>
      <c r="BM1027" s="2">
        <v>4.5599999999999996</v>
      </c>
      <c r="BN1027" s="2">
        <v>37.159999999999997</v>
      </c>
      <c r="BO1027" s="2">
        <v>37.159999999999997</v>
      </c>
      <c r="BP1027" s="2"/>
      <c r="BQ1027" s="2" t="s">
        <v>169</v>
      </c>
      <c r="BR1027" s="2" t="s">
        <v>123</v>
      </c>
      <c r="BS1027" s="3">
        <v>42837</v>
      </c>
      <c r="BT1027" s="4">
        <v>0.3888888888888889</v>
      </c>
      <c r="BU1027" s="2" t="s">
        <v>170</v>
      </c>
      <c r="BV1027" s="2" t="s">
        <v>111</v>
      </c>
      <c r="BW1027" s="2"/>
      <c r="BX1027" s="2"/>
      <c r="BY1027" s="2">
        <v>1200</v>
      </c>
      <c r="BZ1027" s="2" t="s">
        <v>27</v>
      </c>
      <c r="CA1027" s="2" t="s">
        <v>171</v>
      </c>
      <c r="CB1027" s="2"/>
      <c r="CC1027" s="2" t="s">
        <v>167</v>
      </c>
      <c r="CD1027" s="2">
        <v>2094</v>
      </c>
      <c r="CE1027" s="2" t="s">
        <v>118</v>
      </c>
      <c r="CF1027" s="5">
        <v>42837</v>
      </c>
      <c r="CG1027" s="2"/>
      <c r="CH1027" s="2"/>
      <c r="CI1027" s="2">
        <v>1</v>
      </c>
      <c r="CJ1027" s="2">
        <v>1</v>
      </c>
      <c r="CK1027" s="2">
        <v>22</v>
      </c>
      <c r="CL1027" s="2" t="s">
        <v>86</v>
      </c>
      <c r="CM1027" s="2"/>
    </row>
    <row r="1028" spans="1:91">
      <c r="A1028" s="2" t="s">
        <v>71</v>
      </c>
      <c r="B1028" s="2" t="s">
        <v>72</v>
      </c>
      <c r="C1028" s="2" t="s">
        <v>73</v>
      </c>
      <c r="D1028" s="2"/>
      <c r="E1028" s="2" t="str">
        <f>"FES1162542209"</f>
        <v>FES1162542209</v>
      </c>
      <c r="F1028" s="3">
        <v>42831</v>
      </c>
      <c r="G1028" s="2">
        <v>201710</v>
      </c>
      <c r="H1028" s="2" t="s">
        <v>74</v>
      </c>
      <c r="I1028" s="2" t="s">
        <v>75</v>
      </c>
      <c r="J1028" s="2" t="s">
        <v>76</v>
      </c>
      <c r="K1028" s="2" t="s">
        <v>77</v>
      </c>
      <c r="L1028" s="2" t="s">
        <v>131</v>
      </c>
      <c r="M1028" s="2" t="s">
        <v>132</v>
      </c>
      <c r="N1028" s="2" t="s">
        <v>384</v>
      </c>
      <c r="O1028" s="2" t="s">
        <v>115</v>
      </c>
      <c r="P1028" s="2" t="str">
        <f>"2170561102                    "</f>
        <v xml:space="preserve">2170561102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4.29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1</v>
      </c>
      <c r="BJ1028" s="2">
        <v>0.2</v>
      </c>
      <c r="BK1028" s="2">
        <v>1</v>
      </c>
      <c r="BL1028" s="2">
        <v>41.73</v>
      </c>
      <c r="BM1028" s="2">
        <v>5.84</v>
      </c>
      <c r="BN1028" s="2">
        <v>47.57</v>
      </c>
      <c r="BO1028" s="2">
        <v>47.57</v>
      </c>
      <c r="BP1028" s="2"/>
      <c r="BQ1028" s="2" t="s">
        <v>468</v>
      </c>
      <c r="BR1028" s="2" t="s">
        <v>123</v>
      </c>
      <c r="BS1028" s="3">
        <v>42832</v>
      </c>
      <c r="BT1028" s="4">
        <v>0.41666666666666669</v>
      </c>
      <c r="BU1028" s="2" t="s">
        <v>469</v>
      </c>
      <c r="BV1028" s="2" t="s">
        <v>111</v>
      </c>
      <c r="BW1028" s="2"/>
      <c r="BX1028" s="2"/>
      <c r="BY1028" s="2">
        <v>1200</v>
      </c>
      <c r="BZ1028" s="2" t="s">
        <v>27</v>
      </c>
      <c r="CA1028" s="2"/>
      <c r="CB1028" s="2"/>
      <c r="CC1028" s="2" t="s">
        <v>132</v>
      </c>
      <c r="CD1028" s="2">
        <v>7405</v>
      </c>
      <c r="CE1028" s="2" t="s">
        <v>118</v>
      </c>
      <c r="CF1028" s="5">
        <v>42835</v>
      </c>
      <c r="CG1028" s="2"/>
      <c r="CH1028" s="2"/>
      <c r="CI1028" s="2">
        <v>1</v>
      </c>
      <c r="CJ1028" s="2">
        <v>1</v>
      </c>
      <c r="CK1028" s="2">
        <v>21</v>
      </c>
      <c r="CL1028" s="2" t="s">
        <v>86</v>
      </c>
      <c r="CM1028" s="2"/>
    </row>
    <row r="1029" spans="1:91">
      <c r="A1029" s="2" t="s">
        <v>71</v>
      </c>
      <c r="B1029" s="2" t="s">
        <v>72</v>
      </c>
      <c r="C1029" s="2" t="s">
        <v>73</v>
      </c>
      <c r="D1029" s="2"/>
      <c r="E1029" s="2" t="str">
        <f>"FES1162541230"</f>
        <v>FES1162541230</v>
      </c>
      <c r="F1029" s="3">
        <v>42829</v>
      </c>
      <c r="G1029" s="2">
        <v>201710</v>
      </c>
      <c r="H1029" s="2" t="s">
        <v>74</v>
      </c>
      <c r="I1029" s="2" t="s">
        <v>75</v>
      </c>
      <c r="J1029" s="2" t="s">
        <v>76</v>
      </c>
      <c r="K1029" s="2" t="s">
        <v>77</v>
      </c>
      <c r="L1029" s="2" t="s">
        <v>180</v>
      </c>
      <c r="M1029" s="2" t="s">
        <v>181</v>
      </c>
      <c r="N1029" s="2" t="s">
        <v>1202</v>
      </c>
      <c r="O1029" s="2" t="s">
        <v>115</v>
      </c>
      <c r="P1029" s="2" t="str">
        <f>"2170559135                    "</f>
        <v xml:space="preserve">2170559135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4.42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1.4</v>
      </c>
      <c r="BJ1029" s="2">
        <v>0.2</v>
      </c>
      <c r="BK1029" s="2">
        <v>1.5</v>
      </c>
      <c r="BL1029" s="2">
        <v>41.86</v>
      </c>
      <c r="BM1029" s="2">
        <v>5.86</v>
      </c>
      <c r="BN1029" s="2">
        <v>47.72</v>
      </c>
      <c r="BO1029" s="2">
        <v>47.72</v>
      </c>
      <c r="BP1029" s="2"/>
      <c r="BQ1029" s="2" t="s">
        <v>129</v>
      </c>
      <c r="BR1029" s="2" t="s">
        <v>123</v>
      </c>
      <c r="BS1029" s="3">
        <v>42830</v>
      </c>
      <c r="BT1029" s="4">
        <v>0.3888888888888889</v>
      </c>
      <c r="BU1029" s="2" t="s">
        <v>1615</v>
      </c>
      <c r="BV1029" s="2" t="s">
        <v>111</v>
      </c>
      <c r="BW1029" s="2"/>
      <c r="BX1029" s="2"/>
      <c r="BY1029" s="2">
        <v>1200</v>
      </c>
      <c r="BZ1029" s="2" t="s">
        <v>27</v>
      </c>
      <c r="CA1029" s="2"/>
      <c r="CB1029" s="2"/>
      <c r="CC1029" s="2" t="s">
        <v>181</v>
      </c>
      <c r="CD1029" s="2">
        <v>4001</v>
      </c>
      <c r="CE1029" s="2" t="s">
        <v>144</v>
      </c>
      <c r="CF1029" s="5">
        <v>42831</v>
      </c>
      <c r="CG1029" s="2"/>
      <c r="CH1029" s="2"/>
      <c r="CI1029" s="2">
        <v>1</v>
      </c>
      <c r="CJ1029" s="2">
        <v>1</v>
      </c>
      <c r="CK1029" s="2">
        <v>21</v>
      </c>
      <c r="CL1029" s="2" t="s">
        <v>86</v>
      </c>
      <c r="CM1029" s="2"/>
    </row>
    <row r="1030" spans="1:91">
      <c r="A1030" s="2" t="s">
        <v>71</v>
      </c>
      <c r="B1030" s="2" t="s">
        <v>72</v>
      </c>
      <c r="C1030" s="2" t="s">
        <v>73</v>
      </c>
      <c r="D1030" s="2"/>
      <c r="E1030" s="2" t="str">
        <f>"FES1162542783"</f>
        <v>FES1162542783</v>
      </c>
      <c r="F1030" s="3">
        <v>42836</v>
      </c>
      <c r="G1030" s="2">
        <v>201710</v>
      </c>
      <c r="H1030" s="2" t="s">
        <v>74</v>
      </c>
      <c r="I1030" s="2" t="s">
        <v>75</v>
      </c>
      <c r="J1030" s="2" t="s">
        <v>76</v>
      </c>
      <c r="K1030" s="2" t="s">
        <v>77</v>
      </c>
      <c r="L1030" s="2" t="s">
        <v>166</v>
      </c>
      <c r="M1030" s="2" t="s">
        <v>167</v>
      </c>
      <c r="N1030" s="2" t="s">
        <v>1285</v>
      </c>
      <c r="O1030" s="2" t="s">
        <v>115</v>
      </c>
      <c r="P1030" s="2" t="str">
        <f>"2170561178                    "</f>
        <v xml:space="preserve">2170561178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3.35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1</v>
      </c>
      <c r="BJ1030" s="2">
        <v>0.2</v>
      </c>
      <c r="BK1030" s="2">
        <v>1</v>
      </c>
      <c r="BL1030" s="2">
        <v>32.6</v>
      </c>
      <c r="BM1030" s="2">
        <v>4.5599999999999996</v>
      </c>
      <c r="BN1030" s="2">
        <v>37.159999999999997</v>
      </c>
      <c r="BO1030" s="2">
        <v>37.159999999999997</v>
      </c>
      <c r="BP1030" s="2"/>
      <c r="BQ1030" s="2" t="s">
        <v>122</v>
      </c>
      <c r="BR1030" s="2" t="s">
        <v>123</v>
      </c>
      <c r="BS1030" s="3">
        <v>42837</v>
      </c>
      <c r="BT1030" s="4">
        <v>0.42569444444444443</v>
      </c>
      <c r="BU1030" s="2" t="s">
        <v>1616</v>
      </c>
      <c r="BV1030" s="2" t="s">
        <v>111</v>
      </c>
      <c r="BW1030" s="2"/>
      <c r="BX1030" s="2"/>
      <c r="BY1030" s="2">
        <v>1200</v>
      </c>
      <c r="BZ1030" s="2" t="s">
        <v>27</v>
      </c>
      <c r="CA1030" s="2" t="s">
        <v>171</v>
      </c>
      <c r="CB1030" s="2"/>
      <c r="CC1030" s="2" t="s">
        <v>167</v>
      </c>
      <c r="CD1030" s="2">
        <v>2197</v>
      </c>
      <c r="CE1030" s="2" t="s">
        <v>118</v>
      </c>
      <c r="CF1030" s="5">
        <v>42838</v>
      </c>
      <c r="CG1030" s="2"/>
      <c r="CH1030" s="2"/>
      <c r="CI1030" s="2">
        <v>1</v>
      </c>
      <c r="CJ1030" s="2">
        <v>1</v>
      </c>
      <c r="CK1030" s="2">
        <v>22</v>
      </c>
      <c r="CL1030" s="2" t="s">
        <v>86</v>
      </c>
      <c r="CM1030" s="2"/>
    </row>
    <row r="1031" spans="1:91">
      <c r="A1031" s="2" t="s">
        <v>71</v>
      </c>
      <c r="B1031" s="2" t="s">
        <v>72</v>
      </c>
      <c r="C1031" s="2" t="s">
        <v>73</v>
      </c>
      <c r="D1031" s="2"/>
      <c r="E1031" s="2" t="str">
        <f>"FES1162542217"</f>
        <v>FES1162542217</v>
      </c>
      <c r="F1031" s="3">
        <v>42831</v>
      </c>
      <c r="G1031" s="2">
        <v>201710</v>
      </c>
      <c r="H1031" s="2" t="s">
        <v>74</v>
      </c>
      <c r="I1031" s="2" t="s">
        <v>75</v>
      </c>
      <c r="J1031" s="2" t="s">
        <v>76</v>
      </c>
      <c r="K1031" s="2" t="s">
        <v>77</v>
      </c>
      <c r="L1031" s="2" t="s">
        <v>131</v>
      </c>
      <c r="M1031" s="2" t="s">
        <v>132</v>
      </c>
      <c r="N1031" s="2" t="s">
        <v>1534</v>
      </c>
      <c r="O1031" s="2" t="s">
        <v>115</v>
      </c>
      <c r="P1031" s="2" t="str">
        <f>"2170561116                    "</f>
        <v xml:space="preserve">2170561116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4.29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1</v>
      </c>
      <c r="BJ1031" s="2">
        <v>0.2</v>
      </c>
      <c r="BK1031" s="2">
        <v>1</v>
      </c>
      <c r="BL1031" s="2">
        <v>41.73</v>
      </c>
      <c r="BM1031" s="2">
        <v>5.84</v>
      </c>
      <c r="BN1031" s="2">
        <v>47.57</v>
      </c>
      <c r="BO1031" s="2">
        <v>47.57</v>
      </c>
      <c r="BP1031" s="2"/>
      <c r="BQ1031" s="2" t="s">
        <v>116</v>
      </c>
      <c r="BR1031" s="2" t="s">
        <v>123</v>
      </c>
      <c r="BS1031" s="3">
        <v>42832</v>
      </c>
      <c r="BT1031" s="4">
        <v>0.44097222222222227</v>
      </c>
      <c r="BU1031" s="2" t="s">
        <v>1545</v>
      </c>
      <c r="BV1031" s="2" t="s">
        <v>111</v>
      </c>
      <c r="BW1031" s="2"/>
      <c r="BX1031" s="2"/>
      <c r="BY1031" s="2">
        <v>1200</v>
      </c>
      <c r="BZ1031" s="2" t="s">
        <v>27</v>
      </c>
      <c r="CA1031" s="2"/>
      <c r="CB1031" s="2"/>
      <c r="CC1031" s="2" t="s">
        <v>132</v>
      </c>
      <c r="CD1031" s="2">
        <v>7493</v>
      </c>
      <c r="CE1031" s="2" t="s">
        <v>118</v>
      </c>
      <c r="CF1031" s="5">
        <v>42835</v>
      </c>
      <c r="CG1031" s="2"/>
      <c r="CH1031" s="2"/>
      <c r="CI1031" s="2">
        <v>1</v>
      </c>
      <c r="CJ1031" s="2">
        <v>1</v>
      </c>
      <c r="CK1031" s="2">
        <v>21</v>
      </c>
      <c r="CL1031" s="2" t="s">
        <v>86</v>
      </c>
      <c r="CM1031" s="2"/>
    </row>
    <row r="1032" spans="1:91">
      <c r="A1032" s="2" t="s">
        <v>71</v>
      </c>
      <c r="B1032" s="2" t="s">
        <v>72</v>
      </c>
      <c r="C1032" s="2" t="s">
        <v>73</v>
      </c>
      <c r="D1032" s="2"/>
      <c r="E1032" s="2" t="str">
        <f>"FES1162541548"</f>
        <v>FES1162541548</v>
      </c>
      <c r="F1032" s="3">
        <v>42830</v>
      </c>
      <c r="G1032" s="2">
        <v>201710</v>
      </c>
      <c r="H1032" s="2" t="s">
        <v>74</v>
      </c>
      <c r="I1032" s="2" t="s">
        <v>75</v>
      </c>
      <c r="J1032" s="2" t="s">
        <v>76</v>
      </c>
      <c r="K1032" s="2" t="s">
        <v>77</v>
      </c>
      <c r="L1032" s="2" t="s">
        <v>396</v>
      </c>
      <c r="M1032" s="2" t="s">
        <v>397</v>
      </c>
      <c r="N1032" s="2" t="s">
        <v>500</v>
      </c>
      <c r="O1032" s="2" t="s">
        <v>115</v>
      </c>
      <c r="P1032" s="2" t="str">
        <f>"2170560629                    "</f>
        <v xml:space="preserve">2170560629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6.43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1</v>
      </c>
      <c r="BJ1032" s="2">
        <v>2.9</v>
      </c>
      <c r="BK1032" s="2">
        <v>3</v>
      </c>
      <c r="BL1032" s="2">
        <v>62.59</v>
      </c>
      <c r="BM1032" s="2">
        <v>8.76</v>
      </c>
      <c r="BN1032" s="2">
        <v>71.349999999999994</v>
      </c>
      <c r="BO1032" s="2">
        <v>71.349999999999994</v>
      </c>
      <c r="BP1032" s="2"/>
      <c r="BQ1032" s="2" t="s">
        <v>501</v>
      </c>
      <c r="BR1032" s="2" t="s">
        <v>123</v>
      </c>
      <c r="BS1032" s="3">
        <v>42831</v>
      </c>
      <c r="BT1032" s="4">
        <v>0.4375</v>
      </c>
      <c r="BU1032" s="2" t="s">
        <v>1331</v>
      </c>
      <c r="BV1032" s="2" t="s">
        <v>111</v>
      </c>
      <c r="BW1032" s="2"/>
      <c r="BX1032" s="2"/>
      <c r="BY1032" s="2">
        <v>14437.95</v>
      </c>
      <c r="BZ1032" s="2" t="s">
        <v>27</v>
      </c>
      <c r="CA1032" s="2"/>
      <c r="CB1032" s="2"/>
      <c r="CC1032" s="2" t="s">
        <v>397</v>
      </c>
      <c r="CD1032" s="2">
        <v>4302</v>
      </c>
      <c r="CE1032" s="2" t="s">
        <v>144</v>
      </c>
      <c r="CF1032" s="5">
        <v>42832</v>
      </c>
      <c r="CG1032" s="2"/>
      <c r="CH1032" s="2"/>
      <c r="CI1032" s="2">
        <v>1</v>
      </c>
      <c r="CJ1032" s="2">
        <v>1</v>
      </c>
      <c r="CK1032" s="2">
        <v>21</v>
      </c>
      <c r="CL1032" s="2" t="s">
        <v>86</v>
      </c>
      <c r="CM1032" s="2"/>
    </row>
    <row r="1033" spans="1:91">
      <c r="A1033" s="2" t="s">
        <v>71</v>
      </c>
      <c r="B1033" s="2" t="s">
        <v>72</v>
      </c>
      <c r="C1033" s="2" t="s">
        <v>73</v>
      </c>
      <c r="D1033" s="2"/>
      <c r="E1033" s="2" t="str">
        <f>"FES1162543148"</f>
        <v>FES1162543148</v>
      </c>
      <c r="F1033" s="3">
        <v>42836</v>
      </c>
      <c r="G1033" s="2">
        <v>201710</v>
      </c>
      <c r="H1033" s="2" t="s">
        <v>74</v>
      </c>
      <c r="I1033" s="2" t="s">
        <v>75</v>
      </c>
      <c r="J1033" s="2" t="s">
        <v>76</v>
      </c>
      <c r="K1033" s="2" t="s">
        <v>77</v>
      </c>
      <c r="L1033" s="2" t="s">
        <v>91</v>
      </c>
      <c r="M1033" s="2" t="s">
        <v>92</v>
      </c>
      <c r="N1033" s="2" t="s">
        <v>1617</v>
      </c>
      <c r="O1033" s="2" t="s">
        <v>115</v>
      </c>
      <c r="P1033" s="2" t="str">
        <f>"2170561936                    "</f>
        <v xml:space="preserve">2170561936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3.35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2.1</v>
      </c>
      <c r="BJ1033" s="2">
        <v>2.2999999999999998</v>
      </c>
      <c r="BK1033" s="2">
        <v>3</v>
      </c>
      <c r="BL1033" s="2">
        <v>32.6</v>
      </c>
      <c r="BM1033" s="2">
        <v>4.5599999999999996</v>
      </c>
      <c r="BN1033" s="2">
        <v>37.159999999999997</v>
      </c>
      <c r="BO1033" s="2">
        <v>37.159999999999997</v>
      </c>
      <c r="BP1033" s="2"/>
      <c r="BQ1033" s="2" t="s">
        <v>1618</v>
      </c>
      <c r="BR1033" s="2" t="s">
        <v>84</v>
      </c>
      <c r="BS1033" s="3">
        <v>42837</v>
      </c>
      <c r="BT1033" s="4">
        <v>0.41666666666666669</v>
      </c>
      <c r="BU1033" s="2" t="s">
        <v>290</v>
      </c>
      <c r="BV1033" s="2" t="s">
        <v>111</v>
      </c>
      <c r="BW1033" s="2"/>
      <c r="BX1033" s="2"/>
      <c r="BY1033" s="2">
        <v>11374.86</v>
      </c>
      <c r="BZ1033" s="2" t="s">
        <v>27</v>
      </c>
      <c r="CA1033" s="2"/>
      <c r="CB1033" s="2"/>
      <c r="CC1033" s="2" t="s">
        <v>92</v>
      </c>
      <c r="CD1033" s="2">
        <v>1422</v>
      </c>
      <c r="CE1033" s="2" t="s">
        <v>118</v>
      </c>
      <c r="CF1033" s="5">
        <v>42838</v>
      </c>
      <c r="CG1033" s="2"/>
      <c r="CH1033" s="2"/>
      <c r="CI1033" s="2">
        <v>1</v>
      </c>
      <c r="CJ1033" s="2">
        <v>1</v>
      </c>
      <c r="CK1033" s="2">
        <v>22</v>
      </c>
      <c r="CL1033" s="2" t="s">
        <v>86</v>
      </c>
      <c r="CM1033" s="2"/>
    </row>
    <row r="1034" spans="1:91">
      <c r="A1034" s="2" t="s">
        <v>71</v>
      </c>
      <c r="B1034" s="2" t="s">
        <v>72</v>
      </c>
      <c r="C1034" s="2" t="s">
        <v>73</v>
      </c>
      <c r="D1034" s="2"/>
      <c r="E1034" s="2" t="str">
        <f>"FES1162542068"</f>
        <v>FES1162542068</v>
      </c>
      <c r="F1034" s="3">
        <v>42831</v>
      </c>
      <c r="G1034" s="2">
        <v>201710</v>
      </c>
      <c r="H1034" s="2" t="s">
        <v>74</v>
      </c>
      <c r="I1034" s="2" t="s">
        <v>75</v>
      </c>
      <c r="J1034" s="2" t="s">
        <v>76</v>
      </c>
      <c r="K1034" s="2" t="s">
        <v>77</v>
      </c>
      <c r="L1034" s="2" t="s">
        <v>160</v>
      </c>
      <c r="M1034" s="2" t="s">
        <v>161</v>
      </c>
      <c r="N1034" s="2" t="s">
        <v>1619</v>
      </c>
      <c r="O1034" s="2" t="s">
        <v>115</v>
      </c>
      <c r="P1034" s="2" t="str">
        <f>"2170557801                    "</f>
        <v xml:space="preserve">2170557801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9.65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1</v>
      </c>
      <c r="BI1034" s="2">
        <v>4</v>
      </c>
      <c r="BJ1034" s="2">
        <v>4.3</v>
      </c>
      <c r="BK1034" s="2">
        <v>4.5</v>
      </c>
      <c r="BL1034" s="2">
        <v>93.89</v>
      </c>
      <c r="BM1034" s="2">
        <v>13.14</v>
      </c>
      <c r="BN1034" s="2">
        <v>107.03</v>
      </c>
      <c r="BO1034" s="2">
        <v>107.03</v>
      </c>
      <c r="BP1034" s="2"/>
      <c r="BQ1034" s="2" t="s">
        <v>129</v>
      </c>
      <c r="BR1034" s="2" t="s">
        <v>123</v>
      </c>
      <c r="BS1034" s="3">
        <v>42832</v>
      </c>
      <c r="BT1034" s="4">
        <v>0.41666666666666669</v>
      </c>
      <c r="BU1034" s="2" t="s">
        <v>1526</v>
      </c>
      <c r="BV1034" s="2" t="s">
        <v>111</v>
      </c>
      <c r="BW1034" s="2"/>
      <c r="BX1034" s="2"/>
      <c r="BY1034" s="2">
        <v>21504</v>
      </c>
      <c r="BZ1034" s="2" t="s">
        <v>27</v>
      </c>
      <c r="CA1034" s="2"/>
      <c r="CB1034" s="2"/>
      <c r="CC1034" s="2" t="s">
        <v>161</v>
      </c>
      <c r="CD1034" s="2">
        <v>5201</v>
      </c>
      <c r="CE1034" s="2" t="s">
        <v>172</v>
      </c>
      <c r="CF1034" s="5">
        <v>42835</v>
      </c>
      <c r="CG1034" s="2"/>
      <c r="CH1034" s="2"/>
      <c r="CI1034" s="2">
        <v>1</v>
      </c>
      <c r="CJ1034" s="2">
        <v>1</v>
      </c>
      <c r="CK1034" s="2">
        <v>21</v>
      </c>
      <c r="CL1034" s="2" t="s">
        <v>86</v>
      </c>
      <c r="CM1034" s="2"/>
    </row>
    <row r="1035" spans="1:91">
      <c r="A1035" s="2" t="s">
        <v>71</v>
      </c>
      <c r="B1035" s="2" t="s">
        <v>72</v>
      </c>
      <c r="C1035" s="2" t="s">
        <v>73</v>
      </c>
      <c r="D1035" s="2"/>
      <c r="E1035" s="2" t="str">
        <f>"FES1162541224"</f>
        <v>FES1162541224</v>
      </c>
      <c r="F1035" s="3">
        <v>42829</v>
      </c>
      <c r="G1035" s="2">
        <v>201710</v>
      </c>
      <c r="H1035" s="2" t="s">
        <v>74</v>
      </c>
      <c r="I1035" s="2" t="s">
        <v>75</v>
      </c>
      <c r="J1035" s="2" t="s">
        <v>76</v>
      </c>
      <c r="K1035" s="2" t="s">
        <v>77</v>
      </c>
      <c r="L1035" s="2" t="s">
        <v>131</v>
      </c>
      <c r="M1035" s="2" t="s">
        <v>132</v>
      </c>
      <c r="N1035" s="2" t="s">
        <v>1269</v>
      </c>
      <c r="O1035" s="2" t="s">
        <v>115</v>
      </c>
      <c r="P1035" s="2" t="str">
        <f>"2170558341                    "</f>
        <v xml:space="preserve">2170558341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4.42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1</v>
      </c>
      <c r="BJ1035" s="2">
        <v>0.2</v>
      </c>
      <c r="BK1035" s="2">
        <v>1</v>
      </c>
      <c r="BL1035" s="2">
        <v>41.86</v>
      </c>
      <c r="BM1035" s="2">
        <v>5.86</v>
      </c>
      <c r="BN1035" s="2">
        <v>47.72</v>
      </c>
      <c r="BO1035" s="2">
        <v>47.72</v>
      </c>
      <c r="BP1035" s="2"/>
      <c r="BQ1035" s="2" t="s">
        <v>129</v>
      </c>
      <c r="BR1035" s="2" t="s">
        <v>123</v>
      </c>
      <c r="BS1035" s="3">
        <v>42830</v>
      </c>
      <c r="BT1035" s="4">
        <v>0.42708333333333331</v>
      </c>
      <c r="BU1035" s="2" t="s">
        <v>1620</v>
      </c>
      <c r="BV1035" s="2" t="s">
        <v>111</v>
      </c>
      <c r="BW1035" s="2"/>
      <c r="BX1035" s="2"/>
      <c r="BY1035" s="2">
        <v>1200</v>
      </c>
      <c r="BZ1035" s="2" t="s">
        <v>27</v>
      </c>
      <c r="CA1035" s="2"/>
      <c r="CB1035" s="2"/>
      <c r="CC1035" s="2" t="s">
        <v>132</v>
      </c>
      <c r="CD1035" s="2">
        <v>7800</v>
      </c>
      <c r="CE1035" s="2" t="s">
        <v>144</v>
      </c>
      <c r="CF1035" s="5">
        <v>42831</v>
      </c>
      <c r="CG1035" s="2"/>
      <c r="CH1035" s="2"/>
      <c r="CI1035" s="2">
        <v>1</v>
      </c>
      <c r="CJ1035" s="2">
        <v>1</v>
      </c>
      <c r="CK1035" s="2">
        <v>21</v>
      </c>
      <c r="CL1035" s="2" t="s">
        <v>86</v>
      </c>
      <c r="CM1035" s="2"/>
    </row>
    <row r="1036" spans="1:91">
      <c r="A1036" s="2" t="s">
        <v>71</v>
      </c>
      <c r="B1036" s="2" t="s">
        <v>72</v>
      </c>
      <c r="C1036" s="2" t="s">
        <v>73</v>
      </c>
      <c r="D1036" s="2"/>
      <c r="E1036" s="2" t="str">
        <f>"FES1162543151"</f>
        <v>FES1162543151</v>
      </c>
      <c r="F1036" s="3">
        <v>42836</v>
      </c>
      <c r="G1036" s="2">
        <v>201710</v>
      </c>
      <c r="H1036" s="2" t="s">
        <v>74</v>
      </c>
      <c r="I1036" s="2" t="s">
        <v>75</v>
      </c>
      <c r="J1036" s="2" t="s">
        <v>76</v>
      </c>
      <c r="K1036" s="2" t="s">
        <v>77</v>
      </c>
      <c r="L1036" s="2" t="s">
        <v>99</v>
      </c>
      <c r="M1036" s="2" t="s">
        <v>100</v>
      </c>
      <c r="N1036" s="2" t="s">
        <v>108</v>
      </c>
      <c r="O1036" s="2" t="s">
        <v>115</v>
      </c>
      <c r="P1036" s="2" t="str">
        <f>"2170561937                    "</f>
        <v xml:space="preserve">2170561937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4.29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1</v>
      </c>
      <c r="BJ1036" s="2">
        <v>0.2</v>
      </c>
      <c r="BK1036" s="2">
        <v>1</v>
      </c>
      <c r="BL1036" s="2">
        <v>41.73</v>
      </c>
      <c r="BM1036" s="2">
        <v>5.84</v>
      </c>
      <c r="BN1036" s="2">
        <v>47.57</v>
      </c>
      <c r="BO1036" s="2">
        <v>47.57</v>
      </c>
      <c r="BP1036" s="2"/>
      <c r="BQ1036" s="2" t="s">
        <v>109</v>
      </c>
      <c r="BR1036" s="2" t="s">
        <v>84</v>
      </c>
      <c r="BS1036" s="3">
        <v>42837</v>
      </c>
      <c r="BT1036" s="4">
        <v>0.375</v>
      </c>
      <c r="BU1036" s="2" t="s">
        <v>110</v>
      </c>
      <c r="BV1036" s="2" t="s">
        <v>111</v>
      </c>
      <c r="BW1036" s="2"/>
      <c r="BX1036" s="2"/>
      <c r="BY1036" s="2">
        <v>1200</v>
      </c>
      <c r="BZ1036" s="2" t="s">
        <v>27</v>
      </c>
      <c r="CA1036" s="2" t="s">
        <v>106</v>
      </c>
      <c r="CB1036" s="2"/>
      <c r="CC1036" s="2" t="s">
        <v>100</v>
      </c>
      <c r="CD1036" s="2">
        <v>6001</v>
      </c>
      <c r="CE1036" s="2" t="s">
        <v>118</v>
      </c>
      <c r="CF1036" s="5">
        <v>42837</v>
      </c>
      <c r="CG1036" s="2"/>
      <c r="CH1036" s="2"/>
      <c r="CI1036" s="2">
        <v>1</v>
      </c>
      <c r="CJ1036" s="2">
        <v>1</v>
      </c>
      <c r="CK1036" s="2">
        <v>21</v>
      </c>
      <c r="CL1036" s="2" t="s">
        <v>86</v>
      </c>
      <c r="CM1036" s="2"/>
    </row>
    <row r="1037" spans="1:91">
      <c r="A1037" s="2" t="s">
        <v>71</v>
      </c>
      <c r="B1037" s="2" t="s">
        <v>72</v>
      </c>
      <c r="C1037" s="2" t="s">
        <v>73</v>
      </c>
      <c r="D1037" s="2"/>
      <c r="E1037" s="2" t="str">
        <f>"FES1162541617"</f>
        <v>FES1162541617</v>
      </c>
      <c r="F1037" s="3">
        <v>42830</v>
      </c>
      <c r="G1037" s="2">
        <v>201710</v>
      </c>
      <c r="H1037" s="2" t="s">
        <v>74</v>
      </c>
      <c r="I1037" s="2" t="s">
        <v>75</v>
      </c>
      <c r="J1037" s="2" t="s">
        <v>76</v>
      </c>
      <c r="K1037" s="2" t="s">
        <v>77</v>
      </c>
      <c r="L1037" s="2" t="s">
        <v>180</v>
      </c>
      <c r="M1037" s="2" t="s">
        <v>181</v>
      </c>
      <c r="N1037" s="2" t="s">
        <v>1621</v>
      </c>
      <c r="O1037" s="2" t="s">
        <v>115</v>
      </c>
      <c r="P1037" s="2" t="str">
        <f>"2170557921                    "</f>
        <v xml:space="preserve">2170557921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4.29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1</v>
      </c>
      <c r="BJ1037" s="2">
        <v>0.2</v>
      </c>
      <c r="BK1037" s="2">
        <v>1</v>
      </c>
      <c r="BL1037" s="2">
        <v>41.73</v>
      </c>
      <c r="BM1037" s="2">
        <v>5.84</v>
      </c>
      <c r="BN1037" s="2">
        <v>47.57</v>
      </c>
      <c r="BO1037" s="2">
        <v>47.57</v>
      </c>
      <c r="BP1037" s="2"/>
      <c r="BQ1037" s="2" t="s">
        <v>129</v>
      </c>
      <c r="BR1037" s="2" t="s">
        <v>123</v>
      </c>
      <c r="BS1037" s="3">
        <v>42831</v>
      </c>
      <c r="BT1037" s="4">
        <v>0.4375</v>
      </c>
      <c r="BU1037" s="2" t="s">
        <v>1622</v>
      </c>
      <c r="BV1037" s="2" t="s">
        <v>111</v>
      </c>
      <c r="BW1037" s="2"/>
      <c r="BX1037" s="2"/>
      <c r="BY1037" s="2">
        <v>1200</v>
      </c>
      <c r="BZ1037" s="2" t="s">
        <v>27</v>
      </c>
      <c r="CA1037" s="2" t="s">
        <v>159</v>
      </c>
      <c r="CB1037" s="2"/>
      <c r="CC1037" s="2" t="s">
        <v>181</v>
      </c>
      <c r="CD1037" s="2">
        <v>4017</v>
      </c>
      <c r="CE1037" s="2" t="s">
        <v>144</v>
      </c>
      <c r="CF1037" s="5">
        <v>42832</v>
      </c>
      <c r="CG1037" s="2"/>
      <c r="CH1037" s="2"/>
      <c r="CI1037" s="2">
        <v>1</v>
      </c>
      <c r="CJ1037" s="2">
        <v>1</v>
      </c>
      <c r="CK1037" s="2">
        <v>21</v>
      </c>
      <c r="CL1037" s="2" t="s">
        <v>86</v>
      </c>
      <c r="CM1037" s="2"/>
    </row>
    <row r="1038" spans="1:91">
      <c r="A1038" s="2" t="s">
        <v>71</v>
      </c>
      <c r="B1038" s="2" t="s">
        <v>72</v>
      </c>
      <c r="C1038" s="2" t="s">
        <v>73</v>
      </c>
      <c r="D1038" s="2"/>
      <c r="E1038" s="2" t="str">
        <f>"FES1162542775"</f>
        <v>FES1162542775</v>
      </c>
      <c r="F1038" s="3">
        <v>42836</v>
      </c>
      <c r="G1038" s="2">
        <v>201710</v>
      </c>
      <c r="H1038" s="2" t="s">
        <v>74</v>
      </c>
      <c r="I1038" s="2" t="s">
        <v>75</v>
      </c>
      <c r="J1038" s="2" t="s">
        <v>76</v>
      </c>
      <c r="K1038" s="2" t="s">
        <v>77</v>
      </c>
      <c r="L1038" s="2" t="s">
        <v>119</v>
      </c>
      <c r="M1038" s="2" t="s">
        <v>120</v>
      </c>
      <c r="N1038" s="2" t="s">
        <v>697</v>
      </c>
      <c r="O1038" s="2" t="s">
        <v>115</v>
      </c>
      <c r="P1038" s="2" t="str">
        <f>"2170559603                    "</f>
        <v xml:space="preserve">2170559603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3.35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1</v>
      </c>
      <c r="BJ1038" s="2">
        <v>0.2</v>
      </c>
      <c r="BK1038" s="2">
        <v>1</v>
      </c>
      <c r="BL1038" s="2">
        <v>32.6</v>
      </c>
      <c r="BM1038" s="2">
        <v>4.5599999999999996</v>
      </c>
      <c r="BN1038" s="2">
        <v>37.159999999999997</v>
      </c>
      <c r="BO1038" s="2">
        <v>37.159999999999997</v>
      </c>
      <c r="BP1038" s="2"/>
      <c r="BQ1038" s="2" t="s">
        <v>698</v>
      </c>
      <c r="BR1038" s="2" t="s">
        <v>123</v>
      </c>
      <c r="BS1038" s="3">
        <v>42837</v>
      </c>
      <c r="BT1038" s="4">
        <v>0.4375</v>
      </c>
      <c r="BU1038" s="2" t="s">
        <v>1623</v>
      </c>
      <c r="BV1038" s="2" t="s">
        <v>111</v>
      </c>
      <c r="BW1038" s="2"/>
      <c r="BX1038" s="2"/>
      <c r="BY1038" s="2">
        <v>1200</v>
      </c>
      <c r="BZ1038" s="2" t="s">
        <v>27</v>
      </c>
      <c r="CA1038" s="2" t="s">
        <v>125</v>
      </c>
      <c r="CB1038" s="2"/>
      <c r="CC1038" s="2" t="s">
        <v>120</v>
      </c>
      <c r="CD1038" s="2">
        <v>2163</v>
      </c>
      <c r="CE1038" s="2" t="s">
        <v>118</v>
      </c>
      <c r="CF1038" s="5">
        <v>42838</v>
      </c>
      <c r="CG1038" s="2"/>
      <c r="CH1038" s="2"/>
      <c r="CI1038" s="2">
        <v>1</v>
      </c>
      <c r="CJ1038" s="2">
        <v>1</v>
      </c>
      <c r="CK1038" s="2">
        <v>22</v>
      </c>
      <c r="CL1038" s="2" t="s">
        <v>86</v>
      </c>
      <c r="CM1038" s="2"/>
    </row>
    <row r="1039" spans="1:91">
      <c r="A1039" s="2" t="s">
        <v>71</v>
      </c>
      <c r="B1039" s="2" t="s">
        <v>72</v>
      </c>
      <c r="C1039" s="2" t="s">
        <v>73</v>
      </c>
      <c r="D1039" s="2"/>
      <c r="E1039" s="2" t="str">
        <f>"FES1162542018"</f>
        <v>FES1162542018</v>
      </c>
      <c r="F1039" s="3">
        <v>42831</v>
      </c>
      <c r="G1039" s="2">
        <v>201710</v>
      </c>
      <c r="H1039" s="2" t="s">
        <v>74</v>
      </c>
      <c r="I1039" s="2" t="s">
        <v>75</v>
      </c>
      <c r="J1039" s="2" t="s">
        <v>76</v>
      </c>
      <c r="K1039" s="2" t="s">
        <v>77</v>
      </c>
      <c r="L1039" s="2" t="s">
        <v>1026</v>
      </c>
      <c r="M1039" s="2" t="s">
        <v>1027</v>
      </c>
      <c r="N1039" s="2" t="s">
        <v>1028</v>
      </c>
      <c r="O1039" s="2" t="s">
        <v>115</v>
      </c>
      <c r="P1039" s="2" t="str">
        <f>"2170558944                    "</f>
        <v xml:space="preserve">2170558944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8.31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1</v>
      </c>
      <c r="BJ1039" s="2">
        <v>0.2</v>
      </c>
      <c r="BK1039" s="2">
        <v>1</v>
      </c>
      <c r="BL1039" s="2">
        <v>80.849999999999994</v>
      </c>
      <c r="BM1039" s="2">
        <v>11.32</v>
      </c>
      <c r="BN1039" s="2">
        <v>92.17</v>
      </c>
      <c r="BO1039" s="2">
        <v>92.17</v>
      </c>
      <c r="BP1039" s="2"/>
      <c r="BQ1039" s="2" t="s">
        <v>129</v>
      </c>
      <c r="BR1039" s="2" t="s">
        <v>123</v>
      </c>
      <c r="BS1039" s="3">
        <v>42832</v>
      </c>
      <c r="BT1039" s="4">
        <v>0.41666666666666669</v>
      </c>
      <c r="BU1039" s="2" t="s">
        <v>240</v>
      </c>
      <c r="BV1039" s="2" t="s">
        <v>111</v>
      </c>
      <c r="BW1039" s="2"/>
      <c r="BX1039" s="2"/>
      <c r="BY1039" s="2">
        <v>1200</v>
      </c>
      <c r="BZ1039" s="2" t="s">
        <v>27</v>
      </c>
      <c r="CA1039" s="2"/>
      <c r="CB1039" s="2"/>
      <c r="CC1039" s="2" t="s">
        <v>1027</v>
      </c>
      <c r="CD1039" s="2">
        <v>7349</v>
      </c>
      <c r="CE1039" s="2" t="s">
        <v>118</v>
      </c>
      <c r="CF1039" s="5">
        <v>42835</v>
      </c>
      <c r="CG1039" s="2"/>
      <c r="CH1039" s="2"/>
      <c r="CI1039" s="2">
        <v>1</v>
      </c>
      <c r="CJ1039" s="2">
        <v>1</v>
      </c>
      <c r="CK1039" s="2">
        <v>23</v>
      </c>
      <c r="CL1039" s="2" t="s">
        <v>86</v>
      </c>
      <c r="CM1039" s="2"/>
    </row>
    <row r="1040" spans="1:91">
      <c r="A1040" s="2" t="s">
        <v>71</v>
      </c>
      <c r="B1040" s="2" t="s">
        <v>72</v>
      </c>
      <c r="C1040" s="2" t="s">
        <v>73</v>
      </c>
      <c r="D1040" s="2"/>
      <c r="E1040" s="2" t="str">
        <f>"FES1162541274"</f>
        <v>FES1162541274</v>
      </c>
      <c r="F1040" s="3">
        <v>42829</v>
      </c>
      <c r="G1040" s="2">
        <v>201710</v>
      </c>
      <c r="H1040" s="2" t="s">
        <v>74</v>
      </c>
      <c r="I1040" s="2" t="s">
        <v>75</v>
      </c>
      <c r="J1040" s="2" t="s">
        <v>76</v>
      </c>
      <c r="K1040" s="2" t="s">
        <v>77</v>
      </c>
      <c r="L1040" s="2" t="s">
        <v>180</v>
      </c>
      <c r="M1040" s="2" t="s">
        <v>181</v>
      </c>
      <c r="N1040" s="2" t="s">
        <v>478</v>
      </c>
      <c r="O1040" s="2" t="s">
        <v>115</v>
      </c>
      <c r="P1040" s="2" t="str">
        <f>"2170560334                    "</f>
        <v xml:space="preserve">2170560334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4.42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1</v>
      </c>
      <c r="BJ1040" s="2">
        <v>0.2</v>
      </c>
      <c r="BK1040" s="2">
        <v>1</v>
      </c>
      <c r="BL1040" s="2">
        <v>41.86</v>
      </c>
      <c r="BM1040" s="2">
        <v>5.86</v>
      </c>
      <c r="BN1040" s="2">
        <v>47.72</v>
      </c>
      <c r="BO1040" s="2">
        <v>47.72</v>
      </c>
      <c r="BP1040" s="2"/>
      <c r="BQ1040" s="2" t="s">
        <v>129</v>
      </c>
      <c r="BR1040" s="2" t="s">
        <v>123</v>
      </c>
      <c r="BS1040" s="3">
        <v>42830</v>
      </c>
      <c r="BT1040" s="4">
        <v>0.4375</v>
      </c>
      <c r="BU1040" s="2" t="s">
        <v>1624</v>
      </c>
      <c r="BV1040" s="2" t="s">
        <v>111</v>
      </c>
      <c r="BW1040" s="2"/>
      <c r="BX1040" s="2"/>
      <c r="BY1040" s="2">
        <v>1200</v>
      </c>
      <c r="BZ1040" s="2" t="s">
        <v>27</v>
      </c>
      <c r="CA1040" s="2"/>
      <c r="CB1040" s="2"/>
      <c r="CC1040" s="2" t="s">
        <v>181</v>
      </c>
      <c r="CD1040" s="2">
        <v>4068</v>
      </c>
      <c r="CE1040" s="2" t="s">
        <v>144</v>
      </c>
      <c r="CF1040" s="5">
        <v>42831</v>
      </c>
      <c r="CG1040" s="2"/>
      <c r="CH1040" s="2"/>
      <c r="CI1040" s="2">
        <v>1</v>
      </c>
      <c r="CJ1040" s="2">
        <v>1</v>
      </c>
      <c r="CK1040" s="2">
        <v>21</v>
      </c>
      <c r="CL1040" s="2" t="s">
        <v>86</v>
      </c>
      <c r="CM1040" s="2"/>
    </row>
    <row r="1041" spans="1:91">
      <c r="A1041" s="2" t="s">
        <v>71</v>
      </c>
      <c r="B1041" s="2" t="s">
        <v>72</v>
      </c>
      <c r="C1041" s="2" t="s">
        <v>73</v>
      </c>
      <c r="D1041" s="2"/>
      <c r="E1041" s="2" t="str">
        <f>"FES1162542941"</f>
        <v>FES1162542941</v>
      </c>
      <c r="F1041" s="3">
        <v>42836</v>
      </c>
      <c r="G1041" s="2">
        <v>201710</v>
      </c>
      <c r="H1041" s="2" t="s">
        <v>74</v>
      </c>
      <c r="I1041" s="2" t="s">
        <v>75</v>
      </c>
      <c r="J1041" s="2" t="s">
        <v>76</v>
      </c>
      <c r="K1041" s="2" t="s">
        <v>77</v>
      </c>
      <c r="L1041" s="2" t="s">
        <v>516</v>
      </c>
      <c r="M1041" s="2" t="s">
        <v>517</v>
      </c>
      <c r="N1041" s="2" t="s">
        <v>808</v>
      </c>
      <c r="O1041" s="2" t="s">
        <v>115</v>
      </c>
      <c r="P1041" s="2" t="str">
        <f>"2170560910                    "</f>
        <v xml:space="preserve">2170560910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3.35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1</v>
      </c>
      <c r="BJ1041" s="2">
        <v>0.2</v>
      </c>
      <c r="BK1041" s="2">
        <v>1</v>
      </c>
      <c r="BL1041" s="2">
        <v>32.6</v>
      </c>
      <c r="BM1041" s="2">
        <v>4.5599999999999996</v>
      </c>
      <c r="BN1041" s="2">
        <v>37.159999999999997</v>
      </c>
      <c r="BO1041" s="2">
        <v>37.159999999999997</v>
      </c>
      <c r="BP1041" s="2"/>
      <c r="BQ1041" s="2" t="s">
        <v>809</v>
      </c>
      <c r="BR1041" s="2" t="s">
        <v>123</v>
      </c>
      <c r="BS1041" s="3">
        <v>42837</v>
      </c>
      <c r="BT1041" s="4">
        <v>0.47569444444444442</v>
      </c>
      <c r="BU1041" s="2" t="s">
        <v>290</v>
      </c>
      <c r="BV1041" s="2" t="s">
        <v>86</v>
      </c>
      <c r="BW1041" s="2" t="s">
        <v>96</v>
      </c>
      <c r="BX1041" s="2" t="s">
        <v>812</v>
      </c>
      <c r="BY1041" s="2">
        <v>1200</v>
      </c>
      <c r="BZ1041" s="2" t="s">
        <v>27</v>
      </c>
      <c r="CA1041" s="2"/>
      <c r="CB1041" s="2"/>
      <c r="CC1041" s="2" t="s">
        <v>517</v>
      </c>
      <c r="CD1041" s="2">
        <v>1459</v>
      </c>
      <c r="CE1041" s="2" t="s">
        <v>118</v>
      </c>
      <c r="CF1041" s="5">
        <v>42838</v>
      </c>
      <c r="CG1041" s="2"/>
      <c r="CH1041" s="2"/>
      <c r="CI1041" s="2">
        <v>1</v>
      </c>
      <c r="CJ1041" s="2">
        <v>1</v>
      </c>
      <c r="CK1041" s="2">
        <v>22</v>
      </c>
      <c r="CL1041" s="2" t="s">
        <v>86</v>
      </c>
      <c r="CM1041" s="2"/>
    </row>
    <row r="1042" spans="1:91">
      <c r="A1042" s="2" t="s">
        <v>71</v>
      </c>
      <c r="B1042" s="2" t="s">
        <v>72</v>
      </c>
      <c r="C1042" s="2" t="s">
        <v>73</v>
      </c>
      <c r="D1042" s="2"/>
      <c r="E1042" s="2" t="str">
        <f>"FES1162541942"</f>
        <v>FES1162541942</v>
      </c>
      <c r="F1042" s="3">
        <v>42831</v>
      </c>
      <c r="G1042" s="2">
        <v>201710</v>
      </c>
      <c r="H1042" s="2" t="s">
        <v>74</v>
      </c>
      <c r="I1042" s="2" t="s">
        <v>75</v>
      </c>
      <c r="J1042" s="2" t="s">
        <v>76</v>
      </c>
      <c r="K1042" s="2" t="s">
        <v>77</v>
      </c>
      <c r="L1042" s="2" t="s">
        <v>260</v>
      </c>
      <c r="M1042" s="2" t="s">
        <v>261</v>
      </c>
      <c r="N1042" s="2" t="s">
        <v>1371</v>
      </c>
      <c r="O1042" s="2" t="s">
        <v>115</v>
      </c>
      <c r="P1042" s="2" t="str">
        <f>"2170560930                    "</f>
        <v xml:space="preserve">2170560930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3.35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1</v>
      </c>
      <c r="BJ1042" s="2">
        <v>0.2</v>
      </c>
      <c r="BK1042" s="2">
        <v>1</v>
      </c>
      <c r="BL1042" s="2">
        <v>32.6</v>
      </c>
      <c r="BM1042" s="2">
        <v>4.5599999999999996</v>
      </c>
      <c r="BN1042" s="2">
        <v>37.159999999999997</v>
      </c>
      <c r="BO1042" s="2">
        <v>37.159999999999997</v>
      </c>
      <c r="BP1042" s="2"/>
      <c r="BQ1042" s="2" t="s">
        <v>1372</v>
      </c>
      <c r="BR1042" s="2" t="s">
        <v>123</v>
      </c>
      <c r="BS1042" s="3">
        <v>42832</v>
      </c>
      <c r="BT1042" s="4">
        <v>0.37152777777777773</v>
      </c>
      <c r="BU1042" s="2" t="s">
        <v>1373</v>
      </c>
      <c r="BV1042" s="2" t="s">
        <v>111</v>
      </c>
      <c r="BW1042" s="2"/>
      <c r="BX1042" s="2"/>
      <c r="BY1042" s="2">
        <v>1200</v>
      </c>
      <c r="BZ1042" s="2" t="s">
        <v>27</v>
      </c>
      <c r="CA1042" s="2"/>
      <c r="CB1042" s="2"/>
      <c r="CC1042" s="2" t="s">
        <v>261</v>
      </c>
      <c r="CD1042" s="2">
        <v>1451</v>
      </c>
      <c r="CE1042" s="2" t="s">
        <v>118</v>
      </c>
      <c r="CF1042" s="5">
        <v>42835</v>
      </c>
      <c r="CG1042" s="2"/>
      <c r="CH1042" s="2"/>
      <c r="CI1042" s="2">
        <v>1</v>
      </c>
      <c r="CJ1042" s="2">
        <v>1</v>
      </c>
      <c r="CK1042" s="2">
        <v>22</v>
      </c>
      <c r="CL1042" s="2" t="s">
        <v>86</v>
      </c>
      <c r="CM1042" s="2"/>
    </row>
    <row r="1043" spans="1:91">
      <c r="A1043" s="2" t="s">
        <v>71</v>
      </c>
      <c r="B1043" s="2" t="s">
        <v>72</v>
      </c>
      <c r="C1043" s="2" t="s">
        <v>73</v>
      </c>
      <c r="D1043" s="2"/>
      <c r="E1043" s="2" t="str">
        <f>"009932187250"</f>
        <v>009932187250</v>
      </c>
      <c r="F1043" s="3">
        <v>42830</v>
      </c>
      <c r="G1043" s="2">
        <v>201710</v>
      </c>
      <c r="H1043" s="2" t="s">
        <v>74</v>
      </c>
      <c r="I1043" s="2" t="s">
        <v>75</v>
      </c>
      <c r="J1043" s="2" t="s">
        <v>76</v>
      </c>
      <c r="K1043" s="2" t="s">
        <v>77</v>
      </c>
      <c r="L1043" s="2" t="s">
        <v>180</v>
      </c>
      <c r="M1043" s="2" t="s">
        <v>181</v>
      </c>
      <c r="N1043" s="2" t="s">
        <v>1625</v>
      </c>
      <c r="O1043" s="2" t="s">
        <v>115</v>
      </c>
      <c r="P1043" s="2" t="str">
        <f>"KAREN MULLER                  "</f>
        <v xml:space="preserve">KAREN MULLER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4.29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1</v>
      </c>
      <c r="BJ1043" s="2">
        <v>0.2</v>
      </c>
      <c r="BK1043" s="2">
        <v>1</v>
      </c>
      <c r="BL1043" s="2">
        <v>41.73</v>
      </c>
      <c r="BM1043" s="2">
        <v>5.84</v>
      </c>
      <c r="BN1043" s="2">
        <v>47.57</v>
      </c>
      <c r="BO1043" s="2">
        <v>47.57</v>
      </c>
      <c r="BP1043" s="2" t="s">
        <v>1626</v>
      </c>
      <c r="BQ1043" s="2" t="s">
        <v>1627</v>
      </c>
      <c r="BR1043" s="2" t="s">
        <v>123</v>
      </c>
      <c r="BS1043" s="3">
        <v>42831</v>
      </c>
      <c r="BT1043" s="4">
        <v>0.2986111111111111</v>
      </c>
      <c r="BU1043" s="2" t="s">
        <v>1628</v>
      </c>
      <c r="BV1043" s="2" t="s">
        <v>111</v>
      </c>
      <c r="BW1043" s="2"/>
      <c r="BX1043" s="2"/>
      <c r="BY1043" s="2">
        <v>1200</v>
      </c>
      <c r="BZ1043" s="2" t="s">
        <v>27</v>
      </c>
      <c r="CA1043" s="2"/>
      <c r="CB1043" s="2"/>
      <c r="CC1043" s="2" t="s">
        <v>181</v>
      </c>
      <c r="CD1043" s="2">
        <v>4001</v>
      </c>
      <c r="CE1043" s="2" t="s">
        <v>144</v>
      </c>
      <c r="CF1043" s="5">
        <v>42832</v>
      </c>
      <c r="CG1043" s="2"/>
      <c r="CH1043" s="2"/>
      <c r="CI1043" s="2">
        <v>1</v>
      </c>
      <c r="CJ1043" s="2">
        <v>1</v>
      </c>
      <c r="CK1043" s="2">
        <v>21</v>
      </c>
      <c r="CL1043" s="2" t="s">
        <v>86</v>
      </c>
      <c r="CM1043" s="2"/>
    </row>
    <row r="1044" spans="1:91">
      <c r="A1044" s="2" t="s">
        <v>71</v>
      </c>
      <c r="B1044" s="2" t="s">
        <v>72</v>
      </c>
      <c r="C1044" s="2" t="s">
        <v>73</v>
      </c>
      <c r="D1044" s="2"/>
      <c r="E1044" s="2" t="str">
        <f>"FES1162542838"</f>
        <v>FES1162542838</v>
      </c>
      <c r="F1044" s="3">
        <v>42836</v>
      </c>
      <c r="G1044" s="2">
        <v>201710</v>
      </c>
      <c r="H1044" s="2" t="s">
        <v>74</v>
      </c>
      <c r="I1044" s="2" t="s">
        <v>75</v>
      </c>
      <c r="J1044" s="2" t="s">
        <v>76</v>
      </c>
      <c r="K1044" s="2" t="s">
        <v>77</v>
      </c>
      <c r="L1044" s="2" t="s">
        <v>166</v>
      </c>
      <c r="M1044" s="2" t="s">
        <v>167</v>
      </c>
      <c r="N1044" s="2" t="s">
        <v>168</v>
      </c>
      <c r="O1044" s="2" t="s">
        <v>115</v>
      </c>
      <c r="P1044" s="2" t="str">
        <f>"2170561702                    "</f>
        <v xml:space="preserve">2170561702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3.35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1</v>
      </c>
      <c r="BJ1044" s="2">
        <v>0.2</v>
      </c>
      <c r="BK1044" s="2">
        <v>1</v>
      </c>
      <c r="BL1044" s="2">
        <v>32.6</v>
      </c>
      <c r="BM1044" s="2">
        <v>4.5599999999999996</v>
      </c>
      <c r="BN1044" s="2">
        <v>37.159999999999997</v>
      </c>
      <c r="BO1044" s="2">
        <v>37.159999999999997</v>
      </c>
      <c r="BP1044" s="2"/>
      <c r="BQ1044" s="2" t="s">
        <v>169</v>
      </c>
      <c r="BR1044" s="2" t="s">
        <v>123</v>
      </c>
      <c r="BS1044" s="3">
        <v>42837</v>
      </c>
      <c r="BT1044" s="4">
        <v>0.3888888888888889</v>
      </c>
      <c r="BU1044" s="2" t="s">
        <v>170</v>
      </c>
      <c r="BV1044" s="2" t="s">
        <v>111</v>
      </c>
      <c r="BW1044" s="2"/>
      <c r="BX1044" s="2"/>
      <c r="BY1044" s="2">
        <v>1200</v>
      </c>
      <c r="BZ1044" s="2" t="s">
        <v>27</v>
      </c>
      <c r="CA1044" s="2" t="s">
        <v>171</v>
      </c>
      <c r="CB1044" s="2"/>
      <c r="CC1044" s="2" t="s">
        <v>167</v>
      </c>
      <c r="CD1044" s="2">
        <v>2094</v>
      </c>
      <c r="CE1044" s="2" t="s">
        <v>118</v>
      </c>
      <c r="CF1044" s="5">
        <v>42837</v>
      </c>
      <c r="CG1044" s="2"/>
      <c r="CH1044" s="2"/>
      <c r="CI1044" s="2">
        <v>1</v>
      </c>
      <c r="CJ1044" s="2">
        <v>1</v>
      </c>
      <c r="CK1044" s="2">
        <v>22</v>
      </c>
      <c r="CL1044" s="2" t="s">
        <v>86</v>
      </c>
      <c r="CM1044" s="2"/>
    </row>
    <row r="1045" spans="1:91">
      <c r="A1045" s="2" t="s">
        <v>71</v>
      </c>
      <c r="B1045" s="2" t="s">
        <v>72</v>
      </c>
      <c r="C1045" s="2" t="s">
        <v>73</v>
      </c>
      <c r="D1045" s="2"/>
      <c r="E1045" s="2" t="str">
        <f>"FES1162542186"</f>
        <v>FES1162542186</v>
      </c>
      <c r="F1045" s="3">
        <v>42831</v>
      </c>
      <c r="G1045" s="2">
        <v>201710</v>
      </c>
      <c r="H1045" s="2" t="s">
        <v>74</v>
      </c>
      <c r="I1045" s="2" t="s">
        <v>75</v>
      </c>
      <c r="J1045" s="2" t="s">
        <v>76</v>
      </c>
      <c r="K1045" s="2" t="s">
        <v>77</v>
      </c>
      <c r="L1045" s="2" t="s">
        <v>598</v>
      </c>
      <c r="M1045" s="2" t="s">
        <v>599</v>
      </c>
      <c r="N1045" s="2" t="s">
        <v>600</v>
      </c>
      <c r="O1045" s="2" t="s">
        <v>115</v>
      </c>
      <c r="P1045" s="2" t="str">
        <f>"2170561071                    "</f>
        <v xml:space="preserve">2170561071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8.31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1</v>
      </c>
      <c r="BJ1045" s="2">
        <v>0.2</v>
      </c>
      <c r="BK1045" s="2">
        <v>1</v>
      </c>
      <c r="BL1045" s="2">
        <v>80.849999999999994</v>
      </c>
      <c r="BM1045" s="2">
        <v>11.32</v>
      </c>
      <c r="BN1045" s="2">
        <v>92.17</v>
      </c>
      <c r="BO1045" s="2">
        <v>92.17</v>
      </c>
      <c r="BP1045" s="2"/>
      <c r="BQ1045" s="2" t="s">
        <v>601</v>
      </c>
      <c r="BR1045" s="2" t="s">
        <v>123</v>
      </c>
      <c r="BS1045" s="3">
        <v>42832</v>
      </c>
      <c r="BT1045" s="4">
        <v>0.62152777777777779</v>
      </c>
      <c r="BU1045" s="2" t="s">
        <v>602</v>
      </c>
      <c r="BV1045" s="2" t="s">
        <v>111</v>
      </c>
      <c r="BW1045" s="2"/>
      <c r="BX1045" s="2"/>
      <c r="BY1045" s="2">
        <v>1200</v>
      </c>
      <c r="BZ1045" s="2" t="s">
        <v>27</v>
      </c>
      <c r="CA1045" s="2"/>
      <c r="CB1045" s="2"/>
      <c r="CC1045" s="2" t="s">
        <v>599</v>
      </c>
      <c r="CD1045" s="2">
        <v>3370</v>
      </c>
      <c r="CE1045" s="2" t="s">
        <v>118</v>
      </c>
      <c r="CF1045" s="5">
        <v>42836</v>
      </c>
      <c r="CG1045" s="2"/>
      <c r="CH1045" s="2"/>
      <c r="CI1045" s="2">
        <v>3</v>
      </c>
      <c r="CJ1045" s="2">
        <v>1</v>
      </c>
      <c r="CK1045" s="2">
        <v>23</v>
      </c>
      <c r="CL1045" s="2" t="s">
        <v>86</v>
      </c>
      <c r="CM1045" s="2"/>
    </row>
    <row r="1046" spans="1:91">
      <c r="A1046" s="2" t="s">
        <v>71</v>
      </c>
      <c r="B1046" s="2" t="s">
        <v>72</v>
      </c>
      <c r="C1046" s="2" t="s">
        <v>73</v>
      </c>
      <c r="D1046" s="2"/>
      <c r="E1046" s="2" t="str">
        <f>"FES1162541275"</f>
        <v>FES1162541275</v>
      </c>
      <c r="F1046" s="3">
        <v>42829</v>
      </c>
      <c r="G1046" s="2">
        <v>201710</v>
      </c>
      <c r="H1046" s="2" t="s">
        <v>74</v>
      </c>
      <c r="I1046" s="2" t="s">
        <v>75</v>
      </c>
      <c r="J1046" s="2" t="s">
        <v>76</v>
      </c>
      <c r="K1046" s="2" t="s">
        <v>77</v>
      </c>
      <c r="L1046" s="2" t="s">
        <v>131</v>
      </c>
      <c r="M1046" s="2" t="s">
        <v>132</v>
      </c>
      <c r="N1046" s="2" t="s">
        <v>384</v>
      </c>
      <c r="O1046" s="2" t="s">
        <v>115</v>
      </c>
      <c r="P1046" s="2" t="str">
        <f>"2170560336                    "</f>
        <v xml:space="preserve">2170560336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4.42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1</v>
      </c>
      <c r="BJ1046" s="2">
        <v>0.2</v>
      </c>
      <c r="BK1046" s="2">
        <v>1</v>
      </c>
      <c r="BL1046" s="2">
        <v>41.86</v>
      </c>
      <c r="BM1046" s="2">
        <v>5.86</v>
      </c>
      <c r="BN1046" s="2">
        <v>47.72</v>
      </c>
      <c r="BO1046" s="2">
        <v>47.72</v>
      </c>
      <c r="BP1046" s="2"/>
      <c r="BQ1046" s="2" t="s">
        <v>1272</v>
      </c>
      <c r="BR1046" s="2" t="s">
        <v>123</v>
      </c>
      <c r="BS1046" s="3">
        <v>42830</v>
      </c>
      <c r="BT1046" s="4">
        <v>0.41666666666666669</v>
      </c>
      <c r="BU1046" s="2" t="s">
        <v>1516</v>
      </c>
      <c r="BV1046" s="2" t="s">
        <v>111</v>
      </c>
      <c r="BW1046" s="2"/>
      <c r="BX1046" s="2"/>
      <c r="BY1046" s="2">
        <v>1200</v>
      </c>
      <c r="BZ1046" s="2" t="s">
        <v>27</v>
      </c>
      <c r="CA1046" s="2"/>
      <c r="CB1046" s="2"/>
      <c r="CC1046" s="2" t="s">
        <v>132</v>
      </c>
      <c r="CD1046" s="2">
        <v>7530</v>
      </c>
      <c r="CE1046" s="2" t="s">
        <v>144</v>
      </c>
      <c r="CF1046" s="5">
        <v>42831</v>
      </c>
      <c r="CG1046" s="2"/>
      <c r="CH1046" s="2"/>
      <c r="CI1046" s="2">
        <v>1</v>
      </c>
      <c r="CJ1046" s="2">
        <v>1</v>
      </c>
      <c r="CK1046" s="2">
        <v>21</v>
      </c>
      <c r="CL1046" s="2" t="s">
        <v>86</v>
      </c>
      <c r="CM1046" s="2"/>
    </row>
    <row r="1047" spans="1:91">
      <c r="A1047" s="2" t="s">
        <v>71</v>
      </c>
      <c r="B1047" s="2" t="s">
        <v>72</v>
      </c>
      <c r="C1047" s="2" t="s">
        <v>73</v>
      </c>
      <c r="D1047" s="2"/>
      <c r="E1047" s="2" t="str">
        <f>"FES1162542730"</f>
        <v>FES1162542730</v>
      </c>
      <c r="F1047" s="3">
        <v>42836</v>
      </c>
      <c r="G1047" s="2">
        <v>201710</v>
      </c>
      <c r="H1047" s="2" t="s">
        <v>74</v>
      </c>
      <c r="I1047" s="2" t="s">
        <v>75</v>
      </c>
      <c r="J1047" s="2" t="s">
        <v>76</v>
      </c>
      <c r="K1047" s="2" t="s">
        <v>77</v>
      </c>
      <c r="L1047" s="2" t="s">
        <v>119</v>
      </c>
      <c r="M1047" s="2" t="s">
        <v>120</v>
      </c>
      <c r="N1047" s="2" t="s">
        <v>1629</v>
      </c>
      <c r="O1047" s="2" t="s">
        <v>115</v>
      </c>
      <c r="P1047" s="2" t="str">
        <f>"2170561611                    "</f>
        <v xml:space="preserve">2170561611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3.35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1</v>
      </c>
      <c r="BJ1047" s="2">
        <v>0.2</v>
      </c>
      <c r="BK1047" s="2">
        <v>1</v>
      </c>
      <c r="BL1047" s="2">
        <v>32.6</v>
      </c>
      <c r="BM1047" s="2">
        <v>4.5599999999999996</v>
      </c>
      <c r="BN1047" s="2">
        <v>37.159999999999997</v>
      </c>
      <c r="BO1047" s="2">
        <v>37.159999999999997</v>
      </c>
      <c r="BP1047" s="2"/>
      <c r="BQ1047" s="2" t="s">
        <v>1630</v>
      </c>
      <c r="BR1047" s="2" t="s">
        <v>123</v>
      </c>
      <c r="BS1047" s="3">
        <v>42837</v>
      </c>
      <c r="BT1047" s="4">
        <v>0.46597222222222223</v>
      </c>
      <c r="BU1047" s="2" t="s">
        <v>1080</v>
      </c>
      <c r="BV1047" s="2" t="s">
        <v>86</v>
      </c>
      <c r="BW1047" s="2" t="s">
        <v>157</v>
      </c>
      <c r="BX1047" s="2" t="s">
        <v>618</v>
      </c>
      <c r="BY1047" s="2">
        <v>1200</v>
      </c>
      <c r="BZ1047" s="2" t="s">
        <v>27</v>
      </c>
      <c r="CA1047" s="2" t="s">
        <v>125</v>
      </c>
      <c r="CB1047" s="2"/>
      <c r="CC1047" s="2" t="s">
        <v>120</v>
      </c>
      <c r="CD1047" s="2">
        <v>2170</v>
      </c>
      <c r="CE1047" s="2" t="s">
        <v>118</v>
      </c>
      <c r="CF1047" s="5">
        <v>42838</v>
      </c>
      <c r="CG1047" s="2"/>
      <c r="CH1047" s="2"/>
      <c r="CI1047" s="2">
        <v>1</v>
      </c>
      <c r="CJ1047" s="2">
        <v>1</v>
      </c>
      <c r="CK1047" s="2">
        <v>22</v>
      </c>
      <c r="CL1047" s="2" t="s">
        <v>86</v>
      </c>
      <c r="CM1047" s="2"/>
    </row>
    <row r="1048" spans="1:91">
      <c r="A1048" s="2" t="s">
        <v>71</v>
      </c>
      <c r="B1048" s="2" t="s">
        <v>72</v>
      </c>
      <c r="C1048" s="2" t="s">
        <v>73</v>
      </c>
      <c r="D1048" s="2"/>
      <c r="E1048" s="2" t="str">
        <f>"FES1162542133"</f>
        <v>FES1162542133</v>
      </c>
      <c r="F1048" s="3">
        <v>42831</v>
      </c>
      <c r="G1048" s="2">
        <v>201710</v>
      </c>
      <c r="H1048" s="2" t="s">
        <v>74</v>
      </c>
      <c r="I1048" s="2" t="s">
        <v>75</v>
      </c>
      <c r="J1048" s="2" t="s">
        <v>76</v>
      </c>
      <c r="K1048" s="2" t="s">
        <v>77</v>
      </c>
      <c r="L1048" s="2" t="s">
        <v>131</v>
      </c>
      <c r="M1048" s="2" t="s">
        <v>132</v>
      </c>
      <c r="N1048" s="2" t="s">
        <v>1631</v>
      </c>
      <c r="O1048" s="2" t="s">
        <v>115</v>
      </c>
      <c r="P1048" s="2" t="str">
        <f>"2170561033                    "</f>
        <v xml:space="preserve">2170561033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10.72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3.7</v>
      </c>
      <c r="BJ1048" s="2">
        <v>4.9000000000000004</v>
      </c>
      <c r="BK1048" s="2">
        <v>5</v>
      </c>
      <c r="BL1048" s="2">
        <v>104.32</v>
      </c>
      <c r="BM1048" s="2">
        <v>14.6</v>
      </c>
      <c r="BN1048" s="2">
        <v>118.92</v>
      </c>
      <c r="BO1048" s="2">
        <v>118.92</v>
      </c>
      <c r="BP1048" s="2"/>
      <c r="BQ1048" s="2" t="s">
        <v>1632</v>
      </c>
      <c r="BR1048" s="2" t="s">
        <v>123</v>
      </c>
      <c r="BS1048" s="3">
        <v>42835</v>
      </c>
      <c r="BT1048" s="4">
        <v>0.43055555555555558</v>
      </c>
      <c r="BU1048" s="2" t="s">
        <v>1633</v>
      </c>
      <c r="BV1048" s="2" t="s">
        <v>86</v>
      </c>
      <c r="BW1048" s="2" t="s">
        <v>157</v>
      </c>
      <c r="BX1048" s="2" t="s">
        <v>158</v>
      </c>
      <c r="BY1048" s="2">
        <v>24696</v>
      </c>
      <c r="BZ1048" s="2" t="s">
        <v>27</v>
      </c>
      <c r="CA1048" s="2"/>
      <c r="CB1048" s="2"/>
      <c r="CC1048" s="2" t="s">
        <v>132</v>
      </c>
      <c r="CD1048" s="2">
        <v>7405</v>
      </c>
      <c r="CE1048" s="2" t="s">
        <v>172</v>
      </c>
      <c r="CF1048" s="5">
        <v>42836</v>
      </c>
      <c r="CG1048" s="2"/>
      <c r="CH1048" s="2"/>
      <c r="CI1048" s="2">
        <v>1</v>
      </c>
      <c r="CJ1048" s="2">
        <v>2</v>
      </c>
      <c r="CK1048" s="2">
        <v>21</v>
      </c>
      <c r="CL1048" s="2" t="s">
        <v>86</v>
      </c>
      <c r="CM1048" s="2"/>
    </row>
    <row r="1049" spans="1:91">
      <c r="A1049" s="2" t="s">
        <v>71</v>
      </c>
      <c r="B1049" s="2" t="s">
        <v>72</v>
      </c>
      <c r="C1049" s="2" t="s">
        <v>73</v>
      </c>
      <c r="D1049" s="2"/>
      <c r="E1049" s="2" t="str">
        <f>"FES1162542822"</f>
        <v>FES1162542822</v>
      </c>
      <c r="F1049" s="3">
        <v>42836</v>
      </c>
      <c r="G1049" s="2">
        <v>201710</v>
      </c>
      <c r="H1049" s="2" t="s">
        <v>74</v>
      </c>
      <c r="I1049" s="2" t="s">
        <v>75</v>
      </c>
      <c r="J1049" s="2" t="s">
        <v>76</v>
      </c>
      <c r="K1049" s="2" t="s">
        <v>77</v>
      </c>
      <c r="L1049" s="2" t="s">
        <v>166</v>
      </c>
      <c r="M1049" s="2" t="s">
        <v>167</v>
      </c>
      <c r="N1049" s="2" t="s">
        <v>168</v>
      </c>
      <c r="O1049" s="2" t="s">
        <v>115</v>
      </c>
      <c r="P1049" s="2" t="str">
        <f>"2170559707                    "</f>
        <v xml:space="preserve">2170559707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3.35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1</v>
      </c>
      <c r="BJ1049" s="2">
        <v>0.2</v>
      </c>
      <c r="BK1049" s="2">
        <v>1</v>
      </c>
      <c r="BL1049" s="2">
        <v>32.6</v>
      </c>
      <c r="BM1049" s="2">
        <v>4.5599999999999996</v>
      </c>
      <c r="BN1049" s="2">
        <v>37.159999999999997</v>
      </c>
      <c r="BO1049" s="2">
        <v>37.159999999999997</v>
      </c>
      <c r="BP1049" s="2"/>
      <c r="BQ1049" s="2" t="s">
        <v>169</v>
      </c>
      <c r="BR1049" s="2" t="s">
        <v>123</v>
      </c>
      <c r="BS1049" s="3">
        <v>42837</v>
      </c>
      <c r="BT1049" s="4">
        <v>0.39374999999999999</v>
      </c>
      <c r="BU1049" s="2" t="s">
        <v>823</v>
      </c>
      <c r="BV1049" s="2" t="s">
        <v>111</v>
      </c>
      <c r="BW1049" s="2"/>
      <c r="BX1049" s="2"/>
      <c r="BY1049" s="2">
        <v>1200</v>
      </c>
      <c r="BZ1049" s="2" t="s">
        <v>27</v>
      </c>
      <c r="CA1049" s="2" t="s">
        <v>170</v>
      </c>
      <c r="CB1049" s="2"/>
      <c r="CC1049" s="2" t="s">
        <v>167</v>
      </c>
      <c r="CD1049" s="2">
        <v>2094</v>
      </c>
      <c r="CE1049" s="2" t="s">
        <v>118</v>
      </c>
      <c r="CF1049" s="5">
        <v>42837</v>
      </c>
      <c r="CG1049" s="2"/>
      <c r="CH1049" s="2"/>
      <c r="CI1049" s="2">
        <v>1</v>
      </c>
      <c r="CJ1049" s="2">
        <v>1</v>
      </c>
      <c r="CK1049" s="2">
        <v>22</v>
      </c>
      <c r="CL1049" s="2" t="s">
        <v>86</v>
      </c>
      <c r="CM1049" s="2"/>
    </row>
    <row r="1050" spans="1:91">
      <c r="A1050" s="2" t="s">
        <v>71</v>
      </c>
      <c r="B1050" s="2" t="s">
        <v>72</v>
      </c>
      <c r="C1050" s="2" t="s">
        <v>73</v>
      </c>
      <c r="D1050" s="2"/>
      <c r="E1050" s="2" t="str">
        <f>"FES1162541214"</f>
        <v>FES1162541214</v>
      </c>
      <c r="F1050" s="3">
        <v>42829</v>
      </c>
      <c r="G1050" s="2">
        <v>201710</v>
      </c>
      <c r="H1050" s="2" t="s">
        <v>74</v>
      </c>
      <c r="I1050" s="2" t="s">
        <v>75</v>
      </c>
      <c r="J1050" s="2" t="s">
        <v>76</v>
      </c>
      <c r="K1050" s="2" t="s">
        <v>77</v>
      </c>
      <c r="L1050" s="2" t="s">
        <v>139</v>
      </c>
      <c r="M1050" s="2" t="s">
        <v>140</v>
      </c>
      <c r="N1050" s="2" t="s">
        <v>645</v>
      </c>
      <c r="O1050" s="2" t="s">
        <v>115</v>
      </c>
      <c r="P1050" s="2" t="str">
        <f>"2170556553                    "</f>
        <v xml:space="preserve">2170556553 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4.42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1</v>
      </c>
      <c r="BJ1050" s="2">
        <v>0.2</v>
      </c>
      <c r="BK1050" s="2">
        <v>1</v>
      </c>
      <c r="BL1050" s="2">
        <v>41.86</v>
      </c>
      <c r="BM1050" s="2">
        <v>5.86</v>
      </c>
      <c r="BN1050" s="2">
        <v>47.72</v>
      </c>
      <c r="BO1050" s="2">
        <v>47.72</v>
      </c>
      <c r="BP1050" s="2"/>
      <c r="BQ1050" s="2" t="s">
        <v>646</v>
      </c>
      <c r="BR1050" s="2" t="s">
        <v>123</v>
      </c>
      <c r="BS1050" s="3">
        <v>42830</v>
      </c>
      <c r="BT1050" s="4">
        <v>0.41250000000000003</v>
      </c>
      <c r="BU1050" s="2" t="s">
        <v>245</v>
      </c>
      <c r="BV1050" s="2" t="s">
        <v>111</v>
      </c>
      <c r="BW1050" s="2"/>
      <c r="BX1050" s="2"/>
      <c r="BY1050" s="2">
        <v>1200</v>
      </c>
      <c r="BZ1050" s="2" t="s">
        <v>27</v>
      </c>
      <c r="CA1050" s="2"/>
      <c r="CB1050" s="2"/>
      <c r="CC1050" s="2" t="s">
        <v>140</v>
      </c>
      <c r="CD1050" s="2">
        <v>157</v>
      </c>
      <c r="CE1050" s="2" t="s">
        <v>144</v>
      </c>
      <c r="CF1050" s="5">
        <v>42832</v>
      </c>
      <c r="CG1050" s="2"/>
      <c r="CH1050" s="2"/>
      <c r="CI1050" s="2">
        <v>0</v>
      </c>
      <c r="CJ1050" s="2">
        <v>0</v>
      </c>
      <c r="CK1050" s="2">
        <v>21</v>
      </c>
      <c r="CL1050" s="2" t="s">
        <v>86</v>
      </c>
      <c r="CM1050" s="2"/>
    </row>
    <row r="1051" spans="1:91">
      <c r="A1051" s="2" t="s">
        <v>71</v>
      </c>
      <c r="B1051" s="2" t="s">
        <v>72</v>
      </c>
      <c r="C1051" s="2" t="s">
        <v>73</v>
      </c>
      <c r="D1051" s="2"/>
      <c r="E1051" s="2" t="str">
        <f>"FES1162542840"</f>
        <v>FES1162542840</v>
      </c>
      <c r="F1051" s="3">
        <v>42836</v>
      </c>
      <c r="G1051" s="2">
        <v>201710</v>
      </c>
      <c r="H1051" s="2" t="s">
        <v>74</v>
      </c>
      <c r="I1051" s="2" t="s">
        <v>75</v>
      </c>
      <c r="J1051" s="2" t="s">
        <v>76</v>
      </c>
      <c r="K1051" s="2" t="s">
        <v>77</v>
      </c>
      <c r="L1051" s="2" t="s">
        <v>503</v>
      </c>
      <c r="M1051" s="2" t="s">
        <v>504</v>
      </c>
      <c r="N1051" s="2" t="s">
        <v>1634</v>
      </c>
      <c r="O1051" s="2" t="s">
        <v>115</v>
      </c>
      <c r="P1051" s="2" t="str">
        <f>"2170561704                    "</f>
        <v xml:space="preserve">2170561704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3.35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5</v>
      </c>
      <c r="BJ1051" s="2">
        <v>3.3</v>
      </c>
      <c r="BK1051" s="2">
        <v>5</v>
      </c>
      <c r="BL1051" s="2">
        <v>32.6</v>
      </c>
      <c r="BM1051" s="2">
        <v>4.5599999999999996</v>
      </c>
      <c r="BN1051" s="2">
        <v>37.159999999999997</v>
      </c>
      <c r="BO1051" s="2">
        <v>37.159999999999997</v>
      </c>
      <c r="BP1051" s="2"/>
      <c r="BQ1051" s="2" t="s">
        <v>122</v>
      </c>
      <c r="BR1051" s="2" t="s">
        <v>84</v>
      </c>
      <c r="BS1051" s="3">
        <v>42837</v>
      </c>
      <c r="BT1051" s="4">
        <v>0.29722222222222222</v>
      </c>
      <c r="BU1051" s="2" t="s">
        <v>290</v>
      </c>
      <c r="BV1051" s="2" t="s">
        <v>111</v>
      </c>
      <c r="BW1051" s="2"/>
      <c r="BX1051" s="2"/>
      <c r="BY1051" s="2">
        <v>16604.78</v>
      </c>
      <c r="BZ1051" s="2" t="s">
        <v>27</v>
      </c>
      <c r="CA1051" s="2"/>
      <c r="CB1051" s="2"/>
      <c r="CC1051" s="2" t="s">
        <v>504</v>
      </c>
      <c r="CD1051" s="2">
        <v>1501</v>
      </c>
      <c r="CE1051" s="2" t="s">
        <v>89</v>
      </c>
      <c r="CF1051" s="5">
        <v>42838</v>
      </c>
      <c r="CG1051" s="2"/>
      <c r="CH1051" s="2"/>
      <c r="CI1051" s="2">
        <v>1</v>
      </c>
      <c r="CJ1051" s="2">
        <v>1</v>
      </c>
      <c r="CK1051" s="2">
        <v>22</v>
      </c>
      <c r="CL1051" s="2" t="s">
        <v>86</v>
      </c>
      <c r="CM1051" s="2"/>
    </row>
    <row r="1052" spans="1:91">
      <c r="A1052" s="2" t="s">
        <v>71</v>
      </c>
      <c r="B1052" s="2" t="s">
        <v>72</v>
      </c>
      <c r="C1052" s="2" t="s">
        <v>73</v>
      </c>
      <c r="D1052" s="2"/>
      <c r="E1052" s="2" t="str">
        <f>"FES1162541892"</f>
        <v>FES1162541892</v>
      </c>
      <c r="F1052" s="3">
        <v>42831</v>
      </c>
      <c r="G1052" s="2">
        <v>201710</v>
      </c>
      <c r="H1052" s="2" t="s">
        <v>74</v>
      </c>
      <c r="I1052" s="2" t="s">
        <v>75</v>
      </c>
      <c r="J1052" s="2" t="s">
        <v>76</v>
      </c>
      <c r="K1052" s="2" t="s">
        <v>77</v>
      </c>
      <c r="L1052" s="2" t="s">
        <v>99</v>
      </c>
      <c r="M1052" s="2" t="s">
        <v>100</v>
      </c>
      <c r="N1052" s="2" t="s">
        <v>433</v>
      </c>
      <c r="O1052" s="2" t="s">
        <v>115</v>
      </c>
      <c r="P1052" s="2" t="str">
        <f>"2170560909                    "</f>
        <v xml:space="preserve">2170560909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4.29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1</v>
      </c>
      <c r="BJ1052" s="2">
        <v>1.7</v>
      </c>
      <c r="BK1052" s="2">
        <v>2</v>
      </c>
      <c r="BL1052" s="2">
        <v>41.73</v>
      </c>
      <c r="BM1052" s="2">
        <v>5.84</v>
      </c>
      <c r="BN1052" s="2">
        <v>47.57</v>
      </c>
      <c r="BO1052" s="2">
        <v>47.57</v>
      </c>
      <c r="BP1052" s="2"/>
      <c r="BQ1052" s="2" t="s">
        <v>434</v>
      </c>
      <c r="BR1052" s="2" t="s">
        <v>123</v>
      </c>
      <c r="BS1052" s="3">
        <v>42832</v>
      </c>
      <c r="BT1052" s="4">
        <v>0.2986111111111111</v>
      </c>
      <c r="BU1052" s="2" t="s">
        <v>435</v>
      </c>
      <c r="BV1052" s="2" t="s">
        <v>111</v>
      </c>
      <c r="BW1052" s="2"/>
      <c r="BX1052" s="2"/>
      <c r="BY1052" s="2">
        <v>8593.92</v>
      </c>
      <c r="BZ1052" s="2" t="s">
        <v>27</v>
      </c>
      <c r="CA1052" s="2"/>
      <c r="CB1052" s="2"/>
      <c r="CC1052" s="2" t="s">
        <v>100</v>
      </c>
      <c r="CD1052" s="2">
        <v>6001</v>
      </c>
      <c r="CE1052" s="2" t="s">
        <v>118</v>
      </c>
      <c r="CF1052" s="5">
        <v>42835</v>
      </c>
      <c r="CG1052" s="2"/>
      <c r="CH1052" s="2"/>
      <c r="CI1052" s="2">
        <v>1</v>
      </c>
      <c r="CJ1052" s="2">
        <v>1</v>
      </c>
      <c r="CK1052" s="2">
        <v>21</v>
      </c>
      <c r="CL1052" s="2" t="s">
        <v>86</v>
      </c>
      <c r="CM1052" s="2"/>
    </row>
    <row r="1053" spans="1:91">
      <c r="A1053" s="2" t="s">
        <v>71</v>
      </c>
      <c r="B1053" s="2" t="s">
        <v>72</v>
      </c>
      <c r="C1053" s="2" t="s">
        <v>73</v>
      </c>
      <c r="D1053" s="2"/>
      <c r="E1053" s="2" t="str">
        <f>"FES1162541659"</f>
        <v>FES1162541659</v>
      </c>
      <c r="F1053" s="3">
        <v>42830</v>
      </c>
      <c r="G1053" s="2">
        <v>201710</v>
      </c>
      <c r="H1053" s="2" t="s">
        <v>74</v>
      </c>
      <c r="I1053" s="2" t="s">
        <v>75</v>
      </c>
      <c r="J1053" s="2" t="s">
        <v>76</v>
      </c>
      <c r="K1053" s="2" t="s">
        <v>77</v>
      </c>
      <c r="L1053" s="2" t="s">
        <v>99</v>
      </c>
      <c r="M1053" s="2" t="s">
        <v>100</v>
      </c>
      <c r="N1053" s="2" t="s">
        <v>433</v>
      </c>
      <c r="O1053" s="2" t="s">
        <v>115</v>
      </c>
      <c r="P1053" s="2" t="str">
        <f>"2170558516                    "</f>
        <v xml:space="preserve">2170558516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4.29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1</v>
      </c>
      <c r="BJ1053" s="2">
        <v>0.2</v>
      </c>
      <c r="BK1053" s="2">
        <v>1</v>
      </c>
      <c r="BL1053" s="2">
        <v>41.73</v>
      </c>
      <c r="BM1053" s="2">
        <v>5.84</v>
      </c>
      <c r="BN1053" s="2">
        <v>47.57</v>
      </c>
      <c r="BO1053" s="2">
        <v>47.57</v>
      </c>
      <c r="BP1053" s="2"/>
      <c r="BQ1053" s="2" t="s">
        <v>434</v>
      </c>
      <c r="BR1053" s="2" t="s">
        <v>123</v>
      </c>
      <c r="BS1053" s="3">
        <v>42831</v>
      </c>
      <c r="BT1053" s="4">
        <v>0.4201388888888889</v>
      </c>
      <c r="BU1053" s="2" t="s">
        <v>130</v>
      </c>
      <c r="BV1053" s="2" t="s">
        <v>111</v>
      </c>
      <c r="BW1053" s="2"/>
      <c r="BX1053" s="2"/>
      <c r="BY1053" s="2">
        <v>1200</v>
      </c>
      <c r="BZ1053" s="2" t="s">
        <v>27</v>
      </c>
      <c r="CA1053" s="2"/>
      <c r="CB1053" s="2"/>
      <c r="CC1053" s="2" t="s">
        <v>100</v>
      </c>
      <c r="CD1053" s="2">
        <v>6001</v>
      </c>
      <c r="CE1053" s="2" t="s">
        <v>144</v>
      </c>
      <c r="CF1053" s="5">
        <v>42832</v>
      </c>
      <c r="CG1053" s="2"/>
      <c r="CH1053" s="2"/>
      <c r="CI1053" s="2">
        <v>1</v>
      </c>
      <c r="CJ1053" s="2">
        <v>1</v>
      </c>
      <c r="CK1053" s="2">
        <v>21</v>
      </c>
      <c r="CL1053" s="2" t="s">
        <v>86</v>
      </c>
      <c r="CM1053" s="2"/>
    </row>
    <row r="1054" spans="1:91">
      <c r="A1054" s="2" t="s">
        <v>71</v>
      </c>
      <c r="B1054" s="2" t="s">
        <v>72</v>
      </c>
      <c r="C1054" s="2" t="s">
        <v>73</v>
      </c>
      <c r="D1054" s="2"/>
      <c r="E1054" s="2" t="str">
        <f>"FES1162543085"</f>
        <v>FES1162543085</v>
      </c>
      <c r="F1054" s="3">
        <v>42836</v>
      </c>
      <c r="G1054" s="2">
        <v>201710</v>
      </c>
      <c r="H1054" s="2" t="s">
        <v>74</v>
      </c>
      <c r="I1054" s="2" t="s">
        <v>75</v>
      </c>
      <c r="J1054" s="2" t="s">
        <v>76</v>
      </c>
      <c r="K1054" s="2" t="s">
        <v>77</v>
      </c>
      <c r="L1054" s="2" t="s">
        <v>131</v>
      </c>
      <c r="M1054" s="2" t="s">
        <v>132</v>
      </c>
      <c r="N1054" s="2" t="s">
        <v>1097</v>
      </c>
      <c r="O1054" s="2" t="s">
        <v>115</v>
      </c>
      <c r="P1054" s="2" t="str">
        <f>"2170561875                    "</f>
        <v xml:space="preserve">2170561875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4.29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1</v>
      </c>
      <c r="BJ1054" s="2">
        <v>0.2</v>
      </c>
      <c r="BK1054" s="2">
        <v>1</v>
      </c>
      <c r="BL1054" s="2">
        <v>41.73</v>
      </c>
      <c r="BM1054" s="2">
        <v>5.84</v>
      </c>
      <c r="BN1054" s="2">
        <v>47.57</v>
      </c>
      <c r="BO1054" s="2">
        <v>47.57</v>
      </c>
      <c r="BP1054" s="2"/>
      <c r="BQ1054" s="2" t="s">
        <v>1098</v>
      </c>
      <c r="BR1054" s="2" t="s">
        <v>123</v>
      </c>
      <c r="BS1054" s="3">
        <v>42837</v>
      </c>
      <c r="BT1054" s="4">
        <v>0.41666666666666669</v>
      </c>
      <c r="BU1054" s="2" t="s">
        <v>1635</v>
      </c>
      <c r="BV1054" s="2" t="s">
        <v>111</v>
      </c>
      <c r="BW1054" s="2"/>
      <c r="BX1054" s="2"/>
      <c r="BY1054" s="2">
        <v>1200</v>
      </c>
      <c r="BZ1054" s="2" t="s">
        <v>27</v>
      </c>
      <c r="CA1054" s="2" t="s">
        <v>159</v>
      </c>
      <c r="CB1054" s="2"/>
      <c r="CC1054" s="2" t="s">
        <v>132</v>
      </c>
      <c r="CD1054" s="2">
        <v>7925</v>
      </c>
      <c r="CE1054" s="2" t="s">
        <v>118</v>
      </c>
      <c r="CF1054" s="5">
        <v>42838</v>
      </c>
      <c r="CG1054" s="2"/>
      <c r="CH1054" s="2"/>
      <c r="CI1054" s="2">
        <v>1</v>
      </c>
      <c r="CJ1054" s="2">
        <v>1</v>
      </c>
      <c r="CK1054" s="2">
        <v>21</v>
      </c>
      <c r="CL1054" s="2" t="s">
        <v>86</v>
      </c>
      <c r="CM1054" s="2"/>
    </row>
    <row r="1055" spans="1:91">
      <c r="A1055" s="2" t="s">
        <v>71</v>
      </c>
      <c r="B1055" s="2" t="s">
        <v>72</v>
      </c>
      <c r="C1055" s="2" t="s">
        <v>73</v>
      </c>
      <c r="D1055" s="2"/>
      <c r="E1055" s="2" t="str">
        <f>"FES1162541929"</f>
        <v>FES1162541929</v>
      </c>
      <c r="F1055" s="3">
        <v>42831</v>
      </c>
      <c r="G1055" s="2">
        <v>201710</v>
      </c>
      <c r="H1055" s="2" t="s">
        <v>74</v>
      </c>
      <c r="I1055" s="2" t="s">
        <v>75</v>
      </c>
      <c r="J1055" s="2" t="s">
        <v>76</v>
      </c>
      <c r="K1055" s="2" t="s">
        <v>77</v>
      </c>
      <c r="L1055" s="2" t="s">
        <v>74</v>
      </c>
      <c r="M1055" s="2" t="s">
        <v>75</v>
      </c>
      <c r="N1055" s="2" t="s">
        <v>436</v>
      </c>
      <c r="O1055" s="2" t="s">
        <v>115</v>
      </c>
      <c r="P1055" s="2" t="str">
        <f>"2170560916                    "</f>
        <v xml:space="preserve">2170560916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3.35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1</v>
      </c>
      <c r="BJ1055" s="2">
        <v>1.1000000000000001</v>
      </c>
      <c r="BK1055" s="2">
        <v>2</v>
      </c>
      <c r="BL1055" s="2">
        <v>32.6</v>
      </c>
      <c r="BM1055" s="2">
        <v>4.5599999999999996</v>
      </c>
      <c r="BN1055" s="2">
        <v>37.159999999999997</v>
      </c>
      <c r="BO1055" s="2">
        <v>37.159999999999997</v>
      </c>
      <c r="BP1055" s="2"/>
      <c r="BQ1055" s="2" t="s">
        <v>437</v>
      </c>
      <c r="BR1055" s="2" t="s">
        <v>123</v>
      </c>
      <c r="BS1055" s="3">
        <v>42832</v>
      </c>
      <c r="BT1055" s="4">
        <v>0.37361111111111112</v>
      </c>
      <c r="BU1055" s="2" t="s">
        <v>1254</v>
      </c>
      <c r="BV1055" s="2" t="s">
        <v>111</v>
      </c>
      <c r="BW1055" s="2"/>
      <c r="BX1055" s="2"/>
      <c r="BY1055" s="2">
        <v>5581.13</v>
      </c>
      <c r="BZ1055" s="2" t="s">
        <v>27</v>
      </c>
      <c r="CA1055" s="2" t="s">
        <v>383</v>
      </c>
      <c r="CB1055" s="2"/>
      <c r="CC1055" s="2" t="s">
        <v>75</v>
      </c>
      <c r="CD1055" s="2">
        <v>1600</v>
      </c>
      <c r="CE1055" s="2" t="s">
        <v>118</v>
      </c>
      <c r="CF1055" s="5">
        <v>42835</v>
      </c>
      <c r="CG1055" s="2"/>
      <c r="CH1055" s="2"/>
      <c r="CI1055" s="2">
        <v>1</v>
      </c>
      <c r="CJ1055" s="2">
        <v>1</v>
      </c>
      <c r="CK1055" s="2">
        <v>22</v>
      </c>
      <c r="CL1055" s="2" t="s">
        <v>86</v>
      </c>
      <c r="CM1055" s="2"/>
    </row>
    <row r="1056" spans="1:91">
      <c r="A1056" s="2" t="s">
        <v>71</v>
      </c>
      <c r="B1056" s="2" t="s">
        <v>72</v>
      </c>
      <c r="C1056" s="2" t="s">
        <v>73</v>
      </c>
      <c r="D1056" s="2"/>
      <c r="E1056" s="2" t="str">
        <f>"FES1162541286"</f>
        <v>FES1162541286</v>
      </c>
      <c r="F1056" s="3">
        <v>42829</v>
      </c>
      <c r="G1056" s="2">
        <v>201710</v>
      </c>
      <c r="H1056" s="2" t="s">
        <v>74</v>
      </c>
      <c r="I1056" s="2" t="s">
        <v>75</v>
      </c>
      <c r="J1056" s="2" t="s">
        <v>76</v>
      </c>
      <c r="K1056" s="2" t="s">
        <v>77</v>
      </c>
      <c r="L1056" s="2" t="s">
        <v>496</v>
      </c>
      <c r="M1056" s="2" t="s">
        <v>497</v>
      </c>
      <c r="N1056" s="2" t="s">
        <v>1636</v>
      </c>
      <c r="O1056" s="2" t="s">
        <v>115</v>
      </c>
      <c r="P1056" s="2" t="str">
        <f>"2170560349                    "</f>
        <v xml:space="preserve">2170560349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3.45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1</v>
      </c>
      <c r="BJ1056" s="2">
        <v>0.2</v>
      </c>
      <c r="BK1056" s="2">
        <v>1</v>
      </c>
      <c r="BL1056" s="2">
        <v>32.700000000000003</v>
      </c>
      <c r="BM1056" s="2">
        <v>4.58</v>
      </c>
      <c r="BN1056" s="2">
        <v>37.28</v>
      </c>
      <c r="BO1056" s="2">
        <v>37.28</v>
      </c>
      <c r="BP1056" s="2"/>
      <c r="BQ1056" s="2" t="s">
        <v>1637</v>
      </c>
      <c r="BR1056" s="2" t="s">
        <v>123</v>
      </c>
      <c r="BS1056" s="3">
        <v>42830</v>
      </c>
      <c r="BT1056" s="4">
        <v>0.42638888888888887</v>
      </c>
      <c r="BU1056" s="2" t="s">
        <v>170</v>
      </c>
      <c r="BV1056" s="2" t="s">
        <v>111</v>
      </c>
      <c r="BW1056" s="2"/>
      <c r="BX1056" s="2"/>
      <c r="BY1056" s="2">
        <v>1200</v>
      </c>
      <c r="BZ1056" s="2" t="s">
        <v>27</v>
      </c>
      <c r="CA1056" s="2"/>
      <c r="CB1056" s="2"/>
      <c r="CC1056" s="2" t="s">
        <v>497</v>
      </c>
      <c r="CD1056" s="2">
        <v>1559</v>
      </c>
      <c r="CE1056" s="2" t="s">
        <v>118</v>
      </c>
      <c r="CF1056" s="5">
        <v>42831</v>
      </c>
      <c r="CG1056" s="2"/>
      <c r="CH1056" s="2"/>
      <c r="CI1056" s="2">
        <v>1</v>
      </c>
      <c r="CJ1056" s="2">
        <v>1</v>
      </c>
      <c r="CK1056" s="2">
        <v>22</v>
      </c>
      <c r="CL1056" s="2" t="s">
        <v>86</v>
      </c>
      <c r="CM1056" s="2"/>
    </row>
    <row r="1057" spans="1:91">
      <c r="A1057" s="2" t="s">
        <v>71</v>
      </c>
      <c r="B1057" s="2" t="s">
        <v>72</v>
      </c>
      <c r="C1057" s="2" t="s">
        <v>73</v>
      </c>
      <c r="D1057" s="2"/>
      <c r="E1057" s="2" t="str">
        <f>"FES1162542752"</f>
        <v>FES1162542752</v>
      </c>
      <c r="F1057" s="3">
        <v>42836</v>
      </c>
      <c r="G1057" s="2">
        <v>201710</v>
      </c>
      <c r="H1057" s="2" t="s">
        <v>74</v>
      </c>
      <c r="I1057" s="2" t="s">
        <v>75</v>
      </c>
      <c r="J1057" s="2" t="s">
        <v>76</v>
      </c>
      <c r="K1057" s="2" t="s">
        <v>77</v>
      </c>
      <c r="L1057" s="2" t="s">
        <v>166</v>
      </c>
      <c r="M1057" s="2" t="s">
        <v>167</v>
      </c>
      <c r="N1057" s="2" t="s">
        <v>1507</v>
      </c>
      <c r="O1057" s="2" t="s">
        <v>115</v>
      </c>
      <c r="P1057" s="2" t="str">
        <f>"2170561504                    "</f>
        <v xml:space="preserve">2170561504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3.35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1</v>
      </c>
      <c r="BJ1057" s="2">
        <v>0.2</v>
      </c>
      <c r="BK1057" s="2">
        <v>1</v>
      </c>
      <c r="BL1057" s="2">
        <v>32.6</v>
      </c>
      <c r="BM1057" s="2">
        <v>4.5599999999999996</v>
      </c>
      <c r="BN1057" s="2">
        <v>37.159999999999997</v>
      </c>
      <c r="BO1057" s="2">
        <v>37.159999999999997</v>
      </c>
      <c r="BP1057" s="2"/>
      <c r="BQ1057" s="2" t="s">
        <v>1571</v>
      </c>
      <c r="BR1057" s="2" t="s">
        <v>123</v>
      </c>
      <c r="BS1057" s="3">
        <v>42837</v>
      </c>
      <c r="BT1057" s="4">
        <v>0.41666666666666669</v>
      </c>
      <c r="BU1057" s="2" t="s">
        <v>1638</v>
      </c>
      <c r="BV1057" s="2" t="s">
        <v>111</v>
      </c>
      <c r="BW1057" s="2"/>
      <c r="BX1057" s="2"/>
      <c r="BY1057" s="2">
        <v>1200</v>
      </c>
      <c r="BZ1057" s="2" t="s">
        <v>27</v>
      </c>
      <c r="CA1057" s="2"/>
      <c r="CB1057" s="2"/>
      <c r="CC1057" s="2" t="s">
        <v>167</v>
      </c>
      <c r="CD1057" s="2">
        <v>2091</v>
      </c>
      <c r="CE1057" s="2" t="s">
        <v>118</v>
      </c>
      <c r="CF1057" s="5">
        <v>42838</v>
      </c>
      <c r="CG1057" s="2"/>
      <c r="CH1057" s="2"/>
      <c r="CI1057" s="2">
        <v>1</v>
      </c>
      <c r="CJ1057" s="2">
        <v>1</v>
      </c>
      <c r="CK1057" s="2">
        <v>22</v>
      </c>
      <c r="CL1057" s="2" t="s">
        <v>86</v>
      </c>
      <c r="CM1057" s="2"/>
    </row>
    <row r="1058" spans="1:91">
      <c r="A1058" s="2" t="s">
        <v>71</v>
      </c>
      <c r="B1058" s="2" t="s">
        <v>72</v>
      </c>
      <c r="C1058" s="2" t="s">
        <v>73</v>
      </c>
      <c r="D1058" s="2"/>
      <c r="E1058" s="2" t="str">
        <f>"FES1162542002"</f>
        <v>FES1162542002</v>
      </c>
      <c r="F1058" s="3">
        <v>42831</v>
      </c>
      <c r="G1058" s="2">
        <v>201710</v>
      </c>
      <c r="H1058" s="2" t="s">
        <v>74</v>
      </c>
      <c r="I1058" s="2" t="s">
        <v>75</v>
      </c>
      <c r="J1058" s="2" t="s">
        <v>76</v>
      </c>
      <c r="K1058" s="2" t="s">
        <v>77</v>
      </c>
      <c r="L1058" s="2" t="s">
        <v>99</v>
      </c>
      <c r="M1058" s="2" t="s">
        <v>100</v>
      </c>
      <c r="N1058" s="2" t="s">
        <v>481</v>
      </c>
      <c r="O1058" s="2" t="s">
        <v>115</v>
      </c>
      <c r="P1058" s="2" t="str">
        <f>"2170558354                    "</f>
        <v xml:space="preserve">2170558354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4.29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1</v>
      </c>
      <c r="BJ1058" s="2">
        <v>0.2</v>
      </c>
      <c r="BK1058" s="2">
        <v>1</v>
      </c>
      <c r="BL1058" s="2">
        <v>41.73</v>
      </c>
      <c r="BM1058" s="2">
        <v>5.84</v>
      </c>
      <c r="BN1058" s="2">
        <v>47.57</v>
      </c>
      <c r="BO1058" s="2">
        <v>47.57</v>
      </c>
      <c r="BP1058" s="2"/>
      <c r="BQ1058" s="2" t="s">
        <v>482</v>
      </c>
      <c r="BR1058" s="2" t="s">
        <v>123</v>
      </c>
      <c r="BS1058" s="3">
        <v>42832</v>
      </c>
      <c r="BT1058" s="4">
        <v>0.31875000000000003</v>
      </c>
      <c r="BU1058" s="2" t="s">
        <v>904</v>
      </c>
      <c r="BV1058" s="2" t="s">
        <v>111</v>
      </c>
      <c r="BW1058" s="2"/>
      <c r="BX1058" s="2"/>
      <c r="BY1058" s="2">
        <v>1200</v>
      </c>
      <c r="BZ1058" s="2" t="s">
        <v>27</v>
      </c>
      <c r="CA1058" s="2" t="s">
        <v>159</v>
      </c>
      <c r="CB1058" s="2"/>
      <c r="CC1058" s="2" t="s">
        <v>100</v>
      </c>
      <c r="CD1058" s="2">
        <v>6001</v>
      </c>
      <c r="CE1058" s="2" t="s">
        <v>118</v>
      </c>
      <c r="CF1058" s="5">
        <v>42835</v>
      </c>
      <c r="CG1058" s="2"/>
      <c r="CH1058" s="2"/>
      <c r="CI1058" s="2">
        <v>1</v>
      </c>
      <c r="CJ1058" s="2">
        <v>1</v>
      </c>
      <c r="CK1058" s="2">
        <v>21</v>
      </c>
      <c r="CL1058" s="2" t="s">
        <v>86</v>
      </c>
      <c r="CM1058" s="2"/>
    </row>
    <row r="1059" spans="1:91">
      <c r="A1059" s="2" t="s">
        <v>71</v>
      </c>
      <c r="B1059" s="2" t="s">
        <v>72</v>
      </c>
      <c r="C1059" s="2" t="s">
        <v>73</v>
      </c>
      <c r="D1059" s="2"/>
      <c r="E1059" s="2" t="str">
        <f>"FES1162541726"</f>
        <v>FES1162541726</v>
      </c>
      <c r="F1059" s="3">
        <v>42830</v>
      </c>
      <c r="G1059" s="2">
        <v>201710</v>
      </c>
      <c r="H1059" s="2" t="s">
        <v>74</v>
      </c>
      <c r="I1059" s="2" t="s">
        <v>75</v>
      </c>
      <c r="J1059" s="2" t="s">
        <v>76</v>
      </c>
      <c r="K1059" s="2" t="s">
        <v>77</v>
      </c>
      <c r="L1059" s="2" t="s">
        <v>166</v>
      </c>
      <c r="M1059" s="2" t="s">
        <v>167</v>
      </c>
      <c r="N1059" s="2" t="s">
        <v>1639</v>
      </c>
      <c r="O1059" s="2" t="s">
        <v>115</v>
      </c>
      <c r="P1059" s="2" t="str">
        <f>"2170560727                    "</f>
        <v xml:space="preserve">2170560727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3.35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1</v>
      </c>
      <c r="BJ1059" s="2">
        <v>1.5</v>
      </c>
      <c r="BK1059" s="2">
        <v>2</v>
      </c>
      <c r="BL1059" s="2">
        <v>32.6</v>
      </c>
      <c r="BM1059" s="2">
        <v>4.5599999999999996</v>
      </c>
      <c r="BN1059" s="2">
        <v>37.159999999999997</v>
      </c>
      <c r="BO1059" s="2">
        <v>37.159999999999997</v>
      </c>
      <c r="BP1059" s="2"/>
      <c r="BQ1059" s="2" t="s">
        <v>1640</v>
      </c>
      <c r="BR1059" s="2" t="s">
        <v>123</v>
      </c>
      <c r="BS1059" s="3">
        <v>42831</v>
      </c>
      <c r="BT1059" s="4">
        <v>0.65833333333333333</v>
      </c>
      <c r="BU1059" s="2" t="s">
        <v>1641</v>
      </c>
      <c r="BV1059" s="2" t="s">
        <v>86</v>
      </c>
      <c r="BW1059" s="2" t="s">
        <v>96</v>
      </c>
      <c r="BX1059" s="2" t="s">
        <v>939</v>
      </c>
      <c r="BY1059" s="2">
        <v>7521.79</v>
      </c>
      <c r="BZ1059" s="2" t="s">
        <v>27</v>
      </c>
      <c r="CA1059" s="2"/>
      <c r="CB1059" s="2"/>
      <c r="CC1059" s="2" t="s">
        <v>167</v>
      </c>
      <c r="CD1059" s="2">
        <v>1821</v>
      </c>
      <c r="CE1059" s="2" t="s">
        <v>144</v>
      </c>
      <c r="CF1059" s="5">
        <v>42833</v>
      </c>
      <c r="CG1059" s="2"/>
      <c r="CH1059" s="2"/>
      <c r="CI1059" s="2">
        <v>1</v>
      </c>
      <c r="CJ1059" s="2">
        <v>1</v>
      </c>
      <c r="CK1059" s="2">
        <v>22</v>
      </c>
      <c r="CL1059" s="2" t="s">
        <v>86</v>
      </c>
      <c r="CM1059" s="2"/>
    </row>
    <row r="1060" spans="1:91">
      <c r="A1060" s="2" t="s">
        <v>71</v>
      </c>
      <c r="B1060" s="2" t="s">
        <v>72</v>
      </c>
      <c r="C1060" s="2" t="s">
        <v>73</v>
      </c>
      <c r="D1060" s="2"/>
      <c r="E1060" s="2" t="str">
        <f>"FES1162543032"</f>
        <v>FES1162543032</v>
      </c>
      <c r="F1060" s="3">
        <v>42836</v>
      </c>
      <c r="G1060" s="2">
        <v>201710</v>
      </c>
      <c r="H1060" s="2" t="s">
        <v>74</v>
      </c>
      <c r="I1060" s="2" t="s">
        <v>75</v>
      </c>
      <c r="J1060" s="2" t="s">
        <v>76</v>
      </c>
      <c r="K1060" s="2" t="s">
        <v>77</v>
      </c>
      <c r="L1060" s="2" t="s">
        <v>139</v>
      </c>
      <c r="M1060" s="2" t="s">
        <v>140</v>
      </c>
      <c r="N1060" s="2" t="s">
        <v>141</v>
      </c>
      <c r="O1060" s="2" t="s">
        <v>115</v>
      </c>
      <c r="P1060" s="2" t="str">
        <f>"2170561819                    "</f>
        <v xml:space="preserve">2170561819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4.29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1</v>
      </c>
      <c r="BJ1060" s="2">
        <v>0.2</v>
      </c>
      <c r="BK1060" s="2">
        <v>1</v>
      </c>
      <c r="BL1060" s="2">
        <v>41.73</v>
      </c>
      <c r="BM1060" s="2">
        <v>5.84</v>
      </c>
      <c r="BN1060" s="2">
        <v>47.57</v>
      </c>
      <c r="BO1060" s="2">
        <v>47.57</v>
      </c>
      <c r="BP1060" s="2"/>
      <c r="BQ1060" s="2" t="s">
        <v>142</v>
      </c>
      <c r="BR1060" s="2" t="s">
        <v>123</v>
      </c>
      <c r="BS1060" s="3">
        <v>42837</v>
      </c>
      <c r="BT1060" s="4">
        <v>0.42708333333333331</v>
      </c>
      <c r="BU1060" s="2" t="s">
        <v>1642</v>
      </c>
      <c r="BV1060" s="2" t="s">
        <v>111</v>
      </c>
      <c r="BW1060" s="2"/>
      <c r="BX1060" s="2"/>
      <c r="BY1060" s="2">
        <v>1200</v>
      </c>
      <c r="BZ1060" s="2" t="s">
        <v>27</v>
      </c>
      <c r="CA1060" s="2"/>
      <c r="CB1060" s="2"/>
      <c r="CC1060" s="2" t="s">
        <v>140</v>
      </c>
      <c r="CD1060" s="2">
        <v>157</v>
      </c>
      <c r="CE1060" s="2" t="s">
        <v>118</v>
      </c>
      <c r="CF1060" s="5">
        <v>42843</v>
      </c>
      <c r="CG1060" s="2"/>
      <c r="CH1060" s="2"/>
      <c r="CI1060" s="2">
        <v>0</v>
      </c>
      <c r="CJ1060" s="2">
        <v>0</v>
      </c>
      <c r="CK1060" s="2">
        <v>21</v>
      </c>
      <c r="CL1060" s="2" t="s">
        <v>86</v>
      </c>
      <c r="CM1060" s="2"/>
    </row>
    <row r="1061" spans="1:91">
      <c r="A1061" s="2" t="s">
        <v>71</v>
      </c>
      <c r="B1061" s="2" t="s">
        <v>72</v>
      </c>
      <c r="C1061" s="2" t="s">
        <v>73</v>
      </c>
      <c r="D1061" s="2"/>
      <c r="E1061" s="2" t="str">
        <f>"FES1162542022"</f>
        <v>FES1162542022</v>
      </c>
      <c r="F1061" s="3">
        <v>42831</v>
      </c>
      <c r="G1061" s="2">
        <v>201710</v>
      </c>
      <c r="H1061" s="2" t="s">
        <v>74</v>
      </c>
      <c r="I1061" s="2" t="s">
        <v>75</v>
      </c>
      <c r="J1061" s="2" t="s">
        <v>76</v>
      </c>
      <c r="K1061" s="2" t="s">
        <v>77</v>
      </c>
      <c r="L1061" s="2" t="s">
        <v>234</v>
      </c>
      <c r="M1061" s="2" t="s">
        <v>235</v>
      </c>
      <c r="N1061" s="2" t="s">
        <v>1643</v>
      </c>
      <c r="O1061" s="2" t="s">
        <v>115</v>
      </c>
      <c r="P1061" s="2" t="str">
        <f>"2170559700                    "</f>
        <v xml:space="preserve">2170559700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4.29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1</v>
      </c>
      <c r="BJ1061" s="2">
        <v>0.2</v>
      </c>
      <c r="BK1061" s="2">
        <v>1</v>
      </c>
      <c r="BL1061" s="2">
        <v>41.73</v>
      </c>
      <c r="BM1061" s="2">
        <v>5.84</v>
      </c>
      <c r="BN1061" s="2">
        <v>47.57</v>
      </c>
      <c r="BO1061" s="2">
        <v>47.57</v>
      </c>
      <c r="BP1061" s="2"/>
      <c r="BQ1061" s="2" t="s">
        <v>1644</v>
      </c>
      <c r="BR1061" s="2" t="s">
        <v>123</v>
      </c>
      <c r="BS1061" s="3">
        <v>42832</v>
      </c>
      <c r="BT1061" s="4">
        <v>0.36805555555555558</v>
      </c>
      <c r="BU1061" s="2" t="s">
        <v>245</v>
      </c>
      <c r="BV1061" s="2" t="s">
        <v>111</v>
      </c>
      <c r="BW1061" s="2"/>
      <c r="BX1061" s="2"/>
      <c r="BY1061" s="2">
        <v>1200</v>
      </c>
      <c r="BZ1061" s="2" t="s">
        <v>27</v>
      </c>
      <c r="CA1061" s="2"/>
      <c r="CB1061" s="2"/>
      <c r="CC1061" s="2" t="s">
        <v>235</v>
      </c>
      <c r="CD1061" s="2">
        <v>6220</v>
      </c>
      <c r="CE1061" s="2" t="s">
        <v>118</v>
      </c>
      <c r="CF1061" s="5">
        <v>42835</v>
      </c>
      <c r="CG1061" s="2"/>
      <c r="CH1061" s="2"/>
      <c r="CI1061" s="2">
        <v>1</v>
      </c>
      <c r="CJ1061" s="2">
        <v>1</v>
      </c>
      <c r="CK1061" s="2">
        <v>21</v>
      </c>
      <c r="CL1061" s="2" t="s">
        <v>86</v>
      </c>
      <c r="CM1061" s="2"/>
    </row>
    <row r="1062" spans="1:91">
      <c r="A1062" s="2" t="s">
        <v>71</v>
      </c>
      <c r="B1062" s="2" t="s">
        <v>72</v>
      </c>
      <c r="C1062" s="2" t="s">
        <v>73</v>
      </c>
      <c r="D1062" s="2"/>
      <c r="E1062" s="2" t="str">
        <f>"FES1162541252"</f>
        <v>FES1162541252</v>
      </c>
      <c r="F1062" s="3">
        <v>42829</v>
      </c>
      <c r="G1062" s="2">
        <v>201710</v>
      </c>
      <c r="H1062" s="2" t="s">
        <v>74</v>
      </c>
      <c r="I1062" s="2" t="s">
        <v>75</v>
      </c>
      <c r="J1062" s="2" t="s">
        <v>76</v>
      </c>
      <c r="K1062" s="2" t="s">
        <v>77</v>
      </c>
      <c r="L1062" s="2" t="s">
        <v>187</v>
      </c>
      <c r="M1062" s="2" t="s">
        <v>146</v>
      </c>
      <c r="N1062" s="2" t="s">
        <v>326</v>
      </c>
      <c r="O1062" s="2" t="s">
        <v>115</v>
      </c>
      <c r="P1062" s="2" t="str">
        <f>"2170560189                    "</f>
        <v xml:space="preserve">2170560189 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4.42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1</v>
      </c>
      <c r="BJ1062" s="2">
        <v>0.2</v>
      </c>
      <c r="BK1062" s="2">
        <v>1</v>
      </c>
      <c r="BL1062" s="2">
        <v>41.86</v>
      </c>
      <c r="BM1062" s="2">
        <v>5.86</v>
      </c>
      <c r="BN1062" s="2">
        <v>47.72</v>
      </c>
      <c r="BO1062" s="2">
        <v>47.72</v>
      </c>
      <c r="BP1062" s="2"/>
      <c r="BQ1062" s="2" t="s">
        <v>327</v>
      </c>
      <c r="BR1062" s="2" t="s">
        <v>123</v>
      </c>
      <c r="BS1062" s="3">
        <v>42830</v>
      </c>
      <c r="BT1062" s="4">
        <v>0.41666666666666669</v>
      </c>
      <c r="BU1062" s="2" t="s">
        <v>1645</v>
      </c>
      <c r="BV1062" s="2" t="s">
        <v>111</v>
      </c>
      <c r="BW1062" s="2"/>
      <c r="BX1062" s="2"/>
      <c r="BY1062" s="2">
        <v>1200</v>
      </c>
      <c r="BZ1062" s="2" t="s">
        <v>27</v>
      </c>
      <c r="CA1062" s="2"/>
      <c r="CB1062" s="2"/>
      <c r="CC1062" s="2" t="s">
        <v>146</v>
      </c>
      <c r="CD1062" s="2">
        <v>200</v>
      </c>
      <c r="CE1062" s="2" t="s">
        <v>144</v>
      </c>
      <c r="CF1062" s="5">
        <v>42832</v>
      </c>
      <c r="CG1062" s="2"/>
      <c r="CH1062" s="2"/>
      <c r="CI1062" s="2">
        <v>0</v>
      </c>
      <c r="CJ1062" s="2">
        <v>0</v>
      </c>
      <c r="CK1062" s="2">
        <v>21</v>
      </c>
      <c r="CL1062" s="2" t="s">
        <v>86</v>
      </c>
      <c r="CM1062" s="2"/>
    </row>
    <row r="1063" spans="1:91">
      <c r="A1063" s="2" t="s">
        <v>71</v>
      </c>
      <c r="B1063" s="2" t="s">
        <v>72</v>
      </c>
      <c r="C1063" s="2" t="s">
        <v>73</v>
      </c>
      <c r="D1063" s="2"/>
      <c r="E1063" s="2" t="str">
        <f>"FES1162543119"</f>
        <v>FES1162543119</v>
      </c>
      <c r="F1063" s="3">
        <v>42836</v>
      </c>
      <c r="G1063" s="2">
        <v>201710</v>
      </c>
      <c r="H1063" s="2" t="s">
        <v>74</v>
      </c>
      <c r="I1063" s="2" t="s">
        <v>75</v>
      </c>
      <c r="J1063" s="2" t="s">
        <v>76</v>
      </c>
      <c r="K1063" s="2" t="s">
        <v>77</v>
      </c>
      <c r="L1063" s="2" t="s">
        <v>180</v>
      </c>
      <c r="M1063" s="2" t="s">
        <v>181</v>
      </c>
      <c r="N1063" s="2" t="s">
        <v>605</v>
      </c>
      <c r="O1063" s="2" t="s">
        <v>115</v>
      </c>
      <c r="P1063" s="2" t="str">
        <f>"2170561901                    "</f>
        <v xml:space="preserve">2170561901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4.29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1</v>
      </c>
      <c r="BJ1063" s="2">
        <v>0.2</v>
      </c>
      <c r="BK1063" s="2">
        <v>1</v>
      </c>
      <c r="BL1063" s="2">
        <v>41.73</v>
      </c>
      <c r="BM1063" s="2">
        <v>5.84</v>
      </c>
      <c r="BN1063" s="2">
        <v>47.57</v>
      </c>
      <c r="BO1063" s="2">
        <v>47.57</v>
      </c>
      <c r="BP1063" s="2"/>
      <c r="BQ1063" s="2" t="s">
        <v>606</v>
      </c>
      <c r="BR1063" s="2" t="s">
        <v>123</v>
      </c>
      <c r="BS1063" s="3">
        <v>42837</v>
      </c>
      <c r="BT1063" s="4">
        <v>0.4375</v>
      </c>
      <c r="BU1063" s="2" t="s">
        <v>1646</v>
      </c>
      <c r="BV1063" s="2" t="s">
        <v>111</v>
      </c>
      <c r="BW1063" s="2"/>
      <c r="BX1063" s="2"/>
      <c r="BY1063" s="2">
        <v>1200</v>
      </c>
      <c r="BZ1063" s="2" t="s">
        <v>27</v>
      </c>
      <c r="CA1063" s="2"/>
      <c r="CB1063" s="2"/>
      <c r="CC1063" s="2" t="s">
        <v>181</v>
      </c>
      <c r="CD1063" s="2">
        <v>4001</v>
      </c>
      <c r="CE1063" s="2" t="s">
        <v>118</v>
      </c>
      <c r="CF1063" s="5">
        <v>42838</v>
      </c>
      <c r="CG1063" s="2"/>
      <c r="CH1063" s="2"/>
      <c r="CI1063" s="2">
        <v>1</v>
      </c>
      <c r="CJ1063" s="2">
        <v>1</v>
      </c>
      <c r="CK1063" s="2">
        <v>21</v>
      </c>
      <c r="CL1063" s="2" t="s">
        <v>86</v>
      </c>
      <c r="CM1063" s="2"/>
    </row>
    <row r="1064" spans="1:91">
      <c r="A1064" s="2" t="s">
        <v>71</v>
      </c>
      <c r="B1064" s="2" t="s">
        <v>72</v>
      </c>
      <c r="C1064" s="2" t="s">
        <v>73</v>
      </c>
      <c r="D1064" s="2"/>
      <c r="E1064" s="2" t="str">
        <f>"FES1162541890"</f>
        <v>FES1162541890</v>
      </c>
      <c r="F1064" s="3">
        <v>42831</v>
      </c>
      <c r="G1064" s="2">
        <v>201710</v>
      </c>
      <c r="H1064" s="2" t="s">
        <v>74</v>
      </c>
      <c r="I1064" s="2" t="s">
        <v>75</v>
      </c>
      <c r="J1064" s="2" t="s">
        <v>76</v>
      </c>
      <c r="K1064" s="2" t="s">
        <v>77</v>
      </c>
      <c r="L1064" s="2" t="s">
        <v>99</v>
      </c>
      <c r="M1064" s="2" t="s">
        <v>100</v>
      </c>
      <c r="N1064" s="2" t="s">
        <v>433</v>
      </c>
      <c r="O1064" s="2" t="s">
        <v>115</v>
      </c>
      <c r="P1064" s="2" t="str">
        <f>"2170560902                    "</f>
        <v xml:space="preserve">2170560902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4.29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1</v>
      </c>
      <c r="BJ1064" s="2">
        <v>0.2</v>
      </c>
      <c r="BK1064" s="2">
        <v>1</v>
      </c>
      <c r="BL1064" s="2">
        <v>41.73</v>
      </c>
      <c r="BM1064" s="2">
        <v>5.84</v>
      </c>
      <c r="BN1064" s="2">
        <v>47.57</v>
      </c>
      <c r="BO1064" s="2">
        <v>47.57</v>
      </c>
      <c r="BP1064" s="2"/>
      <c r="BQ1064" s="2" t="s">
        <v>434</v>
      </c>
      <c r="BR1064" s="2" t="s">
        <v>123</v>
      </c>
      <c r="BS1064" s="3">
        <v>42832</v>
      </c>
      <c r="BT1064" s="4">
        <v>0.2986111111111111</v>
      </c>
      <c r="BU1064" s="2" t="s">
        <v>544</v>
      </c>
      <c r="BV1064" s="2" t="s">
        <v>111</v>
      </c>
      <c r="BW1064" s="2"/>
      <c r="BX1064" s="2"/>
      <c r="BY1064" s="2">
        <v>1200</v>
      </c>
      <c r="BZ1064" s="2" t="s">
        <v>27</v>
      </c>
      <c r="CA1064" s="2"/>
      <c r="CB1064" s="2"/>
      <c r="CC1064" s="2" t="s">
        <v>100</v>
      </c>
      <c r="CD1064" s="2">
        <v>6001</v>
      </c>
      <c r="CE1064" s="2" t="s">
        <v>118</v>
      </c>
      <c r="CF1064" s="5">
        <v>42835</v>
      </c>
      <c r="CG1064" s="2"/>
      <c r="CH1064" s="2"/>
      <c r="CI1064" s="2">
        <v>1</v>
      </c>
      <c r="CJ1064" s="2">
        <v>1</v>
      </c>
      <c r="CK1064" s="2">
        <v>21</v>
      </c>
      <c r="CL1064" s="2" t="s">
        <v>86</v>
      </c>
      <c r="CM1064" s="2"/>
    </row>
    <row r="1065" spans="1:91">
      <c r="A1065" s="2" t="s">
        <v>71</v>
      </c>
      <c r="B1065" s="2" t="s">
        <v>72</v>
      </c>
      <c r="C1065" s="2" t="s">
        <v>73</v>
      </c>
      <c r="D1065" s="2"/>
      <c r="E1065" s="2" t="str">
        <f>"FES1162541745"</f>
        <v>FES1162541745</v>
      </c>
      <c r="F1065" s="3">
        <v>42830</v>
      </c>
      <c r="G1065" s="2">
        <v>201710</v>
      </c>
      <c r="H1065" s="2" t="s">
        <v>74</v>
      </c>
      <c r="I1065" s="2" t="s">
        <v>75</v>
      </c>
      <c r="J1065" s="2" t="s">
        <v>76</v>
      </c>
      <c r="K1065" s="2" t="s">
        <v>77</v>
      </c>
      <c r="L1065" s="2" t="s">
        <v>99</v>
      </c>
      <c r="M1065" s="2" t="s">
        <v>100</v>
      </c>
      <c r="N1065" s="2" t="s">
        <v>108</v>
      </c>
      <c r="O1065" s="2" t="s">
        <v>115</v>
      </c>
      <c r="P1065" s="2" t="str">
        <f>"2170560753                    "</f>
        <v xml:space="preserve">2170560753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4.29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1</v>
      </c>
      <c r="BJ1065" s="2">
        <v>0.2</v>
      </c>
      <c r="BK1065" s="2">
        <v>1</v>
      </c>
      <c r="BL1065" s="2">
        <v>41.73</v>
      </c>
      <c r="BM1065" s="2">
        <v>5.84</v>
      </c>
      <c r="BN1065" s="2">
        <v>47.57</v>
      </c>
      <c r="BO1065" s="2">
        <v>47.57</v>
      </c>
      <c r="BP1065" s="2"/>
      <c r="BQ1065" s="2" t="s">
        <v>109</v>
      </c>
      <c r="BR1065" s="2" t="s">
        <v>123</v>
      </c>
      <c r="BS1065" s="3">
        <v>42831</v>
      </c>
      <c r="BT1065" s="4">
        <v>0.41666666666666669</v>
      </c>
      <c r="BU1065" s="2" t="s">
        <v>110</v>
      </c>
      <c r="BV1065" s="2" t="s">
        <v>111</v>
      </c>
      <c r="BW1065" s="2"/>
      <c r="BX1065" s="2"/>
      <c r="BY1065" s="2">
        <v>1200</v>
      </c>
      <c r="BZ1065" s="2" t="s">
        <v>27</v>
      </c>
      <c r="CA1065" s="2" t="s">
        <v>106</v>
      </c>
      <c r="CB1065" s="2"/>
      <c r="CC1065" s="2" t="s">
        <v>100</v>
      </c>
      <c r="CD1065" s="2">
        <v>6001</v>
      </c>
      <c r="CE1065" s="2" t="s">
        <v>144</v>
      </c>
      <c r="CF1065" s="5">
        <v>42831</v>
      </c>
      <c r="CG1065" s="2"/>
      <c r="CH1065" s="2"/>
      <c r="CI1065" s="2">
        <v>1</v>
      </c>
      <c r="CJ1065" s="2">
        <v>1</v>
      </c>
      <c r="CK1065" s="2">
        <v>21</v>
      </c>
      <c r="CL1065" s="2" t="s">
        <v>86</v>
      </c>
      <c r="CM1065" s="2"/>
    </row>
    <row r="1066" spans="1:91">
      <c r="A1066" s="2" t="s">
        <v>71</v>
      </c>
      <c r="B1066" s="2" t="s">
        <v>72</v>
      </c>
      <c r="C1066" s="2" t="s">
        <v>73</v>
      </c>
      <c r="D1066" s="2"/>
      <c r="E1066" s="2" t="str">
        <f>"FES1162543107"</f>
        <v>FES1162543107</v>
      </c>
      <c r="F1066" s="3">
        <v>42836</v>
      </c>
      <c r="G1066" s="2">
        <v>201710</v>
      </c>
      <c r="H1066" s="2" t="s">
        <v>74</v>
      </c>
      <c r="I1066" s="2" t="s">
        <v>75</v>
      </c>
      <c r="J1066" s="2" t="s">
        <v>76</v>
      </c>
      <c r="K1066" s="2" t="s">
        <v>77</v>
      </c>
      <c r="L1066" s="2" t="s">
        <v>294</v>
      </c>
      <c r="M1066" s="2" t="s">
        <v>295</v>
      </c>
      <c r="N1066" s="2" t="s">
        <v>416</v>
      </c>
      <c r="O1066" s="2" t="s">
        <v>115</v>
      </c>
      <c r="P1066" s="2" t="str">
        <f>"2170560731                    "</f>
        <v xml:space="preserve">2170560731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4.29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1</v>
      </c>
      <c r="BJ1066" s="2">
        <v>0.2</v>
      </c>
      <c r="BK1066" s="2">
        <v>1</v>
      </c>
      <c r="BL1066" s="2">
        <v>41.73</v>
      </c>
      <c r="BM1066" s="2">
        <v>5.84</v>
      </c>
      <c r="BN1066" s="2">
        <v>47.57</v>
      </c>
      <c r="BO1066" s="2">
        <v>47.57</v>
      </c>
      <c r="BP1066" s="2"/>
      <c r="BQ1066" s="2" t="s">
        <v>417</v>
      </c>
      <c r="BR1066" s="2" t="s">
        <v>123</v>
      </c>
      <c r="BS1066" s="3">
        <v>42837</v>
      </c>
      <c r="BT1066" s="4">
        <v>0.4375</v>
      </c>
      <c r="BU1066" s="2" t="s">
        <v>1176</v>
      </c>
      <c r="BV1066" s="2" t="s">
        <v>111</v>
      </c>
      <c r="BW1066" s="2"/>
      <c r="BX1066" s="2"/>
      <c r="BY1066" s="2">
        <v>1200</v>
      </c>
      <c r="BZ1066" s="2" t="s">
        <v>27</v>
      </c>
      <c r="CA1066" s="2"/>
      <c r="CB1066" s="2"/>
      <c r="CC1066" s="2" t="s">
        <v>295</v>
      </c>
      <c r="CD1066" s="2">
        <v>3610</v>
      </c>
      <c r="CE1066" s="2" t="s">
        <v>118</v>
      </c>
      <c r="CF1066" s="5">
        <v>42843</v>
      </c>
      <c r="CG1066" s="2"/>
      <c r="CH1066" s="2"/>
      <c r="CI1066" s="2">
        <v>1</v>
      </c>
      <c r="CJ1066" s="2">
        <v>1</v>
      </c>
      <c r="CK1066" s="2">
        <v>21</v>
      </c>
      <c r="CL1066" s="2" t="s">
        <v>86</v>
      </c>
      <c r="CM1066" s="2"/>
    </row>
    <row r="1067" spans="1:91">
      <c r="A1067" s="2" t="s">
        <v>71</v>
      </c>
      <c r="B1067" s="2" t="s">
        <v>72</v>
      </c>
      <c r="C1067" s="2" t="s">
        <v>73</v>
      </c>
      <c r="D1067" s="2"/>
      <c r="E1067" s="2" t="str">
        <f>"FES1162542064"</f>
        <v>FES1162542064</v>
      </c>
      <c r="F1067" s="3">
        <v>42831</v>
      </c>
      <c r="G1067" s="2">
        <v>201710</v>
      </c>
      <c r="H1067" s="2" t="s">
        <v>74</v>
      </c>
      <c r="I1067" s="2" t="s">
        <v>75</v>
      </c>
      <c r="J1067" s="2" t="s">
        <v>76</v>
      </c>
      <c r="K1067" s="2" t="s">
        <v>77</v>
      </c>
      <c r="L1067" s="2" t="s">
        <v>525</v>
      </c>
      <c r="M1067" s="2" t="s">
        <v>526</v>
      </c>
      <c r="N1067" s="2" t="s">
        <v>1647</v>
      </c>
      <c r="O1067" s="2" t="s">
        <v>115</v>
      </c>
      <c r="P1067" s="2" t="str">
        <f>"2170557665                    "</f>
        <v xml:space="preserve">2170557665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6.03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1</v>
      </c>
      <c r="BJ1067" s="2">
        <v>0.2</v>
      </c>
      <c r="BK1067" s="2">
        <v>1</v>
      </c>
      <c r="BL1067" s="2">
        <v>58.68</v>
      </c>
      <c r="BM1067" s="2">
        <v>8.2200000000000006</v>
      </c>
      <c r="BN1067" s="2">
        <v>66.900000000000006</v>
      </c>
      <c r="BO1067" s="2">
        <v>66.900000000000006</v>
      </c>
      <c r="BP1067" s="2"/>
      <c r="BQ1067" s="2" t="s">
        <v>1648</v>
      </c>
      <c r="BR1067" s="2" t="s">
        <v>123</v>
      </c>
      <c r="BS1067" s="3">
        <v>42832</v>
      </c>
      <c r="BT1067" s="4">
        <v>0.41666666666666669</v>
      </c>
      <c r="BU1067" s="2" t="s">
        <v>1649</v>
      </c>
      <c r="BV1067" s="2" t="s">
        <v>111</v>
      </c>
      <c r="BW1067" s="2"/>
      <c r="BX1067" s="2"/>
      <c r="BY1067" s="2">
        <v>1200</v>
      </c>
      <c r="BZ1067" s="2" t="s">
        <v>27</v>
      </c>
      <c r="CA1067" s="2"/>
      <c r="CB1067" s="2"/>
      <c r="CC1067" s="2" t="s">
        <v>526</v>
      </c>
      <c r="CD1067" s="2">
        <v>2200</v>
      </c>
      <c r="CE1067" s="2" t="s">
        <v>118</v>
      </c>
      <c r="CF1067" s="5">
        <v>42835</v>
      </c>
      <c r="CG1067" s="2"/>
      <c r="CH1067" s="2"/>
      <c r="CI1067" s="2">
        <v>1</v>
      </c>
      <c r="CJ1067" s="2">
        <v>1</v>
      </c>
      <c r="CK1067" s="2">
        <v>24</v>
      </c>
      <c r="CL1067" s="2" t="s">
        <v>86</v>
      </c>
      <c r="CM1067" s="2"/>
    </row>
    <row r="1068" spans="1:91">
      <c r="A1068" s="2" t="s">
        <v>71</v>
      </c>
      <c r="B1068" s="2" t="s">
        <v>72</v>
      </c>
      <c r="C1068" s="2" t="s">
        <v>73</v>
      </c>
      <c r="D1068" s="2"/>
      <c r="E1068" s="2" t="str">
        <f>"FES1162541235"</f>
        <v>FES1162541235</v>
      </c>
      <c r="F1068" s="3">
        <v>42829</v>
      </c>
      <c r="G1068" s="2">
        <v>201710</v>
      </c>
      <c r="H1068" s="2" t="s">
        <v>74</v>
      </c>
      <c r="I1068" s="2" t="s">
        <v>75</v>
      </c>
      <c r="J1068" s="2" t="s">
        <v>76</v>
      </c>
      <c r="K1068" s="2" t="s">
        <v>77</v>
      </c>
      <c r="L1068" s="2" t="s">
        <v>549</v>
      </c>
      <c r="M1068" s="2" t="s">
        <v>550</v>
      </c>
      <c r="N1068" s="2" t="s">
        <v>689</v>
      </c>
      <c r="O1068" s="2" t="s">
        <v>115</v>
      </c>
      <c r="P1068" s="2" t="str">
        <f>"2170559490                    "</f>
        <v xml:space="preserve">2170559490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4.42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1</v>
      </c>
      <c r="BI1068" s="2">
        <v>1</v>
      </c>
      <c r="BJ1068" s="2">
        <v>0.2</v>
      </c>
      <c r="BK1068" s="2">
        <v>1</v>
      </c>
      <c r="BL1068" s="2">
        <v>41.86</v>
      </c>
      <c r="BM1068" s="2">
        <v>5.86</v>
      </c>
      <c r="BN1068" s="2">
        <v>47.72</v>
      </c>
      <c r="BO1068" s="2">
        <v>47.72</v>
      </c>
      <c r="BP1068" s="2"/>
      <c r="BQ1068" s="2" t="s">
        <v>690</v>
      </c>
      <c r="BR1068" s="2" t="s">
        <v>123</v>
      </c>
      <c r="BS1068" s="3">
        <v>42830</v>
      </c>
      <c r="BT1068" s="4">
        <v>0.41666666666666669</v>
      </c>
      <c r="BU1068" s="2" t="s">
        <v>1650</v>
      </c>
      <c r="BV1068" s="2" t="s">
        <v>111</v>
      </c>
      <c r="BW1068" s="2"/>
      <c r="BX1068" s="2"/>
      <c r="BY1068" s="2">
        <v>1200</v>
      </c>
      <c r="BZ1068" s="2" t="s">
        <v>27</v>
      </c>
      <c r="CA1068" s="2"/>
      <c r="CB1068" s="2"/>
      <c r="CC1068" s="2" t="s">
        <v>550</v>
      </c>
      <c r="CD1068" s="2">
        <v>3699</v>
      </c>
      <c r="CE1068" s="2" t="s">
        <v>144</v>
      </c>
      <c r="CF1068" s="5">
        <v>42832</v>
      </c>
      <c r="CG1068" s="2"/>
      <c r="CH1068" s="2"/>
      <c r="CI1068" s="2">
        <v>1</v>
      </c>
      <c r="CJ1068" s="2">
        <v>1</v>
      </c>
      <c r="CK1068" s="2">
        <v>21</v>
      </c>
      <c r="CL1068" s="2" t="s">
        <v>86</v>
      </c>
      <c r="CM1068" s="2"/>
    </row>
    <row r="1069" spans="1:91">
      <c r="A1069" s="2" t="s">
        <v>71</v>
      </c>
      <c r="B1069" s="2" t="s">
        <v>72</v>
      </c>
      <c r="C1069" s="2" t="s">
        <v>73</v>
      </c>
      <c r="D1069" s="2"/>
      <c r="E1069" s="2" t="str">
        <f>"FES1162543088"</f>
        <v>FES1162543088</v>
      </c>
      <c r="F1069" s="3">
        <v>42836</v>
      </c>
      <c r="G1069" s="2">
        <v>201710</v>
      </c>
      <c r="H1069" s="2" t="s">
        <v>74</v>
      </c>
      <c r="I1069" s="2" t="s">
        <v>75</v>
      </c>
      <c r="J1069" s="2" t="s">
        <v>76</v>
      </c>
      <c r="K1069" s="2" t="s">
        <v>77</v>
      </c>
      <c r="L1069" s="2" t="s">
        <v>187</v>
      </c>
      <c r="M1069" s="2" t="s">
        <v>146</v>
      </c>
      <c r="N1069" s="2" t="s">
        <v>326</v>
      </c>
      <c r="O1069" s="2" t="s">
        <v>115</v>
      </c>
      <c r="P1069" s="2" t="str">
        <f>"2170561878                    "</f>
        <v xml:space="preserve">2170561878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4.29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1</v>
      </c>
      <c r="BJ1069" s="2">
        <v>0.2</v>
      </c>
      <c r="BK1069" s="2">
        <v>1</v>
      </c>
      <c r="BL1069" s="2">
        <v>41.73</v>
      </c>
      <c r="BM1069" s="2">
        <v>5.84</v>
      </c>
      <c r="BN1069" s="2">
        <v>47.57</v>
      </c>
      <c r="BO1069" s="2">
        <v>47.57</v>
      </c>
      <c r="BP1069" s="2"/>
      <c r="BQ1069" s="2" t="s">
        <v>327</v>
      </c>
      <c r="BR1069" s="2" t="s">
        <v>123</v>
      </c>
      <c r="BS1069" s="3">
        <v>42837</v>
      </c>
      <c r="BT1069" s="4">
        <v>0.3888888888888889</v>
      </c>
      <c r="BU1069" s="2" t="s">
        <v>328</v>
      </c>
      <c r="BV1069" s="2" t="s">
        <v>111</v>
      </c>
      <c r="BW1069" s="2"/>
      <c r="BX1069" s="2"/>
      <c r="BY1069" s="2">
        <v>1200</v>
      </c>
      <c r="BZ1069" s="2" t="s">
        <v>27</v>
      </c>
      <c r="CA1069" s="2"/>
      <c r="CB1069" s="2"/>
      <c r="CC1069" s="2" t="s">
        <v>146</v>
      </c>
      <c r="CD1069" s="2">
        <v>200</v>
      </c>
      <c r="CE1069" s="2" t="s">
        <v>118</v>
      </c>
      <c r="CF1069" s="5">
        <v>42843</v>
      </c>
      <c r="CG1069" s="2"/>
      <c r="CH1069" s="2"/>
      <c r="CI1069" s="2">
        <v>0</v>
      </c>
      <c r="CJ1069" s="2">
        <v>0</v>
      </c>
      <c r="CK1069" s="2">
        <v>21</v>
      </c>
      <c r="CL1069" s="2" t="s">
        <v>86</v>
      </c>
      <c r="CM1069" s="2"/>
    </row>
    <row r="1070" spans="1:91">
      <c r="A1070" s="2" t="s">
        <v>71</v>
      </c>
      <c r="B1070" s="2" t="s">
        <v>72</v>
      </c>
      <c r="C1070" s="2" t="s">
        <v>73</v>
      </c>
      <c r="D1070" s="2"/>
      <c r="E1070" s="2" t="str">
        <f>"FES1162541982"</f>
        <v>FES1162541982</v>
      </c>
      <c r="F1070" s="3">
        <v>42831</v>
      </c>
      <c r="G1070" s="2">
        <v>201710</v>
      </c>
      <c r="H1070" s="2" t="s">
        <v>74</v>
      </c>
      <c r="I1070" s="2" t="s">
        <v>75</v>
      </c>
      <c r="J1070" s="2" t="s">
        <v>76</v>
      </c>
      <c r="K1070" s="2" t="s">
        <v>77</v>
      </c>
      <c r="L1070" s="2" t="s">
        <v>492</v>
      </c>
      <c r="M1070" s="2" t="s">
        <v>493</v>
      </c>
      <c r="N1070" s="2" t="s">
        <v>1651</v>
      </c>
      <c r="O1070" s="2" t="s">
        <v>115</v>
      </c>
      <c r="P1070" s="2" t="str">
        <f>"2170558147                    "</f>
        <v xml:space="preserve">2170558147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4.29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1</v>
      </c>
      <c r="BJ1070" s="2">
        <v>0.2</v>
      </c>
      <c r="BK1070" s="2">
        <v>1</v>
      </c>
      <c r="BL1070" s="2">
        <v>41.73</v>
      </c>
      <c r="BM1070" s="2">
        <v>5.84</v>
      </c>
      <c r="BN1070" s="2">
        <v>47.57</v>
      </c>
      <c r="BO1070" s="2">
        <v>47.57</v>
      </c>
      <c r="BP1070" s="2"/>
      <c r="BQ1070" s="2" t="s">
        <v>122</v>
      </c>
      <c r="BR1070" s="2" t="s">
        <v>123</v>
      </c>
      <c r="BS1070" s="3">
        <v>42832</v>
      </c>
      <c r="BT1070" s="4">
        <v>0.41666666666666669</v>
      </c>
      <c r="BU1070" s="2" t="s">
        <v>221</v>
      </c>
      <c r="BV1070" s="2" t="s">
        <v>111</v>
      </c>
      <c r="BW1070" s="2"/>
      <c r="BX1070" s="2"/>
      <c r="BY1070" s="2">
        <v>1200</v>
      </c>
      <c r="BZ1070" s="2" t="s">
        <v>27</v>
      </c>
      <c r="CA1070" s="2"/>
      <c r="CB1070" s="2"/>
      <c r="CC1070" s="2" t="s">
        <v>493</v>
      </c>
      <c r="CD1070" s="2">
        <v>7139</v>
      </c>
      <c r="CE1070" s="2" t="s">
        <v>118</v>
      </c>
      <c r="CF1070" s="5">
        <v>42835</v>
      </c>
      <c r="CG1070" s="2"/>
      <c r="CH1070" s="2"/>
      <c r="CI1070" s="2">
        <v>1</v>
      </c>
      <c r="CJ1070" s="2">
        <v>1</v>
      </c>
      <c r="CK1070" s="2">
        <v>21</v>
      </c>
      <c r="CL1070" s="2" t="s">
        <v>86</v>
      </c>
      <c r="CM1070" s="2"/>
    </row>
    <row r="1071" spans="1:91">
      <c r="A1071" s="2" t="s">
        <v>71</v>
      </c>
      <c r="B1071" s="2" t="s">
        <v>72</v>
      </c>
      <c r="C1071" s="2" t="s">
        <v>73</v>
      </c>
      <c r="D1071" s="2"/>
      <c r="E1071" s="2" t="str">
        <f>"FES1162541722"</f>
        <v>FES1162541722</v>
      </c>
      <c r="F1071" s="3">
        <v>42830</v>
      </c>
      <c r="G1071" s="2">
        <v>201710</v>
      </c>
      <c r="H1071" s="2" t="s">
        <v>74</v>
      </c>
      <c r="I1071" s="2" t="s">
        <v>75</v>
      </c>
      <c r="J1071" s="2" t="s">
        <v>76</v>
      </c>
      <c r="K1071" s="2" t="s">
        <v>77</v>
      </c>
      <c r="L1071" s="2" t="s">
        <v>934</v>
      </c>
      <c r="M1071" s="2" t="s">
        <v>935</v>
      </c>
      <c r="N1071" s="2" t="s">
        <v>1652</v>
      </c>
      <c r="O1071" s="2" t="s">
        <v>115</v>
      </c>
      <c r="P1071" s="2" t="str">
        <f>"2170560640                    "</f>
        <v xml:space="preserve">2170560640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4.29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1</v>
      </c>
      <c r="BJ1071" s="2">
        <v>0.2</v>
      </c>
      <c r="BK1071" s="2">
        <v>1</v>
      </c>
      <c r="BL1071" s="2">
        <v>41.73</v>
      </c>
      <c r="BM1071" s="2">
        <v>5.84</v>
      </c>
      <c r="BN1071" s="2">
        <v>47.57</v>
      </c>
      <c r="BO1071" s="2">
        <v>47.57</v>
      </c>
      <c r="BP1071" s="2"/>
      <c r="BQ1071" s="2" t="s">
        <v>129</v>
      </c>
      <c r="BR1071" s="2" t="s">
        <v>123</v>
      </c>
      <c r="BS1071" s="3">
        <v>42831</v>
      </c>
      <c r="BT1071" s="4">
        <v>0.52222222222222225</v>
      </c>
      <c r="BU1071" s="2" t="s">
        <v>1653</v>
      </c>
      <c r="BV1071" s="2" t="s">
        <v>86</v>
      </c>
      <c r="BW1071" s="2"/>
      <c r="BX1071" s="2"/>
      <c r="BY1071" s="2">
        <v>1200</v>
      </c>
      <c r="BZ1071" s="2" t="s">
        <v>27</v>
      </c>
      <c r="CA1071" s="2"/>
      <c r="CB1071" s="2"/>
      <c r="CC1071" s="2" t="s">
        <v>935</v>
      </c>
      <c r="CD1071" s="2">
        <v>1939</v>
      </c>
      <c r="CE1071" s="2" t="s">
        <v>144</v>
      </c>
      <c r="CF1071" s="5">
        <v>42833</v>
      </c>
      <c r="CG1071" s="2"/>
      <c r="CH1071" s="2"/>
      <c r="CI1071" s="2">
        <v>1</v>
      </c>
      <c r="CJ1071" s="2">
        <v>1</v>
      </c>
      <c r="CK1071" s="2">
        <v>21</v>
      </c>
      <c r="CL1071" s="2" t="s">
        <v>86</v>
      </c>
      <c r="CM1071" s="2"/>
    </row>
    <row r="1072" spans="1:91">
      <c r="A1072" s="2" t="s">
        <v>71</v>
      </c>
      <c r="B1072" s="2" t="s">
        <v>72</v>
      </c>
      <c r="C1072" s="2" t="s">
        <v>73</v>
      </c>
      <c r="D1072" s="2"/>
      <c r="E1072" s="2" t="str">
        <f>"FES1162543115"</f>
        <v>FES1162543115</v>
      </c>
      <c r="F1072" s="3">
        <v>42836</v>
      </c>
      <c r="G1072" s="2">
        <v>201710</v>
      </c>
      <c r="H1072" s="2" t="s">
        <v>74</v>
      </c>
      <c r="I1072" s="2" t="s">
        <v>75</v>
      </c>
      <c r="J1072" s="2" t="s">
        <v>76</v>
      </c>
      <c r="K1072" s="2" t="s">
        <v>77</v>
      </c>
      <c r="L1072" s="2" t="s">
        <v>900</v>
      </c>
      <c r="M1072" s="2" t="s">
        <v>901</v>
      </c>
      <c r="N1072" s="2" t="s">
        <v>902</v>
      </c>
      <c r="O1072" s="2" t="s">
        <v>115</v>
      </c>
      <c r="P1072" s="2" t="str">
        <f>"2170561910                    "</f>
        <v xml:space="preserve">2170561910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4.29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1</v>
      </c>
      <c r="BJ1072" s="2">
        <v>0.2</v>
      </c>
      <c r="BK1072" s="2">
        <v>1</v>
      </c>
      <c r="BL1072" s="2">
        <v>41.73</v>
      </c>
      <c r="BM1072" s="2">
        <v>5.84</v>
      </c>
      <c r="BN1072" s="2">
        <v>47.57</v>
      </c>
      <c r="BO1072" s="2">
        <v>47.57</v>
      </c>
      <c r="BP1072" s="2"/>
      <c r="BQ1072" s="2" t="s">
        <v>903</v>
      </c>
      <c r="BR1072" s="2" t="s">
        <v>123</v>
      </c>
      <c r="BS1072" s="3">
        <v>42837</v>
      </c>
      <c r="BT1072" s="4">
        <v>0.4375</v>
      </c>
      <c r="BU1072" s="2" t="s">
        <v>1279</v>
      </c>
      <c r="BV1072" s="2" t="s">
        <v>111</v>
      </c>
      <c r="BW1072" s="2"/>
      <c r="BX1072" s="2"/>
      <c r="BY1072" s="2">
        <v>1200</v>
      </c>
      <c r="BZ1072" s="2" t="s">
        <v>27</v>
      </c>
      <c r="CA1072" s="2"/>
      <c r="CB1072" s="2"/>
      <c r="CC1072" s="2" t="s">
        <v>901</v>
      </c>
      <c r="CD1072" s="2">
        <v>4026</v>
      </c>
      <c r="CE1072" s="2" t="s">
        <v>118</v>
      </c>
      <c r="CF1072" s="5">
        <v>42843</v>
      </c>
      <c r="CG1072" s="2"/>
      <c r="CH1072" s="2"/>
      <c r="CI1072" s="2">
        <v>1</v>
      </c>
      <c r="CJ1072" s="2">
        <v>1</v>
      </c>
      <c r="CK1072" s="2">
        <v>21</v>
      </c>
      <c r="CL1072" s="2" t="s">
        <v>86</v>
      </c>
      <c r="CM1072" s="2"/>
    </row>
    <row r="1073" spans="1:91">
      <c r="A1073" s="2" t="s">
        <v>71</v>
      </c>
      <c r="B1073" s="2" t="s">
        <v>72</v>
      </c>
      <c r="C1073" s="2" t="s">
        <v>73</v>
      </c>
      <c r="D1073" s="2"/>
      <c r="E1073" s="2" t="str">
        <f>"FES1162542044"</f>
        <v>FES1162542044</v>
      </c>
      <c r="F1073" s="3">
        <v>42831</v>
      </c>
      <c r="G1073" s="2">
        <v>201710</v>
      </c>
      <c r="H1073" s="2" t="s">
        <v>74</v>
      </c>
      <c r="I1073" s="2" t="s">
        <v>75</v>
      </c>
      <c r="J1073" s="2" t="s">
        <v>76</v>
      </c>
      <c r="K1073" s="2" t="s">
        <v>77</v>
      </c>
      <c r="L1073" s="2" t="s">
        <v>176</v>
      </c>
      <c r="M1073" s="2" t="s">
        <v>176</v>
      </c>
      <c r="N1073" s="2" t="s">
        <v>339</v>
      </c>
      <c r="O1073" s="2" t="s">
        <v>115</v>
      </c>
      <c r="P1073" s="2" t="str">
        <f>"2170559775                    "</f>
        <v xml:space="preserve">2170559775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4.29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1</v>
      </c>
      <c r="BJ1073" s="2">
        <v>0.2</v>
      </c>
      <c r="BK1073" s="2">
        <v>1</v>
      </c>
      <c r="BL1073" s="2">
        <v>41.73</v>
      </c>
      <c r="BM1073" s="2">
        <v>5.84</v>
      </c>
      <c r="BN1073" s="2">
        <v>47.57</v>
      </c>
      <c r="BO1073" s="2">
        <v>47.57</v>
      </c>
      <c r="BP1073" s="2"/>
      <c r="BQ1073" s="2" t="s">
        <v>340</v>
      </c>
      <c r="BR1073" s="2" t="s">
        <v>123</v>
      </c>
      <c r="BS1073" s="3">
        <v>42832</v>
      </c>
      <c r="BT1073" s="4">
        <v>0.44791666666666669</v>
      </c>
      <c r="BU1073" s="2" t="s">
        <v>1654</v>
      </c>
      <c r="BV1073" s="2" t="s">
        <v>111</v>
      </c>
      <c r="BW1073" s="2"/>
      <c r="BX1073" s="2"/>
      <c r="BY1073" s="2">
        <v>1200</v>
      </c>
      <c r="BZ1073" s="2" t="s">
        <v>27</v>
      </c>
      <c r="CA1073" s="2"/>
      <c r="CB1073" s="2"/>
      <c r="CC1073" s="2" t="s">
        <v>176</v>
      </c>
      <c r="CD1073" s="2">
        <v>7646</v>
      </c>
      <c r="CE1073" s="2" t="s">
        <v>118</v>
      </c>
      <c r="CF1073" s="5">
        <v>42835</v>
      </c>
      <c r="CG1073" s="2"/>
      <c r="CH1073" s="2"/>
      <c r="CI1073" s="2">
        <v>1</v>
      </c>
      <c r="CJ1073" s="2">
        <v>1</v>
      </c>
      <c r="CK1073" s="2">
        <v>21</v>
      </c>
      <c r="CL1073" s="2" t="s">
        <v>86</v>
      </c>
      <c r="CM1073" s="2"/>
    </row>
    <row r="1074" spans="1:91">
      <c r="A1074" s="2" t="s">
        <v>71</v>
      </c>
      <c r="B1074" s="2" t="s">
        <v>72</v>
      </c>
      <c r="C1074" s="2" t="s">
        <v>73</v>
      </c>
      <c r="D1074" s="2"/>
      <c r="E1074" s="2" t="str">
        <f>"FES1162541258"</f>
        <v>FES1162541258</v>
      </c>
      <c r="F1074" s="3">
        <v>42829</v>
      </c>
      <c r="G1074" s="2">
        <v>201710</v>
      </c>
      <c r="H1074" s="2" t="s">
        <v>74</v>
      </c>
      <c r="I1074" s="2" t="s">
        <v>75</v>
      </c>
      <c r="J1074" s="2" t="s">
        <v>76</v>
      </c>
      <c r="K1074" s="2" t="s">
        <v>77</v>
      </c>
      <c r="L1074" s="2" t="s">
        <v>139</v>
      </c>
      <c r="M1074" s="2" t="s">
        <v>140</v>
      </c>
      <c r="N1074" s="2" t="s">
        <v>826</v>
      </c>
      <c r="O1074" s="2" t="s">
        <v>115</v>
      </c>
      <c r="P1074" s="2" t="str">
        <f>"2170560315                    "</f>
        <v xml:space="preserve">2170560315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4.42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1</v>
      </c>
      <c r="BJ1074" s="2">
        <v>0.2</v>
      </c>
      <c r="BK1074" s="2">
        <v>1</v>
      </c>
      <c r="BL1074" s="2">
        <v>41.86</v>
      </c>
      <c r="BM1074" s="2">
        <v>5.86</v>
      </c>
      <c r="BN1074" s="2">
        <v>47.72</v>
      </c>
      <c r="BO1074" s="2">
        <v>47.72</v>
      </c>
      <c r="BP1074" s="2"/>
      <c r="BQ1074" s="2" t="s">
        <v>827</v>
      </c>
      <c r="BR1074" s="2" t="s">
        <v>123</v>
      </c>
      <c r="BS1074" s="3">
        <v>42830</v>
      </c>
      <c r="BT1074" s="4">
        <v>0.37083333333333335</v>
      </c>
      <c r="BU1074" s="2" t="s">
        <v>1655</v>
      </c>
      <c r="BV1074" s="2" t="s">
        <v>111</v>
      </c>
      <c r="BW1074" s="2"/>
      <c r="BX1074" s="2"/>
      <c r="BY1074" s="2">
        <v>1200</v>
      </c>
      <c r="BZ1074" s="2" t="s">
        <v>27</v>
      </c>
      <c r="CA1074" s="2"/>
      <c r="CB1074" s="2"/>
      <c r="CC1074" s="2" t="s">
        <v>140</v>
      </c>
      <c r="CD1074" s="2">
        <v>157</v>
      </c>
      <c r="CE1074" s="2" t="s">
        <v>144</v>
      </c>
      <c r="CF1074" s="5">
        <v>42832</v>
      </c>
      <c r="CG1074" s="2"/>
      <c r="CH1074" s="2"/>
      <c r="CI1074" s="2">
        <v>0</v>
      </c>
      <c r="CJ1074" s="2">
        <v>0</v>
      </c>
      <c r="CK1074" s="2">
        <v>21</v>
      </c>
      <c r="CL1074" s="2" t="s">
        <v>86</v>
      </c>
      <c r="CM1074" s="2"/>
    </row>
    <row r="1075" spans="1:91">
      <c r="A1075" s="2" t="s">
        <v>71</v>
      </c>
      <c r="B1075" s="2" t="s">
        <v>72</v>
      </c>
      <c r="C1075" s="2" t="s">
        <v>73</v>
      </c>
      <c r="D1075" s="2"/>
      <c r="E1075" s="2" t="str">
        <f>"FES1162543122"</f>
        <v>FES1162543122</v>
      </c>
      <c r="F1075" s="3">
        <v>42836</v>
      </c>
      <c r="G1075" s="2">
        <v>201710</v>
      </c>
      <c r="H1075" s="2" t="s">
        <v>74</v>
      </c>
      <c r="I1075" s="2" t="s">
        <v>75</v>
      </c>
      <c r="J1075" s="2" t="s">
        <v>76</v>
      </c>
      <c r="K1075" s="2" t="s">
        <v>77</v>
      </c>
      <c r="L1075" s="2" t="s">
        <v>99</v>
      </c>
      <c r="M1075" s="2" t="s">
        <v>100</v>
      </c>
      <c r="N1075" s="2" t="s">
        <v>671</v>
      </c>
      <c r="O1075" s="2" t="s">
        <v>115</v>
      </c>
      <c r="P1075" s="2" t="str">
        <f>"2170561906                    "</f>
        <v xml:space="preserve">2170561906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4.29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1</v>
      </c>
      <c r="BJ1075" s="2">
        <v>0.2</v>
      </c>
      <c r="BK1075" s="2">
        <v>1</v>
      </c>
      <c r="BL1075" s="2">
        <v>41.73</v>
      </c>
      <c r="BM1075" s="2">
        <v>5.84</v>
      </c>
      <c r="BN1075" s="2">
        <v>47.57</v>
      </c>
      <c r="BO1075" s="2">
        <v>47.57</v>
      </c>
      <c r="BP1075" s="2"/>
      <c r="BQ1075" s="2" t="s">
        <v>672</v>
      </c>
      <c r="BR1075" s="2" t="s">
        <v>123</v>
      </c>
      <c r="BS1075" s="3">
        <v>42837</v>
      </c>
      <c r="BT1075" s="4">
        <v>0.33124999999999999</v>
      </c>
      <c r="BU1075" s="2" t="s">
        <v>672</v>
      </c>
      <c r="BV1075" s="2" t="s">
        <v>111</v>
      </c>
      <c r="BW1075" s="2"/>
      <c r="BX1075" s="2"/>
      <c r="BY1075" s="2">
        <v>1200</v>
      </c>
      <c r="BZ1075" s="2" t="s">
        <v>27</v>
      </c>
      <c r="CA1075" s="2" t="s">
        <v>106</v>
      </c>
      <c r="CB1075" s="2"/>
      <c r="CC1075" s="2" t="s">
        <v>100</v>
      </c>
      <c r="CD1075" s="2">
        <v>6001</v>
      </c>
      <c r="CE1075" s="2" t="s">
        <v>118</v>
      </c>
      <c r="CF1075" s="5">
        <v>42837</v>
      </c>
      <c r="CG1075" s="2"/>
      <c r="CH1075" s="2"/>
      <c r="CI1075" s="2">
        <v>1</v>
      </c>
      <c r="CJ1075" s="2">
        <v>1</v>
      </c>
      <c r="CK1075" s="2">
        <v>21</v>
      </c>
      <c r="CL1075" s="2" t="s">
        <v>86</v>
      </c>
      <c r="CM1075" s="2"/>
    </row>
    <row r="1076" spans="1:91">
      <c r="A1076" s="2" t="s">
        <v>71</v>
      </c>
      <c r="B1076" s="2" t="s">
        <v>72</v>
      </c>
      <c r="C1076" s="2" t="s">
        <v>73</v>
      </c>
      <c r="D1076" s="2"/>
      <c r="E1076" s="2" t="str">
        <f>"FES1162541953"</f>
        <v>FES1162541953</v>
      </c>
      <c r="F1076" s="3">
        <v>42831</v>
      </c>
      <c r="G1076" s="2">
        <v>201710</v>
      </c>
      <c r="H1076" s="2" t="s">
        <v>74</v>
      </c>
      <c r="I1076" s="2" t="s">
        <v>75</v>
      </c>
      <c r="J1076" s="2" t="s">
        <v>76</v>
      </c>
      <c r="K1076" s="2" t="s">
        <v>77</v>
      </c>
      <c r="L1076" s="2" t="s">
        <v>934</v>
      </c>
      <c r="M1076" s="2" t="s">
        <v>935</v>
      </c>
      <c r="N1076" s="2" t="s">
        <v>1656</v>
      </c>
      <c r="O1076" s="2" t="s">
        <v>115</v>
      </c>
      <c r="P1076" s="2" t="str">
        <f>"2170560945                    "</f>
        <v xml:space="preserve">2170560945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4.29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1</v>
      </c>
      <c r="BI1076" s="2">
        <v>1</v>
      </c>
      <c r="BJ1076" s="2">
        <v>0.2</v>
      </c>
      <c r="BK1076" s="2">
        <v>1</v>
      </c>
      <c r="BL1076" s="2">
        <v>41.73</v>
      </c>
      <c r="BM1076" s="2">
        <v>5.84</v>
      </c>
      <c r="BN1076" s="2">
        <v>47.57</v>
      </c>
      <c r="BO1076" s="2">
        <v>47.57</v>
      </c>
      <c r="BP1076" s="2"/>
      <c r="BQ1076" s="2" t="s">
        <v>129</v>
      </c>
      <c r="BR1076" s="2" t="s">
        <v>123</v>
      </c>
      <c r="BS1076" s="3">
        <v>42832</v>
      </c>
      <c r="BT1076" s="4">
        <v>0.61319444444444449</v>
      </c>
      <c r="BU1076" s="2" t="s">
        <v>1657</v>
      </c>
      <c r="BV1076" s="2" t="s">
        <v>86</v>
      </c>
      <c r="BW1076" s="2"/>
      <c r="BX1076" s="2"/>
      <c r="BY1076" s="2">
        <v>1200</v>
      </c>
      <c r="BZ1076" s="2" t="s">
        <v>27</v>
      </c>
      <c r="CA1076" s="2"/>
      <c r="CB1076" s="2"/>
      <c r="CC1076" s="2" t="s">
        <v>935</v>
      </c>
      <c r="CD1076" s="2">
        <v>1871</v>
      </c>
      <c r="CE1076" s="2" t="s">
        <v>118</v>
      </c>
      <c r="CF1076" s="5">
        <v>42835</v>
      </c>
      <c r="CG1076" s="2"/>
      <c r="CH1076" s="2"/>
      <c r="CI1076" s="2">
        <v>1</v>
      </c>
      <c r="CJ1076" s="2">
        <v>1</v>
      </c>
      <c r="CK1076" s="2">
        <v>21</v>
      </c>
      <c r="CL1076" s="2" t="s">
        <v>86</v>
      </c>
      <c r="CM1076" s="2"/>
    </row>
    <row r="1077" spans="1:91">
      <c r="A1077" s="2" t="s">
        <v>71</v>
      </c>
      <c r="B1077" s="2" t="s">
        <v>72</v>
      </c>
      <c r="C1077" s="2" t="s">
        <v>73</v>
      </c>
      <c r="D1077" s="2"/>
      <c r="E1077" s="2" t="str">
        <f>"FES1162541599"</f>
        <v>FES1162541599</v>
      </c>
      <c r="F1077" s="3">
        <v>42830</v>
      </c>
      <c r="G1077" s="2">
        <v>201710</v>
      </c>
      <c r="H1077" s="2" t="s">
        <v>74</v>
      </c>
      <c r="I1077" s="2" t="s">
        <v>75</v>
      </c>
      <c r="J1077" s="2" t="s">
        <v>76</v>
      </c>
      <c r="K1077" s="2" t="s">
        <v>77</v>
      </c>
      <c r="L1077" s="2" t="s">
        <v>160</v>
      </c>
      <c r="M1077" s="2" t="s">
        <v>161</v>
      </c>
      <c r="N1077" s="2" t="s">
        <v>907</v>
      </c>
      <c r="O1077" s="2" t="s">
        <v>115</v>
      </c>
      <c r="P1077" s="2" t="str">
        <f>"2170555039                    "</f>
        <v xml:space="preserve">2170555039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4.29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1</v>
      </c>
      <c r="BJ1077" s="2">
        <v>0.2</v>
      </c>
      <c r="BK1077" s="2">
        <v>1</v>
      </c>
      <c r="BL1077" s="2">
        <v>41.73</v>
      </c>
      <c r="BM1077" s="2">
        <v>5.84</v>
      </c>
      <c r="BN1077" s="2">
        <v>47.57</v>
      </c>
      <c r="BO1077" s="2">
        <v>47.57</v>
      </c>
      <c r="BP1077" s="2"/>
      <c r="BQ1077" s="2" t="s">
        <v>908</v>
      </c>
      <c r="BR1077" s="2" t="s">
        <v>123</v>
      </c>
      <c r="BS1077" s="3">
        <v>42831</v>
      </c>
      <c r="BT1077" s="4">
        <v>0.41666666666666669</v>
      </c>
      <c r="BU1077" s="2" t="s">
        <v>1658</v>
      </c>
      <c r="BV1077" s="2" t="s">
        <v>111</v>
      </c>
      <c r="BW1077" s="2"/>
      <c r="BX1077" s="2"/>
      <c r="BY1077" s="2">
        <v>1200</v>
      </c>
      <c r="BZ1077" s="2" t="s">
        <v>27</v>
      </c>
      <c r="CA1077" s="2"/>
      <c r="CB1077" s="2"/>
      <c r="CC1077" s="2" t="s">
        <v>161</v>
      </c>
      <c r="CD1077" s="2">
        <v>5200</v>
      </c>
      <c r="CE1077" s="2" t="s">
        <v>144</v>
      </c>
      <c r="CF1077" s="5">
        <v>42832</v>
      </c>
      <c r="CG1077" s="2"/>
      <c r="CH1077" s="2"/>
      <c r="CI1077" s="2">
        <v>1</v>
      </c>
      <c r="CJ1077" s="2">
        <v>1</v>
      </c>
      <c r="CK1077" s="2">
        <v>21</v>
      </c>
      <c r="CL1077" s="2" t="s">
        <v>86</v>
      </c>
      <c r="CM1077" s="2"/>
    </row>
    <row r="1078" spans="1:91">
      <c r="A1078" s="2" t="s">
        <v>71</v>
      </c>
      <c r="B1078" s="2" t="s">
        <v>72</v>
      </c>
      <c r="C1078" s="2" t="s">
        <v>73</v>
      </c>
      <c r="D1078" s="2"/>
      <c r="E1078" s="2" t="str">
        <f>"FES1162543076"</f>
        <v>FES1162543076</v>
      </c>
      <c r="F1078" s="3">
        <v>42836</v>
      </c>
      <c r="G1078" s="2">
        <v>201710</v>
      </c>
      <c r="H1078" s="2" t="s">
        <v>74</v>
      </c>
      <c r="I1078" s="2" t="s">
        <v>75</v>
      </c>
      <c r="J1078" s="2" t="s">
        <v>76</v>
      </c>
      <c r="K1078" s="2" t="s">
        <v>77</v>
      </c>
      <c r="L1078" s="2" t="s">
        <v>139</v>
      </c>
      <c r="M1078" s="2" t="s">
        <v>140</v>
      </c>
      <c r="N1078" s="2" t="s">
        <v>1659</v>
      </c>
      <c r="O1078" s="2" t="s">
        <v>115</v>
      </c>
      <c r="P1078" s="2" t="str">
        <f>"2170561865                    "</f>
        <v xml:space="preserve">2170561865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4.29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1</v>
      </c>
      <c r="BJ1078" s="2">
        <v>0.2</v>
      </c>
      <c r="BK1078" s="2">
        <v>1</v>
      </c>
      <c r="BL1078" s="2">
        <v>41.73</v>
      </c>
      <c r="BM1078" s="2">
        <v>5.84</v>
      </c>
      <c r="BN1078" s="2">
        <v>47.57</v>
      </c>
      <c r="BO1078" s="2">
        <v>47.57</v>
      </c>
      <c r="BP1078" s="2"/>
      <c r="BQ1078" s="2" t="s">
        <v>1660</v>
      </c>
      <c r="BR1078" s="2" t="s">
        <v>123</v>
      </c>
      <c r="BS1078" s="3">
        <v>42837</v>
      </c>
      <c r="BT1078" s="4">
        <v>0.43055555555555558</v>
      </c>
      <c r="BU1078" s="2" t="s">
        <v>1661</v>
      </c>
      <c r="BV1078" s="2" t="s">
        <v>111</v>
      </c>
      <c r="BW1078" s="2"/>
      <c r="BX1078" s="2"/>
      <c r="BY1078" s="2">
        <v>1200</v>
      </c>
      <c r="BZ1078" s="2" t="s">
        <v>27</v>
      </c>
      <c r="CA1078" s="2"/>
      <c r="CB1078" s="2"/>
      <c r="CC1078" s="2" t="s">
        <v>140</v>
      </c>
      <c r="CD1078" s="2">
        <v>157</v>
      </c>
      <c r="CE1078" s="2" t="s">
        <v>118</v>
      </c>
      <c r="CF1078" s="5">
        <v>42843</v>
      </c>
      <c r="CG1078" s="2"/>
      <c r="CH1078" s="2"/>
      <c r="CI1078" s="2">
        <v>0</v>
      </c>
      <c r="CJ1078" s="2">
        <v>0</v>
      </c>
      <c r="CK1078" s="2">
        <v>21</v>
      </c>
      <c r="CL1078" s="2" t="s">
        <v>86</v>
      </c>
      <c r="CM1078" s="2"/>
    </row>
    <row r="1079" spans="1:91">
      <c r="A1079" s="2" t="s">
        <v>71</v>
      </c>
      <c r="B1079" s="2" t="s">
        <v>72</v>
      </c>
      <c r="C1079" s="2" t="s">
        <v>73</v>
      </c>
      <c r="D1079" s="2"/>
      <c r="E1079" s="2" t="str">
        <f>"FES1162542215"</f>
        <v>FES1162542215</v>
      </c>
      <c r="F1079" s="3">
        <v>42831</v>
      </c>
      <c r="G1079" s="2">
        <v>201710</v>
      </c>
      <c r="H1079" s="2" t="s">
        <v>74</v>
      </c>
      <c r="I1079" s="2" t="s">
        <v>75</v>
      </c>
      <c r="J1079" s="2" t="s">
        <v>76</v>
      </c>
      <c r="K1079" s="2" t="s">
        <v>77</v>
      </c>
      <c r="L1079" s="2" t="s">
        <v>112</v>
      </c>
      <c r="M1079" s="2" t="s">
        <v>113</v>
      </c>
      <c r="N1079" s="2" t="s">
        <v>1662</v>
      </c>
      <c r="O1079" s="2" t="s">
        <v>115</v>
      </c>
      <c r="P1079" s="2" t="str">
        <f>"2170561114                    "</f>
        <v xml:space="preserve">2170561114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4.29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1</v>
      </c>
      <c r="BJ1079" s="2">
        <v>0.2</v>
      </c>
      <c r="BK1079" s="2">
        <v>1</v>
      </c>
      <c r="BL1079" s="2">
        <v>41.73</v>
      </c>
      <c r="BM1079" s="2">
        <v>5.84</v>
      </c>
      <c r="BN1079" s="2">
        <v>47.57</v>
      </c>
      <c r="BO1079" s="2">
        <v>47.57</v>
      </c>
      <c r="BP1079" s="2"/>
      <c r="BQ1079" s="2" t="s">
        <v>1663</v>
      </c>
      <c r="BR1079" s="2" t="s">
        <v>123</v>
      </c>
      <c r="BS1079" s="3">
        <v>42832</v>
      </c>
      <c r="BT1079" s="4">
        <v>0.3611111111111111</v>
      </c>
      <c r="BU1079" s="2" t="s">
        <v>1664</v>
      </c>
      <c r="BV1079" s="2" t="s">
        <v>111</v>
      </c>
      <c r="BW1079" s="2"/>
      <c r="BX1079" s="2"/>
      <c r="BY1079" s="2">
        <v>1200</v>
      </c>
      <c r="BZ1079" s="2" t="s">
        <v>27</v>
      </c>
      <c r="CA1079" s="2"/>
      <c r="CB1079" s="2"/>
      <c r="CC1079" s="2" t="s">
        <v>113</v>
      </c>
      <c r="CD1079" s="2">
        <v>3201</v>
      </c>
      <c r="CE1079" s="2" t="s">
        <v>118</v>
      </c>
      <c r="CF1079" s="5">
        <v>42835</v>
      </c>
      <c r="CG1079" s="2"/>
      <c r="CH1079" s="2"/>
      <c r="CI1079" s="2">
        <v>1</v>
      </c>
      <c r="CJ1079" s="2">
        <v>1</v>
      </c>
      <c r="CK1079" s="2">
        <v>21</v>
      </c>
      <c r="CL1079" s="2" t="s">
        <v>86</v>
      </c>
      <c r="CM1079" s="2"/>
    </row>
    <row r="1080" spans="1:91">
      <c r="A1080" s="2" t="s">
        <v>71</v>
      </c>
      <c r="B1080" s="2" t="s">
        <v>72</v>
      </c>
      <c r="C1080" s="2" t="s">
        <v>73</v>
      </c>
      <c r="D1080" s="2"/>
      <c r="E1080" s="2" t="str">
        <f>"FES1162541173"</f>
        <v>FES1162541173</v>
      </c>
      <c r="F1080" s="3">
        <v>42829</v>
      </c>
      <c r="G1080" s="2">
        <v>201710</v>
      </c>
      <c r="H1080" s="2" t="s">
        <v>74</v>
      </c>
      <c r="I1080" s="2" t="s">
        <v>75</v>
      </c>
      <c r="J1080" s="2" t="s">
        <v>76</v>
      </c>
      <c r="K1080" s="2" t="s">
        <v>77</v>
      </c>
      <c r="L1080" s="2" t="s">
        <v>187</v>
      </c>
      <c r="M1080" s="2" t="s">
        <v>146</v>
      </c>
      <c r="N1080" s="2" t="s">
        <v>218</v>
      </c>
      <c r="O1080" s="2" t="s">
        <v>115</v>
      </c>
      <c r="P1080" s="2" t="str">
        <f>"2170560268                    "</f>
        <v xml:space="preserve">2170560268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4.42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1</v>
      </c>
      <c r="BJ1080" s="2">
        <v>0.2</v>
      </c>
      <c r="BK1080" s="2">
        <v>1</v>
      </c>
      <c r="BL1080" s="2">
        <v>41.86</v>
      </c>
      <c r="BM1080" s="2">
        <v>5.86</v>
      </c>
      <c r="BN1080" s="2">
        <v>47.72</v>
      </c>
      <c r="BO1080" s="2">
        <v>47.72</v>
      </c>
      <c r="BP1080" s="2"/>
      <c r="BQ1080" s="2" t="s">
        <v>219</v>
      </c>
      <c r="BR1080" s="2" t="s">
        <v>123</v>
      </c>
      <c r="BS1080" s="3">
        <v>42830</v>
      </c>
      <c r="BT1080" s="4">
        <v>0.38541666666666669</v>
      </c>
      <c r="BU1080" s="2" t="s">
        <v>1665</v>
      </c>
      <c r="BV1080" s="2" t="s">
        <v>111</v>
      </c>
      <c r="BW1080" s="2"/>
      <c r="BX1080" s="2"/>
      <c r="BY1080" s="2">
        <v>1200</v>
      </c>
      <c r="BZ1080" s="2" t="s">
        <v>27</v>
      </c>
      <c r="CA1080" s="2"/>
      <c r="CB1080" s="2"/>
      <c r="CC1080" s="2" t="s">
        <v>146</v>
      </c>
      <c r="CD1080" s="2">
        <v>200</v>
      </c>
      <c r="CE1080" s="2" t="s">
        <v>144</v>
      </c>
      <c r="CF1080" s="5">
        <v>42832</v>
      </c>
      <c r="CG1080" s="2"/>
      <c r="CH1080" s="2"/>
      <c r="CI1080" s="2">
        <v>0</v>
      </c>
      <c r="CJ1080" s="2">
        <v>0</v>
      </c>
      <c r="CK1080" s="2">
        <v>21</v>
      </c>
      <c r="CL1080" s="2" t="s">
        <v>86</v>
      </c>
      <c r="CM1080" s="2"/>
    </row>
    <row r="1081" spans="1:91">
      <c r="A1081" s="2" t="s">
        <v>71</v>
      </c>
      <c r="B1081" s="2" t="s">
        <v>72</v>
      </c>
      <c r="C1081" s="2" t="s">
        <v>73</v>
      </c>
      <c r="D1081" s="2"/>
      <c r="E1081" s="2" t="str">
        <f>"FES1162543100"</f>
        <v>FES1162543100</v>
      </c>
      <c r="F1081" s="3">
        <v>42836</v>
      </c>
      <c r="G1081" s="2">
        <v>201710</v>
      </c>
      <c r="H1081" s="2" t="s">
        <v>74</v>
      </c>
      <c r="I1081" s="2" t="s">
        <v>75</v>
      </c>
      <c r="J1081" s="2" t="s">
        <v>76</v>
      </c>
      <c r="K1081" s="2" t="s">
        <v>77</v>
      </c>
      <c r="L1081" s="2" t="s">
        <v>304</v>
      </c>
      <c r="M1081" s="2" t="s">
        <v>305</v>
      </c>
      <c r="N1081" s="2" t="s">
        <v>1593</v>
      </c>
      <c r="O1081" s="2" t="s">
        <v>115</v>
      </c>
      <c r="P1081" s="2" t="str">
        <f>"2170561891                    "</f>
        <v xml:space="preserve">2170561891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6.03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1</v>
      </c>
      <c r="BJ1081" s="2">
        <v>0.2</v>
      </c>
      <c r="BK1081" s="2">
        <v>1</v>
      </c>
      <c r="BL1081" s="2">
        <v>58.68</v>
      </c>
      <c r="BM1081" s="2">
        <v>8.2200000000000006</v>
      </c>
      <c r="BN1081" s="2">
        <v>66.900000000000006</v>
      </c>
      <c r="BO1081" s="2">
        <v>66.900000000000006</v>
      </c>
      <c r="BP1081" s="2"/>
      <c r="BQ1081" s="2" t="s">
        <v>1594</v>
      </c>
      <c r="BR1081" s="2" t="s">
        <v>123</v>
      </c>
      <c r="BS1081" s="3">
        <v>42837</v>
      </c>
      <c r="BT1081" s="4">
        <v>0.42708333333333331</v>
      </c>
      <c r="BU1081" s="2" t="s">
        <v>1595</v>
      </c>
      <c r="BV1081" s="2" t="s">
        <v>111</v>
      </c>
      <c r="BW1081" s="2"/>
      <c r="BX1081" s="2"/>
      <c r="BY1081" s="2">
        <v>1200</v>
      </c>
      <c r="BZ1081" s="2" t="s">
        <v>27</v>
      </c>
      <c r="CA1081" s="2"/>
      <c r="CB1081" s="2"/>
      <c r="CC1081" s="2" t="s">
        <v>305</v>
      </c>
      <c r="CD1081" s="2">
        <v>1441</v>
      </c>
      <c r="CE1081" s="2" t="s">
        <v>118</v>
      </c>
      <c r="CF1081" s="5">
        <v>42838</v>
      </c>
      <c r="CG1081" s="2"/>
      <c r="CH1081" s="2"/>
      <c r="CI1081" s="2">
        <v>1</v>
      </c>
      <c r="CJ1081" s="2">
        <v>1</v>
      </c>
      <c r="CK1081" s="2">
        <v>24</v>
      </c>
      <c r="CL1081" s="2" t="s">
        <v>86</v>
      </c>
      <c r="CM1081" s="2"/>
    </row>
    <row r="1082" spans="1:91">
      <c r="A1082" s="2" t="s">
        <v>71</v>
      </c>
      <c r="B1082" s="2" t="s">
        <v>72</v>
      </c>
      <c r="C1082" s="2" t="s">
        <v>73</v>
      </c>
      <c r="D1082" s="2"/>
      <c r="E1082" s="2" t="str">
        <f>"FES1162542126"</f>
        <v>FES1162542126</v>
      </c>
      <c r="F1082" s="3">
        <v>42831</v>
      </c>
      <c r="G1082" s="2">
        <v>201710</v>
      </c>
      <c r="H1082" s="2" t="s">
        <v>74</v>
      </c>
      <c r="I1082" s="2" t="s">
        <v>75</v>
      </c>
      <c r="J1082" s="2" t="s">
        <v>76</v>
      </c>
      <c r="K1082" s="2" t="s">
        <v>77</v>
      </c>
      <c r="L1082" s="2" t="s">
        <v>1666</v>
      </c>
      <c r="M1082" s="2" t="s">
        <v>1667</v>
      </c>
      <c r="N1082" s="2" t="s">
        <v>1486</v>
      </c>
      <c r="O1082" s="2" t="s">
        <v>115</v>
      </c>
      <c r="P1082" s="2" t="str">
        <f>"2170561018                    "</f>
        <v xml:space="preserve">2170561018 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8.31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1</v>
      </c>
      <c r="BJ1082" s="2">
        <v>0.2</v>
      </c>
      <c r="BK1082" s="2">
        <v>1</v>
      </c>
      <c r="BL1082" s="2">
        <v>80.849999999999994</v>
      </c>
      <c r="BM1082" s="2">
        <v>11.32</v>
      </c>
      <c r="BN1082" s="2">
        <v>92.17</v>
      </c>
      <c r="BO1082" s="2">
        <v>92.17</v>
      </c>
      <c r="BP1082" s="2"/>
      <c r="BQ1082" s="2" t="s">
        <v>667</v>
      </c>
      <c r="BR1082" s="2" t="s">
        <v>123</v>
      </c>
      <c r="BS1082" s="3">
        <v>42832</v>
      </c>
      <c r="BT1082" s="4">
        <v>0.42499999999999999</v>
      </c>
      <c r="BU1082" s="2" t="s">
        <v>1668</v>
      </c>
      <c r="BV1082" s="2" t="s">
        <v>111</v>
      </c>
      <c r="BW1082" s="2"/>
      <c r="BX1082" s="2"/>
      <c r="BY1082" s="2">
        <v>1200</v>
      </c>
      <c r="BZ1082" s="2" t="s">
        <v>27</v>
      </c>
      <c r="CA1082" s="2"/>
      <c r="CB1082" s="2"/>
      <c r="CC1082" s="2" t="s">
        <v>1667</v>
      </c>
      <c r="CD1082" s="2">
        <v>9700</v>
      </c>
      <c r="CE1082" s="2" t="s">
        <v>118</v>
      </c>
      <c r="CF1082" s="5">
        <v>42836</v>
      </c>
      <c r="CG1082" s="2"/>
      <c r="CH1082" s="2"/>
      <c r="CI1082" s="2">
        <v>1</v>
      </c>
      <c r="CJ1082" s="2">
        <v>1</v>
      </c>
      <c r="CK1082" s="2">
        <v>23</v>
      </c>
      <c r="CL1082" s="2" t="s">
        <v>86</v>
      </c>
      <c r="CM1082" s="2"/>
    </row>
    <row r="1083" spans="1:91">
      <c r="A1083" s="2" t="s">
        <v>71</v>
      </c>
      <c r="B1083" s="2" t="s">
        <v>72</v>
      </c>
      <c r="C1083" s="2" t="s">
        <v>73</v>
      </c>
      <c r="D1083" s="2"/>
      <c r="E1083" s="2" t="str">
        <f>"FES1162541626"</f>
        <v>FES1162541626</v>
      </c>
      <c r="F1083" s="3">
        <v>42830</v>
      </c>
      <c r="G1083" s="2">
        <v>201710</v>
      </c>
      <c r="H1083" s="2" t="s">
        <v>74</v>
      </c>
      <c r="I1083" s="2" t="s">
        <v>75</v>
      </c>
      <c r="J1083" s="2" t="s">
        <v>76</v>
      </c>
      <c r="K1083" s="2" t="s">
        <v>77</v>
      </c>
      <c r="L1083" s="2" t="s">
        <v>234</v>
      </c>
      <c r="M1083" s="2" t="s">
        <v>235</v>
      </c>
      <c r="N1083" s="2" t="s">
        <v>236</v>
      </c>
      <c r="O1083" s="2" t="s">
        <v>115</v>
      </c>
      <c r="P1083" s="2" t="str">
        <f>"2170558065                    "</f>
        <v xml:space="preserve">2170558065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4.29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1</v>
      </c>
      <c r="BJ1083" s="2">
        <v>0.2</v>
      </c>
      <c r="BK1083" s="2">
        <v>1</v>
      </c>
      <c r="BL1083" s="2">
        <v>41.73</v>
      </c>
      <c r="BM1083" s="2">
        <v>5.84</v>
      </c>
      <c r="BN1083" s="2">
        <v>47.57</v>
      </c>
      <c r="BO1083" s="2">
        <v>47.57</v>
      </c>
      <c r="BP1083" s="2"/>
      <c r="BQ1083" s="2" t="s">
        <v>285</v>
      </c>
      <c r="BR1083" s="2" t="s">
        <v>123</v>
      </c>
      <c r="BS1083" s="3">
        <v>42831</v>
      </c>
      <c r="BT1083" s="4">
        <v>0.31944444444444448</v>
      </c>
      <c r="BU1083" s="2" t="s">
        <v>130</v>
      </c>
      <c r="BV1083" s="2" t="s">
        <v>111</v>
      </c>
      <c r="BW1083" s="2"/>
      <c r="BX1083" s="2"/>
      <c r="BY1083" s="2">
        <v>1200</v>
      </c>
      <c r="BZ1083" s="2" t="s">
        <v>27</v>
      </c>
      <c r="CA1083" s="2"/>
      <c r="CB1083" s="2"/>
      <c r="CC1083" s="2" t="s">
        <v>235</v>
      </c>
      <c r="CD1083" s="2">
        <v>6220</v>
      </c>
      <c r="CE1083" s="2" t="s">
        <v>144</v>
      </c>
      <c r="CF1083" s="5">
        <v>42832</v>
      </c>
      <c r="CG1083" s="2"/>
      <c r="CH1083" s="2"/>
      <c r="CI1083" s="2">
        <v>1</v>
      </c>
      <c r="CJ1083" s="2">
        <v>1</v>
      </c>
      <c r="CK1083" s="2">
        <v>21</v>
      </c>
      <c r="CL1083" s="2" t="s">
        <v>86</v>
      </c>
      <c r="CM1083" s="2"/>
    </row>
    <row r="1084" spans="1:91">
      <c r="A1084" s="2" t="s">
        <v>71</v>
      </c>
      <c r="B1084" s="2" t="s">
        <v>72</v>
      </c>
      <c r="C1084" s="2" t="s">
        <v>73</v>
      </c>
      <c r="D1084" s="2"/>
      <c r="E1084" s="2" t="str">
        <f>"FES1162542842"</f>
        <v>FES1162542842</v>
      </c>
      <c r="F1084" s="3">
        <v>42836</v>
      </c>
      <c r="G1084" s="2">
        <v>201710</v>
      </c>
      <c r="H1084" s="2" t="s">
        <v>74</v>
      </c>
      <c r="I1084" s="2" t="s">
        <v>75</v>
      </c>
      <c r="J1084" s="2" t="s">
        <v>76</v>
      </c>
      <c r="K1084" s="2" t="s">
        <v>77</v>
      </c>
      <c r="L1084" s="2" t="s">
        <v>131</v>
      </c>
      <c r="M1084" s="2" t="s">
        <v>132</v>
      </c>
      <c r="N1084" s="2" t="s">
        <v>1669</v>
      </c>
      <c r="O1084" s="2" t="s">
        <v>115</v>
      </c>
      <c r="P1084" s="2" t="str">
        <f>"2170561709                    "</f>
        <v xml:space="preserve">2170561709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4.29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1</v>
      </c>
      <c r="BJ1084" s="2">
        <v>0.2</v>
      </c>
      <c r="BK1084" s="2">
        <v>1</v>
      </c>
      <c r="BL1084" s="2">
        <v>41.73</v>
      </c>
      <c r="BM1084" s="2">
        <v>5.84</v>
      </c>
      <c r="BN1084" s="2">
        <v>47.57</v>
      </c>
      <c r="BO1084" s="2">
        <v>47.57</v>
      </c>
      <c r="BP1084" s="2"/>
      <c r="BQ1084" s="2" t="s">
        <v>1670</v>
      </c>
      <c r="BR1084" s="2" t="s">
        <v>123</v>
      </c>
      <c r="BS1084" s="3">
        <v>42838</v>
      </c>
      <c r="BT1084" s="4">
        <v>0.41666666666666669</v>
      </c>
      <c r="BU1084" s="2" t="s">
        <v>1670</v>
      </c>
      <c r="BV1084" s="2" t="s">
        <v>86</v>
      </c>
      <c r="BW1084" s="2" t="s">
        <v>157</v>
      </c>
      <c r="BX1084" s="2" t="s">
        <v>1537</v>
      </c>
      <c r="BY1084" s="2">
        <v>1200</v>
      </c>
      <c r="BZ1084" s="2"/>
      <c r="CA1084" s="2"/>
      <c r="CB1084" s="2"/>
      <c r="CC1084" s="2" t="s">
        <v>132</v>
      </c>
      <c r="CD1084" s="2">
        <v>7460</v>
      </c>
      <c r="CE1084" s="2" t="s">
        <v>118</v>
      </c>
      <c r="CF1084" s="5">
        <v>42843</v>
      </c>
      <c r="CG1084" s="2"/>
      <c r="CH1084" s="2"/>
      <c r="CI1084" s="2">
        <v>1</v>
      </c>
      <c r="CJ1084" s="2">
        <v>2</v>
      </c>
      <c r="CK1084" s="2">
        <v>21</v>
      </c>
      <c r="CL1084" s="2" t="s">
        <v>86</v>
      </c>
      <c r="CM1084" s="2"/>
    </row>
    <row r="1085" spans="1:91">
      <c r="A1085" s="2" t="s">
        <v>71</v>
      </c>
      <c r="B1085" s="2" t="s">
        <v>72</v>
      </c>
      <c r="C1085" s="2" t="s">
        <v>73</v>
      </c>
      <c r="D1085" s="2"/>
      <c r="E1085" s="2" t="str">
        <f>"FES1162541972"</f>
        <v>FES1162541972</v>
      </c>
      <c r="F1085" s="3">
        <v>42831</v>
      </c>
      <c r="G1085" s="2">
        <v>201710</v>
      </c>
      <c r="H1085" s="2" t="s">
        <v>74</v>
      </c>
      <c r="I1085" s="2" t="s">
        <v>75</v>
      </c>
      <c r="J1085" s="2" t="s">
        <v>76</v>
      </c>
      <c r="K1085" s="2" t="s">
        <v>77</v>
      </c>
      <c r="L1085" s="2" t="s">
        <v>99</v>
      </c>
      <c r="M1085" s="2" t="s">
        <v>100</v>
      </c>
      <c r="N1085" s="2" t="s">
        <v>583</v>
      </c>
      <c r="O1085" s="2" t="s">
        <v>115</v>
      </c>
      <c r="P1085" s="2" t="str">
        <f>"2170557713                    "</f>
        <v xml:space="preserve">2170557713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4.29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1</v>
      </c>
      <c r="BJ1085" s="2">
        <v>0.2</v>
      </c>
      <c r="BK1085" s="2">
        <v>1</v>
      </c>
      <c r="BL1085" s="2">
        <v>41.73</v>
      </c>
      <c r="BM1085" s="2">
        <v>5.84</v>
      </c>
      <c r="BN1085" s="2">
        <v>47.57</v>
      </c>
      <c r="BO1085" s="2">
        <v>47.57</v>
      </c>
      <c r="BP1085" s="2"/>
      <c r="BQ1085" s="2" t="s">
        <v>584</v>
      </c>
      <c r="BR1085" s="2" t="s">
        <v>123</v>
      </c>
      <c r="BS1085" s="3">
        <v>42832</v>
      </c>
      <c r="BT1085" s="4">
        <v>0.41319444444444442</v>
      </c>
      <c r="BU1085" s="2" t="s">
        <v>245</v>
      </c>
      <c r="BV1085" s="2" t="s">
        <v>111</v>
      </c>
      <c r="BW1085" s="2"/>
      <c r="BX1085" s="2"/>
      <c r="BY1085" s="2">
        <v>1200</v>
      </c>
      <c r="BZ1085" s="2" t="s">
        <v>27</v>
      </c>
      <c r="CA1085" s="2"/>
      <c r="CB1085" s="2"/>
      <c r="CC1085" s="2" t="s">
        <v>100</v>
      </c>
      <c r="CD1085" s="2">
        <v>6001</v>
      </c>
      <c r="CE1085" s="2" t="s">
        <v>118</v>
      </c>
      <c r="CF1085" s="5">
        <v>42835</v>
      </c>
      <c r="CG1085" s="2"/>
      <c r="CH1085" s="2"/>
      <c r="CI1085" s="2">
        <v>1</v>
      </c>
      <c r="CJ1085" s="2">
        <v>1</v>
      </c>
      <c r="CK1085" s="2">
        <v>21</v>
      </c>
      <c r="CL1085" s="2" t="s">
        <v>86</v>
      </c>
      <c r="CM1085" s="2"/>
    </row>
    <row r="1086" spans="1:91">
      <c r="A1086" s="2" t="s">
        <v>71</v>
      </c>
      <c r="B1086" s="2" t="s">
        <v>72</v>
      </c>
      <c r="C1086" s="2" t="s">
        <v>73</v>
      </c>
      <c r="D1086" s="2"/>
      <c r="E1086" s="2" t="str">
        <f>"FES1162541244"</f>
        <v>FES1162541244</v>
      </c>
      <c r="F1086" s="3">
        <v>42829</v>
      </c>
      <c r="G1086" s="2">
        <v>201710</v>
      </c>
      <c r="H1086" s="2" t="s">
        <v>74</v>
      </c>
      <c r="I1086" s="2" t="s">
        <v>75</v>
      </c>
      <c r="J1086" s="2" t="s">
        <v>76</v>
      </c>
      <c r="K1086" s="2" t="s">
        <v>77</v>
      </c>
      <c r="L1086" s="2" t="s">
        <v>609</v>
      </c>
      <c r="M1086" s="2" t="s">
        <v>610</v>
      </c>
      <c r="N1086" s="2" t="s">
        <v>982</v>
      </c>
      <c r="O1086" s="2" t="s">
        <v>115</v>
      </c>
      <c r="P1086" s="2" t="str">
        <f>"2170560004                    "</f>
        <v xml:space="preserve">2170560004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6.63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1.1000000000000001</v>
      </c>
      <c r="BJ1086" s="2">
        <v>2.8</v>
      </c>
      <c r="BK1086" s="2">
        <v>3</v>
      </c>
      <c r="BL1086" s="2">
        <v>62.79</v>
      </c>
      <c r="BM1086" s="2">
        <v>8.7899999999999991</v>
      </c>
      <c r="BN1086" s="2">
        <v>71.58</v>
      </c>
      <c r="BO1086" s="2">
        <v>71.58</v>
      </c>
      <c r="BP1086" s="2"/>
      <c r="BQ1086" s="2" t="s">
        <v>129</v>
      </c>
      <c r="BR1086" s="2" t="s">
        <v>123</v>
      </c>
      <c r="BS1086" s="3">
        <v>42830</v>
      </c>
      <c r="BT1086" s="4">
        <v>0.5</v>
      </c>
      <c r="BU1086" s="2" t="s">
        <v>983</v>
      </c>
      <c r="BV1086" s="2" t="s">
        <v>86</v>
      </c>
      <c r="BW1086" s="2"/>
      <c r="BX1086" s="2"/>
      <c r="BY1086" s="2">
        <v>13949.04</v>
      </c>
      <c r="BZ1086" s="2" t="s">
        <v>27</v>
      </c>
      <c r="CA1086" s="2"/>
      <c r="CB1086" s="2"/>
      <c r="CC1086" s="2" t="s">
        <v>610</v>
      </c>
      <c r="CD1086" s="2">
        <v>1911</v>
      </c>
      <c r="CE1086" s="2" t="s">
        <v>135</v>
      </c>
      <c r="CF1086" s="5">
        <v>42832</v>
      </c>
      <c r="CG1086" s="2"/>
      <c r="CH1086" s="2"/>
      <c r="CI1086" s="2">
        <v>1</v>
      </c>
      <c r="CJ1086" s="2">
        <v>1</v>
      </c>
      <c r="CK1086" s="2">
        <v>21</v>
      </c>
      <c r="CL1086" s="2" t="s">
        <v>86</v>
      </c>
      <c r="CM1086" s="2"/>
    </row>
    <row r="1087" spans="1:91">
      <c r="A1087" s="2" t="s">
        <v>71</v>
      </c>
      <c r="B1087" s="2" t="s">
        <v>72</v>
      </c>
      <c r="C1087" s="2" t="s">
        <v>73</v>
      </c>
      <c r="D1087" s="2"/>
      <c r="E1087" s="2" t="str">
        <f>"FES1162543016"</f>
        <v>FES1162543016</v>
      </c>
      <c r="F1087" s="3">
        <v>42836</v>
      </c>
      <c r="G1087" s="2">
        <v>201710</v>
      </c>
      <c r="H1087" s="2" t="s">
        <v>74</v>
      </c>
      <c r="I1087" s="2" t="s">
        <v>75</v>
      </c>
      <c r="J1087" s="2" t="s">
        <v>76</v>
      </c>
      <c r="K1087" s="2" t="s">
        <v>77</v>
      </c>
      <c r="L1087" s="2" t="s">
        <v>131</v>
      </c>
      <c r="M1087" s="2" t="s">
        <v>132</v>
      </c>
      <c r="N1087" s="2" t="s">
        <v>677</v>
      </c>
      <c r="O1087" s="2" t="s">
        <v>115</v>
      </c>
      <c r="P1087" s="2" t="str">
        <f>"2170561804                    "</f>
        <v xml:space="preserve">2170561804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4.29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</v>
      </c>
      <c r="BJ1087" s="2">
        <v>0.2</v>
      </c>
      <c r="BK1087" s="2">
        <v>1</v>
      </c>
      <c r="BL1087" s="2">
        <v>41.73</v>
      </c>
      <c r="BM1087" s="2">
        <v>5.84</v>
      </c>
      <c r="BN1087" s="2">
        <v>47.57</v>
      </c>
      <c r="BO1087" s="2">
        <v>47.57</v>
      </c>
      <c r="BP1087" s="2"/>
      <c r="BQ1087" s="2" t="s">
        <v>678</v>
      </c>
      <c r="BR1087" s="2" t="s">
        <v>84</v>
      </c>
      <c r="BS1087" s="3">
        <v>42837</v>
      </c>
      <c r="BT1087" s="4">
        <v>0.44791666666666669</v>
      </c>
      <c r="BU1087" s="2" t="s">
        <v>679</v>
      </c>
      <c r="BV1087" s="2" t="s">
        <v>111</v>
      </c>
      <c r="BW1087" s="2"/>
      <c r="BX1087" s="2"/>
      <c r="BY1087" s="2">
        <v>1200</v>
      </c>
      <c r="BZ1087" s="2" t="s">
        <v>27</v>
      </c>
      <c r="CA1087" s="2"/>
      <c r="CB1087" s="2"/>
      <c r="CC1087" s="2" t="s">
        <v>132</v>
      </c>
      <c r="CD1087" s="2">
        <v>7800</v>
      </c>
      <c r="CE1087" s="2" t="s">
        <v>118</v>
      </c>
      <c r="CF1087" s="5">
        <v>42838</v>
      </c>
      <c r="CG1087" s="2"/>
      <c r="CH1087" s="2"/>
      <c r="CI1087" s="2">
        <v>1</v>
      </c>
      <c r="CJ1087" s="2">
        <v>1</v>
      </c>
      <c r="CK1087" s="2">
        <v>21</v>
      </c>
      <c r="CL1087" s="2" t="s">
        <v>86</v>
      </c>
      <c r="CM1087" s="2"/>
    </row>
    <row r="1088" spans="1:91">
      <c r="A1088" s="2" t="s">
        <v>71</v>
      </c>
      <c r="B1088" s="2" t="s">
        <v>72</v>
      </c>
      <c r="C1088" s="2" t="s">
        <v>73</v>
      </c>
      <c r="D1088" s="2"/>
      <c r="E1088" s="2" t="str">
        <f>"FES1162541971"</f>
        <v>FES1162541971</v>
      </c>
      <c r="F1088" s="3">
        <v>42831</v>
      </c>
      <c r="G1088" s="2">
        <v>201710</v>
      </c>
      <c r="H1088" s="2" t="s">
        <v>74</v>
      </c>
      <c r="I1088" s="2" t="s">
        <v>75</v>
      </c>
      <c r="J1088" s="2" t="s">
        <v>76</v>
      </c>
      <c r="K1088" s="2" t="s">
        <v>77</v>
      </c>
      <c r="L1088" s="2" t="s">
        <v>131</v>
      </c>
      <c r="M1088" s="2" t="s">
        <v>132</v>
      </c>
      <c r="N1088" s="2" t="s">
        <v>961</v>
      </c>
      <c r="O1088" s="2" t="s">
        <v>115</v>
      </c>
      <c r="P1088" s="2" t="str">
        <f>"2170557267                    "</f>
        <v xml:space="preserve">2170557267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5.36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2.2999999999999998</v>
      </c>
      <c r="BJ1088" s="2">
        <v>2</v>
      </c>
      <c r="BK1088" s="2">
        <v>2.5</v>
      </c>
      <c r="BL1088" s="2">
        <v>52.16</v>
      </c>
      <c r="BM1088" s="2">
        <v>7.3</v>
      </c>
      <c r="BN1088" s="2">
        <v>59.46</v>
      </c>
      <c r="BO1088" s="2">
        <v>59.46</v>
      </c>
      <c r="BP1088" s="2"/>
      <c r="BQ1088" s="2" t="s">
        <v>962</v>
      </c>
      <c r="BR1088" s="2" t="s">
        <v>123</v>
      </c>
      <c r="BS1088" s="3">
        <v>42832</v>
      </c>
      <c r="BT1088" s="4">
        <v>0.375</v>
      </c>
      <c r="BU1088" s="2" t="s">
        <v>1671</v>
      </c>
      <c r="BV1088" s="2" t="s">
        <v>111</v>
      </c>
      <c r="BW1088" s="2"/>
      <c r="BX1088" s="2"/>
      <c r="BY1088" s="2">
        <v>9855.36</v>
      </c>
      <c r="BZ1088" s="2" t="s">
        <v>27</v>
      </c>
      <c r="CA1088" s="2"/>
      <c r="CB1088" s="2"/>
      <c r="CC1088" s="2" t="s">
        <v>132</v>
      </c>
      <c r="CD1088" s="2">
        <v>7945</v>
      </c>
      <c r="CE1088" s="2" t="s">
        <v>118</v>
      </c>
      <c r="CF1088" s="5">
        <v>42835</v>
      </c>
      <c r="CG1088" s="2"/>
      <c r="CH1088" s="2"/>
      <c r="CI1088" s="2">
        <v>1</v>
      </c>
      <c r="CJ1088" s="2">
        <v>1</v>
      </c>
      <c r="CK1088" s="2">
        <v>21</v>
      </c>
      <c r="CL1088" s="2" t="s">
        <v>86</v>
      </c>
      <c r="CM1088" s="2"/>
    </row>
    <row r="1089" spans="1:91">
      <c r="A1089" s="2" t="s">
        <v>71</v>
      </c>
      <c r="B1089" s="2" t="s">
        <v>72</v>
      </c>
      <c r="C1089" s="2" t="s">
        <v>73</v>
      </c>
      <c r="D1089" s="2"/>
      <c r="E1089" s="2" t="str">
        <f>"FES1162541579"</f>
        <v>FES1162541579</v>
      </c>
      <c r="F1089" s="3">
        <v>42830</v>
      </c>
      <c r="G1089" s="2">
        <v>201710</v>
      </c>
      <c r="H1089" s="2" t="s">
        <v>74</v>
      </c>
      <c r="I1089" s="2" t="s">
        <v>75</v>
      </c>
      <c r="J1089" s="2" t="s">
        <v>76</v>
      </c>
      <c r="K1089" s="2" t="s">
        <v>77</v>
      </c>
      <c r="L1089" s="2" t="s">
        <v>294</v>
      </c>
      <c r="M1089" s="2" t="s">
        <v>295</v>
      </c>
      <c r="N1089" s="2" t="s">
        <v>728</v>
      </c>
      <c r="O1089" s="2" t="s">
        <v>115</v>
      </c>
      <c r="P1089" s="2" t="str">
        <f>"2170560679                    "</f>
        <v xml:space="preserve">2170560679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4.29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1</v>
      </c>
      <c r="BJ1089" s="2">
        <v>0.2</v>
      </c>
      <c r="BK1089" s="2">
        <v>1</v>
      </c>
      <c r="BL1089" s="2">
        <v>41.73</v>
      </c>
      <c r="BM1089" s="2">
        <v>5.84</v>
      </c>
      <c r="BN1089" s="2">
        <v>47.57</v>
      </c>
      <c r="BO1089" s="2">
        <v>47.57</v>
      </c>
      <c r="BP1089" s="2"/>
      <c r="BQ1089" s="2" t="s">
        <v>729</v>
      </c>
      <c r="BR1089" s="2" t="s">
        <v>123</v>
      </c>
      <c r="BS1089" s="3">
        <v>42831</v>
      </c>
      <c r="BT1089" s="4">
        <v>0.4375</v>
      </c>
      <c r="BU1089" s="2" t="s">
        <v>730</v>
      </c>
      <c r="BV1089" s="2" t="s">
        <v>111</v>
      </c>
      <c r="BW1089" s="2"/>
      <c r="BX1089" s="2"/>
      <c r="BY1089" s="2">
        <v>1200</v>
      </c>
      <c r="BZ1089" s="2" t="s">
        <v>27</v>
      </c>
      <c r="CA1089" s="2"/>
      <c r="CB1089" s="2"/>
      <c r="CC1089" s="2" t="s">
        <v>295</v>
      </c>
      <c r="CD1089" s="2">
        <v>3610</v>
      </c>
      <c r="CE1089" s="2" t="s">
        <v>144</v>
      </c>
      <c r="CF1089" s="5">
        <v>42832</v>
      </c>
      <c r="CG1089" s="2"/>
      <c r="CH1089" s="2"/>
      <c r="CI1089" s="2">
        <v>1</v>
      </c>
      <c r="CJ1089" s="2">
        <v>1</v>
      </c>
      <c r="CK1089" s="2">
        <v>21</v>
      </c>
      <c r="CL1089" s="2" t="s">
        <v>86</v>
      </c>
      <c r="CM1089" s="2"/>
    </row>
    <row r="1090" spans="1:91">
      <c r="A1090" s="2" t="s">
        <v>71</v>
      </c>
      <c r="B1090" s="2" t="s">
        <v>72</v>
      </c>
      <c r="C1090" s="2" t="s">
        <v>73</v>
      </c>
      <c r="D1090" s="2"/>
      <c r="E1090" s="2" t="str">
        <f>"FES1162543099"</f>
        <v>FES1162543099</v>
      </c>
      <c r="F1090" s="3">
        <v>42836</v>
      </c>
      <c r="G1090" s="2">
        <v>201710</v>
      </c>
      <c r="H1090" s="2" t="s">
        <v>74</v>
      </c>
      <c r="I1090" s="2" t="s">
        <v>75</v>
      </c>
      <c r="J1090" s="2" t="s">
        <v>76</v>
      </c>
      <c r="K1090" s="2" t="s">
        <v>77</v>
      </c>
      <c r="L1090" s="2" t="s">
        <v>99</v>
      </c>
      <c r="M1090" s="2" t="s">
        <v>100</v>
      </c>
      <c r="N1090" s="2" t="s">
        <v>700</v>
      </c>
      <c r="O1090" s="2" t="s">
        <v>115</v>
      </c>
      <c r="P1090" s="2" t="str">
        <f>"2170561889                    "</f>
        <v xml:space="preserve">2170561889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4.29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1</v>
      </c>
      <c r="BJ1090" s="2">
        <v>0.2</v>
      </c>
      <c r="BK1090" s="2">
        <v>1</v>
      </c>
      <c r="BL1090" s="2">
        <v>41.73</v>
      </c>
      <c r="BM1090" s="2">
        <v>5.84</v>
      </c>
      <c r="BN1090" s="2">
        <v>47.57</v>
      </c>
      <c r="BO1090" s="2">
        <v>47.57</v>
      </c>
      <c r="BP1090" s="2"/>
      <c r="BQ1090" s="2" t="s">
        <v>701</v>
      </c>
      <c r="BR1090" s="2" t="s">
        <v>123</v>
      </c>
      <c r="BS1090" s="3">
        <v>42837</v>
      </c>
      <c r="BT1090" s="4">
        <v>0.41666666666666669</v>
      </c>
      <c r="BU1090" s="2" t="s">
        <v>702</v>
      </c>
      <c r="BV1090" s="2" t="s">
        <v>111</v>
      </c>
      <c r="BW1090" s="2"/>
      <c r="BX1090" s="2"/>
      <c r="BY1090" s="2">
        <v>1200</v>
      </c>
      <c r="BZ1090" s="2" t="s">
        <v>27</v>
      </c>
      <c r="CA1090" s="2" t="s">
        <v>106</v>
      </c>
      <c r="CB1090" s="2"/>
      <c r="CC1090" s="2" t="s">
        <v>100</v>
      </c>
      <c r="CD1090" s="2">
        <v>6001</v>
      </c>
      <c r="CE1090" s="2" t="s">
        <v>118</v>
      </c>
      <c r="CF1090" s="5">
        <v>42837</v>
      </c>
      <c r="CG1090" s="2"/>
      <c r="CH1090" s="2"/>
      <c r="CI1090" s="2">
        <v>1</v>
      </c>
      <c r="CJ1090" s="2">
        <v>1</v>
      </c>
      <c r="CK1090" s="2">
        <v>21</v>
      </c>
      <c r="CL1090" s="2" t="s">
        <v>86</v>
      </c>
      <c r="CM1090" s="2"/>
    </row>
    <row r="1091" spans="1:91">
      <c r="A1091" s="2" t="s">
        <v>71</v>
      </c>
      <c r="B1091" s="2" t="s">
        <v>72</v>
      </c>
      <c r="C1091" s="2" t="s">
        <v>73</v>
      </c>
      <c r="D1091" s="2"/>
      <c r="E1091" s="2" t="str">
        <f>"FES1162542081"</f>
        <v>FES1162542081</v>
      </c>
      <c r="F1091" s="3">
        <v>42831</v>
      </c>
      <c r="G1091" s="2">
        <v>201710</v>
      </c>
      <c r="H1091" s="2" t="s">
        <v>74</v>
      </c>
      <c r="I1091" s="2" t="s">
        <v>75</v>
      </c>
      <c r="J1091" s="2" t="s">
        <v>76</v>
      </c>
      <c r="K1091" s="2" t="s">
        <v>77</v>
      </c>
      <c r="L1091" s="2" t="s">
        <v>358</v>
      </c>
      <c r="M1091" s="2" t="s">
        <v>359</v>
      </c>
      <c r="N1091" s="2" t="s">
        <v>1672</v>
      </c>
      <c r="O1091" s="2" t="s">
        <v>115</v>
      </c>
      <c r="P1091" s="2" t="str">
        <f>"2170558433                    "</f>
        <v xml:space="preserve">2170558433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5.36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2.4</v>
      </c>
      <c r="BJ1091" s="2">
        <v>1.7</v>
      </c>
      <c r="BK1091" s="2">
        <v>2.5</v>
      </c>
      <c r="BL1091" s="2">
        <v>52.16</v>
      </c>
      <c r="BM1091" s="2">
        <v>7.3</v>
      </c>
      <c r="BN1091" s="2">
        <v>59.46</v>
      </c>
      <c r="BO1091" s="2">
        <v>59.46</v>
      </c>
      <c r="BP1091" s="2"/>
      <c r="BQ1091" s="2" t="s">
        <v>116</v>
      </c>
      <c r="BR1091" s="2" t="s">
        <v>123</v>
      </c>
      <c r="BS1091" s="3">
        <v>42832</v>
      </c>
      <c r="BT1091" s="4">
        <v>0.40277777777777773</v>
      </c>
      <c r="BU1091" s="2" t="s">
        <v>1673</v>
      </c>
      <c r="BV1091" s="2" t="s">
        <v>111</v>
      </c>
      <c r="BW1091" s="2"/>
      <c r="BX1091" s="2"/>
      <c r="BY1091" s="2">
        <v>8274.2099999999991</v>
      </c>
      <c r="BZ1091" s="2" t="s">
        <v>27</v>
      </c>
      <c r="CA1091" s="2"/>
      <c r="CB1091" s="2"/>
      <c r="CC1091" s="2" t="s">
        <v>359</v>
      </c>
      <c r="CD1091" s="2">
        <v>6230</v>
      </c>
      <c r="CE1091" s="2" t="s">
        <v>89</v>
      </c>
      <c r="CF1091" s="5">
        <v>42835</v>
      </c>
      <c r="CG1091" s="2"/>
      <c r="CH1091" s="2"/>
      <c r="CI1091" s="2">
        <v>1</v>
      </c>
      <c r="CJ1091" s="2">
        <v>1</v>
      </c>
      <c r="CK1091" s="2">
        <v>21</v>
      </c>
      <c r="CL1091" s="2" t="s">
        <v>86</v>
      </c>
      <c r="CM1091" s="2"/>
    </row>
    <row r="1092" spans="1:91">
      <c r="A1092" s="2" t="s">
        <v>71</v>
      </c>
      <c r="B1092" s="2" t="s">
        <v>72</v>
      </c>
      <c r="C1092" s="2" t="s">
        <v>73</v>
      </c>
      <c r="D1092" s="2"/>
      <c r="E1092" s="2" t="str">
        <f>"FES1162541289"</f>
        <v>FES1162541289</v>
      </c>
      <c r="F1092" s="3">
        <v>42829</v>
      </c>
      <c r="G1092" s="2">
        <v>201710</v>
      </c>
      <c r="H1092" s="2" t="s">
        <v>74</v>
      </c>
      <c r="I1092" s="2" t="s">
        <v>75</v>
      </c>
      <c r="J1092" s="2" t="s">
        <v>76</v>
      </c>
      <c r="K1092" s="2" t="s">
        <v>77</v>
      </c>
      <c r="L1092" s="2" t="s">
        <v>401</v>
      </c>
      <c r="M1092" s="2" t="s">
        <v>402</v>
      </c>
      <c r="N1092" s="2" t="s">
        <v>1674</v>
      </c>
      <c r="O1092" s="2" t="s">
        <v>115</v>
      </c>
      <c r="P1092" s="2" t="str">
        <f>"2170560353                    "</f>
        <v xml:space="preserve">2170560353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4.42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1</v>
      </c>
      <c r="BJ1092" s="2">
        <v>0.2</v>
      </c>
      <c r="BK1092" s="2">
        <v>1</v>
      </c>
      <c r="BL1092" s="2">
        <v>41.86</v>
      </c>
      <c r="BM1092" s="2">
        <v>5.86</v>
      </c>
      <c r="BN1092" s="2">
        <v>47.72</v>
      </c>
      <c r="BO1092" s="2">
        <v>47.72</v>
      </c>
      <c r="BP1092" s="2"/>
      <c r="BQ1092" s="2" t="s">
        <v>1675</v>
      </c>
      <c r="BR1092" s="2" t="s">
        <v>123</v>
      </c>
      <c r="BS1092" s="3">
        <v>42830</v>
      </c>
      <c r="BT1092" s="4">
        <v>0.4375</v>
      </c>
      <c r="BU1092" s="2" t="s">
        <v>1676</v>
      </c>
      <c r="BV1092" s="2" t="s">
        <v>111</v>
      </c>
      <c r="BW1092" s="2"/>
      <c r="BX1092" s="2"/>
      <c r="BY1092" s="2">
        <v>1200</v>
      </c>
      <c r="BZ1092" s="2" t="s">
        <v>27</v>
      </c>
      <c r="CA1092" s="2"/>
      <c r="CB1092" s="2"/>
      <c r="CC1092" s="2" t="s">
        <v>402</v>
      </c>
      <c r="CD1092" s="2">
        <v>4133</v>
      </c>
      <c r="CE1092" s="2" t="s">
        <v>144</v>
      </c>
      <c r="CF1092" s="5">
        <v>42831</v>
      </c>
      <c r="CG1092" s="2"/>
      <c r="CH1092" s="2"/>
      <c r="CI1092" s="2">
        <v>1</v>
      </c>
      <c r="CJ1092" s="2">
        <v>1</v>
      </c>
      <c r="CK1092" s="2">
        <v>21</v>
      </c>
      <c r="CL1092" s="2" t="s">
        <v>86</v>
      </c>
      <c r="CM1092" s="2"/>
    </row>
    <row r="1093" spans="1:91">
      <c r="A1093" s="2" t="s">
        <v>71</v>
      </c>
      <c r="B1093" s="2" t="s">
        <v>72</v>
      </c>
      <c r="C1093" s="2" t="s">
        <v>73</v>
      </c>
      <c r="D1093" s="2"/>
      <c r="E1093" s="2" t="str">
        <f>"FES1162543034"</f>
        <v>FES1162543034</v>
      </c>
      <c r="F1093" s="3">
        <v>42836</v>
      </c>
      <c r="G1093" s="2">
        <v>201710</v>
      </c>
      <c r="H1093" s="2" t="s">
        <v>74</v>
      </c>
      <c r="I1093" s="2" t="s">
        <v>75</v>
      </c>
      <c r="J1093" s="2" t="s">
        <v>76</v>
      </c>
      <c r="K1093" s="2" t="s">
        <v>77</v>
      </c>
      <c r="L1093" s="2" t="s">
        <v>591</v>
      </c>
      <c r="M1093" s="2" t="s">
        <v>592</v>
      </c>
      <c r="N1093" s="2" t="s">
        <v>675</v>
      </c>
      <c r="O1093" s="2" t="s">
        <v>115</v>
      </c>
      <c r="P1093" s="2" t="str">
        <f>"2170561823                    "</f>
        <v xml:space="preserve">2170561823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4.29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1</v>
      </c>
      <c r="BJ1093" s="2">
        <v>0.2</v>
      </c>
      <c r="BK1093" s="2">
        <v>1</v>
      </c>
      <c r="BL1093" s="2">
        <v>41.73</v>
      </c>
      <c r="BM1093" s="2">
        <v>5.84</v>
      </c>
      <c r="BN1093" s="2">
        <v>47.57</v>
      </c>
      <c r="BO1093" s="2">
        <v>47.57</v>
      </c>
      <c r="BP1093" s="2"/>
      <c r="BQ1093" s="2" t="s">
        <v>129</v>
      </c>
      <c r="BR1093" s="2" t="s">
        <v>123</v>
      </c>
      <c r="BS1093" s="3">
        <v>42837</v>
      </c>
      <c r="BT1093" s="4">
        <v>0.41666666666666669</v>
      </c>
      <c r="BU1093" s="2" t="s">
        <v>1677</v>
      </c>
      <c r="BV1093" s="2" t="s">
        <v>111</v>
      </c>
      <c r="BW1093" s="2"/>
      <c r="BX1093" s="2"/>
      <c r="BY1093" s="2">
        <v>1200</v>
      </c>
      <c r="BZ1093" s="2" t="s">
        <v>27</v>
      </c>
      <c r="CA1093" s="2"/>
      <c r="CB1093" s="2"/>
      <c r="CC1093" s="2" t="s">
        <v>592</v>
      </c>
      <c r="CD1093" s="2">
        <v>7600</v>
      </c>
      <c r="CE1093" s="2" t="s">
        <v>118</v>
      </c>
      <c r="CF1093" s="5">
        <v>42838</v>
      </c>
      <c r="CG1093" s="2"/>
      <c r="CH1093" s="2"/>
      <c r="CI1093" s="2">
        <v>1</v>
      </c>
      <c r="CJ1093" s="2">
        <v>1</v>
      </c>
      <c r="CK1093" s="2">
        <v>21</v>
      </c>
      <c r="CL1093" s="2" t="s">
        <v>86</v>
      </c>
      <c r="CM1093" s="2"/>
    </row>
    <row r="1094" spans="1:91">
      <c r="A1094" s="2" t="s">
        <v>71</v>
      </c>
      <c r="B1094" s="2" t="s">
        <v>72</v>
      </c>
      <c r="C1094" s="2" t="s">
        <v>73</v>
      </c>
      <c r="D1094" s="2"/>
      <c r="E1094" s="2" t="str">
        <f>"FES1162541966"</f>
        <v>FES1162541966</v>
      </c>
      <c r="F1094" s="3">
        <v>42831</v>
      </c>
      <c r="G1094" s="2">
        <v>201710</v>
      </c>
      <c r="H1094" s="2" t="s">
        <v>74</v>
      </c>
      <c r="I1094" s="2" t="s">
        <v>75</v>
      </c>
      <c r="J1094" s="2" t="s">
        <v>76</v>
      </c>
      <c r="K1094" s="2" t="s">
        <v>77</v>
      </c>
      <c r="L1094" s="2" t="s">
        <v>166</v>
      </c>
      <c r="M1094" s="2" t="s">
        <v>167</v>
      </c>
      <c r="N1094" s="2" t="s">
        <v>168</v>
      </c>
      <c r="O1094" s="2" t="s">
        <v>115</v>
      </c>
      <c r="P1094" s="2" t="str">
        <f>"2170560959                    "</f>
        <v xml:space="preserve">2170560959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3.35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3.3</v>
      </c>
      <c r="BJ1094" s="2">
        <v>1.6</v>
      </c>
      <c r="BK1094" s="2">
        <v>4</v>
      </c>
      <c r="BL1094" s="2">
        <v>32.6</v>
      </c>
      <c r="BM1094" s="2">
        <v>4.5599999999999996</v>
      </c>
      <c r="BN1094" s="2">
        <v>37.159999999999997</v>
      </c>
      <c r="BO1094" s="2">
        <v>37.159999999999997</v>
      </c>
      <c r="BP1094" s="2"/>
      <c r="BQ1094" s="2" t="s">
        <v>169</v>
      </c>
      <c r="BR1094" s="2" t="s">
        <v>123</v>
      </c>
      <c r="BS1094" s="3">
        <v>42832</v>
      </c>
      <c r="BT1094" s="4">
        <v>0.41805555555555557</v>
      </c>
      <c r="BU1094" s="2" t="s">
        <v>823</v>
      </c>
      <c r="BV1094" s="2" t="s">
        <v>111</v>
      </c>
      <c r="BW1094" s="2"/>
      <c r="BX1094" s="2"/>
      <c r="BY1094" s="2">
        <v>8197.74</v>
      </c>
      <c r="BZ1094" s="2" t="s">
        <v>27</v>
      </c>
      <c r="CA1094" s="2" t="s">
        <v>171</v>
      </c>
      <c r="CB1094" s="2"/>
      <c r="CC1094" s="2" t="s">
        <v>167</v>
      </c>
      <c r="CD1094" s="2">
        <v>2094</v>
      </c>
      <c r="CE1094" s="2" t="s">
        <v>89</v>
      </c>
      <c r="CF1094" s="5">
        <v>42835</v>
      </c>
      <c r="CG1094" s="2"/>
      <c r="CH1094" s="2"/>
      <c r="CI1094" s="2">
        <v>1</v>
      </c>
      <c r="CJ1094" s="2">
        <v>1</v>
      </c>
      <c r="CK1094" s="2">
        <v>22</v>
      </c>
      <c r="CL1094" s="2" t="s">
        <v>86</v>
      </c>
      <c r="CM1094" s="2"/>
    </row>
    <row r="1095" spans="1:91">
      <c r="A1095" s="2" t="s">
        <v>71</v>
      </c>
      <c r="B1095" s="2" t="s">
        <v>72</v>
      </c>
      <c r="C1095" s="2" t="s">
        <v>73</v>
      </c>
      <c r="D1095" s="2"/>
      <c r="E1095" s="2" t="str">
        <f>"FES1162541497"</f>
        <v>FES1162541497</v>
      </c>
      <c r="F1095" s="3">
        <v>42830</v>
      </c>
      <c r="G1095" s="2">
        <v>201710</v>
      </c>
      <c r="H1095" s="2" t="s">
        <v>74</v>
      </c>
      <c r="I1095" s="2" t="s">
        <v>75</v>
      </c>
      <c r="J1095" s="2" t="s">
        <v>76</v>
      </c>
      <c r="K1095" s="2" t="s">
        <v>77</v>
      </c>
      <c r="L1095" s="2" t="s">
        <v>119</v>
      </c>
      <c r="M1095" s="2" t="s">
        <v>120</v>
      </c>
      <c r="N1095" s="2" t="s">
        <v>121</v>
      </c>
      <c r="O1095" s="2" t="s">
        <v>115</v>
      </c>
      <c r="P1095" s="2" t="str">
        <f>"2170560590                    "</f>
        <v xml:space="preserve">2170560590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3.35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6.4</v>
      </c>
      <c r="BJ1095" s="2">
        <v>3.3</v>
      </c>
      <c r="BK1095" s="2">
        <v>7</v>
      </c>
      <c r="BL1095" s="2">
        <v>32.6</v>
      </c>
      <c r="BM1095" s="2">
        <v>4.5599999999999996</v>
      </c>
      <c r="BN1095" s="2">
        <v>37.159999999999997</v>
      </c>
      <c r="BO1095" s="2">
        <v>37.159999999999997</v>
      </c>
      <c r="BP1095" s="2"/>
      <c r="BQ1095" s="2" t="s">
        <v>122</v>
      </c>
      <c r="BR1095" s="2" t="s">
        <v>123</v>
      </c>
      <c r="BS1095" s="3">
        <v>42831</v>
      </c>
      <c r="BT1095" s="4">
        <v>0.39513888888888887</v>
      </c>
      <c r="BU1095" s="2" t="s">
        <v>394</v>
      </c>
      <c r="BV1095" s="2" t="s">
        <v>111</v>
      </c>
      <c r="BW1095" s="2"/>
      <c r="BX1095" s="2"/>
      <c r="BY1095" s="2">
        <v>16469.150000000001</v>
      </c>
      <c r="BZ1095" s="2" t="s">
        <v>27</v>
      </c>
      <c r="CA1095" s="2" t="s">
        <v>395</v>
      </c>
      <c r="CB1095" s="2"/>
      <c r="CC1095" s="2" t="s">
        <v>120</v>
      </c>
      <c r="CD1095" s="2">
        <v>2163</v>
      </c>
      <c r="CE1095" s="2" t="s">
        <v>89</v>
      </c>
      <c r="CF1095" s="5">
        <v>42831</v>
      </c>
      <c r="CG1095" s="2"/>
      <c r="CH1095" s="2"/>
      <c r="CI1095" s="2">
        <v>1</v>
      </c>
      <c r="CJ1095" s="2">
        <v>1</v>
      </c>
      <c r="CK1095" s="2">
        <v>22</v>
      </c>
      <c r="CL1095" s="2" t="s">
        <v>86</v>
      </c>
      <c r="CM1095" s="2"/>
    </row>
    <row r="1096" spans="1:91">
      <c r="A1096" s="2" t="s">
        <v>71</v>
      </c>
      <c r="B1096" s="2" t="s">
        <v>72</v>
      </c>
      <c r="C1096" s="2" t="s">
        <v>73</v>
      </c>
      <c r="D1096" s="2"/>
      <c r="E1096" s="2" t="str">
        <f>"FES1162541822"</f>
        <v>FES1162541822</v>
      </c>
      <c r="F1096" s="3">
        <v>42831</v>
      </c>
      <c r="G1096" s="2">
        <v>201710</v>
      </c>
      <c r="H1096" s="2" t="s">
        <v>74</v>
      </c>
      <c r="I1096" s="2" t="s">
        <v>75</v>
      </c>
      <c r="J1096" s="2" t="s">
        <v>76</v>
      </c>
      <c r="K1096" s="2" t="s">
        <v>77</v>
      </c>
      <c r="L1096" s="2" t="s">
        <v>74</v>
      </c>
      <c r="M1096" s="2" t="s">
        <v>75</v>
      </c>
      <c r="N1096" s="2" t="s">
        <v>436</v>
      </c>
      <c r="O1096" s="2" t="s">
        <v>115</v>
      </c>
      <c r="P1096" s="2" t="str">
        <f>"2170558614                    "</f>
        <v xml:space="preserve">2170558614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3.35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1</v>
      </c>
      <c r="BJ1096" s="2">
        <v>0.2</v>
      </c>
      <c r="BK1096" s="2">
        <v>1</v>
      </c>
      <c r="BL1096" s="2">
        <v>32.6</v>
      </c>
      <c r="BM1096" s="2">
        <v>4.5599999999999996</v>
      </c>
      <c r="BN1096" s="2">
        <v>37.159999999999997</v>
      </c>
      <c r="BO1096" s="2">
        <v>37.159999999999997</v>
      </c>
      <c r="BP1096" s="2"/>
      <c r="BQ1096" s="2" t="s">
        <v>437</v>
      </c>
      <c r="BR1096" s="2" t="s">
        <v>123</v>
      </c>
      <c r="BS1096" s="3">
        <v>42832</v>
      </c>
      <c r="BT1096" s="4">
        <v>0.37638888888888888</v>
      </c>
      <c r="BU1096" s="2" t="s">
        <v>1254</v>
      </c>
      <c r="BV1096" s="2" t="s">
        <v>111</v>
      </c>
      <c r="BW1096" s="2"/>
      <c r="BX1096" s="2"/>
      <c r="BY1096" s="2">
        <v>1200</v>
      </c>
      <c r="BZ1096" s="2" t="s">
        <v>27</v>
      </c>
      <c r="CA1096" s="2" t="s">
        <v>383</v>
      </c>
      <c r="CB1096" s="2"/>
      <c r="CC1096" s="2" t="s">
        <v>75</v>
      </c>
      <c r="CD1096" s="2">
        <v>1600</v>
      </c>
      <c r="CE1096" s="2" t="s">
        <v>118</v>
      </c>
      <c r="CF1096" s="5">
        <v>42835</v>
      </c>
      <c r="CG1096" s="2"/>
      <c r="CH1096" s="2"/>
      <c r="CI1096" s="2">
        <v>1</v>
      </c>
      <c r="CJ1096" s="2">
        <v>1</v>
      </c>
      <c r="CK1096" s="2">
        <v>22</v>
      </c>
      <c r="CL1096" s="2" t="s">
        <v>86</v>
      </c>
      <c r="CM1096" s="2"/>
    </row>
    <row r="1097" spans="1:91">
      <c r="A1097" s="2" t="s">
        <v>71</v>
      </c>
      <c r="B1097" s="2" t="s">
        <v>72</v>
      </c>
      <c r="C1097" s="2" t="s">
        <v>73</v>
      </c>
      <c r="D1097" s="2"/>
      <c r="E1097" s="2" t="str">
        <f>"FES1162541267"</f>
        <v>FES1162541267</v>
      </c>
      <c r="F1097" s="3">
        <v>42829</v>
      </c>
      <c r="G1097" s="2">
        <v>201710</v>
      </c>
      <c r="H1097" s="2" t="s">
        <v>74</v>
      </c>
      <c r="I1097" s="2" t="s">
        <v>75</v>
      </c>
      <c r="J1097" s="2" t="s">
        <v>76</v>
      </c>
      <c r="K1097" s="2" t="s">
        <v>77</v>
      </c>
      <c r="L1097" s="2" t="s">
        <v>166</v>
      </c>
      <c r="M1097" s="2" t="s">
        <v>167</v>
      </c>
      <c r="N1097" s="2" t="s">
        <v>168</v>
      </c>
      <c r="O1097" s="2" t="s">
        <v>115</v>
      </c>
      <c r="P1097" s="2" t="str">
        <f>"2170560329                    "</f>
        <v xml:space="preserve">2170560329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3.45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2.2999999999999998</v>
      </c>
      <c r="BJ1097" s="2">
        <v>0.2</v>
      </c>
      <c r="BK1097" s="2">
        <v>3</v>
      </c>
      <c r="BL1097" s="2">
        <v>32.700000000000003</v>
      </c>
      <c r="BM1097" s="2">
        <v>4.58</v>
      </c>
      <c r="BN1097" s="2">
        <v>37.28</v>
      </c>
      <c r="BO1097" s="2">
        <v>37.28</v>
      </c>
      <c r="BP1097" s="2"/>
      <c r="BQ1097" s="2" t="s">
        <v>169</v>
      </c>
      <c r="BR1097" s="2" t="s">
        <v>123</v>
      </c>
      <c r="BS1097" s="3">
        <v>42830</v>
      </c>
      <c r="BT1097" s="4">
        <v>0.42777777777777781</v>
      </c>
      <c r="BU1097" s="2" t="s">
        <v>198</v>
      </c>
      <c r="BV1097" s="2" t="s">
        <v>111</v>
      </c>
      <c r="BW1097" s="2"/>
      <c r="BX1097" s="2"/>
      <c r="BY1097" s="2">
        <v>1200</v>
      </c>
      <c r="BZ1097" s="2" t="s">
        <v>27</v>
      </c>
      <c r="CA1097" s="2" t="s">
        <v>171</v>
      </c>
      <c r="CB1097" s="2"/>
      <c r="CC1097" s="2" t="s">
        <v>167</v>
      </c>
      <c r="CD1097" s="2">
        <v>2094</v>
      </c>
      <c r="CE1097" s="2" t="s">
        <v>118</v>
      </c>
      <c r="CF1097" s="5">
        <v>42830</v>
      </c>
      <c r="CG1097" s="2"/>
      <c r="CH1097" s="2"/>
      <c r="CI1097" s="2">
        <v>1</v>
      </c>
      <c r="CJ1097" s="2">
        <v>1</v>
      </c>
      <c r="CK1097" s="2">
        <v>22</v>
      </c>
      <c r="CL1097" s="2" t="s">
        <v>86</v>
      </c>
      <c r="CM1097" s="2"/>
    </row>
    <row r="1098" spans="1:91">
      <c r="A1098" s="2" t="s">
        <v>71</v>
      </c>
      <c r="B1098" s="2" t="s">
        <v>72</v>
      </c>
      <c r="C1098" s="2" t="s">
        <v>73</v>
      </c>
      <c r="D1098" s="2"/>
      <c r="E1098" s="2" t="str">
        <f>"FES1162543132"</f>
        <v>FES1162543132</v>
      </c>
      <c r="F1098" s="3">
        <v>42836</v>
      </c>
      <c r="G1098" s="2">
        <v>201710</v>
      </c>
      <c r="H1098" s="2" t="s">
        <v>74</v>
      </c>
      <c r="I1098" s="2" t="s">
        <v>75</v>
      </c>
      <c r="J1098" s="2" t="s">
        <v>76</v>
      </c>
      <c r="K1098" s="2" t="s">
        <v>77</v>
      </c>
      <c r="L1098" s="2" t="s">
        <v>299</v>
      </c>
      <c r="M1098" s="2" t="s">
        <v>300</v>
      </c>
      <c r="N1098" s="2" t="s">
        <v>345</v>
      </c>
      <c r="O1098" s="2" t="s">
        <v>115</v>
      </c>
      <c r="P1098" s="2" t="str">
        <f>"2170561921                    "</f>
        <v xml:space="preserve">2170561921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6.03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1</v>
      </c>
      <c r="BJ1098" s="2">
        <v>0.2</v>
      </c>
      <c r="BK1098" s="2">
        <v>1</v>
      </c>
      <c r="BL1098" s="2">
        <v>58.68</v>
      </c>
      <c r="BM1098" s="2">
        <v>8.2200000000000006</v>
      </c>
      <c r="BN1098" s="2">
        <v>66.900000000000006</v>
      </c>
      <c r="BO1098" s="2">
        <v>66.900000000000006</v>
      </c>
      <c r="BP1098" s="2"/>
      <c r="BQ1098" s="2" t="s">
        <v>346</v>
      </c>
      <c r="BR1098" s="2" t="s">
        <v>123</v>
      </c>
      <c r="BS1098" s="3">
        <v>42837</v>
      </c>
      <c r="BT1098" s="4">
        <v>0.49027777777777781</v>
      </c>
      <c r="BU1098" s="2" t="s">
        <v>347</v>
      </c>
      <c r="BV1098" s="2" t="s">
        <v>111</v>
      </c>
      <c r="BW1098" s="2"/>
      <c r="BX1098" s="2"/>
      <c r="BY1098" s="2">
        <v>1200</v>
      </c>
      <c r="BZ1098" s="2" t="s">
        <v>27</v>
      </c>
      <c r="CA1098" s="2"/>
      <c r="CB1098" s="2"/>
      <c r="CC1098" s="2" t="s">
        <v>300</v>
      </c>
      <c r="CD1098" s="2">
        <v>208</v>
      </c>
      <c r="CE1098" s="2" t="s">
        <v>118</v>
      </c>
      <c r="CF1098" s="5">
        <v>42843</v>
      </c>
      <c r="CG1098" s="2"/>
      <c r="CH1098" s="2"/>
      <c r="CI1098" s="2">
        <v>0</v>
      </c>
      <c r="CJ1098" s="2">
        <v>0</v>
      </c>
      <c r="CK1098" s="2">
        <v>24</v>
      </c>
      <c r="CL1098" s="2" t="s">
        <v>86</v>
      </c>
      <c r="CM1098" s="2"/>
    </row>
    <row r="1099" spans="1:91">
      <c r="A1099" s="2" t="s">
        <v>71</v>
      </c>
      <c r="B1099" s="2" t="s">
        <v>72</v>
      </c>
      <c r="C1099" s="2" t="s">
        <v>73</v>
      </c>
      <c r="D1099" s="2"/>
      <c r="E1099" s="2" t="str">
        <f>"FES1162542184"</f>
        <v>FES1162542184</v>
      </c>
      <c r="F1099" s="3">
        <v>42831</v>
      </c>
      <c r="G1099" s="2">
        <v>201710</v>
      </c>
      <c r="H1099" s="2" t="s">
        <v>74</v>
      </c>
      <c r="I1099" s="2" t="s">
        <v>75</v>
      </c>
      <c r="J1099" s="2" t="s">
        <v>76</v>
      </c>
      <c r="K1099" s="2" t="s">
        <v>77</v>
      </c>
      <c r="L1099" s="2" t="s">
        <v>900</v>
      </c>
      <c r="M1099" s="2" t="s">
        <v>901</v>
      </c>
      <c r="N1099" s="2" t="s">
        <v>902</v>
      </c>
      <c r="O1099" s="2" t="s">
        <v>115</v>
      </c>
      <c r="P1099" s="2" t="str">
        <f>"2170561066                    "</f>
        <v xml:space="preserve">2170561066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4.29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</v>
      </c>
      <c r="BJ1099" s="2">
        <v>0.2</v>
      </c>
      <c r="BK1099" s="2">
        <v>1</v>
      </c>
      <c r="BL1099" s="2">
        <v>41.73</v>
      </c>
      <c r="BM1099" s="2">
        <v>5.84</v>
      </c>
      <c r="BN1099" s="2">
        <v>47.57</v>
      </c>
      <c r="BO1099" s="2">
        <v>47.57</v>
      </c>
      <c r="BP1099" s="2"/>
      <c r="BQ1099" s="2" t="s">
        <v>903</v>
      </c>
      <c r="BR1099" s="2" t="s">
        <v>123</v>
      </c>
      <c r="BS1099" s="3">
        <v>42832</v>
      </c>
      <c r="BT1099" s="4">
        <v>0.4375</v>
      </c>
      <c r="BU1099" s="2" t="s">
        <v>1279</v>
      </c>
      <c r="BV1099" s="2" t="s">
        <v>111</v>
      </c>
      <c r="BW1099" s="2"/>
      <c r="BX1099" s="2"/>
      <c r="BY1099" s="2">
        <v>1200</v>
      </c>
      <c r="BZ1099" s="2" t="s">
        <v>27</v>
      </c>
      <c r="CA1099" s="2"/>
      <c r="CB1099" s="2"/>
      <c r="CC1099" s="2" t="s">
        <v>901</v>
      </c>
      <c r="CD1099" s="2">
        <v>4026</v>
      </c>
      <c r="CE1099" s="2" t="s">
        <v>118</v>
      </c>
      <c r="CF1099" s="5">
        <v>42835</v>
      </c>
      <c r="CG1099" s="2"/>
      <c r="CH1099" s="2"/>
      <c r="CI1099" s="2">
        <v>1</v>
      </c>
      <c r="CJ1099" s="2">
        <v>1</v>
      </c>
      <c r="CK1099" s="2">
        <v>21</v>
      </c>
      <c r="CL1099" s="2" t="s">
        <v>86</v>
      </c>
      <c r="CM1099" s="2"/>
    </row>
    <row r="1100" spans="1:91">
      <c r="A1100" s="2" t="s">
        <v>71</v>
      </c>
      <c r="B1100" s="2" t="s">
        <v>72</v>
      </c>
      <c r="C1100" s="2" t="s">
        <v>73</v>
      </c>
      <c r="D1100" s="2"/>
      <c r="E1100" s="2" t="str">
        <f>"FES1162541611"</f>
        <v>FES1162541611</v>
      </c>
      <c r="F1100" s="3">
        <v>42830</v>
      </c>
      <c r="G1100" s="2">
        <v>201710</v>
      </c>
      <c r="H1100" s="2" t="s">
        <v>74</v>
      </c>
      <c r="I1100" s="2" t="s">
        <v>75</v>
      </c>
      <c r="J1100" s="2" t="s">
        <v>76</v>
      </c>
      <c r="K1100" s="2" t="s">
        <v>77</v>
      </c>
      <c r="L1100" s="2" t="s">
        <v>180</v>
      </c>
      <c r="M1100" s="2" t="s">
        <v>181</v>
      </c>
      <c r="N1100" s="2" t="s">
        <v>1678</v>
      </c>
      <c r="O1100" s="2" t="s">
        <v>115</v>
      </c>
      <c r="P1100" s="2" t="str">
        <f>"2170557811                    "</f>
        <v xml:space="preserve">2170557811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4.29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</v>
      </c>
      <c r="BJ1100" s="2">
        <v>0.2</v>
      </c>
      <c r="BK1100" s="2">
        <v>1</v>
      </c>
      <c r="BL1100" s="2">
        <v>41.73</v>
      </c>
      <c r="BM1100" s="2">
        <v>5.84</v>
      </c>
      <c r="BN1100" s="2">
        <v>47.57</v>
      </c>
      <c r="BO1100" s="2">
        <v>47.57</v>
      </c>
      <c r="BP1100" s="2"/>
      <c r="BQ1100" s="2"/>
      <c r="BR1100" s="2" t="s">
        <v>123</v>
      </c>
      <c r="BS1100" s="3">
        <v>42831</v>
      </c>
      <c r="BT1100" s="4">
        <v>0.34027777777777773</v>
      </c>
      <c r="BU1100" s="2" t="s">
        <v>1679</v>
      </c>
      <c r="BV1100" s="2" t="s">
        <v>111</v>
      </c>
      <c r="BW1100" s="2"/>
      <c r="BX1100" s="2"/>
      <c r="BY1100" s="2">
        <v>1200</v>
      </c>
      <c r="BZ1100" s="2" t="s">
        <v>27</v>
      </c>
      <c r="CA1100" s="2"/>
      <c r="CB1100" s="2"/>
      <c r="CC1100" s="2" t="s">
        <v>181</v>
      </c>
      <c r="CD1100" s="2">
        <v>4001</v>
      </c>
      <c r="CE1100" s="2" t="s">
        <v>144</v>
      </c>
      <c r="CF1100" s="5">
        <v>42832</v>
      </c>
      <c r="CG1100" s="2"/>
      <c r="CH1100" s="2"/>
      <c r="CI1100" s="2">
        <v>1</v>
      </c>
      <c r="CJ1100" s="2">
        <v>1</v>
      </c>
      <c r="CK1100" s="2">
        <v>21</v>
      </c>
      <c r="CL1100" s="2" t="s">
        <v>86</v>
      </c>
      <c r="CM1100" s="2"/>
    </row>
    <row r="1101" spans="1:91">
      <c r="A1101" s="2" t="s">
        <v>71</v>
      </c>
      <c r="B1101" s="2" t="s">
        <v>72</v>
      </c>
      <c r="C1101" s="2" t="s">
        <v>73</v>
      </c>
      <c r="D1101" s="2"/>
      <c r="E1101" s="2" t="str">
        <f>"FES1162543015"</f>
        <v>FES1162543015</v>
      </c>
      <c r="F1101" s="3">
        <v>42836</v>
      </c>
      <c r="G1101" s="2">
        <v>201710</v>
      </c>
      <c r="H1101" s="2" t="s">
        <v>74</v>
      </c>
      <c r="I1101" s="2" t="s">
        <v>75</v>
      </c>
      <c r="J1101" s="2" t="s">
        <v>76</v>
      </c>
      <c r="K1101" s="2" t="s">
        <v>77</v>
      </c>
      <c r="L1101" s="2" t="s">
        <v>131</v>
      </c>
      <c r="M1101" s="2" t="s">
        <v>132</v>
      </c>
      <c r="N1101" s="2" t="s">
        <v>384</v>
      </c>
      <c r="O1101" s="2" t="s">
        <v>115</v>
      </c>
      <c r="P1101" s="2" t="str">
        <f>"2170561803                    "</f>
        <v xml:space="preserve">2170561803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4.29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</v>
      </c>
      <c r="BJ1101" s="2">
        <v>0.2</v>
      </c>
      <c r="BK1101" s="2">
        <v>1</v>
      </c>
      <c r="BL1101" s="2">
        <v>41.73</v>
      </c>
      <c r="BM1101" s="2">
        <v>5.84</v>
      </c>
      <c r="BN1101" s="2">
        <v>47.57</v>
      </c>
      <c r="BO1101" s="2">
        <v>47.57</v>
      </c>
      <c r="BP1101" s="2"/>
      <c r="BQ1101" s="2" t="s">
        <v>468</v>
      </c>
      <c r="BR1101" s="2" t="s">
        <v>123</v>
      </c>
      <c r="BS1101" s="3">
        <v>42837</v>
      </c>
      <c r="BT1101" s="4">
        <v>0.41666666666666669</v>
      </c>
      <c r="BU1101" s="2" t="s">
        <v>130</v>
      </c>
      <c r="BV1101" s="2" t="s">
        <v>111</v>
      </c>
      <c r="BW1101" s="2"/>
      <c r="BX1101" s="2"/>
      <c r="BY1101" s="2">
        <v>1200</v>
      </c>
      <c r="BZ1101" s="2" t="s">
        <v>27</v>
      </c>
      <c r="CA1101" s="2"/>
      <c r="CB1101" s="2"/>
      <c r="CC1101" s="2" t="s">
        <v>132</v>
      </c>
      <c r="CD1101" s="2">
        <v>7405</v>
      </c>
      <c r="CE1101" s="2" t="s">
        <v>118</v>
      </c>
      <c r="CF1101" s="5">
        <v>42838</v>
      </c>
      <c r="CG1101" s="2"/>
      <c r="CH1101" s="2"/>
      <c r="CI1101" s="2">
        <v>1</v>
      </c>
      <c r="CJ1101" s="2">
        <v>1</v>
      </c>
      <c r="CK1101" s="2">
        <v>21</v>
      </c>
      <c r="CL1101" s="2" t="s">
        <v>86</v>
      </c>
      <c r="CM1101" s="2"/>
    </row>
    <row r="1102" spans="1:91">
      <c r="A1102" s="2" t="s">
        <v>71</v>
      </c>
      <c r="B1102" s="2" t="s">
        <v>72</v>
      </c>
      <c r="C1102" s="2" t="s">
        <v>73</v>
      </c>
      <c r="D1102" s="2"/>
      <c r="E1102" s="2" t="str">
        <f>"FES1162542185"</f>
        <v>FES1162542185</v>
      </c>
      <c r="F1102" s="3">
        <v>42831</v>
      </c>
      <c r="G1102" s="2">
        <v>201710</v>
      </c>
      <c r="H1102" s="2" t="s">
        <v>74</v>
      </c>
      <c r="I1102" s="2" t="s">
        <v>75</v>
      </c>
      <c r="J1102" s="2" t="s">
        <v>76</v>
      </c>
      <c r="K1102" s="2" t="s">
        <v>77</v>
      </c>
      <c r="L1102" s="2" t="s">
        <v>598</v>
      </c>
      <c r="M1102" s="2" t="s">
        <v>599</v>
      </c>
      <c r="N1102" s="2" t="s">
        <v>600</v>
      </c>
      <c r="O1102" s="2" t="s">
        <v>115</v>
      </c>
      <c r="P1102" s="2" t="str">
        <f>"2170561069                    "</f>
        <v xml:space="preserve">2170561069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8.31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</v>
      </c>
      <c r="BJ1102" s="2">
        <v>0.2</v>
      </c>
      <c r="BK1102" s="2">
        <v>1</v>
      </c>
      <c r="BL1102" s="2">
        <v>80.849999999999994</v>
      </c>
      <c r="BM1102" s="2">
        <v>11.32</v>
      </c>
      <c r="BN1102" s="2">
        <v>92.17</v>
      </c>
      <c r="BO1102" s="2">
        <v>92.17</v>
      </c>
      <c r="BP1102" s="2"/>
      <c r="BQ1102" s="2" t="s">
        <v>601</v>
      </c>
      <c r="BR1102" s="2" t="s">
        <v>123</v>
      </c>
      <c r="BS1102" s="3">
        <v>42832</v>
      </c>
      <c r="BT1102" s="4">
        <v>0.62152777777777779</v>
      </c>
      <c r="BU1102" s="2" t="s">
        <v>602</v>
      </c>
      <c r="BV1102" s="2" t="s">
        <v>111</v>
      </c>
      <c r="BW1102" s="2"/>
      <c r="BX1102" s="2"/>
      <c r="BY1102" s="2">
        <v>1200</v>
      </c>
      <c r="BZ1102" s="2" t="s">
        <v>27</v>
      </c>
      <c r="CA1102" s="2"/>
      <c r="CB1102" s="2"/>
      <c r="CC1102" s="2" t="s">
        <v>599</v>
      </c>
      <c r="CD1102" s="2">
        <v>3370</v>
      </c>
      <c r="CE1102" s="2" t="s">
        <v>118</v>
      </c>
      <c r="CF1102" s="5">
        <v>42836</v>
      </c>
      <c r="CG1102" s="2"/>
      <c r="CH1102" s="2"/>
      <c r="CI1102" s="2">
        <v>3</v>
      </c>
      <c r="CJ1102" s="2">
        <v>1</v>
      </c>
      <c r="CK1102" s="2">
        <v>23</v>
      </c>
      <c r="CL1102" s="2" t="s">
        <v>86</v>
      </c>
      <c r="CM1102" s="2"/>
    </row>
    <row r="1103" spans="1:91">
      <c r="A1103" s="2" t="s">
        <v>71</v>
      </c>
      <c r="B1103" s="2" t="s">
        <v>72</v>
      </c>
      <c r="C1103" s="2" t="s">
        <v>73</v>
      </c>
      <c r="D1103" s="2"/>
      <c r="E1103" s="2" t="str">
        <f>"FES1162541202"</f>
        <v>FES1162541202</v>
      </c>
      <c r="F1103" s="3">
        <v>42829</v>
      </c>
      <c r="G1103" s="2">
        <v>201710</v>
      </c>
      <c r="H1103" s="2" t="s">
        <v>74</v>
      </c>
      <c r="I1103" s="2" t="s">
        <v>75</v>
      </c>
      <c r="J1103" s="2" t="s">
        <v>76</v>
      </c>
      <c r="K1103" s="2" t="s">
        <v>77</v>
      </c>
      <c r="L1103" s="2" t="s">
        <v>131</v>
      </c>
      <c r="M1103" s="2" t="s">
        <v>132</v>
      </c>
      <c r="N1103" s="2" t="s">
        <v>1680</v>
      </c>
      <c r="O1103" s="2" t="s">
        <v>115</v>
      </c>
      <c r="P1103" s="2" t="str">
        <f>"2170560301                    "</f>
        <v xml:space="preserve">2170560301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4.42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1</v>
      </c>
      <c r="BJ1103" s="2">
        <v>0.2</v>
      </c>
      <c r="BK1103" s="2">
        <v>1</v>
      </c>
      <c r="BL1103" s="2">
        <v>41.86</v>
      </c>
      <c r="BM1103" s="2">
        <v>5.86</v>
      </c>
      <c r="BN1103" s="2">
        <v>47.72</v>
      </c>
      <c r="BO1103" s="2">
        <v>47.72</v>
      </c>
      <c r="BP1103" s="2"/>
      <c r="BQ1103" s="2" t="s">
        <v>129</v>
      </c>
      <c r="BR1103" s="2" t="s">
        <v>123</v>
      </c>
      <c r="BS1103" s="3">
        <v>42830</v>
      </c>
      <c r="BT1103" s="4">
        <v>0.34027777777777773</v>
      </c>
      <c r="BU1103" s="2" t="s">
        <v>1681</v>
      </c>
      <c r="BV1103" s="2" t="s">
        <v>111</v>
      </c>
      <c r="BW1103" s="2"/>
      <c r="BX1103" s="2"/>
      <c r="BY1103" s="2">
        <v>1200</v>
      </c>
      <c r="BZ1103" s="2" t="s">
        <v>27</v>
      </c>
      <c r="CA1103" s="2"/>
      <c r="CB1103" s="2"/>
      <c r="CC1103" s="2" t="s">
        <v>132</v>
      </c>
      <c r="CD1103" s="2">
        <v>7493</v>
      </c>
      <c r="CE1103" s="2" t="s">
        <v>144</v>
      </c>
      <c r="CF1103" s="5">
        <v>42831</v>
      </c>
      <c r="CG1103" s="2"/>
      <c r="CH1103" s="2"/>
      <c r="CI1103" s="2">
        <v>1</v>
      </c>
      <c r="CJ1103" s="2">
        <v>1</v>
      </c>
      <c r="CK1103" s="2">
        <v>21</v>
      </c>
      <c r="CL1103" s="2" t="s">
        <v>86</v>
      </c>
      <c r="CM1103" s="2"/>
    </row>
    <row r="1104" spans="1:91">
      <c r="A1104" s="2" t="s">
        <v>71</v>
      </c>
      <c r="B1104" s="2" t="s">
        <v>72</v>
      </c>
      <c r="C1104" s="2" t="s">
        <v>73</v>
      </c>
      <c r="D1104" s="2"/>
      <c r="E1104" s="2" t="str">
        <f>"FES1162543127"</f>
        <v>FES1162543127</v>
      </c>
      <c r="F1104" s="3">
        <v>42836</v>
      </c>
      <c r="G1104" s="2">
        <v>201710</v>
      </c>
      <c r="H1104" s="2" t="s">
        <v>74</v>
      </c>
      <c r="I1104" s="2" t="s">
        <v>75</v>
      </c>
      <c r="J1104" s="2" t="s">
        <v>76</v>
      </c>
      <c r="K1104" s="2" t="s">
        <v>77</v>
      </c>
      <c r="L1104" s="2" t="s">
        <v>99</v>
      </c>
      <c r="M1104" s="2" t="s">
        <v>100</v>
      </c>
      <c r="N1104" s="2" t="s">
        <v>1682</v>
      </c>
      <c r="O1104" s="2" t="s">
        <v>115</v>
      </c>
      <c r="P1104" s="2" t="str">
        <f>"2170561913                    "</f>
        <v xml:space="preserve">2170561913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4.29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1</v>
      </c>
      <c r="BJ1104" s="2">
        <v>0.2</v>
      </c>
      <c r="BK1104" s="2">
        <v>1</v>
      </c>
      <c r="BL1104" s="2">
        <v>41.73</v>
      </c>
      <c r="BM1104" s="2">
        <v>5.84</v>
      </c>
      <c r="BN1104" s="2">
        <v>47.57</v>
      </c>
      <c r="BO1104" s="2">
        <v>47.57</v>
      </c>
      <c r="BP1104" s="2"/>
      <c r="BQ1104" s="2" t="s">
        <v>1683</v>
      </c>
      <c r="BR1104" s="2" t="s">
        <v>84</v>
      </c>
      <c r="BS1104" s="3">
        <v>42837</v>
      </c>
      <c r="BT1104" s="4">
        <v>0.35069444444444442</v>
      </c>
      <c r="BU1104" s="2" t="s">
        <v>385</v>
      </c>
      <c r="BV1104" s="2" t="s">
        <v>111</v>
      </c>
      <c r="BW1104" s="2"/>
      <c r="BX1104" s="2"/>
      <c r="BY1104" s="2">
        <v>1200</v>
      </c>
      <c r="BZ1104" s="2" t="s">
        <v>27</v>
      </c>
      <c r="CA1104" s="2"/>
      <c r="CB1104" s="2"/>
      <c r="CC1104" s="2" t="s">
        <v>100</v>
      </c>
      <c r="CD1104" s="2">
        <v>6001</v>
      </c>
      <c r="CE1104" s="2" t="s">
        <v>118</v>
      </c>
      <c r="CF1104" s="5">
        <v>42838</v>
      </c>
      <c r="CG1104" s="2"/>
      <c r="CH1104" s="2"/>
      <c r="CI1104" s="2">
        <v>1</v>
      </c>
      <c r="CJ1104" s="2">
        <v>1</v>
      </c>
      <c r="CK1104" s="2">
        <v>21</v>
      </c>
      <c r="CL1104" s="2" t="s">
        <v>86</v>
      </c>
      <c r="CM1104" s="2"/>
    </row>
    <row r="1105" spans="1:91">
      <c r="A1105" s="2" t="s">
        <v>71</v>
      </c>
      <c r="B1105" s="2" t="s">
        <v>72</v>
      </c>
      <c r="C1105" s="2" t="s">
        <v>73</v>
      </c>
      <c r="D1105" s="2"/>
      <c r="E1105" s="2" t="str">
        <f>"FES1162542019"</f>
        <v>FES1162542019</v>
      </c>
      <c r="F1105" s="3">
        <v>42831</v>
      </c>
      <c r="G1105" s="2">
        <v>201710</v>
      </c>
      <c r="H1105" s="2" t="s">
        <v>74</v>
      </c>
      <c r="I1105" s="2" t="s">
        <v>75</v>
      </c>
      <c r="J1105" s="2" t="s">
        <v>76</v>
      </c>
      <c r="K1105" s="2" t="s">
        <v>77</v>
      </c>
      <c r="L1105" s="2" t="s">
        <v>74</v>
      </c>
      <c r="M1105" s="2" t="s">
        <v>75</v>
      </c>
      <c r="N1105" s="2" t="s">
        <v>1684</v>
      </c>
      <c r="O1105" s="2" t="s">
        <v>115</v>
      </c>
      <c r="P1105" s="2" t="str">
        <f>"2170558968                    "</f>
        <v xml:space="preserve">2170558968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3.35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1</v>
      </c>
      <c r="BJ1105" s="2">
        <v>0.2</v>
      </c>
      <c r="BK1105" s="2">
        <v>1</v>
      </c>
      <c r="BL1105" s="2">
        <v>32.6</v>
      </c>
      <c r="BM1105" s="2">
        <v>4.5599999999999996</v>
      </c>
      <c r="BN1105" s="2">
        <v>37.159999999999997</v>
      </c>
      <c r="BO1105" s="2">
        <v>37.159999999999997</v>
      </c>
      <c r="BP1105" s="2"/>
      <c r="BQ1105" s="2" t="s">
        <v>1685</v>
      </c>
      <c r="BR1105" s="2" t="s">
        <v>123</v>
      </c>
      <c r="BS1105" s="3">
        <v>42832</v>
      </c>
      <c r="BT1105" s="4">
        <v>0.3347222222222222</v>
      </c>
      <c r="BU1105" s="2" t="s">
        <v>1686</v>
      </c>
      <c r="BV1105" s="2" t="s">
        <v>111</v>
      </c>
      <c r="BW1105" s="2"/>
      <c r="BX1105" s="2"/>
      <c r="BY1105" s="2">
        <v>1200</v>
      </c>
      <c r="BZ1105" s="2" t="s">
        <v>27</v>
      </c>
      <c r="CA1105" s="2" t="s">
        <v>1687</v>
      </c>
      <c r="CB1105" s="2"/>
      <c r="CC1105" s="2" t="s">
        <v>75</v>
      </c>
      <c r="CD1105" s="2">
        <v>1609</v>
      </c>
      <c r="CE1105" s="2" t="s">
        <v>118</v>
      </c>
      <c r="CF1105" s="5">
        <v>42832</v>
      </c>
      <c r="CG1105" s="2"/>
      <c r="CH1105" s="2"/>
      <c r="CI1105" s="2">
        <v>1</v>
      </c>
      <c r="CJ1105" s="2">
        <v>1</v>
      </c>
      <c r="CK1105" s="2">
        <v>22</v>
      </c>
      <c r="CL1105" s="2" t="s">
        <v>86</v>
      </c>
      <c r="CM1105" s="2"/>
    </row>
    <row r="1106" spans="1:91">
      <c r="A1106" s="2" t="s">
        <v>71</v>
      </c>
      <c r="B1106" s="2" t="s">
        <v>72</v>
      </c>
      <c r="C1106" s="2" t="s">
        <v>73</v>
      </c>
      <c r="D1106" s="2"/>
      <c r="E1106" s="2" t="str">
        <f>"FES1162541353"</f>
        <v>FES1162541353</v>
      </c>
      <c r="F1106" s="3">
        <v>42829</v>
      </c>
      <c r="G1106" s="2">
        <v>201710</v>
      </c>
      <c r="H1106" s="2" t="s">
        <v>74</v>
      </c>
      <c r="I1106" s="2" t="s">
        <v>75</v>
      </c>
      <c r="J1106" s="2" t="s">
        <v>76</v>
      </c>
      <c r="K1106" s="2" t="s">
        <v>77</v>
      </c>
      <c r="L1106" s="2" t="s">
        <v>180</v>
      </c>
      <c r="M1106" s="2" t="s">
        <v>181</v>
      </c>
      <c r="N1106" s="2" t="s">
        <v>80</v>
      </c>
      <c r="O1106" s="2" t="s">
        <v>115</v>
      </c>
      <c r="P1106" s="2" t="str">
        <f>"2170560429                    "</f>
        <v xml:space="preserve">2170560429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5.53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2.2999999999999998</v>
      </c>
      <c r="BJ1106" s="2">
        <v>1.4</v>
      </c>
      <c r="BK1106" s="2">
        <v>2.5</v>
      </c>
      <c r="BL1106" s="2">
        <v>52.33</v>
      </c>
      <c r="BM1106" s="2">
        <v>7.33</v>
      </c>
      <c r="BN1106" s="2">
        <v>59.66</v>
      </c>
      <c r="BO1106" s="2">
        <v>59.66</v>
      </c>
      <c r="BP1106" s="2"/>
      <c r="BQ1106" s="2" t="s">
        <v>122</v>
      </c>
      <c r="BR1106" s="2" t="s">
        <v>123</v>
      </c>
      <c r="BS1106" s="3">
        <v>42830</v>
      </c>
      <c r="BT1106" s="4">
        <v>0.4375</v>
      </c>
      <c r="BU1106" s="2" t="s">
        <v>1688</v>
      </c>
      <c r="BV1106" s="2" t="s">
        <v>111</v>
      </c>
      <c r="BW1106" s="2"/>
      <c r="BX1106" s="2"/>
      <c r="BY1106" s="2">
        <v>7032.29</v>
      </c>
      <c r="BZ1106" s="2" t="s">
        <v>27</v>
      </c>
      <c r="CA1106" s="2"/>
      <c r="CB1106" s="2"/>
      <c r="CC1106" s="2" t="s">
        <v>181</v>
      </c>
      <c r="CD1106" s="2">
        <v>4052</v>
      </c>
      <c r="CE1106" s="2" t="s">
        <v>135</v>
      </c>
      <c r="CF1106" s="5">
        <v>42831</v>
      </c>
      <c r="CG1106" s="2"/>
      <c r="CH1106" s="2"/>
      <c r="CI1106" s="2">
        <v>1</v>
      </c>
      <c r="CJ1106" s="2">
        <v>1</v>
      </c>
      <c r="CK1106" s="2">
        <v>21</v>
      </c>
      <c r="CL1106" s="2" t="s">
        <v>86</v>
      </c>
      <c r="CM1106" s="2"/>
    </row>
    <row r="1107" spans="1:91">
      <c r="A1107" s="2" t="s">
        <v>71</v>
      </c>
      <c r="B1107" s="2" t="s">
        <v>72</v>
      </c>
      <c r="C1107" s="2" t="s">
        <v>73</v>
      </c>
      <c r="D1107" s="2"/>
      <c r="E1107" s="2" t="str">
        <f>"FES1162543090"</f>
        <v>FES1162543090</v>
      </c>
      <c r="F1107" s="3">
        <v>42836</v>
      </c>
      <c r="G1107" s="2">
        <v>201710</v>
      </c>
      <c r="H1107" s="2" t="s">
        <v>74</v>
      </c>
      <c r="I1107" s="2" t="s">
        <v>75</v>
      </c>
      <c r="J1107" s="2" t="s">
        <v>76</v>
      </c>
      <c r="K1107" s="2" t="s">
        <v>77</v>
      </c>
      <c r="L1107" s="2" t="s">
        <v>187</v>
      </c>
      <c r="M1107" s="2" t="s">
        <v>146</v>
      </c>
      <c r="N1107" s="2" t="s">
        <v>326</v>
      </c>
      <c r="O1107" s="2" t="s">
        <v>115</v>
      </c>
      <c r="P1107" s="2" t="str">
        <f>"2170561881                    "</f>
        <v xml:space="preserve">2170561881  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4.29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1</v>
      </c>
      <c r="BJ1107" s="2">
        <v>0.2</v>
      </c>
      <c r="BK1107" s="2">
        <v>1</v>
      </c>
      <c r="BL1107" s="2">
        <v>41.73</v>
      </c>
      <c r="BM1107" s="2">
        <v>5.84</v>
      </c>
      <c r="BN1107" s="2">
        <v>47.57</v>
      </c>
      <c r="BO1107" s="2">
        <v>47.57</v>
      </c>
      <c r="BP1107" s="2"/>
      <c r="BQ1107" s="2" t="s">
        <v>327</v>
      </c>
      <c r="BR1107" s="2" t="s">
        <v>123</v>
      </c>
      <c r="BS1107" s="3">
        <v>42837</v>
      </c>
      <c r="BT1107" s="4">
        <v>0.3888888888888889</v>
      </c>
      <c r="BU1107" s="2" t="s">
        <v>328</v>
      </c>
      <c r="BV1107" s="2" t="s">
        <v>111</v>
      </c>
      <c r="BW1107" s="2"/>
      <c r="BX1107" s="2"/>
      <c r="BY1107" s="2">
        <v>1200</v>
      </c>
      <c r="BZ1107" s="2" t="s">
        <v>27</v>
      </c>
      <c r="CA1107" s="2"/>
      <c r="CB1107" s="2"/>
      <c r="CC1107" s="2" t="s">
        <v>146</v>
      </c>
      <c r="CD1107" s="2">
        <v>200</v>
      </c>
      <c r="CE1107" s="2" t="s">
        <v>118</v>
      </c>
      <c r="CF1107" s="5">
        <v>42843</v>
      </c>
      <c r="CG1107" s="2"/>
      <c r="CH1107" s="2"/>
      <c r="CI1107" s="2">
        <v>0</v>
      </c>
      <c r="CJ1107" s="2">
        <v>0</v>
      </c>
      <c r="CK1107" s="2">
        <v>21</v>
      </c>
      <c r="CL1107" s="2" t="s">
        <v>86</v>
      </c>
      <c r="CM1107" s="2"/>
    </row>
    <row r="1108" spans="1:91">
      <c r="A1108" s="2" t="s">
        <v>71</v>
      </c>
      <c r="B1108" s="2" t="s">
        <v>72</v>
      </c>
      <c r="C1108" s="2" t="s">
        <v>73</v>
      </c>
      <c r="D1108" s="2"/>
      <c r="E1108" s="2" t="str">
        <f>"FES1162542029"</f>
        <v>FES1162542029</v>
      </c>
      <c r="F1108" s="3">
        <v>42831</v>
      </c>
      <c r="G1108" s="2">
        <v>201710</v>
      </c>
      <c r="H1108" s="2" t="s">
        <v>74</v>
      </c>
      <c r="I1108" s="2" t="s">
        <v>75</v>
      </c>
      <c r="J1108" s="2" t="s">
        <v>76</v>
      </c>
      <c r="K1108" s="2" t="s">
        <v>77</v>
      </c>
      <c r="L1108" s="2" t="s">
        <v>358</v>
      </c>
      <c r="M1108" s="2" t="s">
        <v>359</v>
      </c>
      <c r="N1108" s="2" t="s">
        <v>800</v>
      </c>
      <c r="O1108" s="2" t="s">
        <v>115</v>
      </c>
      <c r="P1108" s="2" t="str">
        <f>"2170560962                    "</f>
        <v xml:space="preserve">2170560962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9.65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3</v>
      </c>
      <c r="BJ1108" s="2">
        <v>4.0999999999999996</v>
      </c>
      <c r="BK1108" s="2">
        <v>4.5</v>
      </c>
      <c r="BL1108" s="2">
        <v>93.89</v>
      </c>
      <c r="BM1108" s="2">
        <v>13.14</v>
      </c>
      <c r="BN1108" s="2">
        <v>107.03</v>
      </c>
      <c r="BO1108" s="2">
        <v>107.03</v>
      </c>
      <c r="BP1108" s="2"/>
      <c r="BQ1108" s="2" t="s">
        <v>801</v>
      </c>
      <c r="BR1108" s="2" t="s">
        <v>123</v>
      </c>
      <c r="BS1108" s="3">
        <v>42832</v>
      </c>
      <c r="BT1108" s="4">
        <v>0.31041666666666667</v>
      </c>
      <c r="BU1108" s="2" t="s">
        <v>918</v>
      </c>
      <c r="BV1108" s="2" t="s">
        <v>111</v>
      </c>
      <c r="BW1108" s="2"/>
      <c r="BX1108" s="2"/>
      <c r="BY1108" s="2">
        <v>20358</v>
      </c>
      <c r="BZ1108" s="2" t="s">
        <v>27</v>
      </c>
      <c r="CA1108" s="2"/>
      <c r="CB1108" s="2"/>
      <c r="CC1108" s="2" t="s">
        <v>359</v>
      </c>
      <c r="CD1108" s="2">
        <v>6230</v>
      </c>
      <c r="CE1108" s="2" t="s">
        <v>172</v>
      </c>
      <c r="CF1108" s="5">
        <v>42835</v>
      </c>
      <c r="CG1108" s="2"/>
      <c r="CH1108" s="2"/>
      <c r="CI1108" s="2">
        <v>1</v>
      </c>
      <c r="CJ1108" s="2">
        <v>1</v>
      </c>
      <c r="CK1108" s="2">
        <v>21</v>
      </c>
      <c r="CL1108" s="2" t="s">
        <v>86</v>
      </c>
      <c r="CM1108" s="2"/>
    </row>
    <row r="1109" spans="1:91">
      <c r="A1109" s="2" t="s">
        <v>71</v>
      </c>
      <c r="B1109" s="2" t="s">
        <v>72</v>
      </c>
      <c r="C1109" s="2" t="s">
        <v>73</v>
      </c>
      <c r="D1109" s="2"/>
      <c r="E1109" s="2" t="str">
        <f>"FES1162541297"</f>
        <v>FES1162541297</v>
      </c>
      <c r="F1109" s="3">
        <v>42829</v>
      </c>
      <c r="G1109" s="2">
        <v>201710</v>
      </c>
      <c r="H1109" s="2" t="s">
        <v>74</v>
      </c>
      <c r="I1109" s="2" t="s">
        <v>75</v>
      </c>
      <c r="J1109" s="2" t="s">
        <v>76</v>
      </c>
      <c r="K1109" s="2" t="s">
        <v>77</v>
      </c>
      <c r="L1109" s="2" t="s">
        <v>180</v>
      </c>
      <c r="M1109" s="2" t="s">
        <v>181</v>
      </c>
      <c r="N1109" s="2" t="s">
        <v>706</v>
      </c>
      <c r="O1109" s="2" t="s">
        <v>115</v>
      </c>
      <c r="P1109" s="2" t="str">
        <f>"2170560361                    "</f>
        <v xml:space="preserve">2170560361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4.42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1</v>
      </c>
      <c r="BJ1109" s="2">
        <v>0.2</v>
      </c>
      <c r="BK1109" s="2">
        <v>1</v>
      </c>
      <c r="BL1109" s="2">
        <v>41.86</v>
      </c>
      <c r="BM1109" s="2">
        <v>5.86</v>
      </c>
      <c r="BN1109" s="2">
        <v>47.72</v>
      </c>
      <c r="BO1109" s="2">
        <v>47.72</v>
      </c>
      <c r="BP1109" s="2"/>
      <c r="BQ1109" s="2" t="s">
        <v>707</v>
      </c>
      <c r="BR1109" s="2" t="s">
        <v>123</v>
      </c>
      <c r="BS1109" s="3">
        <v>42830</v>
      </c>
      <c r="BT1109" s="4">
        <v>0.4375</v>
      </c>
      <c r="BU1109" s="2" t="s">
        <v>1290</v>
      </c>
      <c r="BV1109" s="2" t="s">
        <v>111</v>
      </c>
      <c r="BW1109" s="2"/>
      <c r="BX1109" s="2"/>
      <c r="BY1109" s="2">
        <v>1200</v>
      </c>
      <c r="BZ1109" s="2" t="s">
        <v>27</v>
      </c>
      <c r="CA1109" s="2"/>
      <c r="CB1109" s="2"/>
      <c r="CC1109" s="2" t="s">
        <v>181</v>
      </c>
      <c r="CD1109" s="2">
        <v>4052</v>
      </c>
      <c r="CE1109" s="2" t="s">
        <v>144</v>
      </c>
      <c r="CF1109" s="5">
        <v>42831</v>
      </c>
      <c r="CG1109" s="2"/>
      <c r="CH1109" s="2"/>
      <c r="CI1109" s="2">
        <v>1</v>
      </c>
      <c r="CJ1109" s="2">
        <v>1</v>
      </c>
      <c r="CK1109" s="2">
        <v>21</v>
      </c>
      <c r="CL1109" s="2" t="s">
        <v>86</v>
      </c>
      <c r="CM1109" s="2"/>
    </row>
    <row r="1110" spans="1:91">
      <c r="A1110" s="2" t="s">
        <v>71</v>
      </c>
      <c r="B1110" s="2" t="s">
        <v>72</v>
      </c>
      <c r="C1110" s="2" t="s">
        <v>73</v>
      </c>
      <c r="D1110" s="2"/>
      <c r="E1110" s="2" t="str">
        <f>"FES1162543136"</f>
        <v>FES1162543136</v>
      </c>
      <c r="F1110" s="3">
        <v>42836</v>
      </c>
      <c r="G1110" s="2">
        <v>201710</v>
      </c>
      <c r="H1110" s="2" t="s">
        <v>74</v>
      </c>
      <c r="I1110" s="2" t="s">
        <v>75</v>
      </c>
      <c r="J1110" s="2" t="s">
        <v>76</v>
      </c>
      <c r="K1110" s="2" t="s">
        <v>77</v>
      </c>
      <c r="L1110" s="2" t="s">
        <v>99</v>
      </c>
      <c r="M1110" s="2" t="s">
        <v>100</v>
      </c>
      <c r="N1110" s="2" t="s">
        <v>700</v>
      </c>
      <c r="O1110" s="2" t="s">
        <v>115</v>
      </c>
      <c r="P1110" s="2" t="str">
        <f>"2170561924                    "</f>
        <v xml:space="preserve">2170561924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4.29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1</v>
      </c>
      <c r="BJ1110" s="2">
        <v>0.2</v>
      </c>
      <c r="BK1110" s="2">
        <v>1</v>
      </c>
      <c r="BL1110" s="2">
        <v>41.73</v>
      </c>
      <c r="BM1110" s="2">
        <v>5.84</v>
      </c>
      <c r="BN1110" s="2">
        <v>47.57</v>
      </c>
      <c r="BO1110" s="2">
        <v>47.57</v>
      </c>
      <c r="BP1110" s="2"/>
      <c r="BQ1110" s="2" t="s">
        <v>701</v>
      </c>
      <c r="BR1110" s="2" t="s">
        <v>84</v>
      </c>
      <c r="BS1110" s="3">
        <v>42837</v>
      </c>
      <c r="BT1110" s="4">
        <v>0.41666666666666669</v>
      </c>
      <c r="BU1110" s="2" t="s">
        <v>702</v>
      </c>
      <c r="BV1110" s="2" t="s">
        <v>111</v>
      </c>
      <c r="BW1110" s="2"/>
      <c r="BX1110" s="2"/>
      <c r="BY1110" s="2">
        <v>1200</v>
      </c>
      <c r="BZ1110" s="2" t="s">
        <v>27</v>
      </c>
      <c r="CA1110" s="2" t="s">
        <v>106</v>
      </c>
      <c r="CB1110" s="2"/>
      <c r="CC1110" s="2" t="s">
        <v>100</v>
      </c>
      <c r="CD1110" s="2">
        <v>6001</v>
      </c>
      <c r="CE1110" s="2" t="s">
        <v>118</v>
      </c>
      <c r="CF1110" s="5">
        <v>42837</v>
      </c>
      <c r="CG1110" s="2"/>
      <c r="CH1110" s="2"/>
      <c r="CI1110" s="2">
        <v>1</v>
      </c>
      <c r="CJ1110" s="2">
        <v>1</v>
      </c>
      <c r="CK1110" s="2">
        <v>21</v>
      </c>
      <c r="CL1110" s="2" t="s">
        <v>86</v>
      </c>
      <c r="CM1110" s="2"/>
    </row>
    <row r="1111" spans="1:91">
      <c r="A1111" s="2" t="s">
        <v>71</v>
      </c>
      <c r="B1111" s="2" t="s">
        <v>72</v>
      </c>
      <c r="C1111" s="2" t="s">
        <v>73</v>
      </c>
      <c r="D1111" s="2"/>
      <c r="E1111" s="2" t="str">
        <f>"FES1162542080"</f>
        <v>FES1162542080</v>
      </c>
      <c r="F1111" s="3">
        <v>42831</v>
      </c>
      <c r="G1111" s="2">
        <v>201710</v>
      </c>
      <c r="H1111" s="2" t="s">
        <v>74</v>
      </c>
      <c r="I1111" s="2" t="s">
        <v>75</v>
      </c>
      <c r="J1111" s="2" t="s">
        <v>76</v>
      </c>
      <c r="K1111" s="2" t="s">
        <v>77</v>
      </c>
      <c r="L1111" s="2" t="s">
        <v>516</v>
      </c>
      <c r="M1111" s="2" t="s">
        <v>517</v>
      </c>
      <c r="N1111" s="2" t="s">
        <v>808</v>
      </c>
      <c r="O1111" s="2" t="s">
        <v>115</v>
      </c>
      <c r="P1111" s="2" t="str">
        <f>"2170558423                    "</f>
        <v xml:space="preserve">2170558423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3.35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1</v>
      </c>
      <c r="BJ1111" s="2">
        <v>0.2</v>
      </c>
      <c r="BK1111" s="2">
        <v>1</v>
      </c>
      <c r="BL1111" s="2">
        <v>32.6</v>
      </c>
      <c r="BM1111" s="2">
        <v>4.5599999999999996</v>
      </c>
      <c r="BN1111" s="2">
        <v>37.159999999999997</v>
      </c>
      <c r="BO1111" s="2">
        <v>37.159999999999997</v>
      </c>
      <c r="BP1111" s="2"/>
      <c r="BQ1111" s="2" t="s">
        <v>809</v>
      </c>
      <c r="BR1111" s="2" t="s">
        <v>123</v>
      </c>
      <c r="BS1111" s="3">
        <v>42832</v>
      </c>
      <c r="BT1111" s="4">
        <v>0.4236111111111111</v>
      </c>
      <c r="BU1111" s="2" t="s">
        <v>756</v>
      </c>
      <c r="BV1111" s="2" t="s">
        <v>111</v>
      </c>
      <c r="BW1111" s="2"/>
      <c r="BX1111" s="2"/>
      <c r="BY1111" s="2">
        <v>1200</v>
      </c>
      <c r="BZ1111" s="2" t="s">
        <v>27</v>
      </c>
      <c r="CA1111" s="2"/>
      <c r="CB1111" s="2"/>
      <c r="CC1111" s="2" t="s">
        <v>517</v>
      </c>
      <c r="CD1111" s="2">
        <v>1459</v>
      </c>
      <c r="CE1111" s="2" t="s">
        <v>118</v>
      </c>
      <c r="CF1111" s="5">
        <v>42835</v>
      </c>
      <c r="CG1111" s="2"/>
      <c r="CH1111" s="2"/>
      <c r="CI1111" s="2">
        <v>1</v>
      </c>
      <c r="CJ1111" s="2">
        <v>1</v>
      </c>
      <c r="CK1111" s="2">
        <v>22</v>
      </c>
      <c r="CL1111" s="2" t="s">
        <v>86</v>
      </c>
      <c r="CM1111" s="2"/>
    </row>
    <row r="1112" spans="1:91">
      <c r="A1112" s="2" t="s">
        <v>71</v>
      </c>
      <c r="B1112" s="2" t="s">
        <v>72</v>
      </c>
      <c r="C1112" s="2" t="s">
        <v>73</v>
      </c>
      <c r="D1112" s="2"/>
      <c r="E1112" s="2" t="str">
        <f>"FES1162541328"</f>
        <v>FES1162541328</v>
      </c>
      <c r="F1112" s="3">
        <v>42829</v>
      </c>
      <c r="G1112" s="2">
        <v>201710</v>
      </c>
      <c r="H1112" s="2" t="s">
        <v>74</v>
      </c>
      <c r="I1112" s="2" t="s">
        <v>75</v>
      </c>
      <c r="J1112" s="2" t="s">
        <v>76</v>
      </c>
      <c r="K1112" s="2" t="s">
        <v>77</v>
      </c>
      <c r="L1112" s="2" t="s">
        <v>131</v>
      </c>
      <c r="M1112" s="2" t="s">
        <v>132</v>
      </c>
      <c r="N1112" s="2" t="s">
        <v>1689</v>
      </c>
      <c r="O1112" s="2" t="s">
        <v>115</v>
      </c>
      <c r="P1112" s="2" t="str">
        <f>"2170560401                    "</f>
        <v xml:space="preserve">2170560401 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4.42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1</v>
      </c>
      <c r="BJ1112" s="2">
        <v>0.2</v>
      </c>
      <c r="BK1112" s="2">
        <v>1</v>
      </c>
      <c r="BL1112" s="2">
        <v>41.86</v>
      </c>
      <c r="BM1112" s="2">
        <v>5.86</v>
      </c>
      <c r="BN1112" s="2">
        <v>47.72</v>
      </c>
      <c r="BO1112" s="2">
        <v>47.72</v>
      </c>
      <c r="BP1112" s="2"/>
      <c r="BQ1112" s="2" t="s">
        <v>1690</v>
      </c>
      <c r="BR1112" s="2" t="s">
        <v>123</v>
      </c>
      <c r="BS1112" s="3">
        <v>42830</v>
      </c>
      <c r="BT1112" s="4">
        <v>0.4069444444444445</v>
      </c>
      <c r="BU1112" s="2" t="s">
        <v>1691</v>
      </c>
      <c r="BV1112" s="2" t="s">
        <v>111</v>
      </c>
      <c r="BW1112" s="2"/>
      <c r="BX1112" s="2"/>
      <c r="BY1112" s="2">
        <v>1200</v>
      </c>
      <c r="BZ1112" s="2" t="s">
        <v>27</v>
      </c>
      <c r="CA1112" s="2"/>
      <c r="CB1112" s="2"/>
      <c r="CC1112" s="2" t="s">
        <v>132</v>
      </c>
      <c r="CD1112" s="2">
        <v>7405</v>
      </c>
      <c r="CE1112" s="2" t="s">
        <v>144</v>
      </c>
      <c r="CF1112" s="5">
        <v>42831</v>
      </c>
      <c r="CG1112" s="2"/>
      <c r="CH1112" s="2"/>
      <c r="CI1112" s="2">
        <v>1</v>
      </c>
      <c r="CJ1112" s="2">
        <v>1</v>
      </c>
      <c r="CK1112" s="2">
        <v>21</v>
      </c>
      <c r="CL1112" s="2" t="s">
        <v>86</v>
      </c>
      <c r="CM1112" s="2"/>
    </row>
    <row r="1113" spans="1:91">
      <c r="A1113" s="2" t="s">
        <v>71</v>
      </c>
      <c r="B1113" s="2" t="s">
        <v>72</v>
      </c>
      <c r="C1113" s="2" t="s">
        <v>73</v>
      </c>
      <c r="D1113" s="2"/>
      <c r="E1113" s="2" t="str">
        <f>"FES1162543117"</f>
        <v>FES1162543117</v>
      </c>
      <c r="F1113" s="3">
        <v>42836</v>
      </c>
      <c r="G1113" s="2">
        <v>201710</v>
      </c>
      <c r="H1113" s="2" t="s">
        <v>74</v>
      </c>
      <c r="I1113" s="2" t="s">
        <v>75</v>
      </c>
      <c r="J1113" s="2" t="s">
        <v>76</v>
      </c>
      <c r="K1113" s="2" t="s">
        <v>77</v>
      </c>
      <c r="L1113" s="2" t="s">
        <v>1692</v>
      </c>
      <c r="M1113" s="2" t="s">
        <v>1693</v>
      </c>
      <c r="N1113" s="2" t="s">
        <v>1694</v>
      </c>
      <c r="O1113" s="2" t="s">
        <v>115</v>
      </c>
      <c r="P1113" s="2" t="str">
        <f>"2170561896                    "</f>
        <v xml:space="preserve">2170561896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35.369999999999997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16.100000000000001</v>
      </c>
      <c r="BJ1113" s="2">
        <v>9.1999999999999993</v>
      </c>
      <c r="BK1113" s="2">
        <v>16.5</v>
      </c>
      <c r="BL1113" s="2">
        <v>344.25</v>
      </c>
      <c r="BM1113" s="2">
        <v>48.2</v>
      </c>
      <c r="BN1113" s="2">
        <v>392.45</v>
      </c>
      <c r="BO1113" s="2">
        <v>392.45</v>
      </c>
      <c r="BP1113" s="2"/>
      <c r="BQ1113" s="2" t="s">
        <v>83</v>
      </c>
      <c r="BR1113" s="2" t="s">
        <v>84</v>
      </c>
      <c r="BS1113" s="3">
        <v>42837</v>
      </c>
      <c r="BT1113" s="4">
        <v>0.40972222222222227</v>
      </c>
      <c r="BU1113" s="2" t="s">
        <v>1695</v>
      </c>
      <c r="BV1113" s="2" t="s">
        <v>111</v>
      </c>
      <c r="BW1113" s="2"/>
      <c r="BX1113" s="2"/>
      <c r="BY1113" s="2">
        <v>45822.98</v>
      </c>
      <c r="BZ1113" s="2" t="s">
        <v>27</v>
      </c>
      <c r="CA1113" s="2"/>
      <c r="CB1113" s="2"/>
      <c r="CC1113" s="2" t="s">
        <v>1693</v>
      </c>
      <c r="CD1113" s="2">
        <v>4125</v>
      </c>
      <c r="CE1113" s="2" t="s">
        <v>89</v>
      </c>
      <c r="CF1113" s="5">
        <v>42843</v>
      </c>
      <c r="CG1113" s="2"/>
      <c r="CH1113" s="2"/>
      <c r="CI1113" s="2">
        <v>1</v>
      </c>
      <c r="CJ1113" s="2">
        <v>1</v>
      </c>
      <c r="CK1113" s="2">
        <v>21</v>
      </c>
      <c r="CL1113" s="2" t="s">
        <v>86</v>
      </c>
      <c r="CM1113" s="2"/>
    </row>
    <row r="1114" spans="1:91">
      <c r="A1114" s="2" t="s">
        <v>71</v>
      </c>
      <c r="B1114" s="2" t="s">
        <v>72</v>
      </c>
      <c r="C1114" s="2" t="s">
        <v>73</v>
      </c>
      <c r="D1114" s="2"/>
      <c r="E1114" s="2" t="str">
        <f>"FES1162542009"</f>
        <v>FES1162542009</v>
      </c>
      <c r="F1114" s="3">
        <v>42831</v>
      </c>
      <c r="G1114" s="2">
        <v>201710</v>
      </c>
      <c r="H1114" s="2" t="s">
        <v>74</v>
      </c>
      <c r="I1114" s="2" t="s">
        <v>75</v>
      </c>
      <c r="J1114" s="2" t="s">
        <v>76</v>
      </c>
      <c r="K1114" s="2" t="s">
        <v>77</v>
      </c>
      <c r="L1114" s="2" t="s">
        <v>131</v>
      </c>
      <c r="M1114" s="2" t="s">
        <v>132</v>
      </c>
      <c r="N1114" s="2" t="s">
        <v>384</v>
      </c>
      <c r="O1114" s="2" t="s">
        <v>115</v>
      </c>
      <c r="P1114" s="2" t="str">
        <f>"2170558738                    "</f>
        <v xml:space="preserve">2170558738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5.36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2.1</v>
      </c>
      <c r="BJ1114" s="2">
        <v>1.7</v>
      </c>
      <c r="BK1114" s="2">
        <v>2.5</v>
      </c>
      <c r="BL1114" s="2">
        <v>52.16</v>
      </c>
      <c r="BM1114" s="2">
        <v>7.3</v>
      </c>
      <c r="BN1114" s="2">
        <v>59.46</v>
      </c>
      <c r="BO1114" s="2">
        <v>59.46</v>
      </c>
      <c r="BP1114" s="2"/>
      <c r="BQ1114" s="2" t="s">
        <v>1272</v>
      </c>
      <c r="BR1114" s="2" t="s">
        <v>123</v>
      </c>
      <c r="BS1114" s="3">
        <v>42832</v>
      </c>
      <c r="BT1114" s="4">
        <v>0.41319444444444442</v>
      </c>
      <c r="BU1114" s="2" t="s">
        <v>1696</v>
      </c>
      <c r="BV1114" s="2" t="s">
        <v>111</v>
      </c>
      <c r="BW1114" s="2"/>
      <c r="BX1114" s="2"/>
      <c r="BY1114" s="2">
        <v>8746.65</v>
      </c>
      <c r="BZ1114" s="2" t="s">
        <v>27</v>
      </c>
      <c r="CA1114" s="2"/>
      <c r="CB1114" s="2"/>
      <c r="CC1114" s="2" t="s">
        <v>132</v>
      </c>
      <c r="CD1114" s="2">
        <v>7530</v>
      </c>
      <c r="CE1114" s="2" t="s">
        <v>118</v>
      </c>
      <c r="CF1114" s="5">
        <v>42835</v>
      </c>
      <c r="CG1114" s="2"/>
      <c r="CH1114" s="2"/>
      <c r="CI1114" s="2">
        <v>1</v>
      </c>
      <c r="CJ1114" s="2">
        <v>1</v>
      </c>
      <c r="CK1114" s="2">
        <v>21</v>
      </c>
      <c r="CL1114" s="2" t="s">
        <v>86</v>
      </c>
      <c r="CM1114" s="2"/>
    </row>
    <row r="1115" spans="1:91">
      <c r="A1115" s="2" t="s">
        <v>71</v>
      </c>
      <c r="B1115" s="2" t="s">
        <v>72</v>
      </c>
      <c r="C1115" s="2" t="s">
        <v>73</v>
      </c>
      <c r="D1115" s="2"/>
      <c r="E1115" s="2" t="str">
        <f>"FES1162541315"</f>
        <v>FES1162541315</v>
      </c>
      <c r="F1115" s="3">
        <v>42829</v>
      </c>
      <c r="G1115" s="2">
        <v>201710</v>
      </c>
      <c r="H1115" s="2" t="s">
        <v>74</v>
      </c>
      <c r="I1115" s="2" t="s">
        <v>75</v>
      </c>
      <c r="J1115" s="2" t="s">
        <v>76</v>
      </c>
      <c r="K1115" s="2" t="s">
        <v>77</v>
      </c>
      <c r="L1115" s="2" t="s">
        <v>180</v>
      </c>
      <c r="M1115" s="2" t="s">
        <v>181</v>
      </c>
      <c r="N1115" s="2" t="s">
        <v>348</v>
      </c>
      <c r="O1115" s="2" t="s">
        <v>115</v>
      </c>
      <c r="P1115" s="2" t="str">
        <f>"2170560389                    "</f>
        <v xml:space="preserve">2170560389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4.42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1</v>
      </c>
      <c r="BJ1115" s="2">
        <v>0.2</v>
      </c>
      <c r="BK1115" s="2">
        <v>1</v>
      </c>
      <c r="BL1115" s="2">
        <v>41.86</v>
      </c>
      <c r="BM1115" s="2">
        <v>5.86</v>
      </c>
      <c r="BN1115" s="2">
        <v>47.72</v>
      </c>
      <c r="BO1115" s="2">
        <v>47.72</v>
      </c>
      <c r="BP1115" s="2"/>
      <c r="BQ1115" s="2" t="s">
        <v>349</v>
      </c>
      <c r="BR1115" s="2" t="s">
        <v>123</v>
      </c>
      <c r="BS1115" s="3">
        <v>42830</v>
      </c>
      <c r="BT1115" s="4">
        <v>0.4375</v>
      </c>
      <c r="BU1115" s="2" t="s">
        <v>864</v>
      </c>
      <c r="BV1115" s="2" t="s">
        <v>111</v>
      </c>
      <c r="BW1115" s="2"/>
      <c r="BX1115" s="2"/>
      <c r="BY1115" s="2">
        <v>1200</v>
      </c>
      <c r="BZ1115" s="2" t="s">
        <v>27</v>
      </c>
      <c r="CA1115" s="2"/>
      <c r="CB1115" s="2"/>
      <c r="CC1115" s="2" t="s">
        <v>181</v>
      </c>
      <c r="CD1115" s="2">
        <v>4001</v>
      </c>
      <c r="CE1115" s="2" t="s">
        <v>144</v>
      </c>
      <c r="CF1115" s="5">
        <v>42831</v>
      </c>
      <c r="CG1115" s="2"/>
      <c r="CH1115" s="2"/>
      <c r="CI1115" s="2">
        <v>1</v>
      </c>
      <c r="CJ1115" s="2">
        <v>1</v>
      </c>
      <c r="CK1115" s="2">
        <v>21</v>
      </c>
      <c r="CL1115" s="2" t="s">
        <v>86</v>
      </c>
      <c r="CM1115" s="2"/>
    </row>
    <row r="1116" spans="1:91">
      <c r="A1116" s="2" t="s">
        <v>71</v>
      </c>
      <c r="B1116" s="2" t="s">
        <v>72</v>
      </c>
      <c r="C1116" s="2" t="s">
        <v>73</v>
      </c>
      <c r="D1116" s="2"/>
      <c r="E1116" s="2" t="str">
        <f>"FES1162543110"</f>
        <v>FES1162543110</v>
      </c>
      <c r="F1116" s="3">
        <v>42836</v>
      </c>
      <c r="G1116" s="2">
        <v>201710</v>
      </c>
      <c r="H1116" s="2" t="s">
        <v>74</v>
      </c>
      <c r="I1116" s="2" t="s">
        <v>75</v>
      </c>
      <c r="J1116" s="2" t="s">
        <v>76</v>
      </c>
      <c r="K1116" s="2" t="s">
        <v>77</v>
      </c>
      <c r="L1116" s="2" t="s">
        <v>787</v>
      </c>
      <c r="M1116" s="2" t="s">
        <v>788</v>
      </c>
      <c r="N1116" s="2" t="s">
        <v>789</v>
      </c>
      <c r="O1116" s="2" t="s">
        <v>115</v>
      </c>
      <c r="P1116" s="2" t="str">
        <f>"2170561820                    "</f>
        <v xml:space="preserve">2170561820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8.31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1</v>
      </c>
      <c r="BJ1116" s="2">
        <v>0.2</v>
      </c>
      <c r="BK1116" s="2">
        <v>1</v>
      </c>
      <c r="BL1116" s="2">
        <v>80.849999999999994</v>
      </c>
      <c r="BM1116" s="2">
        <v>11.32</v>
      </c>
      <c r="BN1116" s="2">
        <v>92.17</v>
      </c>
      <c r="BO1116" s="2">
        <v>92.17</v>
      </c>
      <c r="BP1116" s="2"/>
      <c r="BQ1116" s="2" t="s">
        <v>790</v>
      </c>
      <c r="BR1116" s="2" t="s">
        <v>123</v>
      </c>
      <c r="BS1116" s="3">
        <v>42837</v>
      </c>
      <c r="BT1116" s="4">
        <v>0.52569444444444446</v>
      </c>
      <c r="BU1116" s="2" t="s">
        <v>1013</v>
      </c>
      <c r="BV1116" s="2" t="s">
        <v>111</v>
      </c>
      <c r="BW1116" s="2"/>
      <c r="BX1116" s="2"/>
      <c r="BY1116" s="2">
        <v>1200</v>
      </c>
      <c r="BZ1116" s="2" t="s">
        <v>27</v>
      </c>
      <c r="CA1116" s="2"/>
      <c r="CB1116" s="2"/>
      <c r="CC1116" s="2" t="s">
        <v>788</v>
      </c>
      <c r="CD1116" s="2">
        <v>9650</v>
      </c>
      <c r="CE1116" s="2" t="s">
        <v>118</v>
      </c>
      <c r="CF1116" s="5">
        <v>42844</v>
      </c>
      <c r="CG1116" s="2"/>
      <c r="CH1116" s="2"/>
      <c r="CI1116" s="2">
        <v>1</v>
      </c>
      <c r="CJ1116" s="2">
        <v>1</v>
      </c>
      <c r="CK1116" s="2">
        <v>23</v>
      </c>
      <c r="CL1116" s="2" t="s">
        <v>86</v>
      </c>
      <c r="CM1116" s="2"/>
    </row>
    <row r="1117" spans="1:91">
      <c r="A1117" s="2" t="s">
        <v>71</v>
      </c>
      <c r="B1117" s="2" t="s">
        <v>72</v>
      </c>
      <c r="C1117" s="2" t="s">
        <v>73</v>
      </c>
      <c r="D1117" s="2"/>
      <c r="E1117" s="2" t="str">
        <f>"FES1162542045"</f>
        <v>FES1162542045</v>
      </c>
      <c r="F1117" s="3">
        <v>42831</v>
      </c>
      <c r="G1117" s="2">
        <v>201710</v>
      </c>
      <c r="H1117" s="2" t="s">
        <v>74</v>
      </c>
      <c r="I1117" s="2" t="s">
        <v>75</v>
      </c>
      <c r="J1117" s="2" t="s">
        <v>76</v>
      </c>
      <c r="K1117" s="2" t="s">
        <v>77</v>
      </c>
      <c r="L1117" s="2" t="s">
        <v>591</v>
      </c>
      <c r="M1117" s="2" t="s">
        <v>592</v>
      </c>
      <c r="N1117" s="2" t="s">
        <v>675</v>
      </c>
      <c r="O1117" s="2" t="s">
        <v>115</v>
      </c>
      <c r="P1117" s="2" t="str">
        <f>"2170560292                    "</f>
        <v xml:space="preserve">2170560292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4.29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1</v>
      </c>
      <c r="BJ1117" s="2">
        <v>0.2</v>
      </c>
      <c r="BK1117" s="2">
        <v>1</v>
      </c>
      <c r="BL1117" s="2">
        <v>41.73</v>
      </c>
      <c r="BM1117" s="2">
        <v>5.84</v>
      </c>
      <c r="BN1117" s="2">
        <v>47.57</v>
      </c>
      <c r="BO1117" s="2">
        <v>47.57</v>
      </c>
      <c r="BP1117" s="2"/>
      <c r="BQ1117" s="2" t="s">
        <v>129</v>
      </c>
      <c r="BR1117" s="2" t="s">
        <v>123</v>
      </c>
      <c r="BS1117" s="3">
        <v>42832</v>
      </c>
      <c r="BT1117" s="4">
        <v>0.41666666666666669</v>
      </c>
      <c r="BU1117" s="2" t="s">
        <v>676</v>
      </c>
      <c r="BV1117" s="2" t="s">
        <v>111</v>
      </c>
      <c r="BW1117" s="2"/>
      <c r="BX1117" s="2"/>
      <c r="BY1117" s="2">
        <v>1200</v>
      </c>
      <c r="BZ1117" s="2" t="s">
        <v>27</v>
      </c>
      <c r="CA1117" s="2"/>
      <c r="CB1117" s="2"/>
      <c r="CC1117" s="2" t="s">
        <v>592</v>
      </c>
      <c r="CD1117" s="2">
        <v>7600</v>
      </c>
      <c r="CE1117" s="2" t="s">
        <v>118</v>
      </c>
      <c r="CF1117" s="5">
        <v>42835</v>
      </c>
      <c r="CG1117" s="2"/>
      <c r="CH1117" s="2"/>
      <c r="CI1117" s="2">
        <v>1</v>
      </c>
      <c r="CJ1117" s="2">
        <v>1</v>
      </c>
      <c r="CK1117" s="2">
        <v>21</v>
      </c>
      <c r="CL1117" s="2" t="s">
        <v>86</v>
      </c>
      <c r="CM1117" s="2"/>
    </row>
    <row r="1118" spans="1:91">
      <c r="A1118" s="2" t="s">
        <v>71</v>
      </c>
      <c r="B1118" s="2" t="s">
        <v>72</v>
      </c>
      <c r="C1118" s="2" t="s">
        <v>73</v>
      </c>
      <c r="D1118" s="2"/>
      <c r="E1118" s="2" t="str">
        <f>"FES1162541221"</f>
        <v>FES1162541221</v>
      </c>
      <c r="F1118" s="3">
        <v>42829</v>
      </c>
      <c r="G1118" s="2">
        <v>201710</v>
      </c>
      <c r="H1118" s="2" t="s">
        <v>74</v>
      </c>
      <c r="I1118" s="2" t="s">
        <v>75</v>
      </c>
      <c r="J1118" s="2" t="s">
        <v>76</v>
      </c>
      <c r="K1118" s="2" t="s">
        <v>77</v>
      </c>
      <c r="L1118" s="2" t="s">
        <v>1026</v>
      </c>
      <c r="M1118" s="2" t="s">
        <v>1027</v>
      </c>
      <c r="N1118" s="2" t="s">
        <v>1453</v>
      </c>
      <c r="O1118" s="2" t="s">
        <v>115</v>
      </c>
      <c r="P1118" s="2" t="str">
        <f>"21705598094                   "</f>
        <v xml:space="preserve">21705598094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8.57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1</v>
      </c>
      <c r="BJ1118" s="2">
        <v>0.2</v>
      </c>
      <c r="BK1118" s="2">
        <v>1</v>
      </c>
      <c r="BL1118" s="2">
        <v>81.11</v>
      </c>
      <c r="BM1118" s="2">
        <v>11.36</v>
      </c>
      <c r="BN1118" s="2">
        <v>92.47</v>
      </c>
      <c r="BO1118" s="2">
        <v>92.47</v>
      </c>
      <c r="BP1118" s="2"/>
      <c r="BQ1118" s="2" t="s">
        <v>129</v>
      </c>
      <c r="BR1118" s="2" t="s">
        <v>123</v>
      </c>
      <c r="BS1118" s="3">
        <v>42830</v>
      </c>
      <c r="BT1118" s="4">
        <v>0.41666666666666669</v>
      </c>
      <c r="BU1118" s="2" t="s">
        <v>1532</v>
      </c>
      <c r="BV1118" s="2" t="s">
        <v>111</v>
      </c>
      <c r="BW1118" s="2"/>
      <c r="BX1118" s="2"/>
      <c r="BY1118" s="2">
        <v>1200</v>
      </c>
      <c r="BZ1118" s="2" t="s">
        <v>27</v>
      </c>
      <c r="CA1118" s="2"/>
      <c r="CB1118" s="2"/>
      <c r="CC1118" s="2" t="s">
        <v>1027</v>
      </c>
      <c r="CD1118" s="2">
        <v>7349</v>
      </c>
      <c r="CE1118" s="2" t="s">
        <v>144</v>
      </c>
      <c r="CF1118" s="5">
        <v>42831</v>
      </c>
      <c r="CG1118" s="2"/>
      <c r="CH1118" s="2"/>
      <c r="CI1118" s="2">
        <v>1</v>
      </c>
      <c r="CJ1118" s="2">
        <v>1</v>
      </c>
      <c r="CK1118" s="2">
        <v>23</v>
      </c>
      <c r="CL1118" s="2" t="s">
        <v>86</v>
      </c>
      <c r="CM1118" s="2"/>
    </row>
    <row r="1119" spans="1:91">
      <c r="A1119" s="2" t="s">
        <v>71</v>
      </c>
      <c r="B1119" s="2" t="s">
        <v>72</v>
      </c>
      <c r="C1119" s="2" t="s">
        <v>73</v>
      </c>
      <c r="D1119" s="2"/>
      <c r="E1119" s="2" t="str">
        <f>"FES1162542958"</f>
        <v>FES1162542958</v>
      </c>
      <c r="F1119" s="3">
        <v>42836</v>
      </c>
      <c r="G1119" s="2">
        <v>201710</v>
      </c>
      <c r="H1119" s="2" t="s">
        <v>74</v>
      </c>
      <c r="I1119" s="2" t="s">
        <v>75</v>
      </c>
      <c r="J1119" s="2" t="s">
        <v>76</v>
      </c>
      <c r="K1119" s="2" t="s">
        <v>77</v>
      </c>
      <c r="L1119" s="2" t="s">
        <v>166</v>
      </c>
      <c r="M1119" s="2" t="s">
        <v>167</v>
      </c>
      <c r="N1119" s="2" t="s">
        <v>168</v>
      </c>
      <c r="O1119" s="2" t="s">
        <v>115</v>
      </c>
      <c r="P1119" s="2" t="str">
        <f>"2170561747                    "</f>
        <v xml:space="preserve">2170561747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3.35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</v>
      </c>
      <c r="BJ1119" s="2">
        <v>0.2</v>
      </c>
      <c r="BK1119" s="2">
        <v>1</v>
      </c>
      <c r="BL1119" s="2">
        <v>32.6</v>
      </c>
      <c r="BM1119" s="2">
        <v>4.5599999999999996</v>
      </c>
      <c r="BN1119" s="2">
        <v>37.159999999999997</v>
      </c>
      <c r="BO1119" s="2">
        <v>37.159999999999997</v>
      </c>
      <c r="BP1119" s="2"/>
      <c r="BQ1119" s="2" t="s">
        <v>169</v>
      </c>
      <c r="BR1119" s="2" t="s">
        <v>123</v>
      </c>
      <c r="BS1119" s="3">
        <v>42837</v>
      </c>
      <c r="BT1119" s="4">
        <v>0.3888888888888889</v>
      </c>
      <c r="BU1119" s="2" t="s">
        <v>170</v>
      </c>
      <c r="BV1119" s="2" t="s">
        <v>111</v>
      </c>
      <c r="BW1119" s="2"/>
      <c r="BX1119" s="2"/>
      <c r="BY1119" s="2">
        <v>1200</v>
      </c>
      <c r="BZ1119" s="2" t="s">
        <v>27</v>
      </c>
      <c r="CA1119" s="2" t="s">
        <v>171</v>
      </c>
      <c r="CB1119" s="2"/>
      <c r="CC1119" s="2" t="s">
        <v>167</v>
      </c>
      <c r="CD1119" s="2">
        <v>2094</v>
      </c>
      <c r="CE1119" s="2" t="s">
        <v>118</v>
      </c>
      <c r="CF1119" s="5">
        <v>42837</v>
      </c>
      <c r="CG1119" s="2"/>
      <c r="CH1119" s="2"/>
      <c r="CI1119" s="2">
        <v>1</v>
      </c>
      <c r="CJ1119" s="2">
        <v>1</v>
      </c>
      <c r="CK1119" s="2">
        <v>22</v>
      </c>
      <c r="CL1119" s="2" t="s">
        <v>86</v>
      </c>
      <c r="CM1119" s="2"/>
    </row>
    <row r="1120" spans="1:91">
      <c r="A1120" s="2" t="s">
        <v>71</v>
      </c>
      <c r="B1120" s="2" t="s">
        <v>72</v>
      </c>
      <c r="C1120" s="2" t="s">
        <v>73</v>
      </c>
      <c r="D1120" s="2"/>
      <c r="E1120" s="2" t="str">
        <f>"FES1162541636"</f>
        <v>FES1162541636</v>
      </c>
      <c r="F1120" s="3">
        <v>42831</v>
      </c>
      <c r="G1120" s="2">
        <v>201710</v>
      </c>
      <c r="H1120" s="2" t="s">
        <v>74</v>
      </c>
      <c r="I1120" s="2" t="s">
        <v>75</v>
      </c>
      <c r="J1120" s="2" t="s">
        <v>76</v>
      </c>
      <c r="K1120" s="2" t="s">
        <v>77</v>
      </c>
      <c r="L1120" s="2" t="s">
        <v>176</v>
      </c>
      <c r="M1120" s="2" t="s">
        <v>176</v>
      </c>
      <c r="N1120" s="2" t="s">
        <v>339</v>
      </c>
      <c r="O1120" s="2" t="s">
        <v>115</v>
      </c>
      <c r="P1120" s="2" t="str">
        <f>"2170558307                    "</f>
        <v xml:space="preserve">2170558307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4.29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1</v>
      </c>
      <c r="BJ1120" s="2">
        <v>0.2</v>
      </c>
      <c r="BK1120" s="2">
        <v>1</v>
      </c>
      <c r="BL1120" s="2">
        <v>41.73</v>
      </c>
      <c r="BM1120" s="2">
        <v>5.84</v>
      </c>
      <c r="BN1120" s="2">
        <v>47.57</v>
      </c>
      <c r="BO1120" s="2">
        <v>47.57</v>
      </c>
      <c r="BP1120" s="2"/>
      <c r="BQ1120" s="2" t="s">
        <v>340</v>
      </c>
      <c r="BR1120" s="2" t="s">
        <v>123</v>
      </c>
      <c r="BS1120" s="3">
        <v>42832</v>
      </c>
      <c r="BT1120" s="4">
        <v>0.44791666666666669</v>
      </c>
      <c r="BU1120" s="2" t="s">
        <v>1654</v>
      </c>
      <c r="BV1120" s="2" t="s">
        <v>111</v>
      </c>
      <c r="BW1120" s="2"/>
      <c r="BX1120" s="2"/>
      <c r="BY1120" s="2">
        <v>1200</v>
      </c>
      <c r="BZ1120" s="2" t="s">
        <v>27</v>
      </c>
      <c r="CA1120" s="2"/>
      <c r="CB1120" s="2"/>
      <c r="CC1120" s="2" t="s">
        <v>176</v>
      </c>
      <c r="CD1120" s="2">
        <v>7646</v>
      </c>
      <c r="CE1120" s="2" t="s">
        <v>118</v>
      </c>
      <c r="CF1120" s="5">
        <v>42835</v>
      </c>
      <c r="CG1120" s="2"/>
      <c r="CH1120" s="2"/>
      <c r="CI1120" s="2">
        <v>1</v>
      </c>
      <c r="CJ1120" s="2">
        <v>1</v>
      </c>
      <c r="CK1120" s="2">
        <v>21</v>
      </c>
      <c r="CL1120" s="2" t="s">
        <v>86</v>
      </c>
      <c r="CM1120" s="2"/>
    </row>
    <row r="1121" spans="1:91">
      <c r="A1121" s="2" t="s">
        <v>71</v>
      </c>
      <c r="B1121" s="2" t="s">
        <v>72</v>
      </c>
      <c r="C1121" s="2" t="s">
        <v>73</v>
      </c>
      <c r="D1121" s="2"/>
      <c r="E1121" s="2" t="str">
        <f>"FES1162541237"</f>
        <v>FES1162541237</v>
      </c>
      <c r="F1121" s="3">
        <v>42829</v>
      </c>
      <c r="G1121" s="2">
        <v>201710</v>
      </c>
      <c r="H1121" s="2" t="s">
        <v>74</v>
      </c>
      <c r="I1121" s="2" t="s">
        <v>75</v>
      </c>
      <c r="J1121" s="2" t="s">
        <v>76</v>
      </c>
      <c r="K1121" s="2" t="s">
        <v>77</v>
      </c>
      <c r="L1121" s="2" t="s">
        <v>112</v>
      </c>
      <c r="M1121" s="2" t="s">
        <v>113</v>
      </c>
      <c r="N1121" s="2" t="s">
        <v>1697</v>
      </c>
      <c r="O1121" s="2" t="s">
        <v>115</v>
      </c>
      <c r="P1121" s="2" t="str">
        <f>"2170559588                    "</f>
        <v xml:space="preserve">2170559588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4.42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1</v>
      </c>
      <c r="BJ1121" s="2">
        <v>0.2</v>
      </c>
      <c r="BK1121" s="2">
        <v>1</v>
      </c>
      <c r="BL1121" s="2">
        <v>41.86</v>
      </c>
      <c r="BM1121" s="2">
        <v>5.86</v>
      </c>
      <c r="BN1121" s="2">
        <v>47.72</v>
      </c>
      <c r="BO1121" s="2">
        <v>47.72</v>
      </c>
      <c r="BP1121" s="2"/>
      <c r="BQ1121" s="2" t="s">
        <v>1698</v>
      </c>
      <c r="BR1121" s="2" t="s">
        <v>123</v>
      </c>
      <c r="BS1121" s="3">
        <v>42830</v>
      </c>
      <c r="BT1121" s="4">
        <v>0.4236111111111111</v>
      </c>
      <c r="BU1121" s="2" t="s">
        <v>1136</v>
      </c>
      <c r="BV1121" s="2" t="s">
        <v>111</v>
      </c>
      <c r="BW1121" s="2"/>
      <c r="BX1121" s="2"/>
      <c r="BY1121" s="2">
        <v>1200</v>
      </c>
      <c r="BZ1121" s="2" t="s">
        <v>27</v>
      </c>
      <c r="CA1121" s="2"/>
      <c r="CB1121" s="2"/>
      <c r="CC1121" s="2" t="s">
        <v>113</v>
      </c>
      <c r="CD1121" s="2">
        <v>3201</v>
      </c>
      <c r="CE1121" s="2" t="s">
        <v>144</v>
      </c>
      <c r="CF1121" s="5">
        <v>42832</v>
      </c>
      <c r="CG1121" s="2"/>
      <c r="CH1121" s="2"/>
      <c r="CI1121" s="2">
        <v>1</v>
      </c>
      <c r="CJ1121" s="2">
        <v>1</v>
      </c>
      <c r="CK1121" s="2">
        <v>21</v>
      </c>
      <c r="CL1121" s="2" t="s">
        <v>86</v>
      </c>
      <c r="CM1121" s="2"/>
    </row>
    <row r="1122" spans="1:91">
      <c r="A1122" s="2" t="s">
        <v>71</v>
      </c>
      <c r="B1122" s="2" t="s">
        <v>72</v>
      </c>
      <c r="C1122" s="2" t="s">
        <v>73</v>
      </c>
      <c r="D1122" s="2"/>
      <c r="E1122" s="2" t="str">
        <f>"FES1162543078"</f>
        <v>FES1162543078</v>
      </c>
      <c r="F1122" s="3">
        <v>42836</v>
      </c>
      <c r="G1122" s="2">
        <v>201710</v>
      </c>
      <c r="H1122" s="2" t="s">
        <v>74</v>
      </c>
      <c r="I1122" s="2" t="s">
        <v>75</v>
      </c>
      <c r="J1122" s="2" t="s">
        <v>76</v>
      </c>
      <c r="K1122" s="2" t="s">
        <v>77</v>
      </c>
      <c r="L1122" s="2" t="s">
        <v>659</v>
      </c>
      <c r="M1122" s="2" t="s">
        <v>660</v>
      </c>
      <c r="N1122" s="2" t="s">
        <v>661</v>
      </c>
      <c r="O1122" s="2" t="s">
        <v>115</v>
      </c>
      <c r="P1122" s="2" t="str">
        <f>"2170561867                    "</f>
        <v xml:space="preserve">2170561867 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4.29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1</v>
      </c>
      <c r="BJ1122" s="2">
        <v>0.2</v>
      </c>
      <c r="BK1122" s="2">
        <v>1</v>
      </c>
      <c r="BL1122" s="2">
        <v>41.73</v>
      </c>
      <c r="BM1122" s="2">
        <v>5.84</v>
      </c>
      <c r="BN1122" s="2">
        <v>47.57</v>
      </c>
      <c r="BO1122" s="2">
        <v>47.57</v>
      </c>
      <c r="BP1122" s="2"/>
      <c r="BQ1122" s="2" t="s">
        <v>1699</v>
      </c>
      <c r="BR1122" s="2" t="s">
        <v>123</v>
      </c>
      <c r="BS1122" s="3">
        <v>42837</v>
      </c>
      <c r="BT1122" s="4">
        <v>0.40208333333333335</v>
      </c>
      <c r="BU1122" s="2" t="s">
        <v>1700</v>
      </c>
      <c r="BV1122" s="2" t="s">
        <v>111</v>
      </c>
      <c r="BW1122" s="2"/>
      <c r="BX1122" s="2"/>
      <c r="BY1122" s="2">
        <v>1200</v>
      </c>
      <c r="BZ1122" s="2" t="s">
        <v>27</v>
      </c>
      <c r="CA1122" s="2"/>
      <c r="CB1122" s="2"/>
      <c r="CC1122" s="2" t="s">
        <v>660</v>
      </c>
      <c r="CD1122" s="2">
        <v>3310</v>
      </c>
      <c r="CE1122" s="2" t="s">
        <v>118</v>
      </c>
      <c r="CF1122" s="5">
        <v>42843</v>
      </c>
      <c r="CG1122" s="2"/>
      <c r="CH1122" s="2"/>
      <c r="CI1122" s="2">
        <v>1</v>
      </c>
      <c r="CJ1122" s="2">
        <v>1</v>
      </c>
      <c r="CK1122" s="2">
        <v>21</v>
      </c>
      <c r="CL1122" s="2" t="s">
        <v>86</v>
      </c>
      <c r="CM1122" s="2"/>
    </row>
    <row r="1123" spans="1:91">
      <c r="A1123" s="2" t="s">
        <v>71</v>
      </c>
      <c r="B1123" s="2" t="s">
        <v>72</v>
      </c>
      <c r="C1123" s="2" t="s">
        <v>73</v>
      </c>
      <c r="D1123" s="2"/>
      <c r="E1123" s="2" t="str">
        <f>"FES1162542092"</f>
        <v>FES1162542092</v>
      </c>
      <c r="F1123" s="3">
        <v>42831</v>
      </c>
      <c r="G1123" s="2">
        <v>201710</v>
      </c>
      <c r="H1123" s="2" t="s">
        <v>74</v>
      </c>
      <c r="I1123" s="2" t="s">
        <v>75</v>
      </c>
      <c r="J1123" s="2" t="s">
        <v>76</v>
      </c>
      <c r="K1123" s="2" t="s">
        <v>77</v>
      </c>
      <c r="L1123" s="2" t="s">
        <v>99</v>
      </c>
      <c r="M1123" s="2" t="s">
        <v>100</v>
      </c>
      <c r="N1123" s="2" t="s">
        <v>583</v>
      </c>
      <c r="O1123" s="2" t="s">
        <v>115</v>
      </c>
      <c r="P1123" s="2" t="str">
        <f>"2170558620                    "</f>
        <v xml:space="preserve">2170558620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4.29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1</v>
      </c>
      <c r="BJ1123" s="2">
        <v>1.6</v>
      </c>
      <c r="BK1123" s="2">
        <v>2</v>
      </c>
      <c r="BL1123" s="2">
        <v>41.73</v>
      </c>
      <c r="BM1123" s="2">
        <v>5.84</v>
      </c>
      <c r="BN1123" s="2">
        <v>47.57</v>
      </c>
      <c r="BO1123" s="2">
        <v>47.57</v>
      </c>
      <c r="BP1123" s="2"/>
      <c r="BQ1123" s="2" t="s">
        <v>584</v>
      </c>
      <c r="BR1123" s="2" t="s">
        <v>123</v>
      </c>
      <c r="BS1123" s="3">
        <v>42832</v>
      </c>
      <c r="BT1123" s="4">
        <v>0.41319444444444442</v>
      </c>
      <c r="BU1123" s="2" t="s">
        <v>245</v>
      </c>
      <c r="BV1123" s="2" t="s">
        <v>111</v>
      </c>
      <c r="BW1123" s="2"/>
      <c r="BX1123" s="2"/>
      <c r="BY1123" s="2">
        <v>8243.6</v>
      </c>
      <c r="BZ1123" s="2" t="s">
        <v>27</v>
      </c>
      <c r="CA1123" s="2"/>
      <c r="CB1123" s="2"/>
      <c r="CC1123" s="2" t="s">
        <v>100</v>
      </c>
      <c r="CD1123" s="2">
        <v>6001</v>
      </c>
      <c r="CE1123" s="2" t="s">
        <v>118</v>
      </c>
      <c r="CF1123" s="5">
        <v>42835</v>
      </c>
      <c r="CG1123" s="2"/>
      <c r="CH1123" s="2"/>
      <c r="CI1123" s="2">
        <v>1</v>
      </c>
      <c r="CJ1123" s="2">
        <v>1</v>
      </c>
      <c r="CK1123" s="2">
        <v>21</v>
      </c>
      <c r="CL1123" s="2" t="s">
        <v>86</v>
      </c>
      <c r="CM1123" s="2"/>
    </row>
    <row r="1124" spans="1:91">
      <c r="A1124" s="2" t="s">
        <v>71</v>
      </c>
      <c r="B1124" s="2" t="s">
        <v>72</v>
      </c>
      <c r="C1124" s="2" t="s">
        <v>73</v>
      </c>
      <c r="D1124" s="2"/>
      <c r="E1124" s="2" t="str">
        <f>"FES1162541330"</f>
        <v>FES1162541330</v>
      </c>
      <c r="F1124" s="3">
        <v>42829</v>
      </c>
      <c r="G1124" s="2">
        <v>201710</v>
      </c>
      <c r="H1124" s="2" t="s">
        <v>74</v>
      </c>
      <c r="I1124" s="2" t="s">
        <v>75</v>
      </c>
      <c r="J1124" s="2" t="s">
        <v>76</v>
      </c>
      <c r="K1124" s="2" t="s">
        <v>77</v>
      </c>
      <c r="L1124" s="2" t="s">
        <v>131</v>
      </c>
      <c r="M1124" s="2" t="s">
        <v>132</v>
      </c>
      <c r="N1124" s="2" t="s">
        <v>363</v>
      </c>
      <c r="O1124" s="2" t="s">
        <v>115</v>
      </c>
      <c r="P1124" s="2" t="str">
        <f>"2170560404                    "</f>
        <v xml:space="preserve">2170560404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4.42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1</v>
      </c>
      <c r="BJ1124" s="2">
        <v>0.2</v>
      </c>
      <c r="BK1124" s="2">
        <v>1</v>
      </c>
      <c r="BL1124" s="2">
        <v>41.86</v>
      </c>
      <c r="BM1124" s="2">
        <v>5.86</v>
      </c>
      <c r="BN1124" s="2">
        <v>47.72</v>
      </c>
      <c r="BO1124" s="2">
        <v>47.72</v>
      </c>
      <c r="BP1124" s="2"/>
      <c r="BQ1124" s="2" t="s">
        <v>170</v>
      </c>
      <c r="BR1124" s="2" t="s">
        <v>123</v>
      </c>
      <c r="BS1124" s="3">
        <v>42830</v>
      </c>
      <c r="BT1124" s="4">
        <v>0.41666666666666669</v>
      </c>
      <c r="BU1124" s="2" t="s">
        <v>1557</v>
      </c>
      <c r="BV1124" s="2" t="s">
        <v>111</v>
      </c>
      <c r="BW1124" s="2"/>
      <c r="BX1124" s="2"/>
      <c r="BY1124" s="2">
        <v>1200</v>
      </c>
      <c r="BZ1124" s="2" t="s">
        <v>27</v>
      </c>
      <c r="CA1124" s="2"/>
      <c r="CB1124" s="2"/>
      <c r="CC1124" s="2" t="s">
        <v>132</v>
      </c>
      <c r="CD1124" s="2">
        <v>7441</v>
      </c>
      <c r="CE1124" s="2" t="s">
        <v>144</v>
      </c>
      <c r="CF1124" s="5">
        <v>42831</v>
      </c>
      <c r="CG1124" s="2"/>
      <c r="CH1124" s="2"/>
      <c r="CI1124" s="2">
        <v>1</v>
      </c>
      <c r="CJ1124" s="2">
        <v>1</v>
      </c>
      <c r="CK1124" s="2">
        <v>21</v>
      </c>
      <c r="CL1124" s="2" t="s">
        <v>86</v>
      </c>
      <c r="CM1124" s="2"/>
    </row>
    <row r="1125" spans="1:91">
      <c r="A1125" s="2" t="s">
        <v>71</v>
      </c>
      <c r="B1125" s="2" t="s">
        <v>72</v>
      </c>
      <c r="C1125" s="2" t="s">
        <v>73</v>
      </c>
      <c r="D1125" s="2"/>
      <c r="E1125" s="2" t="str">
        <f>"FES1162543101"</f>
        <v>FES1162543101</v>
      </c>
      <c r="F1125" s="3">
        <v>42836</v>
      </c>
      <c r="G1125" s="2">
        <v>201710</v>
      </c>
      <c r="H1125" s="2" t="s">
        <v>74</v>
      </c>
      <c r="I1125" s="2" t="s">
        <v>75</v>
      </c>
      <c r="J1125" s="2" t="s">
        <v>76</v>
      </c>
      <c r="K1125" s="2" t="s">
        <v>77</v>
      </c>
      <c r="L1125" s="2" t="s">
        <v>396</v>
      </c>
      <c r="M1125" s="2" t="s">
        <v>397</v>
      </c>
      <c r="N1125" s="2" t="s">
        <v>398</v>
      </c>
      <c r="O1125" s="2" t="s">
        <v>115</v>
      </c>
      <c r="P1125" s="2" t="str">
        <f>"2170561892                    "</f>
        <v xml:space="preserve">2170561892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4.29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1</v>
      </c>
      <c r="BJ1125" s="2">
        <v>0.2</v>
      </c>
      <c r="BK1125" s="2">
        <v>1</v>
      </c>
      <c r="BL1125" s="2">
        <v>41.73</v>
      </c>
      <c r="BM1125" s="2">
        <v>5.84</v>
      </c>
      <c r="BN1125" s="2">
        <v>47.57</v>
      </c>
      <c r="BO1125" s="2">
        <v>47.57</v>
      </c>
      <c r="BP1125" s="2"/>
      <c r="BQ1125" s="2" t="s">
        <v>399</v>
      </c>
      <c r="BR1125" s="2" t="s">
        <v>123</v>
      </c>
      <c r="BS1125" s="3">
        <v>42837</v>
      </c>
      <c r="BT1125" s="4">
        <v>0.4375</v>
      </c>
      <c r="BU1125" s="2" t="s">
        <v>632</v>
      </c>
      <c r="BV1125" s="2" t="s">
        <v>111</v>
      </c>
      <c r="BW1125" s="2"/>
      <c r="BX1125" s="2"/>
      <c r="BY1125" s="2">
        <v>1200</v>
      </c>
      <c r="BZ1125" s="2" t="s">
        <v>27</v>
      </c>
      <c r="CA1125" s="2" t="s">
        <v>159</v>
      </c>
      <c r="CB1125" s="2"/>
      <c r="CC1125" s="2" t="s">
        <v>397</v>
      </c>
      <c r="CD1125" s="2">
        <v>4300</v>
      </c>
      <c r="CE1125" s="2" t="s">
        <v>118</v>
      </c>
      <c r="CF1125" s="5">
        <v>42838</v>
      </c>
      <c r="CG1125" s="2"/>
      <c r="CH1125" s="2"/>
      <c r="CI1125" s="2">
        <v>1</v>
      </c>
      <c r="CJ1125" s="2">
        <v>1</v>
      </c>
      <c r="CK1125" s="2">
        <v>21</v>
      </c>
      <c r="CL1125" s="2" t="s">
        <v>86</v>
      </c>
      <c r="CM1125" s="2"/>
    </row>
    <row r="1126" spans="1:91">
      <c r="A1126" s="2" t="s">
        <v>71</v>
      </c>
      <c r="B1126" s="2" t="s">
        <v>72</v>
      </c>
      <c r="C1126" s="2" t="s">
        <v>73</v>
      </c>
      <c r="D1126" s="2"/>
      <c r="E1126" s="2" t="str">
        <f>"FES1162542090"</f>
        <v>FES1162542090</v>
      </c>
      <c r="F1126" s="3">
        <v>42831</v>
      </c>
      <c r="G1126" s="2">
        <v>201710</v>
      </c>
      <c r="H1126" s="2" t="s">
        <v>74</v>
      </c>
      <c r="I1126" s="2" t="s">
        <v>75</v>
      </c>
      <c r="J1126" s="2" t="s">
        <v>76</v>
      </c>
      <c r="K1126" s="2" t="s">
        <v>77</v>
      </c>
      <c r="L1126" s="2" t="s">
        <v>591</v>
      </c>
      <c r="M1126" s="2" t="s">
        <v>592</v>
      </c>
      <c r="N1126" s="2" t="s">
        <v>593</v>
      </c>
      <c r="O1126" s="2" t="s">
        <v>115</v>
      </c>
      <c r="P1126" s="2" t="str">
        <f>"2170558600                    "</f>
        <v xml:space="preserve">2170558600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5.36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2.2000000000000002</v>
      </c>
      <c r="BJ1126" s="2">
        <v>0.2</v>
      </c>
      <c r="BK1126" s="2">
        <v>2.5</v>
      </c>
      <c r="BL1126" s="2">
        <v>52.16</v>
      </c>
      <c r="BM1126" s="2">
        <v>7.3</v>
      </c>
      <c r="BN1126" s="2">
        <v>59.46</v>
      </c>
      <c r="BO1126" s="2">
        <v>59.46</v>
      </c>
      <c r="BP1126" s="2"/>
      <c r="BQ1126" s="2" t="s">
        <v>594</v>
      </c>
      <c r="BR1126" s="2" t="s">
        <v>123</v>
      </c>
      <c r="BS1126" s="3">
        <v>42832</v>
      </c>
      <c r="BT1126" s="4">
        <v>0.41666666666666669</v>
      </c>
      <c r="BU1126" s="2" t="s">
        <v>1701</v>
      </c>
      <c r="BV1126" s="2" t="s">
        <v>111</v>
      </c>
      <c r="BW1126" s="2"/>
      <c r="BX1126" s="2"/>
      <c r="BY1126" s="2">
        <v>1200</v>
      </c>
      <c r="BZ1126" s="2" t="s">
        <v>27</v>
      </c>
      <c r="CA1126" s="2"/>
      <c r="CB1126" s="2"/>
      <c r="CC1126" s="2" t="s">
        <v>592</v>
      </c>
      <c r="CD1126" s="2">
        <v>7599</v>
      </c>
      <c r="CE1126" s="2" t="s">
        <v>118</v>
      </c>
      <c r="CF1126" s="5">
        <v>42835</v>
      </c>
      <c r="CG1126" s="2"/>
      <c r="CH1126" s="2"/>
      <c r="CI1126" s="2">
        <v>1</v>
      </c>
      <c r="CJ1126" s="2">
        <v>1</v>
      </c>
      <c r="CK1126" s="2">
        <v>21</v>
      </c>
      <c r="CL1126" s="2" t="s">
        <v>86</v>
      </c>
      <c r="CM1126" s="2"/>
    </row>
    <row r="1127" spans="1:91">
      <c r="A1127" s="2" t="s">
        <v>71</v>
      </c>
      <c r="B1127" s="2" t="s">
        <v>72</v>
      </c>
      <c r="C1127" s="2" t="s">
        <v>73</v>
      </c>
      <c r="D1127" s="2"/>
      <c r="E1127" s="2" t="str">
        <f>"FES1162541337"</f>
        <v>FES1162541337</v>
      </c>
      <c r="F1127" s="3">
        <v>42829</v>
      </c>
      <c r="G1127" s="2">
        <v>201710</v>
      </c>
      <c r="H1127" s="2" t="s">
        <v>74</v>
      </c>
      <c r="I1127" s="2" t="s">
        <v>75</v>
      </c>
      <c r="J1127" s="2" t="s">
        <v>76</v>
      </c>
      <c r="K1127" s="2" t="s">
        <v>77</v>
      </c>
      <c r="L1127" s="2" t="s">
        <v>396</v>
      </c>
      <c r="M1127" s="2" t="s">
        <v>397</v>
      </c>
      <c r="N1127" s="2" t="s">
        <v>398</v>
      </c>
      <c r="O1127" s="2" t="s">
        <v>115</v>
      </c>
      <c r="P1127" s="2" t="str">
        <f>"2170560412                    "</f>
        <v xml:space="preserve">2170560412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4.42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</v>
      </c>
      <c r="BJ1127" s="2">
        <v>0.2</v>
      </c>
      <c r="BK1127" s="2">
        <v>1</v>
      </c>
      <c r="BL1127" s="2">
        <v>41.86</v>
      </c>
      <c r="BM1127" s="2">
        <v>5.86</v>
      </c>
      <c r="BN1127" s="2">
        <v>47.72</v>
      </c>
      <c r="BO1127" s="2">
        <v>47.72</v>
      </c>
      <c r="BP1127" s="2"/>
      <c r="BQ1127" s="2" t="s">
        <v>399</v>
      </c>
      <c r="BR1127" s="2" t="s">
        <v>123</v>
      </c>
      <c r="BS1127" s="3">
        <v>42830</v>
      </c>
      <c r="BT1127" s="4">
        <v>0.4375</v>
      </c>
      <c r="BU1127" s="2" t="s">
        <v>1210</v>
      </c>
      <c r="BV1127" s="2" t="s">
        <v>111</v>
      </c>
      <c r="BW1127" s="2"/>
      <c r="BX1127" s="2"/>
      <c r="BY1127" s="2">
        <v>1200</v>
      </c>
      <c r="BZ1127" s="2" t="s">
        <v>27</v>
      </c>
      <c r="CA1127" s="2"/>
      <c r="CB1127" s="2"/>
      <c r="CC1127" s="2" t="s">
        <v>397</v>
      </c>
      <c r="CD1127" s="2">
        <v>4300</v>
      </c>
      <c r="CE1127" s="2" t="s">
        <v>144</v>
      </c>
      <c r="CF1127" s="5">
        <v>42831</v>
      </c>
      <c r="CG1127" s="2"/>
      <c r="CH1127" s="2"/>
      <c r="CI1127" s="2">
        <v>1</v>
      </c>
      <c r="CJ1127" s="2">
        <v>1</v>
      </c>
      <c r="CK1127" s="2">
        <v>21</v>
      </c>
      <c r="CL1127" s="2" t="s">
        <v>86</v>
      </c>
      <c r="CM1127" s="2"/>
    </row>
    <row r="1128" spans="1:91">
      <c r="A1128" s="2" t="s">
        <v>71</v>
      </c>
      <c r="B1128" s="2" t="s">
        <v>72</v>
      </c>
      <c r="C1128" s="2" t="s">
        <v>73</v>
      </c>
      <c r="D1128" s="2"/>
      <c r="E1128" s="2" t="str">
        <f>"FES1162542915"</f>
        <v>FES1162542915</v>
      </c>
      <c r="F1128" s="3">
        <v>42836</v>
      </c>
      <c r="G1128" s="2">
        <v>201710</v>
      </c>
      <c r="H1128" s="2" t="s">
        <v>74</v>
      </c>
      <c r="I1128" s="2" t="s">
        <v>75</v>
      </c>
      <c r="J1128" s="2" t="s">
        <v>76</v>
      </c>
      <c r="K1128" s="2" t="s">
        <v>77</v>
      </c>
      <c r="L1128" s="2" t="s">
        <v>267</v>
      </c>
      <c r="M1128" s="2" t="s">
        <v>268</v>
      </c>
      <c r="N1128" s="2" t="s">
        <v>1702</v>
      </c>
      <c r="O1128" s="2" t="s">
        <v>115</v>
      </c>
      <c r="P1128" s="2" t="str">
        <f>"2170559232                    "</f>
        <v xml:space="preserve">2170559232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3.35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1</v>
      </c>
      <c r="BJ1128" s="2">
        <v>0.2</v>
      </c>
      <c r="BK1128" s="2">
        <v>1</v>
      </c>
      <c r="BL1128" s="2">
        <v>32.6</v>
      </c>
      <c r="BM1128" s="2">
        <v>4.5599999999999996</v>
      </c>
      <c r="BN1128" s="2">
        <v>37.159999999999997</v>
      </c>
      <c r="BO1128" s="2">
        <v>37.159999999999997</v>
      </c>
      <c r="BP1128" s="2"/>
      <c r="BQ1128" s="2" t="s">
        <v>1703</v>
      </c>
      <c r="BR1128" s="2" t="s">
        <v>123</v>
      </c>
      <c r="BS1128" s="3">
        <v>42837</v>
      </c>
      <c r="BT1128" s="4">
        <v>0.41666666666666669</v>
      </c>
      <c r="BU1128" s="2" t="s">
        <v>1704</v>
      </c>
      <c r="BV1128" s="2" t="s">
        <v>111</v>
      </c>
      <c r="BW1128" s="2"/>
      <c r="BX1128" s="2"/>
      <c r="BY1128" s="2">
        <v>1200</v>
      </c>
      <c r="BZ1128" s="2" t="s">
        <v>27</v>
      </c>
      <c r="CA1128" s="2"/>
      <c r="CB1128" s="2"/>
      <c r="CC1128" s="2" t="s">
        <v>268</v>
      </c>
      <c r="CD1128" s="2">
        <v>1709</v>
      </c>
      <c r="CE1128" s="2" t="s">
        <v>118</v>
      </c>
      <c r="CF1128" s="5">
        <v>42838</v>
      </c>
      <c r="CG1128" s="2"/>
      <c r="CH1128" s="2"/>
      <c r="CI1128" s="2">
        <v>1</v>
      </c>
      <c r="CJ1128" s="2">
        <v>1</v>
      </c>
      <c r="CK1128" s="2">
        <v>22</v>
      </c>
      <c r="CL1128" s="2" t="s">
        <v>86</v>
      </c>
      <c r="CM1128" s="2"/>
    </row>
    <row r="1129" spans="1:91">
      <c r="A1129" s="2" t="s">
        <v>71</v>
      </c>
      <c r="B1129" s="2" t="s">
        <v>72</v>
      </c>
      <c r="C1129" s="2" t="s">
        <v>73</v>
      </c>
      <c r="D1129" s="2"/>
      <c r="E1129" s="2" t="str">
        <f>"FES1162542084"</f>
        <v>FES1162542084</v>
      </c>
      <c r="F1129" s="3">
        <v>42831</v>
      </c>
      <c r="G1129" s="2">
        <v>201710</v>
      </c>
      <c r="H1129" s="2" t="s">
        <v>74</v>
      </c>
      <c r="I1129" s="2" t="s">
        <v>75</v>
      </c>
      <c r="J1129" s="2" t="s">
        <v>76</v>
      </c>
      <c r="K1129" s="2" t="s">
        <v>77</v>
      </c>
      <c r="L1129" s="2" t="s">
        <v>139</v>
      </c>
      <c r="M1129" s="2" t="s">
        <v>140</v>
      </c>
      <c r="N1129" s="2" t="s">
        <v>1705</v>
      </c>
      <c r="O1129" s="2" t="s">
        <v>115</v>
      </c>
      <c r="P1129" s="2" t="str">
        <f>"2170558484                    "</f>
        <v xml:space="preserve">2170558484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4.29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1</v>
      </c>
      <c r="BJ1129" s="2">
        <v>0.2</v>
      </c>
      <c r="BK1129" s="2">
        <v>1</v>
      </c>
      <c r="BL1129" s="2">
        <v>41.73</v>
      </c>
      <c r="BM1129" s="2">
        <v>5.84</v>
      </c>
      <c r="BN1129" s="2">
        <v>47.57</v>
      </c>
      <c r="BO1129" s="2">
        <v>47.57</v>
      </c>
      <c r="BP1129" s="2"/>
      <c r="BQ1129" s="2" t="s">
        <v>1706</v>
      </c>
      <c r="BR1129" s="2" t="s">
        <v>123</v>
      </c>
      <c r="BS1129" s="3">
        <v>42832</v>
      </c>
      <c r="BT1129" s="4">
        <v>0.4055555555555555</v>
      </c>
      <c r="BU1129" s="2" t="s">
        <v>1707</v>
      </c>
      <c r="BV1129" s="2" t="s">
        <v>111</v>
      </c>
      <c r="BW1129" s="2"/>
      <c r="BX1129" s="2"/>
      <c r="BY1129" s="2">
        <v>1200</v>
      </c>
      <c r="BZ1129" s="2" t="s">
        <v>27</v>
      </c>
      <c r="CA1129" s="2"/>
      <c r="CB1129" s="2"/>
      <c r="CC1129" s="2" t="s">
        <v>140</v>
      </c>
      <c r="CD1129" s="2">
        <v>46</v>
      </c>
      <c r="CE1129" s="2" t="s">
        <v>118</v>
      </c>
      <c r="CF1129" s="5">
        <v>42837</v>
      </c>
      <c r="CG1129" s="2"/>
      <c r="CH1129" s="2"/>
      <c r="CI1129" s="2">
        <v>0</v>
      </c>
      <c r="CJ1129" s="2">
        <v>0</v>
      </c>
      <c r="CK1129" s="2">
        <v>21</v>
      </c>
      <c r="CL1129" s="2" t="s">
        <v>86</v>
      </c>
      <c r="CM1129" s="2"/>
    </row>
    <row r="1130" spans="1:91">
      <c r="A1130" s="2" t="s">
        <v>71</v>
      </c>
      <c r="B1130" s="2" t="s">
        <v>72</v>
      </c>
      <c r="C1130" s="2" t="s">
        <v>73</v>
      </c>
      <c r="D1130" s="2"/>
      <c r="E1130" s="2" t="str">
        <f>"FES1162541239"</f>
        <v>FES1162541239</v>
      </c>
      <c r="F1130" s="3">
        <v>42829</v>
      </c>
      <c r="G1130" s="2">
        <v>201710</v>
      </c>
      <c r="H1130" s="2" t="s">
        <v>74</v>
      </c>
      <c r="I1130" s="2" t="s">
        <v>75</v>
      </c>
      <c r="J1130" s="2" t="s">
        <v>76</v>
      </c>
      <c r="K1130" s="2" t="s">
        <v>77</v>
      </c>
      <c r="L1130" s="2" t="s">
        <v>74</v>
      </c>
      <c r="M1130" s="2" t="s">
        <v>75</v>
      </c>
      <c r="N1130" s="2" t="s">
        <v>1475</v>
      </c>
      <c r="O1130" s="2" t="s">
        <v>115</v>
      </c>
      <c r="P1130" s="2" t="str">
        <f>"2170559612                    "</f>
        <v xml:space="preserve">2170559612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3.45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2.8</v>
      </c>
      <c r="BJ1130" s="2">
        <v>4</v>
      </c>
      <c r="BK1130" s="2">
        <v>4</v>
      </c>
      <c r="BL1130" s="2">
        <v>32.700000000000003</v>
      </c>
      <c r="BM1130" s="2">
        <v>4.58</v>
      </c>
      <c r="BN1130" s="2">
        <v>37.28</v>
      </c>
      <c r="BO1130" s="2">
        <v>37.28</v>
      </c>
      <c r="BP1130" s="2"/>
      <c r="BQ1130" s="2" t="s">
        <v>1476</v>
      </c>
      <c r="BR1130" s="2" t="s">
        <v>123</v>
      </c>
      <c r="BS1130" s="3">
        <v>42830</v>
      </c>
      <c r="BT1130" s="4">
        <v>0.41666666666666669</v>
      </c>
      <c r="BU1130" s="2" t="s">
        <v>175</v>
      </c>
      <c r="BV1130" s="2" t="s">
        <v>111</v>
      </c>
      <c r="BW1130" s="2"/>
      <c r="BX1130" s="2"/>
      <c r="BY1130" s="2">
        <v>20248.23</v>
      </c>
      <c r="BZ1130" s="2" t="s">
        <v>27</v>
      </c>
      <c r="CA1130" s="2"/>
      <c r="CB1130" s="2"/>
      <c r="CC1130" s="2" t="s">
        <v>75</v>
      </c>
      <c r="CD1130" s="2">
        <v>1665</v>
      </c>
      <c r="CE1130" s="2" t="s">
        <v>172</v>
      </c>
      <c r="CF1130" s="5">
        <v>42832</v>
      </c>
      <c r="CG1130" s="2"/>
      <c r="CH1130" s="2"/>
      <c r="CI1130" s="2">
        <v>1</v>
      </c>
      <c r="CJ1130" s="2">
        <v>1</v>
      </c>
      <c r="CK1130" s="2">
        <v>22</v>
      </c>
      <c r="CL1130" s="2" t="s">
        <v>86</v>
      </c>
      <c r="CM1130" s="2"/>
    </row>
    <row r="1131" spans="1:91">
      <c r="A1131" s="2" t="s">
        <v>71</v>
      </c>
      <c r="B1131" s="2" t="s">
        <v>72</v>
      </c>
      <c r="C1131" s="2" t="s">
        <v>73</v>
      </c>
      <c r="D1131" s="2"/>
      <c r="E1131" s="2" t="str">
        <f>"FES1162543089"</f>
        <v>FES1162543089</v>
      </c>
      <c r="F1131" s="3">
        <v>42836</v>
      </c>
      <c r="G1131" s="2">
        <v>201710</v>
      </c>
      <c r="H1131" s="2" t="s">
        <v>74</v>
      </c>
      <c r="I1131" s="2" t="s">
        <v>75</v>
      </c>
      <c r="J1131" s="2" t="s">
        <v>76</v>
      </c>
      <c r="K1131" s="2" t="s">
        <v>77</v>
      </c>
      <c r="L1131" s="2" t="s">
        <v>131</v>
      </c>
      <c r="M1131" s="2" t="s">
        <v>132</v>
      </c>
      <c r="N1131" s="2" t="s">
        <v>384</v>
      </c>
      <c r="O1131" s="2" t="s">
        <v>115</v>
      </c>
      <c r="P1131" s="2" t="str">
        <f>"2170561879                    "</f>
        <v xml:space="preserve">2170561879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4.29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</v>
      </c>
      <c r="BJ1131" s="2">
        <v>0.2</v>
      </c>
      <c r="BK1131" s="2">
        <v>1</v>
      </c>
      <c r="BL1131" s="2">
        <v>41.73</v>
      </c>
      <c r="BM1131" s="2">
        <v>5.84</v>
      </c>
      <c r="BN1131" s="2">
        <v>47.57</v>
      </c>
      <c r="BO1131" s="2">
        <v>47.57</v>
      </c>
      <c r="BP1131" s="2"/>
      <c r="BQ1131" s="2" t="s">
        <v>468</v>
      </c>
      <c r="BR1131" s="2" t="s">
        <v>123</v>
      </c>
      <c r="BS1131" s="3">
        <v>42837</v>
      </c>
      <c r="BT1131" s="4">
        <v>0.41666666666666669</v>
      </c>
      <c r="BU1131" s="2" t="s">
        <v>130</v>
      </c>
      <c r="BV1131" s="2" t="s">
        <v>111</v>
      </c>
      <c r="BW1131" s="2"/>
      <c r="BX1131" s="2"/>
      <c r="BY1131" s="2">
        <v>1200</v>
      </c>
      <c r="BZ1131" s="2" t="s">
        <v>27</v>
      </c>
      <c r="CA1131" s="2"/>
      <c r="CB1131" s="2"/>
      <c r="CC1131" s="2" t="s">
        <v>132</v>
      </c>
      <c r="CD1131" s="2">
        <v>7405</v>
      </c>
      <c r="CE1131" s="2" t="s">
        <v>118</v>
      </c>
      <c r="CF1131" s="5">
        <v>42838</v>
      </c>
      <c r="CG1131" s="2"/>
      <c r="CH1131" s="2"/>
      <c r="CI1131" s="2">
        <v>1</v>
      </c>
      <c r="CJ1131" s="2">
        <v>1</v>
      </c>
      <c r="CK1131" s="2">
        <v>21</v>
      </c>
      <c r="CL1131" s="2" t="s">
        <v>86</v>
      </c>
      <c r="CM1131" s="2"/>
    </row>
    <row r="1132" spans="1:91">
      <c r="A1132" s="2" t="s">
        <v>71</v>
      </c>
      <c r="B1132" s="2" t="s">
        <v>72</v>
      </c>
      <c r="C1132" s="2" t="s">
        <v>73</v>
      </c>
      <c r="D1132" s="2"/>
      <c r="E1132" s="2" t="str">
        <f>"FES1162542017"</f>
        <v>FES1162542017</v>
      </c>
      <c r="F1132" s="3">
        <v>42831</v>
      </c>
      <c r="G1132" s="2">
        <v>201710</v>
      </c>
      <c r="H1132" s="2" t="s">
        <v>74</v>
      </c>
      <c r="I1132" s="2" t="s">
        <v>75</v>
      </c>
      <c r="J1132" s="2" t="s">
        <v>76</v>
      </c>
      <c r="K1132" s="2" t="s">
        <v>77</v>
      </c>
      <c r="L1132" s="2" t="s">
        <v>119</v>
      </c>
      <c r="M1132" s="2" t="s">
        <v>120</v>
      </c>
      <c r="N1132" s="2" t="s">
        <v>725</v>
      </c>
      <c r="O1132" s="2" t="s">
        <v>115</v>
      </c>
      <c r="P1132" s="2" t="str">
        <f>"2170558870                    "</f>
        <v xml:space="preserve">2170558870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3.35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1</v>
      </c>
      <c r="BJ1132" s="2">
        <v>0.2</v>
      </c>
      <c r="BK1132" s="2">
        <v>1</v>
      </c>
      <c r="BL1132" s="2">
        <v>32.6</v>
      </c>
      <c r="BM1132" s="2">
        <v>4.5599999999999996</v>
      </c>
      <c r="BN1132" s="2">
        <v>37.159999999999997</v>
      </c>
      <c r="BO1132" s="2">
        <v>37.159999999999997</v>
      </c>
      <c r="BP1132" s="2"/>
      <c r="BQ1132" s="2" t="s">
        <v>726</v>
      </c>
      <c r="BR1132" s="2" t="s">
        <v>123</v>
      </c>
      <c r="BS1132" s="3">
        <v>42832</v>
      </c>
      <c r="BT1132" s="4">
        <v>0.52152777777777781</v>
      </c>
      <c r="BU1132" s="2" t="s">
        <v>767</v>
      </c>
      <c r="BV1132" s="2" t="s">
        <v>86</v>
      </c>
      <c r="BW1132" s="2" t="s">
        <v>157</v>
      </c>
      <c r="BX1132" s="2" t="s">
        <v>618</v>
      </c>
      <c r="BY1132" s="2">
        <v>1200</v>
      </c>
      <c r="BZ1132" s="2" t="s">
        <v>27</v>
      </c>
      <c r="CA1132" s="2"/>
      <c r="CB1132" s="2"/>
      <c r="CC1132" s="2" t="s">
        <v>120</v>
      </c>
      <c r="CD1132" s="2">
        <v>2162</v>
      </c>
      <c r="CE1132" s="2" t="s">
        <v>118</v>
      </c>
      <c r="CF1132" s="5">
        <v>42835</v>
      </c>
      <c r="CG1132" s="2"/>
      <c r="CH1132" s="2"/>
      <c r="CI1132" s="2">
        <v>1</v>
      </c>
      <c r="CJ1132" s="2">
        <v>1</v>
      </c>
      <c r="CK1132" s="2">
        <v>22</v>
      </c>
      <c r="CL1132" s="2" t="s">
        <v>86</v>
      </c>
      <c r="CM1132" s="2"/>
    </row>
    <row r="1133" spans="1:91">
      <c r="A1133" s="2" t="s">
        <v>71</v>
      </c>
      <c r="B1133" s="2" t="s">
        <v>72</v>
      </c>
      <c r="C1133" s="2" t="s">
        <v>73</v>
      </c>
      <c r="D1133" s="2"/>
      <c r="E1133" s="2" t="str">
        <f>"FES1162543020"</f>
        <v>FES1162543020</v>
      </c>
      <c r="F1133" s="3">
        <v>42836</v>
      </c>
      <c r="G1133" s="2">
        <v>201710</v>
      </c>
      <c r="H1133" s="2" t="s">
        <v>74</v>
      </c>
      <c r="I1133" s="2" t="s">
        <v>75</v>
      </c>
      <c r="J1133" s="2" t="s">
        <v>76</v>
      </c>
      <c r="K1133" s="2" t="s">
        <v>77</v>
      </c>
      <c r="L1133" s="2" t="s">
        <v>180</v>
      </c>
      <c r="M1133" s="2" t="s">
        <v>181</v>
      </c>
      <c r="N1133" s="2" t="s">
        <v>1247</v>
      </c>
      <c r="O1133" s="2" t="s">
        <v>115</v>
      </c>
      <c r="P1133" s="2" t="str">
        <f>"2170556131                    "</f>
        <v xml:space="preserve">2170556131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10.72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5</v>
      </c>
      <c r="BJ1133" s="2">
        <v>4.0999999999999996</v>
      </c>
      <c r="BK1133" s="2">
        <v>5</v>
      </c>
      <c r="BL1133" s="2">
        <v>104.32</v>
      </c>
      <c r="BM1133" s="2">
        <v>14.6</v>
      </c>
      <c r="BN1133" s="2">
        <v>118.92</v>
      </c>
      <c r="BO1133" s="2">
        <v>118.92</v>
      </c>
      <c r="BP1133" s="2"/>
      <c r="BQ1133" s="2" t="s">
        <v>129</v>
      </c>
      <c r="BR1133" s="2" t="s">
        <v>123</v>
      </c>
      <c r="BS1133" s="3">
        <v>42837</v>
      </c>
      <c r="BT1133" s="4">
        <v>0.4375</v>
      </c>
      <c r="BU1133" s="2" t="s">
        <v>1708</v>
      </c>
      <c r="BV1133" s="2" t="s">
        <v>111</v>
      </c>
      <c r="BW1133" s="2"/>
      <c r="BX1133" s="2"/>
      <c r="BY1133" s="2">
        <v>20700</v>
      </c>
      <c r="BZ1133" s="2" t="s">
        <v>27</v>
      </c>
      <c r="CA1133" s="2"/>
      <c r="CB1133" s="2"/>
      <c r="CC1133" s="2" t="s">
        <v>181</v>
      </c>
      <c r="CD1133" s="2">
        <v>4001</v>
      </c>
      <c r="CE1133" s="2" t="s">
        <v>172</v>
      </c>
      <c r="CF1133" s="5">
        <v>42838</v>
      </c>
      <c r="CG1133" s="2"/>
      <c r="CH1133" s="2"/>
      <c r="CI1133" s="2">
        <v>1</v>
      </c>
      <c r="CJ1133" s="2">
        <v>1</v>
      </c>
      <c r="CK1133" s="2">
        <v>21</v>
      </c>
      <c r="CL1133" s="2" t="s">
        <v>86</v>
      </c>
      <c r="CM1133" s="2"/>
    </row>
    <row r="1134" spans="1:91">
      <c r="A1134" s="2" t="s">
        <v>71</v>
      </c>
      <c r="B1134" s="2" t="s">
        <v>72</v>
      </c>
      <c r="C1134" s="2" t="s">
        <v>73</v>
      </c>
      <c r="D1134" s="2"/>
      <c r="E1134" s="2" t="str">
        <f>"FES1162542127"</f>
        <v>FES1162542127</v>
      </c>
      <c r="F1134" s="3">
        <v>42831</v>
      </c>
      <c r="G1134" s="2">
        <v>201710</v>
      </c>
      <c r="H1134" s="2" t="s">
        <v>74</v>
      </c>
      <c r="I1134" s="2" t="s">
        <v>75</v>
      </c>
      <c r="J1134" s="2" t="s">
        <v>76</v>
      </c>
      <c r="K1134" s="2" t="s">
        <v>77</v>
      </c>
      <c r="L1134" s="2" t="s">
        <v>166</v>
      </c>
      <c r="M1134" s="2" t="s">
        <v>167</v>
      </c>
      <c r="N1134" s="2" t="s">
        <v>168</v>
      </c>
      <c r="O1134" s="2" t="s">
        <v>115</v>
      </c>
      <c r="P1134" s="2" t="str">
        <f>"2170561023                    "</f>
        <v xml:space="preserve">2170561023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3.35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1</v>
      </c>
      <c r="BJ1134" s="2">
        <v>0.2</v>
      </c>
      <c r="BK1134" s="2">
        <v>1</v>
      </c>
      <c r="BL1134" s="2">
        <v>32.6</v>
      </c>
      <c r="BM1134" s="2">
        <v>4.5599999999999996</v>
      </c>
      <c r="BN1134" s="2">
        <v>37.159999999999997</v>
      </c>
      <c r="BO1134" s="2">
        <v>37.159999999999997</v>
      </c>
      <c r="BP1134" s="2"/>
      <c r="BQ1134" s="2" t="s">
        <v>169</v>
      </c>
      <c r="BR1134" s="2" t="s">
        <v>123</v>
      </c>
      <c r="BS1134" s="3">
        <v>42832</v>
      </c>
      <c r="BT1134" s="4">
        <v>0.41666666666666669</v>
      </c>
      <c r="BU1134" s="2" t="s">
        <v>823</v>
      </c>
      <c r="BV1134" s="2" t="s">
        <v>111</v>
      </c>
      <c r="BW1134" s="2"/>
      <c r="BX1134" s="2"/>
      <c r="BY1134" s="2">
        <v>1200</v>
      </c>
      <c r="BZ1134" s="2" t="s">
        <v>27</v>
      </c>
      <c r="CA1134" s="2" t="s">
        <v>171</v>
      </c>
      <c r="CB1134" s="2"/>
      <c r="CC1134" s="2" t="s">
        <v>167</v>
      </c>
      <c r="CD1134" s="2">
        <v>2094</v>
      </c>
      <c r="CE1134" s="2" t="s">
        <v>118</v>
      </c>
      <c r="CF1134" s="5">
        <v>42835</v>
      </c>
      <c r="CG1134" s="2"/>
      <c r="CH1134" s="2"/>
      <c r="CI1134" s="2">
        <v>1</v>
      </c>
      <c r="CJ1134" s="2">
        <v>1</v>
      </c>
      <c r="CK1134" s="2">
        <v>22</v>
      </c>
      <c r="CL1134" s="2" t="s">
        <v>86</v>
      </c>
      <c r="CM1134" s="2"/>
    </row>
    <row r="1135" spans="1:91">
      <c r="A1135" s="2" t="s">
        <v>71</v>
      </c>
      <c r="B1135" s="2" t="s">
        <v>72</v>
      </c>
      <c r="C1135" s="2" t="s">
        <v>73</v>
      </c>
      <c r="D1135" s="2"/>
      <c r="E1135" s="2" t="str">
        <f>"FES1162542934"</f>
        <v>FES1162542934</v>
      </c>
      <c r="F1135" s="3">
        <v>42836</v>
      </c>
      <c r="G1135" s="2">
        <v>201710</v>
      </c>
      <c r="H1135" s="2" t="s">
        <v>74</v>
      </c>
      <c r="I1135" s="2" t="s">
        <v>75</v>
      </c>
      <c r="J1135" s="2" t="s">
        <v>76</v>
      </c>
      <c r="K1135" s="2" t="s">
        <v>77</v>
      </c>
      <c r="L1135" s="2" t="s">
        <v>74</v>
      </c>
      <c r="M1135" s="2" t="s">
        <v>75</v>
      </c>
      <c r="N1135" s="2" t="s">
        <v>1709</v>
      </c>
      <c r="O1135" s="2" t="s">
        <v>115</v>
      </c>
      <c r="P1135" s="2" t="str">
        <f>"2170559866                    "</f>
        <v xml:space="preserve">2170559866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3.35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6.3</v>
      </c>
      <c r="BJ1135" s="2">
        <v>2.8</v>
      </c>
      <c r="BK1135" s="2">
        <v>7</v>
      </c>
      <c r="BL1135" s="2">
        <v>32.6</v>
      </c>
      <c r="BM1135" s="2">
        <v>4.5599999999999996</v>
      </c>
      <c r="BN1135" s="2">
        <v>37.159999999999997</v>
      </c>
      <c r="BO1135" s="2">
        <v>37.159999999999997</v>
      </c>
      <c r="BP1135" s="2"/>
      <c r="BQ1135" s="2"/>
      <c r="BR1135" s="2" t="s">
        <v>123</v>
      </c>
      <c r="BS1135" s="3">
        <v>42837</v>
      </c>
      <c r="BT1135" s="4">
        <v>0.72152777777777777</v>
      </c>
      <c r="BU1135" s="2" t="s">
        <v>1260</v>
      </c>
      <c r="BV1135" s="2" t="s">
        <v>86</v>
      </c>
      <c r="BW1135" s="2" t="s">
        <v>157</v>
      </c>
      <c r="BX1135" s="2" t="s">
        <v>1103</v>
      </c>
      <c r="BY1135" s="2">
        <v>13824</v>
      </c>
      <c r="BZ1135" s="2" t="s">
        <v>27</v>
      </c>
      <c r="CA1135" s="2"/>
      <c r="CB1135" s="2"/>
      <c r="CC1135" s="2" t="s">
        <v>75</v>
      </c>
      <c r="CD1135" s="2">
        <v>1619</v>
      </c>
      <c r="CE1135" s="2" t="s">
        <v>89</v>
      </c>
      <c r="CF1135" s="5">
        <v>42838</v>
      </c>
      <c r="CG1135" s="2"/>
      <c r="CH1135" s="2"/>
      <c r="CI1135" s="2">
        <v>1</v>
      </c>
      <c r="CJ1135" s="2">
        <v>1</v>
      </c>
      <c r="CK1135" s="2">
        <v>22</v>
      </c>
      <c r="CL1135" s="2" t="s">
        <v>86</v>
      </c>
      <c r="CM1135" s="2"/>
    </row>
    <row r="1136" spans="1:91">
      <c r="A1136" s="2" t="s">
        <v>71</v>
      </c>
      <c r="B1136" s="2" t="s">
        <v>72</v>
      </c>
      <c r="C1136" s="2" t="s">
        <v>73</v>
      </c>
      <c r="D1136" s="2"/>
      <c r="E1136" s="2" t="str">
        <f>"FES1162542131"</f>
        <v>FES1162542131</v>
      </c>
      <c r="F1136" s="3">
        <v>42831</v>
      </c>
      <c r="G1136" s="2">
        <v>201710</v>
      </c>
      <c r="H1136" s="2" t="s">
        <v>74</v>
      </c>
      <c r="I1136" s="2" t="s">
        <v>75</v>
      </c>
      <c r="J1136" s="2" t="s">
        <v>76</v>
      </c>
      <c r="K1136" s="2" t="s">
        <v>77</v>
      </c>
      <c r="L1136" s="2" t="s">
        <v>74</v>
      </c>
      <c r="M1136" s="2" t="s">
        <v>75</v>
      </c>
      <c r="N1136" s="2" t="s">
        <v>1710</v>
      </c>
      <c r="O1136" s="2" t="s">
        <v>115</v>
      </c>
      <c r="P1136" s="2" t="str">
        <f>"2170561030                    "</f>
        <v xml:space="preserve">2170561030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3.35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1</v>
      </c>
      <c r="BJ1136" s="2">
        <v>0.2</v>
      </c>
      <c r="BK1136" s="2">
        <v>1</v>
      </c>
      <c r="BL1136" s="2">
        <v>32.6</v>
      </c>
      <c r="BM1136" s="2">
        <v>4.5599999999999996</v>
      </c>
      <c r="BN1136" s="2">
        <v>37.159999999999997</v>
      </c>
      <c r="BO1136" s="2">
        <v>37.159999999999997</v>
      </c>
      <c r="BP1136" s="2"/>
      <c r="BQ1136" s="2" t="s">
        <v>1711</v>
      </c>
      <c r="BR1136" s="2" t="s">
        <v>123</v>
      </c>
      <c r="BS1136" s="3">
        <v>42832</v>
      </c>
      <c r="BT1136" s="4">
        <v>0.41666666666666669</v>
      </c>
      <c r="BU1136" s="2" t="s">
        <v>290</v>
      </c>
      <c r="BV1136" s="2" t="s">
        <v>111</v>
      </c>
      <c r="BW1136" s="2"/>
      <c r="BX1136" s="2"/>
      <c r="BY1136" s="2">
        <v>1200</v>
      </c>
      <c r="BZ1136" s="2" t="s">
        <v>27</v>
      </c>
      <c r="CA1136" s="2"/>
      <c r="CB1136" s="2"/>
      <c r="CC1136" s="2" t="s">
        <v>75</v>
      </c>
      <c r="CD1136" s="2">
        <v>1609</v>
      </c>
      <c r="CE1136" s="2" t="s">
        <v>118</v>
      </c>
      <c r="CF1136" s="5">
        <v>42835</v>
      </c>
      <c r="CG1136" s="2"/>
      <c r="CH1136" s="2"/>
      <c r="CI1136" s="2">
        <v>1</v>
      </c>
      <c r="CJ1136" s="2">
        <v>1</v>
      </c>
      <c r="CK1136" s="2">
        <v>22</v>
      </c>
      <c r="CL1136" s="2" t="s">
        <v>86</v>
      </c>
      <c r="CM1136" s="2"/>
    </row>
    <row r="1137" spans="1:91">
      <c r="A1137" s="2" t="s">
        <v>71</v>
      </c>
      <c r="B1137" s="2" t="s">
        <v>72</v>
      </c>
      <c r="C1137" s="2" t="s">
        <v>73</v>
      </c>
      <c r="D1137" s="2"/>
      <c r="E1137" s="2" t="str">
        <f>"RFES1162541412"</f>
        <v>RFES1162541412</v>
      </c>
      <c r="F1137" s="3">
        <v>42830</v>
      </c>
      <c r="G1137" s="2">
        <v>201710</v>
      </c>
      <c r="H1137" s="2" t="s">
        <v>131</v>
      </c>
      <c r="I1137" s="2" t="s">
        <v>132</v>
      </c>
      <c r="J1137" s="2" t="s">
        <v>588</v>
      </c>
      <c r="K1137" s="2" t="s">
        <v>77</v>
      </c>
      <c r="L1137" s="2" t="s">
        <v>74</v>
      </c>
      <c r="M1137" s="2" t="s">
        <v>75</v>
      </c>
      <c r="N1137" s="2" t="s">
        <v>76</v>
      </c>
      <c r="O1137" s="2" t="s">
        <v>115</v>
      </c>
      <c r="P1137" s="2" t="str">
        <f>"2170560499                    "</f>
        <v xml:space="preserve">2170560499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4.29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1</v>
      </c>
      <c r="BJ1137" s="2">
        <v>0.2</v>
      </c>
      <c r="BK1137" s="2">
        <v>1</v>
      </c>
      <c r="BL1137" s="2">
        <v>41.73</v>
      </c>
      <c r="BM1137" s="2">
        <v>5.84</v>
      </c>
      <c r="BN1137" s="2">
        <v>47.57</v>
      </c>
      <c r="BO1137" s="2">
        <v>47.57</v>
      </c>
      <c r="BP1137" s="2"/>
      <c r="BQ1137" s="2" t="s">
        <v>123</v>
      </c>
      <c r="BR1137" s="2" t="s">
        <v>129</v>
      </c>
      <c r="BS1137" s="3">
        <v>42832</v>
      </c>
      <c r="BT1137" s="4">
        <v>0.37847222222222227</v>
      </c>
      <c r="BU1137" s="2" t="s">
        <v>134</v>
      </c>
      <c r="BV1137" s="2" t="s">
        <v>86</v>
      </c>
      <c r="BW1137" s="2" t="s">
        <v>164</v>
      </c>
      <c r="BX1137" s="2" t="s">
        <v>309</v>
      </c>
      <c r="BY1137" s="2">
        <v>1200</v>
      </c>
      <c r="BZ1137" s="2" t="s">
        <v>27</v>
      </c>
      <c r="CA1137" s="2"/>
      <c r="CB1137" s="2"/>
      <c r="CC1137" s="2" t="s">
        <v>75</v>
      </c>
      <c r="CD1137" s="2">
        <v>1601</v>
      </c>
      <c r="CE1137" s="2" t="s">
        <v>118</v>
      </c>
      <c r="CF1137" s="5">
        <v>42835</v>
      </c>
      <c r="CG1137" s="2"/>
      <c r="CH1137" s="2"/>
      <c r="CI1137" s="2">
        <v>1</v>
      </c>
      <c r="CJ1137" s="2">
        <v>2</v>
      </c>
      <c r="CK1137" s="2">
        <v>21</v>
      </c>
      <c r="CL1137" s="2" t="s">
        <v>86</v>
      </c>
      <c r="CM1137" s="2"/>
    </row>
    <row r="1138" spans="1:91">
      <c r="A1138" s="2" t="s">
        <v>71</v>
      </c>
      <c r="B1138" s="2" t="s">
        <v>72</v>
      </c>
      <c r="C1138" s="2" t="s">
        <v>73</v>
      </c>
      <c r="D1138" s="2"/>
      <c r="E1138" s="2" t="str">
        <f>"FES1162542821"</f>
        <v>FES1162542821</v>
      </c>
      <c r="F1138" s="3">
        <v>42836</v>
      </c>
      <c r="G1138" s="2">
        <v>201710</v>
      </c>
      <c r="H1138" s="2" t="s">
        <v>74</v>
      </c>
      <c r="I1138" s="2" t="s">
        <v>75</v>
      </c>
      <c r="J1138" s="2" t="s">
        <v>76</v>
      </c>
      <c r="K1138" s="2" t="s">
        <v>77</v>
      </c>
      <c r="L1138" s="2" t="s">
        <v>74</v>
      </c>
      <c r="M1138" s="2" t="s">
        <v>75</v>
      </c>
      <c r="N1138" s="2" t="s">
        <v>974</v>
      </c>
      <c r="O1138" s="2" t="s">
        <v>115</v>
      </c>
      <c r="P1138" s="2" t="str">
        <f>"2170559606                    "</f>
        <v xml:space="preserve">2170559606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3.35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1</v>
      </c>
      <c r="BJ1138" s="2">
        <v>0.2</v>
      </c>
      <c r="BK1138" s="2">
        <v>1</v>
      </c>
      <c r="BL1138" s="2">
        <v>32.6</v>
      </c>
      <c r="BM1138" s="2">
        <v>4.5599999999999996</v>
      </c>
      <c r="BN1138" s="2">
        <v>37.159999999999997</v>
      </c>
      <c r="BO1138" s="2">
        <v>37.159999999999997</v>
      </c>
      <c r="BP1138" s="2"/>
      <c r="BQ1138" s="2"/>
      <c r="BR1138" s="2" t="s">
        <v>123</v>
      </c>
      <c r="BS1138" s="3">
        <v>42838</v>
      </c>
      <c r="BT1138" s="4">
        <v>0.3263888888888889</v>
      </c>
      <c r="BU1138" s="2" t="s">
        <v>975</v>
      </c>
      <c r="BV1138" s="2" t="s">
        <v>86</v>
      </c>
      <c r="BW1138" s="2" t="s">
        <v>164</v>
      </c>
      <c r="BX1138" s="2" t="s">
        <v>309</v>
      </c>
      <c r="BY1138" s="2">
        <v>1200</v>
      </c>
      <c r="BZ1138" s="2"/>
      <c r="CA1138" s="2" t="s">
        <v>1712</v>
      </c>
      <c r="CB1138" s="2"/>
      <c r="CC1138" s="2" t="s">
        <v>75</v>
      </c>
      <c r="CD1138" s="2">
        <v>1600</v>
      </c>
      <c r="CE1138" s="2" t="s">
        <v>118</v>
      </c>
      <c r="CF1138" s="5">
        <v>42837</v>
      </c>
      <c r="CG1138" s="2"/>
      <c r="CH1138" s="2"/>
      <c r="CI1138" s="2">
        <v>1</v>
      </c>
      <c r="CJ1138" s="2">
        <v>2</v>
      </c>
      <c r="CK1138" s="2">
        <v>22</v>
      </c>
      <c r="CL1138" s="2" t="s">
        <v>86</v>
      </c>
      <c r="CM1138" s="2"/>
    </row>
    <row r="1139" spans="1:91">
      <c r="A1139" s="2" t="s">
        <v>71</v>
      </c>
      <c r="B1139" s="2" t="s">
        <v>72</v>
      </c>
      <c r="C1139" s="2" t="s">
        <v>73</v>
      </c>
      <c r="D1139" s="2"/>
      <c r="E1139" s="2" t="str">
        <f>"FES1162542075"</f>
        <v>FES1162542075</v>
      </c>
      <c r="F1139" s="3">
        <v>42831</v>
      </c>
      <c r="G1139" s="2">
        <v>201710</v>
      </c>
      <c r="H1139" s="2" t="s">
        <v>74</v>
      </c>
      <c r="I1139" s="2" t="s">
        <v>75</v>
      </c>
      <c r="J1139" s="2" t="s">
        <v>76</v>
      </c>
      <c r="K1139" s="2" t="s">
        <v>77</v>
      </c>
      <c r="L1139" s="2" t="s">
        <v>166</v>
      </c>
      <c r="M1139" s="2" t="s">
        <v>167</v>
      </c>
      <c r="N1139" s="2" t="s">
        <v>168</v>
      </c>
      <c r="O1139" s="2" t="s">
        <v>115</v>
      </c>
      <c r="P1139" s="2" t="str">
        <f>"2170557891                    "</f>
        <v xml:space="preserve">2170557891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3.35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1</v>
      </c>
      <c r="BJ1139" s="2">
        <v>0.2</v>
      </c>
      <c r="BK1139" s="2">
        <v>1</v>
      </c>
      <c r="BL1139" s="2">
        <v>32.6</v>
      </c>
      <c r="BM1139" s="2">
        <v>4.5599999999999996</v>
      </c>
      <c r="BN1139" s="2">
        <v>37.159999999999997</v>
      </c>
      <c r="BO1139" s="2">
        <v>37.159999999999997</v>
      </c>
      <c r="BP1139" s="2"/>
      <c r="BQ1139" s="2" t="s">
        <v>169</v>
      </c>
      <c r="BR1139" s="2" t="s">
        <v>123</v>
      </c>
      <c r="BS1139" s="3">
        <v>42832</v>
      </c>
      <c r="BT1139" s="4">
        <v>0.41666666666666669</v>
      </c>
      <c r="BU1139" s="2" t="s">
        <v>823</v>
      </c>
      <c r="BV1139" s="2" t="s">
        <v>111</v>
      </c>
      <c r="BW1139" s="2"/>
      <c r="BX1139" s="2"/>
      <c r="BY1139" s="2">
        <v>1200</v>
      </c>
      <c r="BZ1139" s="2" t="s">
        <v>27</v>
      </c>
      <c r="CA1139" s="2" t="s">
        <v>171</v>
      </c>
      <c r="CB1139" s="2"/>
      <c r="CC1139" s="2" t="s">
        <v>167</v>
      </c>
      <c r="CD1139" s="2">
        <v>2094</v>
      </c>
      <c r="CE1139" s="2" t="s">
        <v>118</v>
      </c>
      <c r="CF1139" s="5">
        <v>42835</v>
      </c>
      <c r="CG1139" s="2"/>
      <c r="CH1139" s="2"/>
      <c r="CI1139" s="2">
        <v>1</v>
      </c>
      <c r="CJ1139" s="2">
        <v>1</v>
      </c>
      <c r="CK1139" s="2">
        <v>22</v>
      </c>
      <c r="CL1139" s="2" t="s">
        <v>86</v>
      </c>
      <c r="CM1139" s="2"/>
    </row>
    <row r="1140" spans="1:91">
      <c r="A1140" s="2" t="s">
        <v>71</v>
      </c>
      <c r="B1140" s="2" t="s">
        <v>72</v>
      </c>
      <c r="C1140" s="2" t="s">
        <v>73</v>
      </c>
      <c r="D1140" s="2"/>
      <c r="E1140" s="2" t="str">
        <f>"FES1162541006"</f>
        <v>FES1162541006</v>
      </c>
      <c r="F1140" s="3">
        <v>42828</v>
      </c>
      <c r="G1140" s="2">
        <v>201710</v>
      </c>
      <c r="H1140" s="2" t="s">
        <v>74</v>
      </c>
      <c r="I1140" s="2" t="s">
        <v>75</v>
      </c>
      <c r="J1140" s="2" t="s">
        <v>76</v>
      </c>
      <c r="K1140" s="2" t="s">
        <v>77</v>
      </c>
      <c r="L1140" s="2" t="s">
        <v>139</v>
      </c>
      <c r="M1140" s="2" t="s">
        <v>140</v>
      </c>
      <c r="N1140" s="2" t="s">
        <v>1713</v>
      </c>
      <c r="O1140" s="2" t="s">
        <v>115</v>
      </c>
      <c r="P1140" s="2" t="str">
        <f>"2170554159                    "</f>
        <v xml:space="preserve">2170554159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4.42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1</v>
      </c>
      <c r="BJ1140" s="2">
        <v>0.2</v>
      </c>
      <c r="BK1140" s="2">
        <v>1</v>
      </c>
      <c r="BL1140" s="2">
        <v>41.86</v>
      </c>
      <c r="BM1140" s="2">
        <v>5.86</v>
      </c>
      <c r="BN1140" s="2">
        <v>47.72</v>
      </c>
      <c r="BO1140" s="2">
        <v>47.72</v>
      </c>
      <c r="BP1140" s="2"/>
      <c r="BQ1140" s="2" t="s">
        <v>1714</v>
      </c>
      <c r="BR1140" s="2" t="s">
        <v>123</v>
      </c>
      <c r="BS1140" s="3">
        <v>42830</v>
      </c>
      <c r="BT1140" s="4">
        <v>0.47291666666666665</v>
      </c>
      <c r="BU1140" s="2" t="s">
        <v>1715</v>
      </c>
      <c r="BV1140" s="2" t="s">
        <v>86</v>
      </c>
      <c r="BW1140" s="2" t="s">
        <v>164</v>
      </c>
      <c r="BX1140" s="2" t="s">
        <v>786</v>
      </c>
      <c r="BY1140" s="2">
        <v>1200</v>
      </c>
      <c r="BZ1140" s="2" t="s">
        <v>27</v>
      </c>
      <c r="CA1140" s="2"/>
      <c r="CB1140" s="2"/>
      <c r="CC1140" s="2" t="s">
        <v>140</v>
      </c>
      <c r="CD1140" s="2">
        <v>157</v>
      </c>
      <c r="CE1140" s="2" t="s">
        <v>144</v>
      </c>
      <c r="CF1140" s="5">
        <v>42833</v>
      </c>
      <c r="CG1140" s="2"/>
      <c r="CH1140" s="2"/>
      <c r="CI1140" s="2">
        <v>0</v>
      </c>
      <c r="CJ1140" s="2">
        <v>0</v>
      </c>
      <c r="CK1140" s="2">
        <v>21</v>
      </c>
      <c r="CL1140" s="2" t="s">
        <v>86</v>
      </c>
      <c r="CM1140" s="2"/>
    </row>
    <row r="1141" spans="1:91">
      <c r="A1141" s="2" t="s">
        <v>71</v>
      </c>
      <c r="B1141" s="2" t="s">
        <v>72</v>
      </c>
      <c r="C1141" s="2" t="s">
        <v>73</v>
      </c>
      <c r="D1141" s="2"/>
      <c r="E1141" s="2" t="str">
        <f>"FES1162542925"</f>
        <v>FES1162542925</v>
      </c>
      <c r="F1141" s="3">
        <v>42836</v>
      </c>
      <c r="G1141" s="2">
        <v>201710</v>
      </c>
      <c r="H1141" s="2" t="s">
        <v>74</v>
      </c>
      <c r="I1141" s="2" t="s">
        <v>75</v>
      </c>
      <c r="J1141" s="2" t="s">
        <v>76</v>
      </c>
      <c r="K1141" s="2" t="s">
        <v>77</v>
      </c>
      <c r="L1141" s="2" t="s">
        <v>260</v>
      </c>
      <c r="M1141" s="2" t="s">
        <v>261</v>
      </c>
      <c r="N1141" s="2" t="s">
        <v>1716</v>
      </c>
      <c r="O1141" s="2" t="s">
        <v>115</v>
      </c>
      <c r="P1141" s="2" t="str">
        <f>"2170559409                    "</f>
        <v xml:space="preserve">2170559409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3.35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1</v>
      </c>
      <c r="BJ1141" s="2">
        <v>0.2</v>
      </c>
      <c r="BK1141" s="2">
        <v>1</v>
      </c>
      <c r="BL1141" s="2">
        <v>32.6</v>
      </c>
      <c r="BM1141" s="2">
        <v>4.5599999999999996</v>
      </c>
      <c r="BN1141" s="2">
        <v>37.159999999999997</v>
      </c>
      <c r="BO1141" s="2">
        <v>37.159999999999997</v>
      </c>
      <c r="BP1141" s="2"/>
      <c r="BQ1141" s="2" t="s">
        <v>122</v>
      </c>
      <c r="BR1141" s="2" t="s">
        <v>123</v>
      </c>
      <c r="BS1141" s="3">
        <v>42837</v>
      </c>
      <c r="BT1141" s="4">
        <v>0.40972222222222227</v>
      </c>
      <c r="BU1141" s="2" t="s">
        <v>989</v>
      </c>
      <c r="BV1141" s="2" t="s">
        <v>111</v>
      </c>
      <c r="BW1141" s="2"/>
      <c r="BX1141" s="2"/>
      <c r="BY1141" s="2">
        <v>1200</v>
      </c>
      <c r="BZ1141" s="2" t="s">
        <v>27</v>
      </c>
      <c r="CA1141" s="2"/>
      <c r="CB1141" s="2"/>
      <c r="CC1141" s="2" t="s">
        <v>261</v>
      </c>
      <c r="CD1141" s="2">
        <v>1449</v>
      </c>
      <c r="CE1141" s="2" t="s">
        <v>118</v>
      </c>
      <c r="CF1141" s="5">
        <v>42838</v>
      </c>
      <c r="CG1141" s="2"/>
      <c r="CH1141" s="2"/>
      <c r="CI1141" s="2">
        <v>1</v>
      </c>
      <c r="CJ1141" s="2">
        <v>1</v>
      </c>
      <c r="CK1141" s="2">
        <v>22</v>
      </c>
      <c r="CL1141" s="2" t="s">
        <v>86</v>
      </c>
      <c r="CM1141" s="2"/>
    </row>
    <row r="1142" spans="1:91">
      <c r="A1142" s="2" t="s">
        <v>71</v>
      </c>
      <c r="B1142" s="2" t="s">
        <v>72</v>
      </c>
      <c r="C1142" s="2" t="s">
        <v>73</v>
      </c>
      <c r="D1142" s="2"/>
      <c r="E1142" s="2" t="str">
        <f>"FES1162542070"</f>
        <v>FES1162542070</v>
      </c>
      <c r="F1142" s="3">
        <v>42831</v>
      </c>
      <c r="G1142" s="2">
        <v>201710</v>
      </c>
      <c r="H1142" s="2" t="s">
        <v>74</v>
      </c>
      <c r="I1142" s="2" t="s">
        <v>75</v>
      </c>
      <c r="J1142" s="2" t="s">
        <v>76</v>
      </c>
      <c r="K1142" s="2" t="s">
        <v>77</v>
      </c>
      <c r="L1142" s="2" t="s">
        <v>496</v>
      </c>
      <c r="M1142" s="2" t="s">
        <v>497</v>
      </c>
      <c r="N1142" s="2" t="s">
        <v>879</v>
      </c>
      <c r="O1142" s="2" t="s">
        <v>115</v>
      </c>
      <c r="P1142" s="2" t="str">
        <f>"2170557833                    "</f>
        <v xml:space="preserve">2170557833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3.35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2.2000000000000002</v>
      </c>
      <c r="BJ1142" s="2">
        <v>0.9</v>
      </c>
      <c r="BK1142" s="2">
        <v>3</v>
      </c>
      <c r="BL1142" s="2">
        <v>32.6</v>
      </c>
      <c r="BM1142" s="2">
        <v>4.5599999999999996</v>
      </c>
      <c r="BN1142" s="2">
        <v>37.159999999999997</v>
      </c>
      <c r="BO1142" s="2">
        <v>37.159999999999997</v>
      </c>
      <c r="BP1142" s="2"/>
      <c r="BQ1142" s="2" t="s">
        <v>880</v>
      </c>
      <c r="BR1142" s="2" t="s">
        <v>123</v>
      </c>
      <c r="BS1142" s="3">
        <v>42832</v>
      </c>
      <c r="BT1142" s="4">
        <v>0.35902777777777778</v>
      </c>
      <c r="BU1142" s="2" t="s">
        <v>881</v>
      </c>
      <c r="BV1142" s="2" t="s">
        <v>111</v>
      </c>
      <c r="BW1142" s="2"/>
      <c r="BX1142" s="2"/>
      <c r="BY1142" s="2">
        <v>4736.5600000000004</v>
      </c>
      <c r="BZ1142" s="2" t="s">
        <v>27</v>
      </c>
      <c r="CA1142" s="2"/>
      <c r="CB1142" s="2"/>
      <c r="CC1142" s="2" t="s">
        <v>497</v>
      </c>
      <c r="CD1142" s="2">
        <v>1559</v>
      </c>
      <c r="CE1142" s="2" t="s">
        <v>172</v>
      </c>
      <c r="CF1142" s="5">
        <v>42835</v>
      </c>
      <c r="CG1142" s="2"/>
      <c r="CH1142" s="2"/>
      <c r="CI1142" s="2">
        <v>1</v>
      </c>
      <c r="CJ1142" s="2">
        <v>1</v>
      </c>
      <c r="CK1142" s="2">
        <v>22</v>
      </c>
      <c r="CL1142" s="2" t="s">
        <v>86</v>
      </c>
      <c r="CM1142" s="2"/>
    </row>
    <row r="1143" spans="1:91">
      <c r="A1143" s="2" t="s">
        <v>71</v>
      </c>
      <c r="B1143" s="2" t="s">
        <v>72</v>
      </c>
      <c r="C1143" s="2" t="s">
        <v>73</v>
      </c>
      <c r="D1143" s="2"/>
      <c r="E1143" s="2" t="str">
        <f>"FES1162540996"</f>
        <v>FES1162540996</v>
      </c>
      <c r="F1143" s="3">
        <v>42828</v>
      </c>
      <c r="G1143" s="2">
        <v>201710</v>
      </c>
      <c r="H1143" s="2" t="s">
        <v>74</v>
      </c>
      <c r="I1143" s="2" t="s">
        <v>75</v>
      </c>
      <c r="J1143" s="2" t="s">
        <v>76</v>
      </c>
      <c r="K1143" s="2" t="s">
        <v>77</v>
      </c>
      <c r="L1143" s="2" t="s">
        <v>900</v>
      </c>
      <c r="M1143" s="2" t="s">
        <v>901</v>
      </c>
      <c r="N1143" s="2" t="s">
        <v>1717</v>
      </c>
      <c r="O1143" s="2" t="s">
        <v>115</v>
      </c>
      <c r="P1143" s="2" t="str">
        <f>"2170560075                    "</f>
        <v xml:space="preserve">2170560075           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12.16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5.3</v>
      </c>
      <c r="BJ1143" s="2">
        <v>3.3</v>
      </c>
      <c r="BK1143" s="2">
        <v>5.5</v>
      </c>
      <c r="BL1143" s="2">
        <v>115.12</v>
      </c>
      <c r="BM1143" s="2">
        <v>16.12</v>
      </c>
      <c r="BN1143" s="2">
        <v>131.24</v>
      </c>
      <c r="BO1143" s="2">
        <v>131.24</v>
      </c>
      <c r="BP1143" s="2"/>
      <c r="BQ1143" s="2" t="s">
        <v>129</v>
      </c>
      <c r="BR1143" s="2" t="s">
        <v>123</v>
      </c>
      <c r="BS1143" s="3">
        <v>42829</v>
      </c>
      <c r="BT1143" s="4">
        <v>0.36736111111111108</v>
      </c>
      <c r="BU1143" s="2" t="s">
        <v>1367</v>
      </c>
      <c r="BV1143" s="2" t="s">
        <v>111</v>
      </c>
      <c r="BW1143" s="2"/>
      <c r="BX1143" s="2"/>
      <c r="BY1143" s="2">
        <v>16310.78</v>
      </c>
      <c r="BZ1143" s="2" t="s">
        <v>27</v>
      </c>
      <c r="CA1143" s="2"/>
      <c r="CB1143" s="2"/>
      <c r="CC1143" s="2" t="s">
        <v>901</v>
      </c>
      <c r="CD1143" s="2">
        <v>4026</v>
      </c>
      <c r="CE1143" s="2" t="s">
        <v>135</v>
      </c>
      <c r="CF1143" s="5">
        <v>42831</v>
      </c>
      <c r="CG1143" s="2"/>
      <c r="CH1143" s="2"/>
      <c r="CI1143" s="2">
        <v>1</v>
      </c>
      <c r="CJ1143" s="2">
        <v>1</v>
      </c>
      <c r="CK1143" s="2">
        <v>21</v>
      </c>
      <c r="CL1143" s="2" t="s">
        <v>86</v>
      </c>
      <c r="CM1143" s="2"/>
    </row>
    <row r="1144" spans="1:91">
      <c r="A1144" s="2" t="s">
        <v>71</v>
      </c>
      <c r="B1144" s="2" t="s">
        <v>72</v>
      </c>
      <c r="C1144" s="2" t="s">
        <v>73</v>
      </c>
      <c r="D1144" s="2"/>
      <c r="E1144" s="2" t="str">
        <f>"FES1162543139"</f>
        <v>FES1162543139</v>
      </c>
      <c r="F1144" s="3">
        <v>42836</v>
      </c>
      <c r="G1144" s="2">
        <v>201710</v>
      </c>
      <c r="H1144" s="2" t="s">
        <v>74</v>
      </c>
      <c r="I1144" s="2" t="s">
        <v>75</v>
      </c>
      <c r="J1144" s="2" t="s">
        <v>76</v>
      </c>
      <c r="K1144" s="2" t="s">
        <v>77</v>
      </c>
      <c r="L1144" s="2" t="s">
        <v>294</v>
      </c>
      <c r="M1144" s="2" t="s">
        <v>295</v>
      </c>
      <c r="N1144" s="2" t="s">
        <v>332</v>
      </c>
      <c r="O1144" s="2" t="s">
        <v>115</v>
      </c>
      <c r="P1144" s="2" t="str">
        <f>"2170561624                    "</f>
        <v xml:space="preserve">2170561624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4.29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1</v>
      </c>
      <c r="BJ1144" s="2">
        <v>0.2</v>
      </c>
      <c r="BK1144" s="2">
        <v>1</v>
      </c>
      <c r="BL1144" s="2">
        <v>41.73</v>
      </c>
      <c r="BM1144" s="2">
        <v>5.84</v>
      </c>
      <c r="BN1144" s="2">
        <v>47.57</v>
      </c>
      <c r="BO1144" s="2">
        <v>47.57</v>
      </c>
      <c r="BP1144" s="2"/>
      <c r="BQ1144" s="2" t="s">
        <v>83</v>
      </c>
      <c r="BR1144" s="2" t="s">
        <v>84</v>
      </c>
      <c r="BS1144" s="3">
        <v>42837</v>
      </c>
      <c r="BT1144" s="4">
        <v>0.4375</v>
      </c>
      <c r="BU1144" s="2" t="s">
        <v>130</v>
      </c>
      <c r="BV1144" s="2" t="s">
        <v>111</v>
      </c>
      <c r="BW1144" s="2"/>
      <c r="BX1144" s="2"/>
      <c r="BY1144" s="2">
        <v>1200</v>
      </c>
      <c r="BZ1144" s="2" t="s">
        <v>27</v>
      </c>
      <c r="CA1144" s="2"/>
      <c r="CB1144" s="2"/>
      <c r="CC1144" s="2" t="s">
        <v>295</v>
      </c>
      <c r="CD1144" s="2">
        <v>3610</v>
      </c>
      <c r="CE1144" s="2" t="s">
        <v>118</v>
      </c>
      <c r="CF1144" s="5">
        <v>42843</v>
      </c>
      <c r="CG1144" s="2"/>
      <c r="CH1144" s="2"/>
      <c r="CI1144" s="2">
        <v>1</v>
      </c>
      <c r="CJ1144" s="2">
        <v>1</v>
      </c>
      <c r="CK1144" s="2">
        <v>21</v>
      </c>
      <c r="CL1144" s="2" t="s">
        <v>86</v>
      </c>
      <c r="CM1144" s="2"/>
    </row>
    <row r="1145" spans="1:91">
      <c r="A1145" s="2" t="s">
        <v>71</v>
      </c>
      <c r="B1145" s="2" t="s">
        <v>72</v>
      </c>
      <c r="C1145" s="2" t="s">
        <v>73</v>
      </c>
      <c r="D1145" s="2"/>
      <c r="E1145" s="2" t="str">
        <f>"FES1162541130"</f>
        <v>FES1162541130</v>
      </c>
      <c r="F1145" s="3">
        <v>42828</v>
      </c>
      <c r="G1145" s="2">
        <v>201710</v>
      </c>
      <c r="H1145" s="2" t="s">
        <v>74</v>
      </c>
      <c r="I1145" s="2" t="s">
        <v>75</v>
      </c>
      <c r="J1145" s="2" t="s">
        <v>76</v>
      </c>
      <c r="K1145" s="2" t="s">
        <v>77</v>
      </c>
      <c r="L1145" s="2" t="s">
        <v>99</v>
      </c>
      <c r="M1145" s="2" t="s">
        <v>100</v>
      </c>
      <c r="N1145" s="2" t="s">
        <v>108</v>
      </c>
      <c r="O1145" s="2" t="s">
        <v>115</v>
      </c>
      <c r="P1145" s="2" t="str">
        <f>"2170560214                    "</f>
        <v xml:space="preserve">2170560214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4.42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</v>
      </c>
      <c r="BJ1145" s="2">
        <v>0.2</v>
      </c>
      <c r="BK1145" s="2">
        <v>1</v>
      </c>
      <c r="BL1145" s="2">
        <v>41.86</v>
      </c>
      <c r="BM1145" s="2">
        <v>5.86</v>
      </c>
      <c r="BN1145" s="2">
        <v>47.72</v>
      </c>
      <c r="BO1145" s="2">
        <v>47.72</v>
      </c>
      <c r="BP1145" s="2"/>
      <c r="BQ1145" s="2" t="s">
        <v>109</v>
      </c>
      <c r="BR1145" s="2" t="s">
        <v>123</v>
      </c>
      <c r="BS1145" s="3">
        <v>42829</v>
      </c>
      <c r="BT1145" s="4">
        <v>0.375</v>
      </c>
      <c r="BU1145" s="2" t="s">
        <v>110</v>
      </c>
      <c r="BV1145" s="2" t="s">
        <v>111</v>
      </c>
      <c r="BW1145" s="2"/>
      <c r="BX1145" s="2"/>
      <c r="BY1145" s="2">
        <v>1200</v>
      </c>
      <c r="BZ1145" s="2" t="s">
        <v>27</v>
      </c>
      <c r="CA1145" s="2" t="s">
        <v>106</v>
      </c>
      <c r="CB1145" s="2"/>
      <c r="CC1145" s="2" t="s">
        <v>100</v>
      </c>
      <c r="CD1145" s="2">
        <v>6001</v>
      </c>
      <c r="CE1145" s="2" t="s">
        <v>118</v>
      </c>
      <c r="CF1145" s="5">
        <v>42829</v>
      </c>
      <c r="CG1145" s="2"/>
      <c r="CH1145" s="2"/>
      <c r="CI1145" s="2">
        <v>1</v>
      </c>
      <c r="CJ1145" s="2">
        <v>1</v>
      </c>
      <c r="CK1145" s="2">
        <v>21</v>
      </c>
      <c r="CL1145" s="2" t="s">
        <v>86</v>
      </c>
      <c r="CM1145" s="2"/>
    </row>
    <row r="1146" spans="1:91">
      <c r="A1146" s="2" t="s">
        <v>71</v>
      </c>
      <c r="B1146" s="2" t="s">
        <v>72</v>
      </c>
      <c r="C1146" s="2" t="s">
        <v>73</v>
      </c>
      <c r="D1146" s="2"/>
      <c r="E1146" s="2" t="str">
        <f>"FES1162542960"</f>
        <v>FES1162542960</v>
      </c>
      <c r="F1146" s="3">
        <v>42836</v>
      </c>
      <c r="G1146" s="2">
        <v>201710</v>
      </c>
      <c r="H1146" s="2" t="s">
        <v>74</v>
      </c>
      <c r="I1146" s="2" t="s">
        <v>75</v>
      </c>
      <c r="J1146" s="2" t="s">
        <v>76</v>
      </c>
      <c r="K1146" s="2" t="s">
        <v>77</v>
      </c>
      <c r="L1146" s="2" t="s">
        <v>166</v>
      </c>
      <c r="M1146" s="2" t="s">
        <v>167</v>
      </c>
      <c r="N1146" s="2" t="s">
        <v>486</v>
      </c>
      <c r="O1146" s="2" t="s">
        <v>115</v>
      </c>
      <c r="P1146" s="2" t="str">
        <f>"217061749                     "</f>
        <v xml:space="preserve">217061749 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3.35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1</v>
      </c>
      <c r="BJ1146" s="2">
        <v>0.2</v>
      </c>
      <c r="BK1146" s="2">
        <v>1</v>
      </c>
      <c r="BL1146" s="2">
        <v>32.6</v>
      </c>
      <c r="BM1146" s="2">
        <v>4.5599999999999996</v>
      </c>
      <c r="BN1146" s="2">
        <v>37.159999999999997</v>
      </c>
      <c r="BO1146" s="2">
        <v>37.159999999999997</v>
      </c>
      <c r="BP1146" s="2"/>
      <c r="BQ1146" s="2" t="s">
        <v>487</v>
      </c>
      <c r="BR1146" s="2" t="s">
        <v>123</v>
      </c>
      <c r="BS1146" s="3">
        <v>42837</v>
      </c>
      <c r="BT1146" s="4">
        <v>0.41666666666666669</v>
      </c>
      <c r="BU1146" s="2" t="s">
        <v>290</v>
      </c>
      <c r="BV1146" s="2" t="s">
        <v>111</v>
      </c>
      <c r="BW1146" s="2"/>
      <c r="BX1146" s="2"/>
      <c r="BY1146" s="2">
        <v>1200</v>
      </c>
      <c r="BZ1146" s="2" t="s">
        <v>27</v>
      </c>
      <c r="CA1146" s="2"/>
      <c r="CB1146" s="2"/>
      <c r="CC1146" s="2" t="s">
        <v>167</v>
      </c>
      <c r="CD1146" s="2">
        <v>2013</v>
      </c>
      <c r="CE1146" s="2" t="s">
        <v>118</v>
      </c>
      <c r="CF1146" s="5">
        <v>42838</v>
      </c>
      <c r="CG1146" s="2"/>
      <c r="CH1146" s="2"/>
      <c r="CI1146" s="2">
        <v>1</v>
      </c>
      <c r="CJ1146" s="2">
        <v>1</v>
      </c>
      <c r="CK1146" s="2">
        <v>22</v>
      </c>
      <c r="CL1146" s="2" t="s">
        <v>86</v>
      </c>
      <c r="CM1146" s="2"/>
    </row>
    <row r="1147" spans="1:91">
      <c r="A1147" s="2" t="s">
        <v>71</v>
      </c>
      <c r="B1147" s="2" t="s">
        <v>72</v>
      </c>
      <c r="C1147" s="2" t="s">
        <v>73</v>
      </c>
      <c r="D1147" s="2"/>
      <c r="E1147" s="2" t="str">
        <f>"FES1162542056"</f>
        <v>FES1162542056</v>
      </c>
      <c r="F1147" s="3">
        <v>42831</v>
      </c>
      <c r="G1147" s="2">
        <v>201710</v>
      </c>
      <c r="H1147" s="2" t="s">
        <v>74</v>
      </c>
      <c r="I1147" s="2" t="s">
        <v>75</v>
      </c>
      <c r="J1147" s="2" t="s">
        <v>76</v>
      </c>
      <c r="K1147" s="2" t="s">
        <v>77</v>
      </c>
      <c r="L1147" s="2" t="s">
        <v>187</v>
      </c>
      <c r="M1147" s="2" t="s">
        <v>146</v>
      </c>
      <c r="N1147" s="2" t="s">
        <v>427</v>
      </c>
      <c r="O1147" s="2" t="s">
        <v>115</v>
      </c>
      <c r="P1147" s="2" t="str">
        <f>"2170556308                    "</f>
        <v xml:space="preserve">2170556308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4.29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1.2</v>
      </c>
      <c r="BJ1147" s="2">
        <v>1.9</v>
      </c>
      <c r="BK1147" s="2">
        <v>2</v>
      </c>
      <c r="BL1147" s="2">
        <v>41.73</v>
      </c>
      <c r="BM1147" s="2">
        <v>5.84</v>
      </c>
      <c r="BN1147" s="2">
        <v>47.57</v>
      </c>
      <c r="BO1147" s="2">
        <v>47.57</v>
      </c>
      <c r="BP1147" s="2"/>
      <c r="BQ1147" s="2" t="s">
        <v>428</v>
      </c>
      <c r="BR1147" s="2" t="s">
        <v>123</v>
      </c>
      <c r="BS1147" s="3">
        <v>42832</v>
      </c>
      <c r="BT1147" s="4">
        <v>0.37152777777777773</v>
      </c>
      <c r="BU1147" s="2" t="s">
        <v>1209</v>
      </c>
      <c r="BV1147" s="2" t="s">
        <v>111</v>
      </c>
      <c r="BW1147" s="2"/>
      <c r="BX1147" s="2"/>
      <c r="BY1147" s="2">
        <v>9274.2000000000007</v>
      </c>
      <c r="BZ1147" s="2" t="s">
        <v>27</v>
      </c>
      <c r="CA1147" s="2"/>
      <c r="CB1147" s="2"/>
      <c r="CC1147" s="2" t="s">
        <v>146</v>
      </c>
      <c r="CD1147" s="2">
        <v>184</v>
      </c>
      <c r="CE1147" s="2" t="s">
        <v>118</v>
      </c>
      <c r="CF1147" s="5">
        <v>42836</v>
      </c>
      <c r="CG1147" s="2"/>
      <c r="CH1147" s="2"/>
      <c r="CI1147" s="2">
        <v>0</v>
      </c>
      <c r="CJ1147" s="2">
        <v>0</v>
      </c>
      <c r="CK1147" s="2">
        <v>21</v>
      </c>
      <c r="CL1147" s="2" t="s">
        <v>86</v>
      </c>
      <c r="CM1147" s="2"/>
    </row>
    <row r="1148" spans="1:91">
      <c r="A1148" s="2" t="s">
        <v>71</v>
      </c>
      <c r="B1148" s="2" t="s">
        <v>72</v>
      </c>
      <c r="C1148" s="2" t="s">
        <v>73</v>
      </c>
      <c r="D1148" s="2"/>
      <c r="E1148" s="2" t="str">
        <f>"FES1162540981"</f>
        <v>FES1162540981</v>
      </c>
      <c r="F1148" s="3">
        <v>42828</v>
      </c>
      <c r="G1148" s="2">
        <v>201710</v>
      </c>
      <c r="H1148" s="2" t="s">
        <v>74</v>
      </c>
      <c r="I1148" s="2" t="s">
        <v>75</v>
      </c>
      <c r="J1148" s="2" t="s">
        <v>76</v>
      </c>
      <c r="K1148" s="2" t="s">
        <v>77</v>
      </c>
      <c r="L1148" s="2" t="s">
        <v>176</v>
      </c>
      <c r="M1148" s="2" t="s">
        <v>176</v>
      </c>
      <c r="N1148" s="2" t="s">
        <v>177</v>
      </c>
      <c r="O1148" s="2" t="s">
        <v>115</v>
      </c>
      <c r="P1148" s="2" t="str">
        <f>"2170560060                    "</f>
        <v xml:space="preserve">2170560060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4.42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</v>
      </c>
      <c r="BJ1148" s="2">
        <v>0.2</v>
      </c>
      <c r="BK1148" s="2">
        <v>1</v>
      </c>
      <c r="BL1148" s="2">
        <v>41.86</v>
      </c>
      <c r="BM1148" s="2">
        <v>5.86</v>
      </c>
      <c r="BN1148" s="2">
        <v>47.72</v>
      </c>
      <c r="BO1148" s="2">
        <v>47.72</v>
      </c>
      <c r="BP1148" s="2"/>
      <c r="BQ1148" s="2" t="s">
        <v>178</v>
      </c>
      <c r="BR1148" s="2" t="s">
        <v>123</v>
      </c>
      <c r="BS1148" s="3">
        <v>42829</v>
      </c>
      <c r="BT1148" s="4">
        <v>0.54513888888888895</v>
      </c>
      <c r="BU1148" s="2" t="s">
        <v>1718</v>
      </c>
      <c r="BV1148" s="2" t="s">
        <v>111</v>
      </c>
      <c r="BW1148" s="2"/>
      <c r="BX1148" s="2"/>
      <c r="BY1148" s="2">
        <v>1200</v>
      </c>
      <c r="BZ1148" s="2" t="s">
        <v>27</v>
      </c>
      <c r="CA1148" s="2"/>
      <c r="CB1148" s="2"/>
      <c r="CC1148" s="2" t="s">
        <v>176</v>
      </c>
      <c r="CD1148" s="2">
        <v>7646</v>
      </c>
      <c r="CE1148" s="2" t="s">
        <v>144</v>
      </c>
      <c r="CF1148" s="5">
        <v>42830</v>
      </c>
      <c r="CG1148" s="2"/>
      <c r="CH1148" s="2"/>
      <c r="CI1148" s="2">
        <v>1</v>
      </c>
      <c r="CJ1148" s="2">
        <v>1</v>
      </c>
      <c r="CK1148" s="2">
        <v>21</v>
      </c>
      <c r="CL1148" s="2" t="s">
        <v>86</v>
      </c>
      <c r="CM1148" s="2"/>
    </row>
    <row r="1149" spans="1:91">
      <c r="A1149" s="2" t="s">
        <v>71</v>
      </c>
      <c r="B1149" s="2" t="s">
        <v>72</v>
      </c>
      <c r="C1149" s="2" t="s">
        <v>73</v>
      </c>
      <c r="D1149" s="2"/>
      <c r="E1149" s="2" t="str">
        <f>"FES1162543035"</f>
        <v>FES1162543035</v>
      </c>
      <c r="F1149" s="3">
        <v>42836</v>
      </c>
      <c r="G1149" s="2">
        <v>201710</v>
      </c>
      <c r="H1149" s="2" t="s">
        <v>74</v>
      </c>
      <c r="I1149" s="2" t="s">
        <v>75</v>
      </c>
      <c r="J1149" s="2" t="s">
        <v>76</v>
      </c>
      <c r="K1149" s="2" t="s">
        <v>77</v>
      </c>
      <c r="L1149" s="2" t="s">
        <v>220</v>
      </c>
      <c r="M1149" s="2" t="s">
        <v>221</v>
      </c>
      <c r="N1149" s="2" t="s">
        <v>1311</v>
      </c>
      <c r="O1149" s="2" t="s">
        <v>115</v>
      </c>
      <c r="P1149" s="2" t="str">
        <f>"2170561824                    "</f>
        <v xml:space="preserve">2170561824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4.29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1.7</v>
      </c>
      <c r="BJ1149" s="2">
        <v>0.7</v>
      </c>
      <c r="BK1149" s="2">
        <v>2</v>
      </c>
      <c r="BL1149" s="2">
        <v>41.73</v>
      </c>
      <c r="BM1149" s="2">
        <v>5.84</v>
      </c>
      <c r="BN1149" s="2">
        <v>47.57</v>
      </c>
      <c r="BO1149" s="2">
        <v>47.57</v>
      </c>
      <c r="BP1149" s="2"/>
      <c r="BQ1149" s="2" t="s">
        <v>1312</v>
      </c>
      <c r="BR1149" s="2" t="s">
        <v>123</v>
      </c>
      <c r="BS1149" s="3">
        <v>42837</v>
      </c>
      <c r="BT1149" s="4">
        <v>0.6166666666666667</v>
      </c>
      <c r="BU1149" s="2" t="s">
        <v>1719</v>
      </c>
      <c r="BV1149" s="2" t="s">
        <v>86</v>
      </c>
      <c r="BW1149" s="2" t="s">
        <v>164</v>
      </c>
      <c r="BX1149" s="2" t="s">
        <v>1720</v>
      </c>
      <c r="BY1149" s="2">
        <v>3612.84</v>
      </c>
      <c r="BZ1149" s="2"/>
      <c r="CA1149" s="2"/>
      <c r="CB1149" s="2"/>
      <c r="CC1149" s="2" t="s">
        <v>221</v>
      </c>
      <c r="CD1149" s="2">
        <v>6536</v>
      </c>
      <c r="CE1149" s="2" t="s">
        <v>89</v>
      </c>
      <c r="CF1149" s="5">
        <v>42844</v>
      </c>
      <c r="CG1149" s="2"/>
      <c r="CH1149" s="2"/>
      <c r="CI1149" s="2">
        <v>1</v>
      </c>
      <c r="CJ1149" s="2">
        <v>1</v>
      </c>
      <c r="CK1149" s="2">
        <v>21</v>
      </c>
      <c r="CL1149" s="2" t="s">
        <v>86</v>
      </c>
      <c r="CM1149" s="2"/>
    </row>
    <row r="1150" spans="1:91">
      <c r="A1150" s="2" t="s">
        <v>71</v>
      </c>
      <c r="B1150" s="2" t="s">
        <v>72</v>
      </c>
      <c r="C1150" s="2" t="s">
        <v>73</v>
      </c>
      <c r="D1150" s="2"/>
      <c r="E1150" s="2" t="str">
        <f>"RFES1162534100"</f>
        <v>RFES1162534100</v>
      </c>
      <c r="F1150" s="3">
        <v>42828</v>
      </c>
      <c r="G1150" s="2">
        <v>201710</v>
      </c>
      <c r="H1150" s="2" t="s">
        <v>267</v>
      </c>
      <c r="I1150" s="2" t="s">
        <v>268</v>
      </c>
      <c r="J1150" s="2" t="s">
        <v>1721</v>
      </c>
      <c r="K1150" s="2" t="s">
        <v>77</v>
      </c>
      <c r="L1150" s="2" t="s">
        <v>74</v>
      </c>
      <c r="M1150" s="2" t="s">
        <v>75</v>
      </c>
      <c r="N1150" s="2" t="s">
        <v>76</v>
      </c>
      <c r="O1150" s="2" t="s">
        <v>115</v>
      </c>
      <c r="P1150" s="2" t="str">
        <f>"2170554178                    "</f>
        <v xml:space="preserve">2170554178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3.45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1</v>
      </c>
      <c r="BJ1150" s="2">
        <v>0.2</v>
      </c>
      <c r="BK1150" s="2">
        <v>1</v>
      </c>
      <c r="BL1150" s="2">
        <v>32.700000000000003</v>
      </c>
      <c r="BM1150" s="2">
        <v>4.58</v>
      </c>
      <c r="BN1150" s="2">
        <v>37.28</v>
      </c>
      <c r="BO1150" s="2">
        <v>37.28</v>
      </c>
      <c r="BP1150" s="2"/>
      <c r="BQ1150" s="2" t="s">
        <v>123</v>
      </c>
      <c r="BR1150" s="2"/>
      <c r="BS1150" s="3">
        <v>42830</v>
      </c>
      <c r="BT1150" s="4">
        <v>0.37916666666666665</v>
      </c>
      <c r="BU1150" s="2" t="s">
        <v>134</v>
      </c>
      <c r="BV1150" s="2" t="s">
        <v>86</v>
      </c>
      <c r="BW1150" s="2" t="s">
        <v>164</v>
      </c>
      <c r="BX1150" s="2" t="s">
        <v>618</v>
      </c>
      <c r="BY1150" s="2">
        <v>1200</v>
      </c>
      <c r="BZ1150" s="2" t="s">
        <v>27</v>
      </c>
      <c r="CA1150" s="2"/>
      <c r="CB1150" s="2"/>
      <c r="CC1150" s="2" t="s">
        <v>75</v>
      </c>
      <c r="CD1150" s="2">
        <v>1600</v>
      </c>
      <c r="CE1150" s="2" t="s">
        <v>118</v>
      </c>
      <c r="CF1150" s="5">
        <v>42831</v>
      </c>
      <c r="CG1150" s="2"/>
      <c r="CH1150" s="2"/>
      <c r="CI1150" s="2">
        <v>1</v>
      </c>
      <c r="CJ1150" s="2">
        <v>2</v>
      </c>
      <c r="CK1150" s="2">
        <v>22</v>
      </c>
      <c r="CL1150" s="2" t="s">
        <v>86</v>
      </c>
      <c r="CM1150" s="2"/>
    </row>
    <row r="1151" spans="1:91">
      <c r="A1151" s="2" t="s">
        <v>71</v>
      </c>
      <c r="B1151" s="2" t="s">
        <v>72</v>
      </c>
      <c r="C1151" s="2" t="s">
        <v>73</v>
      </c>
      <c r="D1151" s="2"/>
      <c r="E1151" s="2" t="str">
        <f>"FES1162542537"</f>
        <v>FES1162542537</v>
      </c>
      <c r="F1151" s="3">
        <v>42835</v>
      </c>
      <c r="G1151" s="2">
        <v>201710</v>
      </c>
      <c r="H1151" s="2" t="s">
        <v>74</v>
      </c>
      <c r="I1151" s="2" t="s">
        <v>75</v>
      </c>
      <c r="J1151" s="2" t="s">
        <v>76</v>
      </c>
      <c r="K1151" s="2" t="s">
        <v>77</v>
      </c>
      <c r="L1151" s="2" t="s">
        <v>131</v>
      </c>
      <c r="M1151" s="2" t="s">
        <v>132</v>
      </c>
      <c r="N1151" s="2" t="s">
        <v>1722</v>
      </c>
      <c r="O1151" s="2" t="s">
        <v>115</v>
      </c>
      <c r="P1151" s="2" t="str">
        <f>"2170561398                    "</f>
        <v xml:space="preserve">2170561398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4.29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1</v>
      </c>
      <c r="BJ1151" s="2">
        <v>0.2</v>
      </c>
      <c r="BK1151" s="2">
        <v>1</v>
      </c>
      <c r="BL1151" s="2">
        <v>41.73</v>
      </c>
      <c r="BM1151" s="2">
        <v>5.84</v>
      </c>
      <c r="BN1151" s="2">
        <v>47.57</v>
      </c>
      <c r="BO1151" s="2">
        <v>47.57</v>
      </c>
      <c r="BP1151" s="2"/>
      <c r="BQ1151" s="2" t="s">
        <v>1723</v>
      </c>
      <c r="BR1151" s="2" t="s">
        <v>123</v>
      </c>
      <c r="BS1151" s="3">
        <v>42836</v>
      </c>
      <c r="BT1151" s="4">
        <v>0.41666666666666669</v>
      </c>
      <c r="BU1151" s="2" t="s">
        <v>1724</v>
      </c>
      <c r="BV1151" s="2" t="s">
        <v>111</v>
      </c>
      <c r="BW1151" s="2"/>
      <c r="BX1151" s="2"/>
      <c r="BY1151" s="2">
        <v>1200</v>
      </c>
      <c r="BZ1151" s="2" t="s">
        <v>27</v>
      </c>
      <c r="CA1151" s="2"/>
      <c r="CB1151" s="2"/>
      <c r="CC1151" s="2" t="s">
        <v>132</v>
      </c>
      <c r="CD1151" s="2">
        <v>7405</v>
      </c>
      <c r="CE1151" s="2" t="s">
        <v>144</v>
      </c>
      <c r="CF1151" s="5">
        <v>42837</v>
      </c>
      <c r="CG1151" s="2"/>
      <c r="CH1151" s="2"/>
      <c r="CI1151" s="2">
        <v>1</v>
      </c>
      <c r="CJ1151" s="2">
        <v>1</v>
      </c>
      <c r="CK1151" s="2">
        <v>21</v>
      </c>
      <c r="CL1151" s="2" t="s">
        <v>86</v>
      </c>
      <c r="CM1151" s="2"/>
    </row>
    <row r="1152" spans="1:91">
      <c r="A1152" s="2" t="s">
        <v>71</v>
      </c>
      <c r="B1152" s="2" t="s">
        <v>72</v>
      </c>
      <c r="C1152" s="2" t="s">
        <v>73</v>
      </c>
      <c r="D1152" s="2"/>
      <c r="E1152" s="2" t="str">
        <f>"FES1162542065"</f>
        <v>FES1162542065</v>
      </c>
      <c r="F1152" s="3">
        <v>42831</v>
      </c>
      <c r="G1152" s="2">
        <v>201710</v>
      </c>
      <c r="H1152" s="2" t="s">
        <v>74</v>
      </c>
      <c r="I1152" s="2" t="s">
        <v>75</v>
      </c>
      <c r="J1152" s="2" t="s">
        <v>76</v>
      </c>
      <c r="K1152" s="2" t="s">
        <v>77</v>
      </c>
      <c r="L1152" s="2" t="s">
        <v>166</v>
      </c>
      <c r="M1152" s="2" t="s">
        <v>167</v>
      </c>
      <c r="N1152" s="2" t="s">
        <v>1507</v>
      </c>
      <c r="O1152" s="2" t="s">
        <v>115</v>
      </c>
      <c r="P1152" s="2" t="str">
        <f>"2170557707                    "</f>
        <v xml:space="preserve">2170557707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3.35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1</v>
      </c>
      <c r="BJ1152" s="2">
        <v>0.2</v>
      </c>
      <c r="BK1152" s="2">
        <v>1</v>
      </c>
      <c r="BL1152" s="2">
        <v>32.6</v>
      </c>
      <c r="BM1152" s="2">
        <v>4.5599999999999996</v>
      </c>
      <c r="BN1152" s="2">
        <v>37.159999999999997</v>
      </c>
      <c r="BO1152" s="2">
        <v>37.159999999999997</v>
      </c>
      <c r="BP1152" s="2"/>
      <c r="BQ1152" s="2" t="s">
        <v>1571</v>
      </c>
      <c r="BR1152" s="2" t="s">
        <v>123</v>
      </c>
      <c r="BS1152" s="3">
        <v>42832</v>
      </c>
      <c r="BT1152" s="4">
        <v>0.41666666666666669</v>
      </c>
      <c r="BU1152" s="2" t="s">
        <v>1159</v>
      </c>
      <c r="BV1152" s="2" t="s">
        <v>111</v>
      </c>
      <c r="BW1152" s="2"/>
      <c r="BX1152" s="2"/>
      <c r="BY1152" s="2">
        <v>1200</v>
      </c>
      <c r="BZ1152" s="2" t="s">
        <v>27</v>
      </c>
      <c r="CA1152" s="2" t="s">
        <v>159</v>
      </c>
      <c r="CB1152" s="2"/>
      <c r="CC1152" s="2" t="s">
        <v>167</v>
      </c>
      <c r="CD1152" s="2">
        <v>2091</v>
      </c>
      <c r="CE1152" s="2" t="s">
        <v>118</v>
      </c>
      <c r="CF1152" s="5">
        <v>42835</v>
      </c>
      <c r="CG1152" s="2"/>
      <c r="CH1152" s="2"/>
      <c r="CI1152" s="2">
        <v>1</v>
      </c>
      <c r="CJ1152" s="2">
        <v>1</v>
      </c>
      <c r="CK1152" s="2">
        <v>22</v>
      </c>
      <c r="CL1152" s="2" t="s">
        <v>86</v>
      </c>
      <c r="CM1152" s="2"/>
    </row>
    <row r="1153" spans="1:91">
      <c r="A1153" s="2" t="s">
        <v>71</v>
      </c>
      <c r="B1153" s="2" t="s">
        <v>72</v>
      </c>
      <c r="C1153" s="2" t="s">
        <v>73</v>
      </c>
      <c r="D1153" s="2"/>
      <c r="E1153" s="2" t="str">
        <f>"FES1162541011"</f>
        <v>FES1162541011</v>
      </c>
      <c r="F1153" s="3">
        <v>42828</v>
      </c>
      <c r="G1153" s="2">
        <v>201710</v>
      </c>
      <c r="H1153" s="2" t="s">
        <v>74</v>
      </c>
      <c r="I1153" s="2" t="s">
        <v>75</v>
      </c>
      <c r="J1153" s="2" t="s">
        <v>76</v>
      </c>
      <c r="K1153" s="2" t="s">
        <v>77</v>
      </c>
      <c r="L1153" s="2" t="s">
        <v>180</v>
      </c>
      <c r="M1153" s="2" t="s">
        <v>181</v>
      </c>
      <c r="N1153" s="2" t="s">
        <v>1133</v>
      </c>
      <c r="O1153" s="2" t="s">
        <v>115</v>
      </c>
      <c r="P1153" s="2" t="str">
        <f>"2170556469                    "</f>
        <v xml:space="preserve">2170556469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8.84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2.5</v>
      </c>
      <c r="BJ1153" s="2">
        <v>3.6</v>
      </c>
      <c r="BK1153" s="2">
        <v>4</v>
      </c>
      <c r="BL1153" s="2">
        <v>83.72</v>
      </c>
      <c r="BM1153" s="2">
        <v>11.72</v>
      </c>
      <c r="BN1153" s="2">
        <v>95.44</v>
      </c>
      <c r="BO1153" s="2">
        <v>95.44</v>
      </c>
      <c r="BP1153" s="2"/>
      <c r="BQ1153" s="2" t="s">
        <v>1134</v>
      </c>
      <c r="BR1153" s="2" t="s">
        <v>123</v>
      </c>
      <c r="BS1153" s="3">
        <v>42829</v>
      </c>
      <c r="BT1153" s="4">
        <v>0.4375</v>
      </c>
      <c r="BU1153" s="2" t="s">
        <v>1725</v>
      </c>
      <c r="BV1153" s="2" t="s">
        <v>111</v>
      </c>
      <c r="BW1153" s="2"/>
      <c r="BX1153" s="2"/>
      <c r="BY1153" s="2">
        <v>17805.310000000001</v>
      </c>
      <c r="BZ1153" s="2" t="s">
        <v>27</v>
      </c>
      <c r="CA1153" s="2"/>
      <c r="CB1153" s="2"/>
      <c r="CC1153" s="2" t="s">
        <v>181</v>
      </c>
      <c r="CD1153" s="2">
        <v>4064</v>
      </c>
      <c r="CE1153" s="2" t="s">
        <v>135</v>
      </c>
      <c r="CF1153" s="5">
        <v>42831</v>
      </c>
      <c r="CG1153" s="2"/>
      <c r="CH1153" s="2"/>
      <c r="CI1153" s="2">
        <v>1</v>
      </c>
      <c r="CJ1153" s="2">
        <v>1</v>
      </c>
      <c r="CK1153" s="2">
        <v>21</v>
      </c>
      <c r="CL1153" s="2" t="s">
        <v>86</v>
      </c>
      <c r="CM1153" s="2"/>
    </row>
    <row r="1154" spans="1:91">
      <c r="A1154" s="2" t="s">
        <v>71</v>
      </c>
      <c r="B1154" s="2" t="s">
        <v>72</v>
      </c>
      <c r="C1154" s="2" t="s">
        <v>73</v>
      </c>
      <c r="D1154" s="2"/>
      <c r="E1154" s="2" t="str">
        <f>"FES1162542300"</f>
        <v>FES1162542300</v>
      </c>
      <c r="F1154" s="3">
        <v>42832</v>
      </c>
      <c r="G1154" s="2">
        <v>201710</v>
      </c>
      <c r="H1154" s="2" t="s">
        <v>74</v>
      </c>
      <c r="I1154" s="2" t="s">
        <v>75</v>
      </c>
      <c r="J1154" s="2" t="s">
        <v>76</v>
      </c>
      <c r="K1154" s="2" t="s">
        <v>77</v>
      </c>
      <c r="L1154" s="2" t="s">
        <v>74</v>
      </c>
      <c r="M1154" s="2" t="s">
        <v>75</v>
      </c>
      <c r="N1154" s="2" t="s">
        <v>1726</v>
      </c>
      <c r="O1154" s="2" t="s">
        <v>115</v>
      </c>
      <c r="P1154" s="2" t="str">
        <f>"2170561189                    "</f>
        <v xml:space="preserve">2170561189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3.35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1</v>
      </c>
      <c r="BJ1154" s="2">
        <v>0.2</v>
      </c>
      <c r="BK1154" s="2">
        <v>1</v>
      </c>
      <c r="BL1154" s="2">
        <v>32.6</v>
      </c>
      <c r="BM1154" s="2">
        <v>4.5599999999999996</v>
      </c>
      <c r="BN1154" s="2">
        <v>37.159999999999997</v>
      </c>
      <c r="BO1154" s="2">
        <v>37.159999999999997</v>
      </c>
      <c r="BP1154" s="2"/>
      <c r="BQ1154" s="2"/>
      <c r="BR1154" s="2" t="s">
        <v>123</v>
      </c>
      <c r="BS1154" s="3">
        <v>42835</v>
      </c>
      <c r="BT1154" s="4">
        <v>0.33402777777777781</v>
      </c>
      <c r="BU1154" s="2" t="s">
        <v>1727</v>
      </c>
      <c r="BV1154" s="2" t="s">
        <v>111</v>
      </c>
      <c r="BW1154" s="2"/>
      <c r="BX1154" s="2"/>
      <c r="BY1154" s="2">
        <v>1200</v>
      </c>
      <c r="BZ1154" s="2" t="s">
        <v>27</v>
      </c>
      <c r="CA1154" s="2" t="s">
        <v>1728</v>
      </c>
      <c r="CB1154" s="2"/>
      <c r="CC1154" s="2" t="s">
        <v>75</v>
      </c>
      <c r="CD1154" s="2">
        <v>1600</v>
      </c>
      <c r="CE1154" s="2" t="s">
        <v>118</v>
      </c>
      <c r="CF1154" s="5">
        <v>42836</v>
      </c>
      <c r="CG1154" s="2"/>
      <c r="CH1154" s="2"/>
      <c r="CI1154" s="2">
        <v>1</v>
      </c>
      <c r="CJ1154" s="2">
        <v>1</v>
      </c>
      <c r="CK1154" s="2">
        <v>22</v>
      </c>
      <c r="CL1154" s="2" t="s">
        <v>86</v>
      </c>
      <c r="CM1154" s="2"/>
    </row>
    <row r="1155" spans="1:91">
      <c r="A1155" s="2" t="s">
        <v>71</v>
      </c>
      <c r="B1155" s="2" t="s">
        <v>72</v>
      </c>
      <c r="C1155" s="2" t="s">
        <v>73</v>
      </c>
      <c r="D1155" s="2"/>
      <c r="E1155" s="2" t="str">
        <f>"FES1162542072"</f>
        <v>FES1162542072</v>
      </c>
      <c r="F1155" s="3">
        <v>42831</v>
      </c>
      <c r="G1155" s="2">
        <v>201710</v>
      </c>
      <c r="H1155" s="2" t="s">
        <v>74</v>
      </c>
      <c r="I1155" s="2" t="s">
        <v>75</v>
      </c>
      <c r="J1155" s="2" t="s">
        <v>76</v>
      </c>
      <c r="K1155" s="2" t="s">
        <v>77</v>
      </c>
      <c r="L1155" s="2" t="s">
        <v>260</v>
      </c>
      <c r="M1155" s="2" t="s">
        <v>261</v>
      </c>
      <c r="N1155" s="2" t="s">
        <v>805</v>
      </c>
      <c r="O1155" s="2" t="s">
        <v>115</v>
      </c>
      <c r="P1155" s="2" t="str">
        <f>"2170557865                    "</f>
        <v xml:space="preserve">2170557865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3.35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1</v>
      </c>
      <c r="BJ1155" s="2">
        <v>0.2</v>
      </c>
      <c r="BK1155" s="2">
        <v>1</v>
      </c>
      <c r="BL1155" s="2">
        <v>32.6</v>
      </c>
      <c r="BM1155" s="2">
        <v>4.5599999999999996</v>
      </c>
      <c r="BN1155" s="2">
        <v>37.159999999999997</v>
      </c>
      <c r="BO1155" s="2">
        <v>37.159999999999997</v>
      </c>
      <c r="BP1155" s="2"/>
      <c r="BQ1155" s="2"/>
      <c r="BR1155" s="2" t="s">
        <v>123</v>
      </c>
      <c r="BS1155" s="3">
        <v>42832</v>
      </c>
      <c r="BT1155" s="4">
        <v>0.4375</v>
      </c>
      <c r="BU1155" s="2" t="s">
        <v>679</v>
      </c>
      <c r="BV1155" s="2" t="s">
        <v>111</v>
      </c>
      <c r="BW1155" s="2"/>
      <c r="BX1155" s="2"/>
      <c r="BY1155" s="2">
        <v>1200</v>
      </c>
      <c r="BZ1155" s="2" t="s">
        <v>27</v>
      </c>
      <c r="CA1155" s="2"/>
      <c r="CB1155" s="2"/>
      <c r="CC1155" s="2" t="s">
        <v>261</v>
      </c>
      <c r="CD1155" s="2">
        <v>1450</v>
      </c>
      <c r="CE1155" s="2" t="s">
        <v>118</v>
      </c>
      <c r="CF1155" s="5">
        <v>42835</v>
      </c>
      <c r="CG1155" s="2"/>
      <c r="CH1155" s="2"/>
      <c r="CI1155" s="2">
        <v>1</v>
      </c>
      <c r="CJ1155" s="2">
        <v>1</v>
      </c>
      <c r="CK1155" s="2">
        <v>22</v>
      </c>
      <c r="CL1155" s="2" t="s">
        <v>86</v>
      </c>
      <c r="CM1155" s="2"/>
    </row>
    <row r="1156" spans="1:91">
      <c r="A1156" s="2" t="s">
        <v>71</v>
      </c>
      <c r="B1156" s="2" t="s">
        <v>72</v>
      </c>
      <c r="C1156" s="2" t="s">
        <v>73</v>
      </c>
      <c r="D1156" s="2"/>
      <c r="E1156" s="2" t="str">
        <f>"FES1162543401"</f>
        <v>FES1162543401</v>
      </c>
      <c r="F1156" s="3">
        <v>42837</v>
      </c>
      <c r="G1156" s="2">
        <v>201710</v>
      </c>
      <c r="H1156" s="2" t="s">
        <v>74</v>
      </c>
      <c r="I1156" s="2" t="s">
        <v>75</v>
      </c>
      <c r="J1156" s="2" t="s">
        <v>76</v>
      </c>
      <c r="K1156" s="2" t="s">
        <v>77</v>
      </c>
      <c r="L1156" s="2" t="s">
        <v>358</v>
      </c>
      <c r="M1156" s="2" t="s">
        <v>359</v>
      </c>
      <c r="N1156" s="2" t="s">
        <v>546</v>
      </c>
      <c r="O1156" s="2" t="s">
        <v>115</v>
      </c>
      <c r="P1156" s="2" t="str">
        <f>"2170561628                    "</f>
        <v xml:space="preserve">2170561628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7.5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3.5</v>
      </c>
      <c r="BJ1156" s="2">
        <v>3.4</v>
      </c>
      <c r="BK1156" s="2">
        <v>3.5</v>
      </c>
      <c r="BL1156" s="2">
        <v>73.02</v>
      </c>
      <c r="BM1156" s="2">
        <v>10.220000000000001</v>
      </c>
      <c r="BN1156" s="2">
        <v>83.24</v>
      </c>
      <c r="BO1156" s="2">
        <v>83.24</v>
      </c>
      <c r="BP1156" s="2"/>
      <c r="BQ1156" s="2" t="s">
        <v>547</v>
      </c>
      <c r="BR1156" s="2" t="s">
        <v>84</v>
      </c>
      <c r="BS1156" s="3">
        <v>42838</v>
      </c>
      <c r="BT1156" s="4">
        <v>0.33958333333333335</v>
      </c>
      <c r="BU1156" s="2" t="s">
        <v>548</v>
      </c>
      <c r="BV1156" s="2" t="s">
        <v>111</v>
      </c>
      <c r="BW1156" s="2"/>
      <c r="BX1156" s="2"/>
      <c r="BY1156" s="2">
        <v>16817.91</v>
      </c>
      <c r="BZ1156" s="2" t="s">
        <v>27</v>
      </c>
      <c r="CA1156" s="2" t="s">
        <v>159</v>
      </c>
      <c r="CB1156" s="2"/>
      <c r="CC1156" s="2" t="s">
        <v>359</v>
      </c>
      <c r="CD1156" s="2">
        <v>6230</v>
      </c>
      <c r="CE1156" s="2" t="s">
        <v>89</v>
      </c>
      <c r="CF1156" s="5">
        <v>42843</v>
      </c>
      <c r="CG1156" s="2"/>
      <c r="CH1156" s="2"/>
      <c r="CI1156" s="2">
        <v>1</v>
      </c>
      <c r="CJ1156" s="2">
        <v>1</v>
      </c>
      <c r="CK1156" s="2">
        <v>21</v>
      </c>
      <c r="CL1156" s="2" t="s">
        <v>86</v>
      </c>
      <c r="CM1156" s="2"/>
    </row>
    <row r="1157" spans="1:91">
      <c r="A1157" s="2" t="s">
        <v>71</v>
      </c>
      <c r="B1157" s="2" t="s">
        <v>72</v>
      </c>
      <c r="C1157" s="2" t="s">
        <v>73</v>
      </c>
      <c r="D1157" s="2"/>
      <c r="E1157" s="2" t="str">
        <f>"RFES1162541419"</f>
        <v>RFES1162541419</v>
      </c>
      <c r="F1157" s="3">
        <v>42832</v>
      </c>
      <c r="G1157" s="2">
        <v>201710</v>
      </c>
      <c r="H1157" s="2" t="s">
        <v>516</v>
      </c>
      <c r="I1157" s="2" t="s">
        <v>517</v>
      </c>
      <c r="J1157" s="2" t="s">
        <v>808</v>
      </c>
      <c r="K1157" s="2" t="s">
        <v>77</v>
      </c>
      <c r="L1157" s="2" t="s">
        <v>74</v>
      </c>
      <c r="M1157" s="2" t="s">
        <v>75</v>
      </c>
      <c r="N1157" s="2" t="s">
        <v>76</v>
      </c>
      <c r="O1157" s="2" t="s">
        <v>115</v>
      </c>
      <c r="P1157" s="2" t="str">
        <f>"2170560506                    "</f>
        <v xml:space="preserve">2170560506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3.35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1.4</v>
      </c>
      <c r="BJ1157" s="2">
        <v>0.2</v>
      </c>
      <c r="BK1157" s="2">
        <v>2</v>
      </c>
      <c r="BL1157" s="2">
        <v>32.6</v>
      </c>
      <c r="BM1157" s="2">
        <v>4.5599999999999996</v>
      </c>
      <c r="BN1157" s="2">
        <v>37.159999999999997</v>
      </c>
      <c r="BO1157" s="2">
        <v>37.159999999999997</v>
      </c>
      <c r="BP1157" s="2"/>
      <c r="BQ1157" s="2" t="s">
        <v>123</v>
      </c>
      <c r="BR1157" s="2" t="s">
        <v>809</v>
      </c>
      <c r="BS1157" s="3">
        <v>42835</v>
      </c>
      <c r="BT1157" s="4">
        <v>0.39166666666666666</v>
      </c>
      <c r="BU1157" s="2" t="s">
        <v>134</v>
      </c>
      <c r="BV1157" s="2" t="s">
        <v>111</v>
      </c>
      <c r="BW1157" s="2"/>
      <c r="BX1157" s="2"/>
      <c r="BY1157" s="2">
        <v>1200</v>
      </c>
      <c r="BZ1157" s="2" t="s">
        <v>27</v>
      </c>
      <c r="CA1157" s="2"/>
      <c r="CB1157" s="2"/>
      <c r="CC1157" s="2" t="s">
        <v>75</v>
      </c>
      <c r="CD1157" s="2">
        <v>1600</v>
      </c>
      <c r="CE1157" s="2" t="s">
        <v>118</v>
      </c>
      <c r="CF1157" s="5">
        <v>42836</v>
      </c>
      <c r="CG1157" s="2"/>
      <c r="CH1157" s="2"/>
      <c r="CI1157" s="2">
        <v>1</v>
      </c>
      <c r="CJ1157" s="2">
        <v>0</v>
      </c>
      <c r="CK1157" s="2">
        <v>22</v>
      </c>
      <c r="CL1157" s="2" t="s">
        <v>86</v>
      </c>
      <c r="CM1157" s="2"/>
    </row>
    <row r="1158" spans="1:91">
      <c r="A1158" s="2" t="s">
        <v>71</v>
      </c>
      <c r="B1158" s="2" t="s">
        <v>72</v>
      </c>
      <c r="C1158" s="2" t="s">
        <v>73</v>
      </c>
      <c r="D1158" s="2"/>
      <c r="E1158" s="2" t="str">
        <f>"FES1162542047"</f>
        <v>FES1162542047</v>
      </c>
      <c r="F1158" s="3">
        <v>42831</v>
      </c>
      <c r="G1158" s="2">
        <v>201710</v>
      </c>
      <c r="H1158" s="2" t="s">
        <v>74</v>
      </c>
      <c r="I1158" s="2" t="s">
        <v>75</v>
      </c>
      <c r="J1158" s="2" t="s">
        <v>76</v>
      </c>
      <c r="K1158" s="2" t="s">
        <v>77</v>
      </c>
      <c r="L1158" s="2" t="s">
        <v>322</v>
      </c>
      <c r="M1158" s="2" t="s">
        <v>323</v>
      </c>
      <c r="N1158" s="2" t="s">
        <v>1729</v>
      </c>
      <c r="O1158" s="2" t="s">
        <v>115</v>
      </c>
      <c r="P1158" s="2" t="str">
        <f>"2170560975                    "</f>
        <v xml:space="preserve">2170560975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3.35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3.8</v>
      </c>
      <c r="BJ1158" s="2">
        <v>1.6</v>
      </c>
      <c r="BK1158" s="2">
        <v>4</v>
      </c>
      <c r="BL1158" s="2">
        <v>32.6</v>
      </c>
      <c r="BM1158" s="2">
        <v>4.5599999999999996</v>
      </c>
      <c r="BN1158" s="2">
        <v>37.159999999999997</v>
      </c>
      <c r="BO1158" s="2">
        <v>37.159999999999997</v>
      </c>
      <c r="BP1158" s="2"/>
      <c r="BQ1158" s="2"/>
      <c r="BR1158" s="2" t="s">
        <v>123</v>
      </c>
      <c r="BS1158" s="3">
        <v>42836</v>
      </c>
      <c r="BT1158" s="4">
        <v>0.40972222222222227</v>
      </c>
      <c r="BU1158" s="2" t="s">
        <v>1730</v>
      </c>
      <c r="BV1158" s="2" t="s">
        <v>86</v>
      </c>
      <c r="BW1158" s="2" t="s">
        <v>96</v>
      </c>
      <c r="BX1158" s="2" t="s">
        <v>812</v>
      </c>
      <c r="BY1158" s="2">
        <v>8140.21</v>
      </c>
      <c r="BZ1158" s="2" t="s">
        <v>27</v>
      </c>
      <c r="CA1158" s="2"/>
      <c r="CB1158" s="2"/>
      <c r="CC1158" s="2" t="s">
        <v>323</v>
      </c>
      <c r="CD1158" s="2">
        <v>1685</v>
      </c>
      <c r="CE1158" s="2" t="s">
        <v>89</v>
      </c>
      <c r="CF1158" s="2"/>
      <c r="CG1158" s="2"/>
      <c r="CH1158" s="2"/>
      <c r="CI1158" s="2">
        <v>1</v>
      </c>
      <c r="CJ1158" s="2">
        <v>3</v>
      </c>
      <c r="CK1158" s="2">
        <v>22</v>
      </c>
      <c r="CL1158" s="2" t="s">
        <v>86</v>
      </c>
      <c r="CM1158" s="2"/>
    </row>
    <row r="1159" spans="1:91">
      <c r="A1159" s="2" t="s">
        <v>71</v>
      </c>
      <c r="B1159" s="2" t="s">
        <v>72</v>
      </c>
      <c r="C1159" s="2" t="s">
        <v>73</v>
      </c>
      <c r="D1159" s="2"/>
      <c r="E1159" s="2" t="str">
        <f>"FES1162540971"</f>
        <v>FES1162540971</v>
      </c>
      <c r="F1159" s="3">
        <v>42828</v>
      </c>
      <c r="G1159" s="2">
        <v>201710</v>
      </c>
      <c r="H1159" s="2" t="s">
        <v>74</v>
      </c>
      <c r="I1159" s="2" t="s">
        <v>75</v>
      </c>
      <c r="J1159" s="2" t="s">
        <v>76</v>
      </c>
      <c r="K1159" s="2" t="s">
        <v>77</v>
      </c>
      <c r="L1159" s="2" t="s">
        <v>99</v>
      </c>
      <c r="M1159" s="2" t="s">
        <v>100</v>
      </c>
      <c r="N1159" s="2" t="s">
        <v>151</v>
      </c>
      <c r="O1159" s="2" t="s">
        <v>115</v>
      </c>
      <c r="P1159" s="2" t="str">
        <f>"2170557858                    "</f>
        <v xml:space="preserve">2170557858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4.42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1</v>
      </c>
      <c r="BJ1159" s="2">
        <v>0.2</v>
      </c>
      <c r="BK1159" s="2">
        <v>1</v>
      </c>
      <c r="BL1159" s="2">
        <v>41.86</v>
      </c>
      <c r="BM1159" s="2">
        <v>5.86</v>
      </c>
      <c r="BN1159" s="2">
        <v>47.72</v>
      </c>
      <c r="BO1159" s="2">
        <v>47.72</v>
      </c>
      <c r="BP1159" s="2"/>
      <c r="BQ1159" s="2" t="s">
        <v>152</v>
      </c>
      <c r="BR1159" s="2" t="s">
        <v>123</v>
      </c>
      <c r="BS1159" s="3">
        <v>42829</v>
      </c>
      <c r="BT1159" s="4">
        <v>0.31319444444444444</v>
      </c>
      <c r="BU1159" s="2" t="s">
        <v>679</v>
      </c>
      <c r="BV1159" s="2" t="s">
        <v>111</v>
      </c>
      <c r="BW1159" s="2"/>
      <c r="BX1159" s="2"/>
      <c r="BY1159" s="2">
        <v>1200</v>
      </c>
      <c r="BZ1159" s="2" t="s">
        <v>27</v>
      </c>
      <c r="CA1159" s="2" t="s">
        <v>154</v>
      </c>
      <c r="CB1159" s="2"/>
      <c r="CC1159" s="2" t="s">
        <v>100</v>
      </c>
      <c r="CD1159" s="2">
        <v>6001</v>
      </c>
      <c r="CE1159" s="2" t="s">
        <v>144</v>
      </c>
      <c r="CF1159" s="5">
        <v>42829</v>
      </c>
      <c r="CG1159" s="2"/>
      <c r="CH1159" s="2"/>
      <c r="CI1159" s="2">
        <v>1</v>
      </c>
      <c r="CJ1159" s="2">
        <v>1</v>
      </c>
      <c r="CK1159" s="2">
        <v>21</v>
      </c>
      <c r="CL1159" s="2" t="s">
        <v>86</v>
      </c>
      <c r="CM1159" s="2"/>
    </row>
    <row r="1160" spans="1:91">
      <c r="A1160" s="2" t="s">
        <v>71</v>
      </c>
      <c r="B1160" s="2" t="s">
        <v>72</v>
      </c>
      <c r="C1160" s="2" t="s">
        <v>73</v>
      </c>
      <c r="D1160" s="2"/>
      <c r="E1160" s="2" t="str">
        <f>"RFES1162541349"</f>
        <v>RFES1162541349</v>
      </c>
      <c r="F1160" s="3">
        <v>42835</v>
      </c>
      <c r="G1160" s="2">
        <v>201710</v>
      </c>
      <c r="H1160" s="2" t="s">
        <v>921</v>
      </c>
      <c r="I1160" s="2" t="s">
        <v>922</v>
      </c>
      <c r="J1160" s="2" t="s">
        <v>1731</v>
      </c>
      <c r="K1160" s="2" t="s">
        <v>77</v>
      </c>
      <c r="L1160" s="2" t="s">
        <v>74</v>
      </c>
      <c r="M1160" s="2" t="s">
        <v>75</v>
      </c>
      <c r="N1160" s="2" t="s">
        <v>200</v>
      </c>
      <c r="O1160" s="2" t="s">
        <v>115</v>
      </c>
      <c r="P1160" s="2" t="str">
        <f>"2170557474;Auth:LOMBAARD      "</f>
        <v xml:space="preserve">2170557474;Auth:LOMBAARD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8.31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1</v>
      </c>
      <c r="BJ1160" s="2">
        <v>0.2</v>
      </c>
      <c r="BK1160" s="2">
        <v>1</v>
      </c>
      <c r="BL1160" s="2">
        <v>80.849999999999994</v>
      </c>
      <c r="BM1160" s="2">
        <v>11.32</v>
      </c>
      <c r="BN1160" s="2">
        <v>92.17</v>
      </c>
      <c r="BO1160" s="2">
        <v>92.17</v>
      </c>
      <c r="BP1160" s="2"/>
      <c r="BQ1160" s="2" t="s">
        <v>123</v>
      </c>
      <c r="BR1160" s="2"/>
      <c r="BS1160" s="3">
        <v>42836</v>
      </c>
      <c r="BT1160" s="4">
        <v>0.40625</v>
      </c>
      <c r="BU1160" s="2" t="s">
        <v>134</v>
      </c>
      <c r="BV1160" s="2" t="s">
        <v>111</v>
      </c>
      <c r="BW1160" s="2"/>
      <c r="BX1160" s="2"/>
      <c r="BY1160" s="2">
        <v>1200</v>
      </c>
      <c r="BZ1160" s="2" t="s">
        <v>27</v>
      </c>
      <c r="CA1160" s="2"/>
      <c r="CB1160" s="2"/>
      <c r="CC1160" s="2" t="s">
        <v>75</v>
      </c>
      <c r="CD1160" s="2">
        <v>1600</v>
      </c>
      <c r="CE1160" s="2" t="s">
        <v>89</v>
      </c>
      <c r="CF1160" s="5">
        <v>42837</v>
      </c>
      <c r="CG1160" s="2"/>
      <c r="CH1160" s="2"/>
      <c r="CI1160" s="2">
        <v>1</v>
      </c>
      <c r="CJ1160" s="2">
        <v>1</v>
      </c>
      <c r="CK1160" s="2">
        <v>23</v>
      </c>
      <c r="CL1160" s="2" t="s">
        <v>86</v>
      </c>
      <c r="CM1160" s="2"/>
    </row>
    <row r="1161" spans="1:91">
      <c r="A1161" s="2" t="s">
        <v>71</v>
      </c>
      <c r="B1161" s="2" t="s">
        <v>72</v>
      </c>
      <c r="C1161" s="2" t="s">
        <v>73</v>
      </c>
      <c r="D1161" s="2"/>
      <c r="E1161" s="2" t="str">
        <f>"FES1162542077"</f>
        <v>FES1162542077</v>
      </c>
      <c r="F1161" s="3">
        <v>42831</v>
      </c>
      <c r="G1161" s="2">
        <v>201710</v>
      </c>
      <c r="H1161" s="2" t="s">
        <v>74</v>
      </c>
      <c r="I1161" s="2" t="s">
        <v>75</v>
      </c>
      <c r="J1161" s="2" t="s">
        <v>76</v>
      </c>
      <c r="K1161" s="2" t="s">
        <v>77</v>
      </c>
      <c r="L1161" s="2" t="s">
        <v>516</v>
      </c>
      <c r="M1161" s="2" t="s">
        <v>517</v>
      </c>
      <c r="N1161" s="2" t="s">
        <v>969</v>
      </c>
      <c r="O1161" s="2" t="s">
        <v>115</v>
      </c>
      <c r="P1161" s="2" t="str">
        <f>"2170558052                    "</f>
        <v xml:space="preserve">2170558052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3.35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3.5</v>
      </c>
      <c r="BJ1161" s="2">
        <v>2</v>
      </c>
      <c r="BK1161" s="2">
        <v>4</v>
      </c>
      <c r="BL1161" s="2">
        <v>32.6</v>
      </c>
      <c r="BM1161" s="2">
        <v>4.5599999999999996</v>
      </c>
      <c r="BN1161" s="2">
        <v>37.159999999999997</v>
      </c>
      <c r="BO1161" s="2">
        <v>37.159999999999997</v>
      </c>
      <c r="BP1161" s="2"/>
      <c r="BQ1161" s="2" t="s">
        <v>970</v>
      </c>
      <c r="BR1161" s="2" t="s">
        <v>123</v>
      </c>
      <c r="BS1161" s="3">
        <v>42832</v>
      </c>
      <c r="BT1161" s="4">
        <v>0.33888888888888885</v>
      </c>
      <c r="BU1161" s="2" t="s">
        <v>1732</v>
      </c>
      <c r="BV1161" s="2" t="s">
        <v>111</v>
      </c>
      <c r="BW1161" s="2"/>
      <c r="BX1161" s="2"/>
      <c r="BY1161" s="2">
        <v>9918</v>
      </c>
      <c r="BZ1161" s="2" t="s">
        <v>27</v>
      </c>
      <c r="CA1161" s="2"/>
      <c r="CB1161" s="2"/>
      <c r="CC1161" s="2" t="s">
        <v>517</v>
      </c>
      <c r="CD1161" s="2">
        <v>1459</v>
      </c>
      <c r="CE1161" s="2" t="s">
        <v>89</v>
      </c>
      <c r="CF1161" s="5">
        <v>42835</v>
      </c>
      <c r="CG1161" s="2"/>
      <c r="CH1161" s="2"/>
      <c r="CI1161" s="2">
        <v>1</v>
      </c>
      <c r="CJ1161" s="2">
        <v>1</v>
      </c>
      <c r="CK1161" s="2">
        <v>22</v>
      </c>
      <c r="CL1161" s="2" t="s">
        <v>86</v>
      </c>
      <c r="CM1161" s="2"/>
    </row>
    <row r="1162" spans="1:91">
      <c r="A1162" s="2" t="s">
        <v>71</v>
      </c>
      <c r="B1162" s="2" t="s">
        <v>72</v>
      </c>
      <c r="C1162" s="2" t="s">
        <v>73</v>
      </c>
      <c r="D1162" s="2"/>
      <c r="E1162" s="2" t="str">
        <f>"FES1162541007"</f>
        <v>FES1162541007</v>
      </c>
      <c r="F1162" s="3">
        <v>42828</v>
      </c>
      <c r="G1162" s="2">
        <v>201710</v>
      </c>
      <c r="H1162" s="2" t="s">
        <v>74</v>
      </c>
      <c r="I1162" s="2" t="s">
        <v>75</v>
      </c>
      <c r="J1162" s="2" t="s">
        <v>76</v>
      </c>
      <c r="K1162" s="2" t="s">
        <v>77</v>
      </c>
      <c r="L1162" s="2" t="s">
        <v>187</v>
      </c>
      <c r="M1162" s="2" t="s">
        <v>146</v>
      </c>
      <c r="N1162" s="2" t="s">
        <v>1733</v>
      </c>
      <c r="O1162" s="2" t="s">
        <v>115</v>
      </c>
      <c r="P1162" s="2" t="str">
        <f>"2170556065                    "</f>
        <v xml:space="preserve">2170556065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4.42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</v>
      </c>
      <c r="BJ1162" s="2">
        <v>0.2</v>
      </c>
      <c r="BK1162" s="2">
        <v>1</v>
      </c>
      <c r="BL1162" s="2">
        <v>41.86</v>
      </c>
      <c r="BM1162" s="2">
        <v>5.86</v>
      </c>
      <c r="BN1162" s="2">
        <v>47.72</v>
      </c>
      <c r="BO1162" s="2">
        <v>47.72</v>
      </c>
      <c r="BP1162" s="2"/>
      <c r="BQ1162" s="2" t="s">
        <v>122</v>
      </c>
      <c r="BR1162" s="2" t="s">
        <v>123</v>
      </c>
      <c r="BS1162" s="3">
        <v>42829</v>
      </c>
      <c r="BT1162" s="4">
        <v>0.40625</v>
      </c>
      <c r="BU1162" s="2" t="s">
        <v>1416</v>
      </c>
      <c r="BV1162" s="2" t="s">
        <v>111</v>
      </c>
      <c r="BW1162" s="2"/>
      <c r="BX1162" s="2"/>
      <c r="BY1162" s="2">
        <v>1200</v>
      </c>
      <c r="BZ1162" s="2" t="s">
        <v>27</v>
      </c>
      <c r="CA1162" s="2"/>
      <c r="CB1162" s="2"/>
      <c r="CC1162" s="2" t="s">
        <v>146</v>
      </c>
      <c r="CD1162" s="2">
        <v>200</v>
      </c>
      <c r="CE1162" s="2" t="s">
        <v>144</v>
      </c>
      <c r="CF1162" s="5">
        <v>42832</v>
      </c>
      <c r="CG1162" s="2"/>
      <c r="CH1162" s="2"/>
      <c r="CI1162" s="2">
        <v>0</v>
      </c>
      <c r="CJ1162" s="2">
        <v>0</v>
      </c>
      <c r="CK1162" s="2">
        <v>21</v>
      </c>
      <c r="CL1162" s="2" t="s">
        <v>86</v>
      </c>
      <c r="CM1162" s="2"/>
    </row>
    <row r="1163" spans="1:91">
      <c r="A1163" s="2" t="s">
        <v>71</v>
      </c>
      <c r="B1163" s="2" t="s">
        <v>72</v>
      </c>
      <c r="C1163" s="2" t="s">
        <v>73</v>
      </c>
      <c r="D1163" s="2"/>
      <c r="E1163" s="2" t="str">
        <f>"FES1162542463"</f>
        <v>FES1162542463</v>
      </c>
      <c r="F1163" s="3">
        <v>42835</v>
      </c>
      <c r="G1163" s="2">
        <v>201710</v>
      </c>
      <c r="H1163" s="2" t="s">
        <v>74</v>
      </c>
      <c r="I1163" s="2" t="s">
        <v>75</v>
      </c>
      <c r="J1163" s="2" t="s">
        <v>76</v>
      </c>
      <c r="K1163" s="2" t="s">
        <v>77</v>
      </c>
      <c r="L1163" s="2" t="s">
        <v>131</v>
      </c>
      <c r="M1163" s="2" t="s">
        <v>132</v>
      </c>
      <c r="N1163" s="2" t="s">
        <v>1497</v>
      </c>
      <c r="O1163" s="2" t="s">
        <v>115</v>
      </c>
      <c r="P1163" s="2" t="str">
        <f>"2170561359                    "</f>
        <v xml:space="preserve">2170561359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4.29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1</v>
      </c>
      <c r="BJ1163" s="2">
        <v>0.2</v>
      </c>
      <c r="BK1163" s="2">
        <v>1</v>
      </c>
      <c r="BL1163" s="2">
        <v>41.73</v>
      </c>
      <c r="BM1163" s="2">
        <v>5.84</v>
      </c>
      <c r="BN1163" s="2">
        <v>47.57</v>
      </c>
      <c r="BO1163" s="2">
        <v>47.57</v>
      </c>
      <c r="BP1163" s="2"/>
      <c r="BQ1163" s="2" t="s">
        <v>1498</v>
      </c>
      <c r="BR1163" s="2" t="s">
        <v>123</v>
      </c>
      <c r="BS1163" s="3">
        <v>42836</v>
      </c>
      <c r="BT1163" s="4">
        <v>0.41666666666666669</v>
      </c>
      <c r="BU1163" s="2" t="s">
        <v>1546</v>
      </c>
      <c r="BV1163" s="2" t="s">
        <v>111</v>
      </c>
      <c r="BW1163" s="2"/>
      <c r="BX1163" s="2"/>
      <c r="BY1163" s="2">
        <v>1200</v>
      </c>
      <c r="BZ1163" s="2" t="s">
        <v>27</v>
      </c>
      <c r="CA1163" s="2"/>
      <c r="CB1163" s="2"/>
      <c r="CC1163" s="2" t="s">
        <v>132</v>
      </c>
      <c r="CD1163" s="2">
        <v>7441</v>
      </c>
      <c r="CE1163" s="2" t="s">
        <v>144</v>
      </c>
      <c r="CF1163" s="5">
        <v>42837</v>
      </c>
      <c r="CG1163" s="2"/>
      <c r="CH1163" s="2"/>
      <c r="CI1163" s="2">
        <v>1</v>
      </c>
      <c r="CJ1163" s="2">
        <v>1</v>
      </c>
      <c r="CK1163" s="2">
        <v>21</v>
      </c>
      <c r="CL1163" s="2" t="s">
        <v>86</v>
      </c>
      <c r="CM1163" s="2"/>
    </row>
    <row r="1164" spans="1:91">
      <c r="A1164" s="2" t="s">
        <v>71</v>
      </c>
      <c r="B1164" s="2" t="s">
        <v>72</v>
      </c>
      <c r="C1164" s="2" t="s">
        <v>73</v>
      </c>
      <c r="D1164" s="2"/>
      <c r="E1164" s="2" t="str">
        <f>"FES1162542076"</f>
        <v>FES1162542076</v>
      </c>
      <c r="F1164" s="3">
        <v>42831</v>
      </c>
      <c r="G1164" s="2">
        <v>201710</v>
      </c>
      <c r="H1164" s="2" t="s">
        <v>74</v>
      </c>
      <c r="I1164" s="2" t="s">
        <v>75</v>
      </c>
      <c r="J1164" s="2" t="s">
        <v>76</v>
      </c>
      <c r="K1164" s="2" t="s">
        <v>77</v>
      </c>
      <c r="L1164" s="2" t="s">
        <v>91</v>
      </c>
      <c r="M1164" s="2" t="s">
        <v>92</v>
      </c>
      <c r="N1164" s="2" t="s">
        <v>1734</v>
      </c>
      <c r="O1164" s="2" t="s">
        <v>115</v>
      </c>
      <c r="P1164" s="2" t="str">
        <f>"2170558003                    "</f>
        <v xml:space="preserve">2170558003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3.35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1</v>
      </c>
      <c r="BJ1164" s="2">
        <v>0.2</v>
      </c>
      <c r="BK1164" s="2">
        <v>1</v>
      </c>
      <c r="BL1164" s="2">
        <v>32.6</v>
      </c>
      <c r="BM1164" s="2">
        <v>4.5599999999999996</v>
      </c>
      <c r="BN1164" s="2">
        <v>37.159999999999997</v>
      </c>
      <c r="BO1164" s="2">
        <v>37.159999999999997</v>
      </c>
      <c r="BP1164" s="2"/>
      <c r="BQ1164" s="2" t="s">
        <v>1735</v>
      </c>
      <c r="BR1164" s="2" t="s">
        <v>123</v>
      </c>
      <c r="BS1164" s="3">
        <v>42832</v>
      </c>
      <c r="BT1164" s="4">
        <v>0.41666666666666669</v>
      </c>
      <c r="BU1164" s="2" t="s">
        <v>1736</v>
      </c>
      <c r="BV1164" s="2" t="s">
        <v>111</v>
      </c>
      <c r="BW1164" s="2"/>
      <c r="BX1164" s="2"/>
      <c r="BY1164" s="2">
        <v>1200</v>
      </c>
      <c r="BZ1164" s="2" t="s">
        <v>27</v>
      </c>
      <c r="CA1164" s="2"/>
      <c r="CB1164" s="2"/>
      <c r="CC1164" s="2" t="s">
        <v>92</v>
      </c>
      <c r="CD1164" s="2">
        <v>1422</v>
      </c>
      <c r="CE1164" s="2" t="s">
        <v>118</v>
      </c>
      <c r="CF1164" s="5">
        <v>42835</v>
      </c>
      <c r="CG1164" s="2"/>
      <c r="CH1164" s="2"/>
      <c r="CI1164" s="2">
        <v>1</v>
      </c>
      <c r="CJ1164" s="2">
        <v>1</v>
      </c>
      <c r="CK1164" s="2">
        <v>22</v>
      </c>
      <c r="CL1164" s="2" t="s">
        <v>86</v>
      </c>
      <c r="CM1164" s="2"/>
    </row>
    <row r="1165" spans="1:91">
      <c r="A1165" s="2" t="s">
        <v>71</v>
      </c>
      <c r="B1165" s="2" t="s">
        <v>72</v>
      </c>
      <c r="C1165" s="2" t="s">
        <v>73</v>
      </c>
      <c r="D1165" s="2"/>
      <c r="E1165" s="2" t="str">
        <f>"FES1162540950"</f>
        <v>FES1162540950</v>
      </c>
      <c r="F1165" s="3">
        <v>42828</v>
      </c>
      <c r="G1165" s="2">
        <v>201710</v>
      </c>
      <c r="H1165" s="2" t="s">
        <v>74</v>
      </c>
      <c r="I1165" s="2" t="s">
        <v>75</v>
      </c>
      <c r="J1165" s="2" t="s">
        <v>76</v>
      </c>
      <c r="K1165" s="2" t="s">
        <v>77</v>
      </c>
      <c r="L1165" s="2" t="s">
        <v>260</v>
      </c>
      <c r="M1165" s="2" t="s">
        <v>261</v>
      </c>
      <c r="N1165" s="2" t="s">
        <v>262</v>
      </c>
      <c r="O1165" s="2" t="s">
        <v>115</v>
      </c>
      <c r="P1165" s="2" t="str">
        <f>"2170560040                    "</f>
        <v xml:space="preserve">2170560040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3.45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1.6</v>
      </c>
      <c r="BJ1165" s="2">
        <v>0.2</v>
      </c>
      <c r="BK1165" s="2">
        <v>2</v>
      </c>
      <c r="BL1165" s="2">
        <v>32.700000000000003</v>
      </c>
      <c r="BM1165" s="2">
        <v>4.58</v>
      </c>
      <c r="BN1165" s="2">
        <v>37.28</v>
      </c>
      <c r="BO1165" s="2">
        <v>37.28</v>
      </c>
      <c r="BP1165" s="2"/>
      <c r="BQ1165" s="2" t="s">
        <v>638</v>
      </c>
      <c r="BR1165" s="2" t="s">
        <v>123</v>
      </c>
      <c r="BS1165" s="3">
        <v>42829</v>
      </c>
      <c r="BT1165" s="4">
        <v>0.3125</v>
      </c>
      <c r="BU1165" s="2" t="s">
        <v>1737</v>
      </c>
      <c r="BV1165" s="2" t="s">
        <v>111</v>
      </c>
      <c r="BW1165" s="2"/>
      <c r="BX1165" s="2"/>
      <c r="BY1165" s="2">
        <v>1200</v>
      </c>
      <c r="BZ1165" s="2" t="s">
        <v>27</v>
      </c>
      <c r="CA1165" s="2"/>
      <c r="CB1165" s="2"/>
      <c r="CC1165" s="2" t="s">
        <v>261</v>
      </c>
      <c r="CD1165" s="2">
        <v>1451</v>
      </c>
      <c r="CE1165" s="2" t="s">
        <v>118</v>
      </c>
      <c r="CF1165" s="5">
        <v>42831</v>
      </c>
      <c r="CG1165" s="2"/>
      <c r="CH1165" s="2"/>
      <c r="CI1165" s="2">
        <v>1</v>
      </c>
      <c r="CJ1165" s="2">
        <v>1</v>
      </c>
      <c r="CK1165" s="2">
        <v>22</v>
      </c>
      <c r="CL1165" s="2" t="s">
        <v>86</v>
      </c>
      <c r="CM1165" s="2"/>
    </row>
    <row r="1166" spans="1:91">
      <c r="A1166" s="2" t="s">
        <v>71</v>
      </c>
      <c r="B1166" s="2" t="s">
        <v>72</v>
      </c>
      <c r="C1166" s="2" t="s">
        <v>73</v>
      </c>
      <c r="D1166" s="2"/>
      <c r="E1166" s="2" t="str">
        <f>"FES1162542086"</f>
        <v>FES1162542086</v>
      </c>
      <c r="F1166" s="3">
        <v>42831</v>
      </c>
      <c r="G1166" s="2">
        <v>201710</v>
      </c>
      <c r="H1166" s="2" t="s">
        <v>74</v>
      </c>
      <c r="I1166" s="2" t="s">
        <v>75</v>
      </c>
      <c r="J1166" s="2" t="s">
        <v>76</v>
      </c>
      <c r="K1166" s="2" t="s">
        <v>77</v>
      </c>
      <c r="L1166" s="2" t="s">
        <v>74</v>
      </c>
      <c r="M1166" s="2" t="s">
        <v>75</v>
      </c>
      <c r="N1166" s="2" t="s">
        <v>1157</v>
      </c>
      <c r="O1166" s="2" t="s">
        <v>115</v>
      </c>
      <c r="P1166" s="2" t="str">
        <f>"2170558560                    "</f>
        <v xml:space="preserve">2170558560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3.35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1.6</v>
      </c>
      <c r="BJ1166" s="2">
        <v>1.6</v>
      </c>
      <c r="BK1166" s="2">
        <v>2</v>
      </c>
      <c r="BL1166" s="2">
        <v>32.6</v>
      </c>
      <c r="BM1166" s="2">
        <v>4.5599999999999996</v>
      </c>
      <c r="BN1166" s="2">
        <v>37.159999999999997</v>
      </c>
      <c r="BO1166" s="2">
        <v>37.159999999999997</v>
      </c>
      <c r="BP1166" s="2"/>
      <c r="BQ1166" s="2" t="s">
        <v>1158</v>
      </c>
      <c r="BR1166" s="2" t="s">
        <v>123</v>
      </c>
      <c r="BS1166" s="3">
        <v>42832</v>
      </c>
      <c r="BT1166" s="4">
        <v>0.34722222222222227</v>
      </c>
      <c r="BU1166" s="2" t="s">
        <v>1167</v>
      </c>
      <c r="BV1166" s="2" t="s">
        <v>111</v>
      </c>
      <c r="BW1166" s="2"/>
      <c r="BX1166" s="2"/>
      <c r="BY1166" s="2">
        <v>8073</v>
      </c>
      <c r="BZ1166" s="2" t="s">
        <v>27</v>
      </c>
      <c r="CA1166" s="2"/>
      <c r="CB1166" s="2"/>
      <c r="CC1166" s="2" t="s">
        <v>75</v>
      </c>
      <c r="CD1166" s="2">
        <v>1666</v>
      </c>
      <c r="CE1166" s="2" t="s">
        <v>118</v>
      </c>
      <c r="CF1166" s="5">
        <v>42835</v>
      </c>
      <c r="CG1166" s="2"/>
      <c r="CH1166" s="2"/>
      <c r="CI1166" s="2">
        <v>1</v>
      </c>
      <c r="CJ1166" s="2">
        <v>1</v>
      </c>
      <c r="CK1166" s="2">
        <v>22</v>
      </c>
      <c r="CL1166" s="2" t="s">
        <v>86</v>
      </c>
      <c r="CM1166" s="2"/>
    </row>
    <row r="1167" spans="1:91">
      <c r="A1167" s="2" t="s">
        <v>71</v>
      </c>
      <c r="B1167" s="2" t="s">
        <v>72</v>
      </c>
      <c r="C1167" s="2" t="s">
        <v>73</v>
      </c>
      <c r="D1167" s="2"/>
      <c r="E1167" s="2" t="str">
        <f>"FES1162543229"</f>
        <v>FES1162543229</v>
      </c>
      <c r="F1167" s="3">
        <v>42837</v>
      </c>
      <c r="G1167" s="2">
        <v>201710</v>
      </c>
      <c r="H1167" s="2" t="s">
        <v>74</v>
      </c>
      <c r="I1167" s="2" t="s">
        <v>75</v>
      </c>
      <c r="J1167" s="2" t="s">
        <v>76</v>
      </c>
      <c r="K1167" s="2" t="s">
        <v>77</v>
      </c>
      <c r="L1167" s="2" t="s">
        <v>358</v>
      </c>
      <c r="M1167" s="2" t="s">
        <v>359</v>
      </c>
      <c r="N1167" s="2" t="s">
        <v>360</v>
      </c>
      <c r="O1167" s="2" t="s">
        <v>115</v>
      </c>
      <c r="P1167" s="2" t="str">
        <f>"2170557884                    "</f>
        <v xml:space="preserve">2170557884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4.29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2</v>
      </c>
      <c r="BJ1167" s="2">
        <v>0.9</v>
      </c>
      <c r="BK1167" s="2">
        <v>2</v>
      </c>
      <c r="BL1167" s="2">
        <v>41.73</v>
      </c>
      <c r="BM1167" s="2">
        <v>5.84</v>
      </c>
      <c r="BN1167" s="2">
        <v>47.57</v>
      </c>
      <c r="BO1167" s="2">
        <v>47.57</v>
      </c>
      <c r="BP1167" s="2"/>
      <c r="BQ1167" s="2" t="s">
        <v>361</v>
      </c>
      <c r="BR1167" s="2" t="s">
        <v>84</v>
      </c>
      <c r="BS1167" s="3">
        <v>42838</v>
      </c>
      <c r="BT1167" s="4">
        <v>0.33333333333333331</v>
      </c>
      <c r="BU1167" s="2" t="s">
        <v>362</v>
      </c>
      <c r="BV1167" s="2" t="s">
        <v>111</v>
      </c>
      <c r="BW1167" s="2"/>
      <c r="BX1167" s="2"/>
      <c r="BY1167" s="2">
        <v>4500</v>
      </c>
      <c r="BZ1167" s="2" t="s">
        <v>27</v>
      </c>
      <c r="CA1167" s="2" t="s">
        <v>159</v>
      </c>
      <c r="CB1167" s="2"/>
      <c r="CC1167" s="2" t="s">
        <v>359</v>
      </c>
      <c r="CD1167" s="2">
        <v>6229</v>
      </c>
      <c r="CE1167" s="2" t="s">
        <v>89</v>
      </c>
      <c r="CF1167" s="5">
        <v>42843</v>
      </c>
      <c r="CG1167" s="2"/>
      <c r="CH1167" s="2"/>
      <c r="CI1167" s="2">
        <v>1</v>
      </c>
      <c r="CJ1167" s="2">
        <v>1</v>
      </c>
      <c r="CK1167" s="2">
        <v>21</v>
      </c>
      <c r="CL1167" s="2" t="s">
        <v>86</v>
      </c>
      <c r="CM1167" s="2"/>
    </row>
    <row r="1168" spans="1:91">
      <c r="A1168" s="2" t="s">
        <v>71</v>
      </c>
      <c r="B1168" s="2" t="s">
        <v>72</v>
      </c>
      <c r="C1168" s="2" t="s">
        <v>73</v>
      </c>
      <c r="D1168" s="2"/>
      <c r="E1168" s="2" t="str">
        <f>"FES1162542609"</f>
        <v>FES1162542609</v>
      </c>
      <c r="F1168" s="3">
        <v>42835</v>
      </c>
      <c r="G1168" s="2">
        <v>201710</v>
      </c>
      <c r="H1168" s="2" t="s">
        <v>74</v>
      </c>
      <c r="I1168" s="2" t="s">
        <v>75</v>
      </c>
      <c r="J1168" s="2" t="s">
        <v>76</v>
      </c>
      <c r="K1168" s="2" t="s">
        <v>77</v>
      </c>
      <c r="L1168" s="2" t="s">
        <v>474</v>
      </c>
      <c r="M1168" s="2" t="s">
        <v>475</v>
      </c>
      <c r="N1168" s="2" t="s">
        <v>1001</v>
      </c>
      <c r="O1168" s="2" t="s">
        <v>115</v>
      </c>
      <c r="P1168" s="2" t="str">
        <f>"2170561468                    "</f>
        <v xml:space="preserve">2170561468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4.29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1</v>
      </c>
      <c r="BJ1168" s="2">
        <v>0.2</v>
      </c>
      <c r="BK1168" s="2">
        <v>1</v>
      </c>
      <c r="BL1168" s="2">
        <v>41.73</v>
      </c>
      <c r="BM1168" s="2">
        <v>5.84</v>
      </c>
      <c r="BN1168" s="2">
        <v>47.57</v>
      </c>
      <c r="BO1168" s="2">
        <v>47.57</v>
      </c>
      <c r="BP1168" s="2"/>
      <c r="BQ1168" s="2" t="s">
        <v>472</v>
      </c>
      <c r="BR1168" s="2" t="s">
        <v>123</v>
      </c>
      <c r="BS1168" s="3">
        <v>42836</v>
      </c>
      <c r="BT1168" s="4">
        <v>0.47361111111111115</v>
      </c>
      <c r="BU1168" s="2" t="s">
        <v>1738</v>
      </c>
      <c r="BV1168" s="2" t="s">
        <v>111</v>
      </c>
      <c r="BW1168" s="2"/>
      <c r="BX1168" s="2"/>
      <c r="BY1168" s="2">
        <v>1200</v>
      </c>
      <c r="BZ1168" s="2" t="s">
        <v>27</v>
      </c>
      <c r="CA1168" s="2"/>
      <c r="CB1168" s="2"/>
      <c r="CC1168" s="2" t="s">
        <v>475</v>
      </c>
      <c r="CD1168" s="2">
        <v>3290</v>
      </c>
      <c r="CE1168" s="2" t="s">
        <v>144</v>
      </c>
      <c r="CF1168" s="5">
        <v>42837</v>
      </c>
      <c r="CG1168" s="2"/>
      <c r="CH1168" s="2"/>
      <c r="CI1168" s="2">
        <v>1</v>
      </c>
      <c r="CJ1168" s="2">
        <v>1</v>
      </c>
      <c r="CK1168" s="2">
        <v>21</v>
      </c>
      <c r="CL1168" s="2" t="s">
        <v>86</v>
      </c>
      <c r="CM1168" s="2"/>
    </row>
    <row r="1169" spans="1:91">
      <c r="A1169" s="2" t="s">
        <v>71</v>
      </c>
      <c r="B1169" s="2" t="s">
        <v>72</v>
      </c>
      <c r="C1169" s="2" t="s">
        <v>73</v>
      </c>
      <c r="D1169" s="2"/>
      <c r="E1169" s="2" t="str">
        <f>"FES1162542160"</f>
        <v>FES1162542160</v>
      </c>
      <c r="F1169" s="3">
        <v>42831</v>
      </c>
      <c r="G1169" s="2">
        <v>201710</v>
      </c>
      <c r="H1169" s="2" t="s">
        <v>74</v>
      </c>
      <c r="I1169" s="2" t="s">
        <v>75</v>
      </c>
      <c r="J1169" s="2" t="s">
        <v>76</v>
      </c>
      <c r="K1169" s="2" t="s">
        <v>77</v>
      </c>
      <c r="L1169" s="2" t="s">
        <v>99</v>
      </c>
      <c r="M1169" s="2" t="s">
        <v>100</v>
      </c>
      <c r="N1169" s="2" t="s">
        <v>151</v>
      </c>
      <c r="O1169" s="2" t="s">
        <v>115</v>
      </c>
      <c r="P1169" s="2" t="str">
        <f>"2170561057                    "</f>
        <v xml:space="preserve">2170561057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4.29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41.73</v>
      </c>
      <c r="BM1169" s="2">
        <v>5.84</v>
      </c>
      <c r="BN1169" s="2">
        <v>47.57</v>
      </c>
      <c r="BO1169" s="2">
        <v>47.57</v>
      </c>
      <c r="BP1169" s="2"/>
      <c r="BQ1169" s="2" t="s">
        <v>152</v>
      </c>
      <c r="BR1169" s="2" t="s">
        <v>123</v>
      </c>
      <c r="BS1169" s="3">
        <v>42835</v>
      </c>
      <c r="BT1169" s="4">
        <v>0.3979166666666667</v>
      </c>
      <c r="BU1169" s="2" t="s">
        <v>153</v>
      </c>
      <c r="BV1169" s="2" t="s">
        <v>86</v>
      </c>
      <c r="BW1169" s="2" t="s">
        <v>164</v>
      </c>
      <c r="BX1169" s="2" t="s">
        <v>1140</v>
      </c>
      <c r="BY1169" s="2">
        <v>1200</v>
      </c>
      <c r="BZ1169" s="2" t="s">
        <v>27</v>
      </c>
      <c r="CA1169" s="2" t="s">
        <v>154</v>
      </c>
      <c r="CB1169" s="2"/>
      <c r="CC1169" s="2" t="s">
        <v>100</v>
      </c>
      <c r="CD1169" s="2">
        <v>6001</v>
      </c>
      <c r="CE1169" s="2" t="s">
        <v>118</v>
      </c>
      <c r="CF1169" s="5">
        <v>42835</v>
      </c>
      <c r="CG1169" s="2"/>
      <c r="CH1169" s="2"/>
      <c r="CI1169" s="2">
        <v>1</v>
      </c>
      <c r="CJ1169" s="2">
        <v>2</v>
      </c>
      <c r="CK1169" s="2">
        <v>21</v>
      </c>
      <c r="CL1169" s="2" t="s">
        <v>86</v>
      </c>
      <c r="CM1169" s="2"/>
    </row>
    <row r="1170" spans="1:91">
      <c r="A1170" s="2" t="s">
        <v>71</v>
      </c>
      <c r="B1170" s="2" t="s">
        <v>72</v>
      </c>
      <c r="C1170" s="2" t="s">
        <v>73</v>
      </c>
      <c r="D1170" s="2"/>
      <c r="E1170" s="2" t="str">
        <f>"FES1162540973"</f>
        <v>FES1162540973</v>
      </c>
      <c r="F1170" s="3">
        <v>42828</v>
      </c>
      <c r="G1170" s="2">
        <v>201710</v>
      </c>
      <c r="H1170" s="2" t="s">
        <v>74</v>
      </c>
      <c r="I1170" s="2" t="s">
        <v>75</v>
      </c>
      <c r="J1170" s="2" t="s">
        <v>76</v>
      </c>
      <c r="K1170" s="2" t="s">
        <v>77</v>
      </c>
      <c r="L1170" s="2" t="s">
        <v>74</v>
      </c>
      <c r="M1170" s="2" t="s">
        <v>75</v>
      </c>
      <c r="N1170" s="2" t="s">
        <v>436</v>
      </c>
      <c r="O1170" s="2" t="s">
        <v>115</v>
      </c>
      <c r="P1170" s="2" t="str">
        <f>"21705560053                   "</f>
        <v xml:space="preserve">21705560053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3.45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1.6</v>
      </c>
      <c r="BJ1170" s="2">
        <v>0.2</v>
      </c>
      <c r="BK1170" s="2">
        <v>2</v>
      </c>
      <c r="BL1170" s="2">
        <v>32.700000000000003</v>
      </c>
      <c r="BM1170" s="2">
        <v>4.58</v>
      </c>
      <c r="BN1170" s="2">
        <v>37.28</v>
      </c>
      <c r="BO1170" s="2">
        <v>37.28</v>
      </c>
      <c r="BP1170" s="2"/>
      <c r="BQ1170" s="2" t="s">
        <v>437</v>
      </c>
      <c r="BR1170" s="2" t="s">
        <v>123</v>
      </c>
      <c r="BS1170" s="3">
        <v>42829</v>
      </c>
      <c r="BT1170" s="4">
        <v>0.34375</v>
      </c>
      <c r="BU1170" s="2" t="s">
        <v>438</v>
      </c>
      <c r="BV1170" s="2" t="s">
        <v>111</v>
      </c>
      <c r="BW1170" s="2"/>
      <c r="BX1170" s="2"/>
      <c r="BY1170" s="2">
        <v>1200</v>
      </c>
      <c r="BZ1170" s="2" t="s">
        <v>27</v>
      </c>
      <c r="CA1170" s="2"/>
      <c r="CB1170" s="2"/>
      <c r="CC1170" s="2" t="s">
        <v>75</v>
      </c>
      <c r="CD1170" s="2">
        <v>1600</v>
      </c>
      <c r="CE1170" s="2" t="s">
        <v>118</v>
      </c>
      <c r="CF1170" s="5">
        <v>42831</v>
      </c>
      <c r="CG1170" s="2"/>
      <c r="CH1170" s="2"/>
      <c r="CI1170" s="2">
        <v>1</v>
      </c>
      <c r="CJ1170" s="2">
        <v>1</v>
      </c>
      <c r="CK1170" s="2">
        <v>22</v>
      </c>
      <c r="CL1170" s="2" t="s">
        <v>86</v>
      </c>
      <c r="CM1170" s="2"/>
    </row>
    <row r="1171" spans="1:91">
      <c r="A1171" s="2" t="s">
        <v>71</v>
      </c>
      <c r="B1171" s="2" t="s">
        <v>72</v>
      </c>
      <c r="C1171" s="2" t="s">
        <v>73</v>
      </c>
      <c r="D1171" s="2"/>
      <c r="E1171" s="2" t="str">
        <f>"080001605985"</f>
        <v>080001605985</v>
      </c>
      <c r="F1171" s="3">
        <v>42836</v>
      </c>
      <c r="G1171" s="2">
        <v>201710</v>
      </c>
      <c r="H1171" s="2" t="s">
        <v>131</v>
      </c>
      <c r="I1171" s="2" t="s">
        <v>132</v>
      </c>
      <c r="J1171" s="2" t="s">
        <v>280</v>
      </c>
      <c r="K1171" s="2" t="s">
        <v>77</v>
      </c>
      <c r="L1171" s="2" t="s">
        <v>74</v>
      </c>
      <c r="M1171" s="2" t="s">
        <v>75</v>
      </c>
      <c r="N1171" s="2" t="s">
        <v>200</v>
      </c>
      <c r="O1171" s="2" t="s">
        <v>115</v>
      </c>
      <c r="P1171" s="2" t="str">
        <f>"ZA1000634485                  "</f>
        <v xml:space="preserve">ZA1000634485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4.29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1</v>
      </c>
      <c r="BJ1171" s="2">
        <v>0.2</v>
      </c>
      <c r="BK1171" s="2">
        <v>1</v>
      </c>
      <c r="BL1171" s="2">
        <v>41.73</v>
      </c>
      <c r="BM1171" s="2">
        <v>5.84</v>
      </c>
      <c r="BN1171" s="2">
        <v>47.57</v>
      </c>
      <c r="BO1171" s="2">
        <v>47.57</v>
      </c>
      <c r="BP1171" s="2" t="s">
        <v>247</v>
      </c>
      <c r="BQ1171" s="2" t="s">
        <v>134</v>
      </c>
      <c r="BR1171" s="2" t="s">
        <v>1739</v>
      </c>
      <c r="BS1171" s="3">
        <v>42837</v>
      </c>
      <c r="BT1171" s="4">
        <v>0.37638888888888888</v>
      </c>
      <c r="BU1171" s="2" t="s">
        <v>134</v>
      </c>
      <c r="BV1171" s="2" t="s">
        <v>111</v>
      </c>
      <c r="BW1171" s="2"/>
      <c r="BX1171" s="2"/>
      <c r="BY1171" s="2">
        <v>1200</v>
      </c>
      <c r="BZ1171" s="2" t="s">
        <v>27</v>
      </c>
      <c r="CA1171" s="2"/>
      <c r="CB1171" s="2"/>
      <c r="CC1171" s="2" t="s">
        <v>75</v>
      </c>
      <c r="CD1171" s="2">
        <v>1601</v>
      </c>
      <c r="CE1171" s="2" t="s">
        <v>89</v>
      </c>
      <c r="CF1171" s="5">
        <v>42838</v>
      </c>
      <c r="CG1171" s="2"/>
      <c r="CH1171" s="2"/>
      <c r="CI1171" s="2">
        <v>1</v>
      </c>
      <c r="CJ1171" s="2">
        <v>1</v>
      </c>
      <c r="CK1171" s="2">
        <v>21</v>
      </c>
      <c r="CL1171" s="2" t="s">
        <v>86</v>
      </c>
      <c r="CM1171" s="2"/>
    </row>
    <row r="1172" spans="1:91">
      <c r="A1172" s="2" t="s">
        <v>71</v>
      </c>
      <c r="B1172" s="2" t="s">
        <v>72</v>
      </c>
      <c r="C1172" s="2" t="s">
        <v>73</v>
      </c>
      <c r="D1172" s="2"/>
      <c r="E1172" s="2" t="str">
        <f>"FES1162541901"</f>
        <v>FES1162541901</v>
      </c>
      <c r="F1172" s="3">
        <v>42831</v>
      </c>
      <c r="G1172" s="2">
        <v>201710</v>
      </c>
      <c r="H1172" s="2" t="s">
        <v>74</v>
      </c>
      <c r="I1172" s="2" t="s">
        <v>75</v>
      </c>
      <c r="J1172" s="2" t="s">
        <v>76</v>
      </c>
      <c r="K1172" s="2" t="s">
        <v>77</v>
      </c>
      <c r="L1172" s="2" t="s">
        <v>166</v>
      </c>
      <c r="M1172" s="2" t="s">
        <v>167</v>
      </c>
      <c r="N1172" s="2" t="s">
        <v>365</v>
      </c>
      <c r="O1172" s="2" t="s">
        <v>115</v>
      </c>
      <c r="P1172" s="2" t="str">
        <f>"2170558683                    "</f>
        <v xml:space="preserve">2170558683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3.35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1</v>
      </c>
      <c r="BJ1172" s="2">
        <v>1.3</v>
      </c>
      <c r="BK1172" s="2">
        <v>2</v>
      </c>
      <c r="BL1172" s="2">
        <v>32.6</v>
      </c>
      <c r="BM1172" s="2">
        <v>4.5599999999999996</v>
      </c>
      <c r="BN1172" s="2">
        <v>37.159999999999997</v>
      </c>
      <c r="BO1172" s="2">
        <v>37.159999999999997</v>
      </c>
      <c r="BP1172" s="2"/>
      <c r="BQ1172" s="2"/>
      <c r="BR1172" s="2" t="s">
        <v>123</v>
      </c>
      <c r="BS1172" s="3">
        <v>42853</v>
      </c>
      <c r="BT1172" s="4">
        <v>0.41666666666666669</v>
      </c>
      <c r="BU1172" s="2" t="s">
        <v>796</v>
      </c>
      <c r="BV1172" s="2" t="s">
        <v>86</v>
      </c>
      <c r="BW1172" s="2" t="s">
        <v>164</v>
      </c>
      <c r="BX1172" s="2" t="s">
        <v>309</v>
      </c>
      <c r="BY1172" s="2">
        <v>6313.68</v>
      </c>
      <c r="BZ1172" s="2"/>
      <c r="CA1172" s="2"/>
      <c r="CB1172" s="2"/>
      <c r="CC1172" s="2" t="s">
        <v>167</v>
      </c>
      <c r="CD1172" s="2">
        <v>2196</v>
      </c>
      <c r="CE1172" s="2" t="s">
        <v>118</v>
      </c>
      <c r="CF1172" s="2"/>
      <c r="CG1172" s="2"/>
      <c r="CH1172" s="2"/>
      <c r="CI1172" s="2">
        <v>1</v>
      </c>
      <c r="CJ1172" s="2">
        <v>16</v>
      </c>
      <c r="CK1172" s="2">
        <v>22</v>
      </c>
      <c r="CL1172" s="2" t="s">
        <v>86</v>
      </c>
      <c r="CM1172" s="2"/>
    </row>
    <row r="1173" spans="1:91">
      <c r="A1173" s="2" t="s">
        <v>71</v>
      </c>
      <c r="B1173" s="2" t="s">
        <v>72</v>
      </c>
      <c r="C1173" s="2" t="s">
        <v>73</v>
      </c>
      <c r="D1173" s="2"/>
      <c r="E1173" s="2" t="str">
        <f>"FES1162542544"</f>
        <v>FES1162542544</v>
      </c>
      <c r="F1173" s="3">
        <v>42835</v>
      </c>
      <c r="G1173" s="2">
        <v>201710</v>
      </c>
      <c r="H1173" s="2" t="s">
        <v>74</v>
      </c>
      <c r="I1173" s="2" t="s">
        <v>75</v>
      </c>
      <c r="J1173" s="2" t="s">
        <v>76</v>
      </c>
      <c r="K1173" s="2" t="s">
        <v>77</v>
      </c>
      <c r="L1173" s="2" t="s">
        <v>180</v>
      </c>
      <c r="M1173" s="2" t="s">
        <v>181</v>
      </c>
      <c r="N1173" s="2" t="s">
        <v>1247</v>
      </c>
      <c r="O1173" s="2" t="s">
        <v>115</v>
      </c>
      <c r="P1173" s="2" t="str">
        <f>"2170561404                    "</f>
        <v xml:space="preserve">2170561404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4.29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1</v>
      </c>
      <c r="BJ1173" s="2">
        <v>0.2</v>
      </c>
      <c r="BK1173" s="2">
        <v>1</v>
      </c>
      <c r="BL1173" s="2">
        <v>41.73</v>
      </c>
      <c r="BM1173" s="2">
        <v>5.84</v>
      </c>
      <c r="BN1173" s="2">
        <v>47.57</v>
      </c>
      <c r="BO1173" s="2">
        <v>47.57</v>
      </c>
      <c r="BP1173" s="2"/>
      <c r="BQ1173" s="2" t="s">
        <v>129</v>
      </c>
      <c r="BR1173" s="2" t="s">
        <v>123</v>
      </c>
      <c r="BS1173" s="3">
        <v>42836</v>
      </c>
      <c r="BT1173" s="4">
        <v>0.4375</v>
      </c>
      <c r="BU1173" s="2" t="s">
        <v>1740</v>
      </c>
      <c r="BV1173" s="2" t="s">
        <v>111</v>
      </c>
      <c r="BW1173" s="2"/>
      <c r="BX1173" s="2"/>
      <c r="BY1173" s="2">
        <v>1200</v>
      </c>
      <c r="BZ1173" s="2" t="s">
        <v>27</v>
      </c>
      <c r="CA1173" s="2"/>
      <c r="CB1173" s="2"/>
      <c r="CC1173" s="2" t="s">
        <v>181</v>
      </c>
      <c r="CD1173" s="2">
        <v>4001</v>
      </c>
      <c r="CE1173" s="2" t="s">
        <v>144</v>
      </c>
      <c r="CF1173" s="5">
        <v>42837</v>
      </c>
      <c r="CG1173" s="2"/>
      <c r="CH1173" s="2"/>
      <c r="CI1173" s="2">
        <v>1</v>
      </c>
      <c r="CJ1173" s="2">
        <v>1</v>
      </c>
      <c r="CK1173" s="2">
        <v>21</v>
      </c>
      <c r="CL1173" s="2" t="s">
        <v>86</v>
      </c>
      <c r="CM1173" s="2"/>
    </row>
    <row r="1174" spans="1:91">
      <c r="A1174" s="2" t="s">
        <v>71</v>
      </c>
      <c r="B1174" s="2" t="s">
        <v>72</v>
      </c>
      <c r="C1174" s="2" t="s">
        <v>73</v>
      </c>
      <c r="D1174" s="2"/>
      <c r="E1174" s="2" t="str">
        <f>"FES1162541944"</f>
        <v>FES1162541944</v>
      </c>
      <c r="F1174" s="3">
        <v>42831</v>
      </c>
      <c r="G1174" s="2">
        <v>201710</v>
      </c>
      <c r="H1174" s="2" t="s">
        <v>74</v>
      </c>
      <c r="I1174" s="2" t="s">
        <v>75</v>
      </c>
      <c r="J1174" s="2" t="s">
        <v>76</v>
      </c>
      <c r="K1174" s="2" t="s">
        <v>77</v>
      </c>
      <c r="L1174" s="2" t="s">
        <v>187</v>
      </c>
      <c r="M1174" s="2" t="s">
        <v>146</v>
      </c>
      <c r="N1174" s="2" t="s">
        <v>1741</v>
      </c>
      <c r="O1174" s="2" t="s">
        <v>115</v>
      </c>
      <c r="P1174" s="2" t="str">
        <f>"2170560934                    "</f>
        <v xml:space="preserve">2170560934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4.29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1</v>
      </c>
      <c r="BJ1174" s="2">
        <v>0.2</v>
      </c>
      <c r="BK1174" s="2">
        <v>1</v>
      </c>
      <c r="BL1174" s="2">
        <v>41.73</v>
      </c>
      <c r="BM1174" s="2">
        <v>5.84</v>
      </c>
      <c r="BN1174" s="2">
        <v>47.57</v>
      </c>
      <c r="BO1174" s="2">
        <v>47.57</v>
      </c>
      <c r="BP1174" s="2"/>
      <c r="BQ1174" s="2" t="s">
        <v>1742</v>
      </c>
      <c r="BR1174" s="2" t="s">
        <v>123</v>
      </c>
      <c r="BS1174" s="3">
        <v>42832</v>
      </c>
      <c r="BT1174" s="4">
        <v>0.42708333333333331</v>
      </c>
      <c r="BU1174" s="2" t="s">
        <v>1743</v>
      </c>
      <c r="BV1174" s="2" t="s">
        <v>111</v>
      </c>
      <c r="BW1174" s="2"/>
      <c r="BX1174" s="2"/>
      <c r="BY1174" s="2">
        <v>1200</v>
      </c>
      <c r="BZ1174" s="2" t="s">
        <v>27</v>
      </c>
      <c r="CA1174" s="2"/>
      <c r="CB1174" s="2"/>
      <c r="CC1174" s="2" t="s">
        <v>146</v>
      </c>
      <c r="CD1174" s="2">
        <v>140</v>
      </c>
      <c r="CE1174" s="2" t="s">
        <v>118</v>
      </c>
      <c r="CF1174" s="5">
        <v>42837</v>
      </c>
      <c r="CG1174" s="2"/>
      <c r="CH1174" s="2"/>
      <c r="CI1174" s="2">
        <v>0</v>
      </c>
      <c r="CJ1174" s="2">
        <v>0</v>
      </c>
      <c r="CK1174" s="2">
        <v>21</v>
      </c>
      <c r="CL1174" s="2" t="s">
        <v>86</v>
      </c>
      <c r="CM1174" s="2"/>
    </row>
    <row r="1175" spans="1:91">
      <c r="A1175" s="2" t="s">
        <v>71</v>
      </c>
      <c r="B1175" s="2" t="s">
        <v>72</v>
      </c>
      <c r="C1175" s="2" t="s">
        <v>73</v>
      </c>
      <c r="D1175" s="2"/>
      <c r="E1175" s="2" t="str">
        <f>"FES1162541017"</f>
        <v>FES1162541017</v>
      </c>
      <c r="F1175" s="3">
        <v>42828</v>
      </c>
      <c r="G1175" s="2">
        <v>201710</v>
      </c>
      <c r="H1175" s="2" t="s">
        <v>74</v>
      </c>
      <c r="I1175" s="2" t="s">
        <v>75</v>
      </c>
      <c r="J1175" s="2" t="s">
        <v>76</v>
      </c>
      <c r="K1175" s="2" t="s">
        <v>77</v>
      </c>
      <c r="L1175" s="2" t="s">
        <v>176</v>
      </c>
      <c r="M1175" s="2" t="s">
        <v>176</v>
      </c>
      <c r="N1175" s="2" t="s">
        <v>177</v>
      </c>
      <c r="O1175" s="2" t="s">
        <v>115</v>
      </c>
      <c r="P1175" s="2" t="str">
        <f>"2170560086                    "</f>
        <v xml:space="preserve">2170560086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4.42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1</v>
      </c>
      <c r="BJ1175" s="2">
        <v>0.2</v>
      </c>
      <c r="BK1175" s="2">
        <v>1</v>
      </c>
      <c r="BL1175" s="2">
        <v>41.86</v>
      </c>
      <c r="BM1175" s="2">
        <v>5.86</v>
      </c>
      <c r="BN1175" s="2">
        <v>47.72</v>
      </c>
      <c r="BO1175" s="2">
        <v>47.72</v>
      </c>
      <c r="BP1175" s="2"/>
      <c r="BQ1175" s="2" t="s">
        <v>178</v>
      </c>
      <c r="BR1175" s="2" t="s">
        <v>123</v>
      </c>
      <c r="BS1175" s="3">
        <v>42829</v>
      </c>
      <c r="BT1175" s="4">
        <v>0.54513888888888895</v>
      </c>
      <c r="BU1175" s="2" t="s">
        <v>1718</v>
      </c>
      <c r="BV1175" s="2" t="s">
        <v>111</v>
      </c>
      <c r="BW1175" s="2"/>
      <c r="BX1175" s="2"/>
      <c r="BY1175" s="2">
        <v>1200</v>
      </c>
      <c r="BZ1175" s="2" t="s">
        <v>27</v>
      </c>
      <c r="CA1175" s="2"/>
      <c r="CB1175" s="2"/>
      <c r="CC1175" s="2" t="s">
        <v>176</v>
      </c>
      <c r="CD1175" s="2">
        <v>7646</v>
      </c>
      <c r="CE1175" s="2" t="s">
        <v>144</v>
      </c>
      <c r="CF1175" s="5">
        <v>42830</v>
      </c>
      <c r="CG1175" s="2"/>
      <c r="CH1175" s="2"/>
      <c r="CI1175" s="2">
        <v>1</v>
      </c>
      <c r="CJ1175" s="2">
        <v>1</v>
      </c>
      <c r="CK1175" s="2">
        <v>21</v>
      </c>
      <c r="CL1175" s="2" t="s">
        <v>86</v>
      </c>
      <c r="CM1175" s="2"/>
    </row>
    <row r="1176" spans="1:91">
      <c r="A1176" s="2" t="s">
        <v>71</v>
      </c>
      <c r="B1176" s="2" t="s">
        <v>72</v>
      </c>
      <c r="C1176" s="2" t="s">
        <v>73</v>
      </c>
      <c r="D1176" s="2"/>
      <c r="E1176" s="2" t="str">
        <f>"FES1162542438"</f>
        <v>FES1162542438</v>
      </c>
      <c r="F1176" s="3">
        <v>42832</v>
      </c>
      <c r="G1176" s="2">
        <v>201710</v>
      </c>
      <c r="H1176" s="2" t="s">
        <v>74</v>
      </c>
      <c r="I1176" s="2" t="s">
        <v>75</v>
      </c>
      <c r="J1176" s="2" t="s">
        <v>76</v>
      </c>
      <c r="K1176" s="2" t="s">
        <v>77</v>
      </c>
      <c r="L1176" s="2" t="s">
        <v>591</v>
      </c>
      <c r="M1176" s="2" t="s">
        <v>592</v>
      </c>
      <c r="N1176" s="2" t="s">
        <v>675</v>
      </c>
      <c r="O1176" s="2" t="s">
        <v>115</v>
      </c>
      <c r="P1176" s="2" t="str">
        <f>"2170561326                    "</f>
        <v xml:space="preserve">2170561326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7.5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3.1</v>
      </c>
      <c r="BJ1176" s="2">
        <v>3.5</v>
      </c>
      <c r="BK1176" s="2">
        <v>3.5</v>
      </c>
      <c r="BL1176" s="2">
        <v>73.02</v>
      </c>
      <c r="BM1176" s="2">
        <v>10.220000000000001</v>
      </c>
      <c r="BN1176" s="2">
        <v>83.24</v>
      </c>
      <c r="BO1176" s="2">
        <v>83.24</v>
      </c>
      <c r="BP1176" s="2"/>
      <c r="BQ1176" s="2" t="s">
        <v>129</v>
      </c>
      <c r="BR1176" s="2" t="s">
        <v>123</v>
      </c>
      <c r="BS1176" s="1" t="s">
        <v>1744</v>
      </c>
      <c r="BT1176" s="2"/>
      <c r="BU1176" s="2"/>
      <c r="BV1176" s="2"/>
      <c r="BW1176" s="2"/>
      <c r="BX1176" s="2"/>
      <c r="BY1176" s="2">
        <v>17330.07</v>
      </c>
      <c r="BZ1176" s="2"/>
      <c r="CA1176" s="2"/>
      <c r="CB1176" s="2"/>
      <c r="CC1176" s="2" t="s">
        <v>592</v>
      </c>
      <c r="CD1176" s="2">
        <v>7600</v>
      </c>
      <c r="CE1176" s="2" t="s">
        <v>89</v>
      </c>
      <c r="CF1176" s="2"/>
      <c r="CG1176" s="2"/>
      <c r="CH1176" s="2"/>
      <c r="CI1176" s="2">
        <v>1</v>
      </c>
      <c r="CJ1176" s="2" t="s">
        <v>1744</v>
      </c>
      <c r="CK1176" s="2">
        <v>21</v>
      </c>
      <c r="CL1176" s="2" t="s">
        <v>86</v>
      </c>
      <c r="CM1176" s="2"/>
    </row>
    <row r="1177" spans="1:91">
      <c r="A1177" s="2" t="s">
        <v>71</v>
      </c>
      <c r="B1177" s="2" t="s">
        <v>72</v>
      </c>
      <c r="C1177" s="2" t="s">
        <v>73</v>
      </c>
      <c r="D1177" s="2"/>
      <c r="E1177" s="2" t="str">
        <f>"FES1162541985"</f>
        <v>FES1162541985</v>
      </c>
      <c r="F1177" s="3">
        <v>42831</v>
      </c>
      <c r="G1177" s="2">
        <v>201710</v>
      </c>
      <c r="H1177" s="2" t="s">
        <v>74</v>
      </c>
      <c r="I1177" s="2" t="s">
        <v>75</v>
      </c>
      <c r="J1177" s="2" t="s">
        <v>76</v>
      </c>
      <c r="K1177" s="2" t="s">
        <v>77</v>
      </c>
      <c r="L1177" s="2" t="s">
        <v>139</v>
      </c>
      <c r="M1177" s="2" t="s">
        <v>140</v>
      </c>
      <c r="N1177" s="2" t="s">
        <v>1745</v>
      </c>
      <c r="O1177" s="2" t="s">
        <v>115</v>
      </c>
      <c r="P1177" s="2" t="str">
        <f>"2170558186                    "</f>
        <v xml:space="preserve">2170558186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4.29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1</v>
      </c>
      <c r="BJ1177" s="2">
        <v>0.2</v>
      </c>
      <c r="BK1177" s="2">
        <v>1</v>
      </c>
      <c r="BL1177" s="2">
        <v>41.73</v>
      </c>
      <c r="BM1177" s="2">
        <v>5.84</v>
      </c>
      <c r="BN1177" s="2">
        <v>47.57</v>
      </c>
      <c r="BO1177" s="2">
        <v>47.57</v>
      </c>
      <c r="BP1177" s="2"/>
      <c r="BQ1177" s="2" t="s">
        <v>122</v>
      </c>
      <c r="BR1177" s="2" t="s">
        <v>123</v>
      </c>
      <c r="BS1177" s="3">
        <v>42832</v>
      </c>
      <c r="BT1177" s="4">
        <v>0.42708333333333331</v>
      </c>
      <c r="BU1177" s="2" t="s">
        <v>1516</v>
      </c>
      <c r="BV1177" s="2" t="s">
        <v>111</v>
      </c>
      <c r="BW1177" s="2"/>
      <c r="BX1177" s="2"/>
      <c r="BY1177" s="2">
        <v>1200</v>
      </c>
      <c r="BZ1177" s="2" t="s">
        <v>27</v>
      </c>
      <c r="CA1177" s="2"/>
      <c r="CB1177" s="2"/>
      <c r="CC1177" s="2" t="s">
        <v>140</v>
      </c>
      <c r="CD1177" s="2">
        <v>157</v>
      </c>
      <c r="CE1177" s="2" t="s">
        <v>118</v>
      </c>
      <c r="CF1177" s="5">
        <v>42837</v>
      </c>
      <c r="CG1177" s="2"/>
      <c r="CH1177" s="2"/>
      <c r="CI1177" s="2">
        <v>0</v>
      </c>
      <c r="CJ1177" s="2">
        <v>0</v>
      </c>
      <c r="CK1177" s="2">
        <v>21</v>
      </c>
      <c r="CL1177" s="2" t="s">
        <v>86</v>
      </c>
      <c r="CM1177" s="2"/>
    </row>
    <row r="1178" spans="1:91">
      <c r="A1178" s="2" t="s">
        <v>71</v>
      </c>
      <c r="B1178" s="2" t="s">
        <v>72</v>
      </c>
      <c r="C1178" s="2" t="s">
        <v>73</v>
      </c>
      <c r="D1178" s="2"/>
      <c r="E1178" s="2" t="str">
        <f>"FES1162542536"</f>
        <v>FES1162542536</v>
      </c>
      <c r="F1178" s="3">
        <v>42835</v>
      </c>
      <c r="G1178" s="2">
        <v>201710</v>
      </c>
      <c r="H1178" s="2" t="s">
        <v>74</v>
      </c>
      <c r="I1178" s="2" t="s">
        <v>75</v>
      </c>
      <c r="J1178" s="2" t="s">
        <v>76</v>
      </c>
      <c r="K1178" s="2" t="s">
        <v>77</v>
      </c>
      <c r="L1178" s="2" t="s">
        <v>176</v>
      </c>
      <c r="M1178" s="2" t="s">
        <v>176</v>
      </c>
      <c r="N1178" s="2" t="s">
        <v>460</v>
      </c>
      <c r="O1178" s="2" t="s">
        <v>115</v>
      </c>
      <c r="P1178" s="2" t="str">
        <f>"2170561397                    "</f>
        <v xml:space="preserve">2170561397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4.29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41.73</v>
      </c>
      <c r="BM1178" s="2">
        <v>5.84</v>
      </c>
      <c r="BN1178" s="2">
        <v>47.57</v>
      </c>
      <c r="BO1178" s="2">
        <v>47.57</v>
      </c>
      <c r="BP1178" s="2"/>
      <c r="BQ1178" s="2" t="s">
        <v>461</v>
      </c>
      <c r="BR1178" s="2" t="s">
        <v>123</v>
      </c>
      <c r="BS1178" s="3">
        <v>42836</v>
      </c>
      <c r="BT1178" s="4">
        <v>0.50347222222222221</v>
      </c>
      <c r="BU1178" s="2" t="s">
        <v>1746</v>
      </c>
      <c r="BV1178" s="2" t="s">
        <v>111</v>
      </c>
      <c r="BW1178" s="2"/>
      <c r="BX1178" s="2"/>
      <c r="BY1178" s="2">
        <v>1200</v>
      </c>
      <c r="BZ1178" s="2" t="s">
        <v>27</v>
      </c>
      <c r="CA1178" s="2"/>
      <c r="CB1178" s="2"/>
      <c r="CC1178" s="2" t="s">
        <v>176</v>
      </c>
      <c r="CD1178" s="2">
        <v>7646</v>
      </c>
      <c r="CE1178" s="2" t="s">
        <v>144</v>
      </c>
      <c r="CF1178" s="5">
        <v>42837</v>
      </c>
      <c r="CG1178" s="2"/>
      <c r="CH1178" s="2"/>
      <c r="CI1178" s="2">
        <v>1</v>
      </c>
      <c r="CJ1178" s="2">
        <v>1</v>
      </c>
      <c r="CK1178" s="2">
        <v>21</v>
      </c>
      <c r="CL1178" s="2" t="s">
        <v>86</v>
      </c>
      <c r="CM1178" s="2"/>
    </row>
    <row r="1179" spans="1:91">
      <c r="A1179" s="2" t="s">
        <v>71</v>
      </c>
      <c r="B1179" s="2" t="s">
        <v>72</v>
      </c>
      <c r="C1179" s="2" t="s">
        <v>73</v>
      </c>
      <c r="D1179" s="2"/>
      <c r="E1179" s="2" t="str">
        <f>"FES1162542066"</f>
        <v>FES1162542066</v>
      </c>
      <c r="F1179" s="3">
        <v>42831</v>
      </c>
      <c r="G1179" s="2">
        <v>201710</v>
      </c>
      <c r="H1179" s="2" t="s">
        <v>74</v>
      </c>
      <c r="I1179" s="2" t="s">
        <v>75</v>
      </c>
      <c r="J1179" s="2" t="s">
        <v>76</v>
      </c>
      <c r="K1179" s="2" t="s">
        <v>77</v>
      </c>
      <c r="L1179" s="2" t="s">
        <v>99</v>
      </c>
      <c r="M1179" s="2" t="s">
        <v>100</v>
      </c>
      <c r="N1179" s="2" t="s">
        <v>583</v>
      </c>
      <c r="O1179" s="2" t="s">
        <v>115</v>
      </c>
      <c r="P1179" s="2" t="str">
        <f>"2170557713                    "</f>
        <v xml:space="preserve">2170557713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9.65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1</v>
      </c>
      <c r="BI1179" s="2">
        <v>4.4000000000000004</v>
      </c>
      <c r="BJ1179" s="2">
        <v>1</v>
      </c>
      <c r="BK1179" s="2">
        <v>4.5</v>
      </c>
      <c r="BL1179" s="2">
        <v>93.89</v>
      </c>
      <c r="BM1179" s="2">
        <v>13.14</v>
      </c>
      <c r="BN1179" s="2">
        <v>107.03</v>
      </c>
      <c r="BO1179" s="2">
        <v>107.03</v>
      </c>
      <c r="BP1179" s="2"/>
      <c r="BQ1179" s="2" t="s">
        <v>584</v>
      </c>
      <c r="BR1179" s="2" t="s">
        <v>123</v>
      </c>
      <c r="BS1179" s="3">
        <v>42832</v>
      </c>
      <c r="BT1179" s="4">
        <v>0.41319444444444442</v>
      </c>
      <c r="BU1179" s="2" t="s">
        <v>1747</v>
      </c>
      <c r="BV1179" s="2" t="s">
        <v>111</v>
      </c>
      <c r="BW1179" s="2"/>
      <c r="BX1179" s="2"/>
      <c r="BY1179" s="2">
        <v>5040</v>
      </c>
      <c r="BZ1179" s="2" t="s">
        <v>27</v>
      </c>
      <c r="CA1179" s="2"/>
      <c r="CB1179" s="2"/>
      <c r="CC1179" s="2" t="s">
        <v>100</v>
      </c>
      <c r="CD1179" s="2">
        <v>6001</v>
      </c>
      <c r="CE1179" s="2" t="s">
        <v>172</v>
      </c>
      <c r="CF1179" s="5">
        <v>42835</v>
      </c>
      <c r="CG1179" s="2"/>
      <c r="CH1179" s="2"/>
      <c r="CI1179" s="2">
        <v>1</v>
      </c>
      <c r="CJ1179" s="2">
        <v>1</v>
      </c>
      <c r="CK1179" s="2">
        <v>21</v>
      </c>
      <c r="CL1179" s="2" t="s">
        <v>86</v>
      </c>
      <c r="CM1179" s="2"/>
    </row>
    <row r="1180" spans="1:91">
      <c r="A1180" s="2" t="s">
        <v>71</v>
      </c>
      <c r="B1180" s="2" t="s">
        <v>72</v>
      </c>
      <c r="C1180" s="2" t="s">
        <v>73</v>
      </c>
      <c r="D1180" s="2"/>
      <c r="E1180" s="2" t="str">
        <f>"FES1162540953"</f>
        <v>FES1162540953</v>
      </c>
      <c r="F1180" s="3">
        <v>42828</v>
      </c>
      <c r="G1180" s="2">
        <v>201710</v>
      </c>
      <c r="H1180" s="2" t="s">
        <v>74</v>
      </c>
      <c r="I1180" s="2" t="s">
        <v>75</v>
      </c>
      <c r="J1180" s="2" t="s">
        <v>76</v>
      </c>
      <c r="K1180" s="2" t="s">
        <v>77</v>
      </c>
      <c r="L1180" s="2" t="s">
        <v>591</v>
      </c>
      <c r="M1180" s="2" t="s">
        <v>592</v>
      </c>
      <c r="N1180" s="2" t="s">
        <v>675</v>
      </c>
      <c r="O1180" s="2" t="s">
        <v>115</v>
      </c>
      <c r="P1180" s="2" t="str">
        <f>"2170560044                    "</f>
        <v xml:space="preserve">2170560044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4.42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</v>
      </c>
      <c r="BJ1180" s="2">
        <v>0.2</v>
      </c>
      <c r="BK1180" s="2">
        <v>1</v>
      </c>
      <c r="BL1180" s="2">
        <v>41.86</v>
      </c>
      <c r="BM1180" s="2">
        <v>5.86</v>
      </c>
      <c r="BN1180" s="2">
        <v>47.72</v>
      </c>
      <c r="BO1180" s="2">
        <v>47.72</v>
      </c>
      <c r="BP1180" s="2"/>
      <c r="BQ1180" s="2" t="s">
        <v>129</v>
      </c>
      <c r="BR1180" s="2" t="s">
        <v>123</v>
      </c>
      <c r="BS1180" s="3">
        <v>42829</v>
      </c>
      <c r="BT1180" s="4">
        <v>0.43055555555555558</v>
      </c>
      <c r="BU1180" s="2" t="s">
        <v>1748</v>
      </c>
      <c r="BV1180" s="2" t="s">
        <v>111</v>
      </c>
      <c r="BW1180" s="2"/>
      <c r="BX1180" s="2"/>
      <c r="BY1180" s="2">
        <v>1200</v>
      </c>
      <c r="BZ1180" s="2" t="s">
        <v>27</v>
      </c>
      <c r="CA1180" s="2" t="s">
        <v>159</v>
      </c>
      <c r="CB1180" s="2"/>
      <c r="CC1180" s="2" t="s">
        <v>592</v>
      </c>
      <c r="CD1180" s="2">
        <v>7600</v>
      </c>
      <c r="CE1180" s="2" t="s">
        <v>144</v>
      </c>
      <c r="CF1180" s="5">
        <v>42830</v>
      </c>
      <c r="CG1180" s="2"/>
      <c r="CH1180" s="2"/>
      <c r="CI1180" s="2">
        <v>1</v>
      </c>
      <c r="CJ1180" s="2">
        <v>1</v>
      </c>
      <c r="CK1180" s="2">
        <v>21</v>
      </c>
      <c r="CL1180" s="2" t="s">
        <v>86</v>
      </c>
      <c r="CM1180" s="2"/>
    </row>
    <row r="1181" spans="1:91">
      <c r="A1181" s="2" t="s">
        <v>71</v>
      </c>
      <c r="B1181" s="2" t="s">
        <v>72</v>
      </c>
      <c r="C1181" s="2" t="s">
        <v>73</v>
      </c>
      <c r="D1181" s="2"/>
      <c r="E1181" s="2" t="str">
        <f>"FES1162542392"</f>
        <v>FES1162542392</v>
      </c>
      <c r="F1181" s="3">
        <v>42832</v>
      </c>
      <c r="G1181" s="2">
        <v>201710</v>
      </c>
      <c r="H1181" s="2" t="s">
        <v>74</v>
      </c>
      <c r="I1181" s="2" t="s">
        <v>75</v>
      </c>
      <c r="J1181" s="2" t="s">
        <v>76</v>
      </c>
      <c r="K1181" s="2" t="s">
        <v>77</v>
      </c>
      <c r="L1181" s="2" t="s">
        <v>126</v>
      </c>
      <c r="M1181" s="2" t="s">
        <v>127</v>
      </c>
      <c r="N1181" s="2" t="s">
        <v>128</v>
      </c>
      <c r="O1181" s="2" t="s">
        <v>115</v>
      </c>
      <c r="P1181" s="2" t="str">
        <f>"2170561281                    "</f>
        <v xml:space="preserve">2170561281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4.29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41.73</v>
      </c>
      <c r="BM1181" s="2">
        <v>5.84</v>
      </c>
      <c r="BN1181" s="2">
        <v>47.57</v>
      </c>
      <c r="BO1181" s="2">
        <v>47.57</v>
      </c>
      <c r="BP1181" s="2"/>
      <c r="BQ1181" s="2" t="s">
        <v>129</v>
      </c>
      <c r="BR1181" s="2" t="s">
        <v>123</v>
      </c>
      <c r="BS1181" s="3">
        <v>42835</v>
      </c>
      <c r="BT1181" s="4">
        <v>0.41666666666666669</v>
      </c>
      <c r="BU1181" s="2" t="s">
        <v>1087</v>
      </c>
      <c r="BV1181" s="2" t="s">
        <v>111</v>
      </c>
      <c r="BW1181" s="2"/>
      <c r="BX1181" s="2"/>
      <c r="BY1181" s="2">
        <v>1200</v>
      </c>
      <c r="BZ1181" s="2" t="s">
        <v>27</v>
      </c>
      <c r="CA1181" s="2"/>
      <c r="CB1181" s="2"/>
      <c r="CC1181" s="2" t="s">
        <v>127</v>
      </c>
      <c r="CD1181" s="2">
        <v>6850</v>
      </c>
      <c r="CE1181" s="2" t="s">
        <v>144</v>
      </c>
      <c r="CF1181" s="5">
        <v>42836</v>
      </c>
      <c r="CG1181" s="2"/>
      <c r="CH1181" s="2"/>
      <c r="CI1181" s="2">
        <v>3</v>
      </c>
      <c r="CJ1181" s="2">
        <v>1</v>
      </c>
      <c r="CK1181" s="2">
        <v>21</v>
      </c>
      <c r="CL1181" s="2" t="s">
        <v>86</v>
      </c>
      <c r="CM1181" s="2"/>
    </row>
    <row r="1182" spans="1:91">
      <c r="A1182" s="2" t="s">
        <v>71</v>
      </c>
      <c r="B1182" s="2" t="s">
        <v>72</v>
      </c>
      <c r="C1182" s="2" t="s">
        <v>73</v>
      </c>
      <c r="D1182" s="2"/>
      <c r="E1182" s="2" t="str">
        <f>"FES1162542033"</f>
        <v>FES1162542033</v>
      </c>
      <c r="F1182" s="3">
        <v>42831</v>
      </c>
      <c r="G1182" s="2">
        <v>201710</v>
      </c>
      <c r="H1182" s="2" t="s">
        <v>74</v>
      </c>
      <c r="I1182" s="2" t="s">
        <v>75</v>
      </c>
      <c r="J1182" s="2" t="s">
        <v>76</v>
      </c>
      <c r="K1182" s="2" t="s">
        <v>77</v>
      </c>
      <c r="L1182" s="2" t="s">
        <v>260</v>
      </c>
      <c r="M1182" s="2" t="s">
        <v>261</v>
      </c>
      <c r="N1182" s="2" t="s">
        <v>1371</v>
      </c>
      <c r="O1182" s="2" t="s">
        <v>115</v>
      </c>
      <c r="P1182" s="2" t="str">
        <f>"2170560969                    "</f>
        <v xml:space="preserve">2170560969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3.35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1.8</v>
      </c>
      <c r="BJ1182" s="2">
        <v>2</v>
      </c>
      <c r="BK1182" s="2">
        <v>2</v>
      </c>
      <c r="BL1182" s="2">
        <v>32.6</v>
      </c>
      <c r="BM1182" s="2">
        <v>4.5599999999999996</v>
      </c>
      <c r="BN1182" s="2">
        <v>37.159999999999997</v>
      </c>
      <c r="BO1182" s="2">
        <v>37.159999999999997</v>
      </c>
      <c r="BP1182" s="2"/>
      <c r="BQ1182" s="2" t="s">
        <v>1372</v>
      </c>
      <c r="BR1182" s="2" t="s">
        <v>123</v>
      </c>
      <c r="BS1182" s="3">
        <v>42832</v>
      </c>
      <c r="BT1182" s="4">
        <v>0.37152777777777773</v>
      </c>
      <c r="BU1182" s="2" t="s">
        <v>1373</v>
      </c>
      <c r="BV1182" s="2" t="s">
        <v>111</v>
      </c>
      <c r="BW1182" s="2"/>
      <c r="BX1182" s="2"/>
      <c r="BY1182" s="2">
        <v>9814.33</v>
      </c>
      <c r="BZ1182" s="2" t="s">
        <v>27</v>
      </c>
      <c r="CA1182" s="2"/>
      <c r="CB1182" s="2"/>
      <c r="CC1182" s="2" t="s">
        <v>261</v>
      </c>
      <c r="CD1182" s="2">
        <v>1451</v>
      </c>
      <c r="CE1182" s="2" t="s">
        <v>89</v>
      </c>
      <c r="CF1182" s="5">
        <v>42835</v>
      </c>
      <c r="CG1182" s="2"/>
      <c r="CH1182" s="2"/>
      <c r="CI1182" s="2">
        <v>1</v>
      </c>
      <c r="CJ1182" s="2">
        <v>1</v>
      </c>
      <c r="CK1182" s="2">
        <v>22</v>
      </c>
      <c r="CL1182" s="2" t="s">
        <v>86</v>
      </c>
      <c r="CM1182" s="2"/>
    </row>
    <row r="1183" spans="1:91">
      <c r="A1183" s="2" t="s">
        <v>71</v>
      </c>
      <c r="B1183" s="2" t="s">
        <v>72</v>
      </c>
      <c r="C1183" s="2" t="s">
        <v>73</v>
      </c>
      <c r="D1183" s="2"/>
      <c r="E1183" s="2" t="str">
        <f>"FES1162541070"</f>
        <v>FES1162541070</v>
      </c>
      <c r="F1183" s="3">
        <v>42828</v>
      </c>
      <c r="G1183" s="2">
        <v>201710</v>
      </c>
      <c r="H1183" s="2" t="s">
        <v>74</v>
      </c>
      <c r="I1183" s="2" t="s">
        <v>75</v>
      </c>
      <c r="J1183" s="2" t="s">
        <v>76</v>
      </c>
      <c r="K1183" s="2" t="s">
        <v>77</v>
      </c>
      <c r="L1183" s="2" t="s">
        <v>131</v>
      </c>
      <c r="M1183" s="2" t="s">
        <v>132</v>
      </c>
      <c r="N1183" s="2" t="s">
        <v>744</v>
      </c>
      <c r="O1183" s="2" t="s">
        <v>115</v>
      </c>
      <c r="P1183" s="2" t="str">
        <f>"2170560156                    "</f>
        <v xml:space="preserve">2170560156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4.42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1</v>
      </c>
      <c r="BJ1183" s="2">
        <v>0.2</v>
      </c>
      <c r="BK1183" s="2">
        <v>1</v>
      </c>
      <c r="BL1183" s="2">
        <v>41.86</v>
      </c>
      <c r="BM1183" s="2">
        <v>5.86</v>
      </c>
      <c r="BN1183" s="2">
        <v>47.72</v>
      </c>
      <c r="BO1183" s="2">
        <v>47.72</v>
      </c>
      <c r="BP1183" s="2"/>
      <c r="BQ1183" s="2" t="s">
        <v>138</v>
      </c>
      <c r="BR1183" s="2" t="s">
        <v>123</v>
      </c>
      <c r="BS1183" s="3">
        <v>42829</v>
      </c>
      <c r="BT1183" s="4">
        <v>0.49305555555555558</v>
      </c>
      <c r="BU1183" s="2" t="s">
        <v>130</v>
      </c>
      <c r="BV1183" s="2" t="s">
        <v>86</v>
      </c>
      <c r="BW1183" s="2" t="s">
        <v>157</v>
      </c>
      <c r="BX1183" s="2" t="s">
        <v>158</v>
      </c>
      <c r="BY1183" s="2">
        <v>1200</v>
      </c>
      <c r="BZ1183" s="2" t="s">
        <v>27</v>
      </c>
      <c r="CA1183" s="2"/>
      <c r="CB1183" s="2"/>
      <c r="CC1183" s="2" t="s">
        <v>132</v>
      </c>
      <c r="CD1183" s="2">
        <v>7405</v>
      </c>
      <c r="CE1183" s="2" t="s">
        <v>144</v>
      </c>
      <c r="CF1183" s="5">
        <v>42830</v>
      </c>
      <c r="CG1183" s="2"/>
      <c r="CH1183" s="2"/>
      <c r="CI1183" s="2">
        <v>1</v>
      </c>
      <c r="CJ1183" s="2">
        <v>1</v>
      </c>
      <c r="CK1183" s="2">
        <v>21</v>
      </c>
      <c r="CL1183" s="2" t="s">
        <v>86</v>
      </c>
      <c r="CM1183" s="2"/>
    </row>
    <row r="1184" spans="1:91">
      <c r="A1184" s="2" t="s">
        <v>71</v>
      </c>
      <c r="B1184" s="2" t="s">
        <v>72</v>
      </c>
      <c r="C1184" s="2" t="s">
        <v>73</v>
      </c>
      <c r="D1184" s="2"/>
      <c r="E1184" s="2" t="str">
        <f>"FES1162542626"</f>
        <v>FES1162542626</v>
      </c>
      <c r="F1184" s="3">
        <v>42835</v>
      </c>
      <c r="G1184" s="2">
        <v>201710</v>
      </c>
      <c r="H1184" s="2" t="s">
        <v>74</v>
      </c>
      <c r="I1184" s="2" t="s">
        <v>75</v>
      </c>
      <c r="J1184" s="2" t="s">
        <v>76</v>
      </c>
      <c r="K1184" s="2" t="s">
        <v>77</v>
      </c>
      <c r="L1184" s="2" t="s">
        <v>180</v>
      </c>
      <c r="M1184" s="2" t="s">
        <v>181</v>
      </c>
      <c r="N1184" s="2" t="s">
        <v>182</v>
      </c>
      <c r="O1184" s="2" t="s">
        <v>115</v>
      </c>
      <c r="P1184" s="2" t="str">
        <f>"2170561486                    "</f>
        <v xml:space="preserve">2170561486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4.29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1</v>
      </c>
      <c r="BJ1184" s="2">
        <v>0.2</v>
      </c>
      <c r="BK1184" s="2">
        <v>1</v>
      </c>
      <c r="BL1184" s="2">
        <v>41.73</v>
      </c>
      <c r="BM1184" s="2">
        <v>5.84</v>
      </c>
      <c r="BN1184" s="2">
        <v>47.57</v>
      </c>
      <c r="BO1184" s="2">
        <v>47.57</v>
      </c>
      <c r="BP1184" s="2"/>
      <c r="BQ1184" s="2" t="s">
        <v>243</v>
      </c>
      <c r="BR1184" s="2" t="s">
        <v>123</v>
      </c>
      <c r="BS1184" s="3">
        <v>42836</v>
      </c>
      <c r="BT1184" s="4">
        <v>0.4375</v>
      </c>
      <c r="BU1184" s="2" t="s">
        <v>1749</v>
      </c>
      <c r="BV1184" s="2" t="s">
        <v>111</v>
      </c>
      <c r="BW1184" s="2"/>
      <c r="BX1184" s="2"/>
      <c r="BY1184" s="2">
        <v>1200</v>
      </c>
      <c r="BZ1184" s="2" t="s">
        <v>27</v>
      </c>
      <c r="CA1184" s="2"/>
      <c r="CB1184" s="2"/>
      <c r="CC1184" s="2" t="s">
        <v>181</v>
      </c>
      <c r="CD1184" s="2">
        <v>4001</v>
      </c>
      <c r="CE1184" s="2" t="s">
        <v>144</v>
      </c>
      <c r="CF1184" s="5">
        <v>42837</v>
      </c>
      <c r="CG1184" s="2"/>
      <c r="CH1184" s="2"/>
      <c r="CI1184" s="2">
        <v>1</v>
      </c>
      <c r="CJ1184" s="2">
        <v>1</v>
      </c>
      <c r="CK1184" s="2">
        <v>21</v>
      </c>
      <c r="CL1184" s="2" t="s">
        <v>86</v>
      </c>
      <c r="CM1184" s="2"/>
    </row>
    <row r="1185" spans="1:91">
      <c r="A1185" s="2" t="s">
        <v>71</v>
      </c>
      <c r="B1185" s="2" t="s">
        <v>72</v>
      </c>
      <c r="C1185" s="2" t="s">
        <v>73</v>
      </c>
      <c r="D1185" s="2"/>
      <c r="E1185" s="2" t="str">
        <f>"FES1162542014"</f>
        <v>FES1162542014</v>
      </c>
      <c r="F1185" s="3">
        <v>42831</v>
      </c>
      <c r="G1185" s="2">
        <v>201710</v>
      </c>
      <c r="H1185" s="2" t="s">
        <v>74</v>
      </c>
      <c r="I1185" s="2" t="s">
        <v>75</v>
      </c>
      <c r="J1185" s="2" t="s">
        <v>76</v>
      </c>
      <c r="K1185" s="2" t="s">
        <v>77</v>
      </c>
      <c r="L1185" s="2" t="s">
        <v>131</v>
      </c>
      <c r="M1185" s="2" t="s">
        <v>132</v>
      </c>
      <c r="N1185" s="2" t="s">
        <v>744</v>
      </c>
      <c r="O1185" s="2" t="s">
        <v>115</v>
      </c>
      <c r="P1185" s="2" t="str">
        <f>"217055846                     "</f>
        <v xml:space="preserve">217055846 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4.29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1</v>
      </c>
      <c r="BJ1185" s="2">
        <v>0.2</v>
      </c>
      <c r="BK1185" s="2">
        <v>1</v>
      </c>
      <c r="BL1185" s="2">
        <v>41.73</v>
      </c>
      <c r="BM1185" s="2">
        <v>5.84</v>
      </c>
      <c r="BN1185" s="2">
        <v>47.57</v>
      </c>
      <c r="BO1185" s="2">
        <v>47.57</v>
      </c>
      <c r="BP1185" s="2"/>
      <c r="BQ1185" s="2" t="s">
        <v>138</v>
      </c>
      <c r="BR1185" s="2" t="s">
        <v>123</v>
      </c>
      <c r="BS1185" s="3">
        <v>42832</v>
      </c>
      <c r="BT1185" s="4">
        <v>0.41666666666666669</v>
      </c>
      <c r="BU1185" s="2" t="s">
        <v>1493</v>
      </c>
      <c r="BV1185" s="2" t="s">
        <v>111</v>
      </c>
      <c r="BW1185" s="2"/>
      <c r="BX1185" s="2"/>
      <c r="BY1185" s="2">
        <v>1200</v>
      </c>
      <c r="BZ1185" s="2" t="s">
        <v>27</v>
      </c>
      <c r="CA1185" s="2"/>
      <c r="CB1185" s="2"/>
      <c r="CC1185" s="2" t="s">
        <v>132</v>
      </c>
      <c r="CD1185" s="2">
        <v>7405</v>
      </c>
      <c r="CE1185" s="2" t="s">
        <v>118</v>
      </c>
      <c r="CF1185" s="5">
        <v>42835</v>
      </c>
      <c r="CG1185" s="2"/>
      <c r="CH1185" s="2"/>
      <c r="CI1185" s="2">
        <v>1</v>
      </c>
      <c r="CJ1185" s="2">
        <v>1</v>
      </c>
      <c r="CK1185" s="2">
        <v>21</v>
      </c>
      <c r="CL1185" s="2" t="s">
        <v>86</v>
      </c>
      <c r="CM1185" s="2"/>
    </row>
    <row r="1186" spans="1:91">
      <c r="A1186" s="2" t="s">
        <v>71</v>
      </c>
      <c r="B1186" s="2" t="s">
        <v>72</v>
      </c>
      <c r="C1186" s="2" t="s">
        <v>73</v>
      </c>
      <c r="D1186" s="2"/>
      <c r="E1186" s="2" t="str">
        <f>"FES1162540956"</f>
        <v>FES1162540956</v>
      </c>
      <c r="F1186" s="3">
        <v>42828</v>
      </c>
      <c r="G1186" s="2">
        <v>201710</v>
      </c>
      <c r="H1186" s="2" t="s">
        <v>74</v>
      </c>
      <c r="I1186" s="2" t="s">
        <v>75</v>
      </c>
      <c r="J1186" s="2" t="s">
        <v>76</v>
      </c>
      <c r="K1186" s="2" t="s">
        <v>77</v>
      </c>
      <c r="L1186" s="2" t="s">
        <v>131</v>
      </c>
      <c r="M1186" s="2" t="s">
        <v>132</v>
      </c>
      <c r="N1186" s="2" t="s">
        <v>1292</v>
      </c>
      <c r="O1186" s="2" t="s">
        <v>115</v>
      </c>
      <c r="P1186" s="2" t="str">
        <f>"2170548381                    "</f>
        <v xml:space="preserve">2170548381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4.42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1</v>
      </c>
      <c r="BJ1186" s="2">
        <v>0.2</v>
      </c>
      <c r="BK1186" s="2">
        <v>1</v>
      </c>
      <c r="BL1186" s="2">
        <v>41.86</v>
      </c>
      <c r="BM1186" s="2">
        <v>5.86</v>
      </c>
      <c r="BN1186" s="2">
        <v>47.72</v>
      </c>
      <c r="BO1186" s="2">
        <v>47.72</v>
      </c>
      <c r="BP1186" s="2"/>
      <c r="BQ1186" s="2" t="s">
        <v>129</v>
      </c>
      <c r="BR1186" s="2" t="s">
        <v>123</v>
      </c>
      <c r="BS1186" s="3">
        <v>42829</v>
      </c>
      <c r="BT1186" s="4">
        <v>0.36319444444444443</v>
      </c>
      <c r="BU1186" s="2" t="s">
        <v>138</v>
      </c>
      <c r="BV1186" s="2" t="s">
        <v>111</v>
      </c>
      <c r="BW1186" s="2"/>
      <c r="BX1186" s="2"/>
      <c r="BY1186" s="2">
        <v>1200</v>
      </c>
      <c r="BZ1186" s="2" t="s">
        <v>27</v>
      </c>
      <c r="CA1186" s="2"/>
      <c r="CB1186" s="2"/>
      <c r="CC1186" s="2" t="s">
        <v>132</v>
      </c>
      <c r="CD1186" s="2">
        <v>7493</v>
      </c>
      <c r="CE1186" s="2" t="s">
        <v>144</v>
      </c>
      <c r="CF1186" s="5">
        <v>42830</v>
      </c>
      <c r="CG1186" s="2"/>
      <c r="CH1186" s="2"/>
      <c r="CI1186" s="2">
        <v>1</v>
      </c>
      <c r="CJ1186" s="2">
        <v>1</v>
      </c>
      <c r="CK1186" s="2">
        <v>21</v>
      </c>
      <c r="CL1186" s="2" t="s">
        <v>86</v>
      </c>
      <c r="CM1186" s="2"/>
    </row>
    <row r="1187" spans="1:91">
      <c r="A1187" s="2" t="s">
        <v>71</v>
      </c>
      <c r="B1187" s="2" t="s">
        <v>72</v>
      </c>
      <c r="C1187" s="2" t="s">
        <v>73</v>
      </c>
      <c r="D1187" s="2"/>
      <c r="E1187" s="2" t="str">
        <f>"FES1162542443"</f>
        <v>FES1162542443</v>
      </c>
      <c r="F1187" s="3">
        <v>42832</v>
      </c>
      <c r="G1187" s="2">
        <v>201710</v>
      </c>
      <c r="H1187" s="2" t="s">
        <v>74</v>
      </c>
      <c r="I1187" s="2" t="s">
        <v>75</v>
      </c>
      <c r="J1187" s="2" t="s">
        <v>76</v>
      </c>
      <c r="K1187" s="2" t="s">
        <v>77</v>
      </c>
      <c r="L1187" s="2" t="s">
        <v>496</v>
      </c>
      <c r="M1187" s="2" t="s">
        <v>497</v>
      </c>
      <c r="N1187" s="2" t="s">
        <v>498</v>
      </c>
      <c r="O1187" s="2" t="s">
        <v>115</v>
      </c>
      <c r="P1187" s="2" t="str">
        <f>"2170561328                    "</f>
        <v xml:space="preserve">2170561328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3.35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1</v>
      </c>
      <c r="BJ1187" s="2">
        <v>0.2</v>
      </c>
      <c r="BK1187" s="2">
        <v>1</v>
      </c>
      <c r="BL1187" s="2">
        <v>32.6</v>
      </c>
      <c r="BM1187" s="2">
        <v>4.5599999999999996</v>
      </c>
      <c r="BN1187" s="2">
        <v>37.159999999999997</v>
      </c>
      <c r="BO1187" s="2">
        <v>37.159999999999997</v>
      </c>
      <c r="BP1187" s="2"/>
      <c r="BQ1187" s="2" t="s">
        <v>122</v>
      </c>
      <c r="BR1187" s="2" t="s">
        <v>123</v>
      </c>
      <c r="BS1187" s="3">
        <v>42835</v>
      </c>
      <c r="BT1187" s="4">
        <v>0.32291666666666669</v>
      </c>
      <c r="BU1187" s="2" t="s">
        <v>499</v>
      </c>
      <c r="BV1187" s="2" t="s">
        <v>111</v>
      </c>
      <c r="BW1187" s="2"/>
      <c r="BX1187" s="2"/>
      <c r="BY1187" s="2">
        <v>1200</v>
      </c>
      <c r="BZ1187" s="2" t="s">
        <v>27</v>
      </c>
      <c r="CA1187" s="2"/>
      <c r="CB1187" s="2"/>
      <c r="CC1187" s="2" t="s">
        <v>497</v>
      </c>
      <c r="CD1187" s="2">
        <v>1559</v>
      </c>
      <c r="CE1187" s="2" t="s">
        <v>118</v>
      </c>
      <c r="CF1187" s="5">
        <v>42836</v>
      </c>
      <c r="CG1187" s="2"/>
      <c r="CH1187" s="2"/>
      <c r="CI1187" s="2">
        <v>1</v>
      </c>
      <c r="CJ1187" s="2">
        <v>1</v>
      </c>
      <c r="CK1187" s="2">
        <v>22</v>
      </c>
      <c r="CL1187" s="2" t="s">
        <v>86</v>
      </c>
      <c r="CM1187" s="2"/>
    </row>
    <row r="1188" spans="1:91">
      <c r="A1188" s="2" t="s">
        <v>71</v>
      </c>
      <c r="B1188" s="2" t="s">
        <v>72</v>
      </c>
      <c r="C1188" s="2" t="s">
        <v>73</v>
      </c>
      <c r="D1188" s="2"/>
      <c r="E1188" s="2" t="str">
        <f>"FES1162542061"</f>
        <v>FES1162542061</v>
      </c>
      <c r="F1188" s="3">
        <v>42831</v>
      </c>
      <c r="G1188" s="2">
        <v>201710</v>
      </c>
      <c r="H1188" s="2" t="s">
        <v>74</v>
      </c>
      <c r="I1188" s="2" t="s">
        <v>75</v>
      </c>
      <c r="J1188" s="2" t="s">
        <v>76</v>
      </c>
      <c r="K1188" s="2" t="s">
        <v>77</v>
      </c>
      <c r="L1188" s="2" t="s">
        <v>131</v>
      </c>
      <c r="M1188" s="2" t="s">
        <v>132</v>
      </c>
      <c r="N1188" s="2" t="s">
        <v>384</v>
      </c>
      <c r="O1188" s="2" t="s">
        <v>115</v>
      </c>
      <c r="P1188" s="2" t="str">
        <f>"2170557150                    "</f>
        <v xml:space="preserve">2170557150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5.36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2.1</v>
      </c>
      <c r="BJ1188" s="2">
        <v>1.7</v>
      </c>
      <c r="BK1188" s="2">
        <v>2.5</v>
      </c>
      <c r="BL1188" s="2">
        <v>52.16</v>
      </c>
      <c r="BM1188" s="2">
        <v>7.3</v>
      </c>
      <c r="BN1188" s="2">
        <v>59.46</v>
      </c>
      <c r="BO1188" s="2">
        <v>59.46</v>
      </c>
      <c r="BP1188" s="2"/>
      <c r="BQ1188" s="2" t="s">
        <v>468</v>
      </c>
      <c r="BR1188" s="2" t="s">
        <v>123</v>
      </c>
      <c r="BS1188" s="3">
        <v>42832</v>
      </c>
      <c r="BT1188" s="4">
        <v>0.41666666666666669</v>
      </c>
      <c r="BU1188" s="2" t="s">
        <v>469</v>
      </c>
      <c r="BV1188" s="2" t="s">
        <v>111</v>
      </c>
      <c r="BW1188" s="2"/>
      <c r="BX1188" s="2"/>
      <c r="BY1188" s="2">
        <v>8289.2999999999993</v>
      </c>
      <c r="BZ1188" s="2" t="s">
        <v>27</v>
      </c>
      <c r="CA1188" s="2"/>
      <c r="CB1188" s="2"/>
      <c r="CC1188" s="2" t="s">
        <v>132</v>
      </c>
      <c r="CD1188" s="2">
        <v>7405</v>
      </c>
      <c r="CE1188" s="2" t="s">
        <v>172</v>
      </c>
      <c r="CF1188" s="5">
        <v>42835</v>
      </c>
      <c r="CG1188" s="2"/>
      <c r="CH1188" s="2"/>
      <c r="CI1188" s="2">
        <v>1</v>
      </c>
      <c r="CJ1188" s="2">
        <v>1</v>
      </c>
      <c r="CK1188" s="2">
        <v>21</v>
      </c>
      <c r="CL1188" s="2" t="s">
        <v>86</v>
      </c>
      <c r="CM1188" s="2"/>
    </row>
    <row r="1189" spans="1:91">
      <c r="A1189" s="2" t="s">
        <v>71</v>
      </c>
      <c r="B1189" s="2" t="s">
        <v>72</v>
      </c>
      <c r="C1189" s="2" t="s">
        <v>73</v>
      </c>
      <c r="D1189" s="2"/>
      <c r="E1189" s="2" t="str">
        <f>"FES1162541056"</f>
        <v>FES1162541056</v>
      </c>
      <c r="F1189" s="3">
        <v>42828</v>
      </c>
      <c r="G1189" s="2">
        <v>201710</v>
      </c>
      <c r="H1189" s="2" t="s">
        <v>74</v>
      </c>
      <c r="I1189" s="2" t="s">
        <v>75</v>
      </c>
      <c r="J1189" s="2" t="s">
        <v>76</v>
      </c>
      <c r="K1189" s="2" t="s">
        <v>77</v>
      </c>
      <c r="L1189" s="2" t="s">
        <v>74</v>
      </c>
      <c r="M1189" s="2" t="s">
        <v>75</v>
      </c>
      <c r="N1189" s="2" t="s">
        <v>488</v>
      </c>
      <c r="O1189" s="2" t="s">
        <v>115</v>
      </c>
      <c r="P1189" s="2" t="str">
        <f>"2170560132                    "</f>
        <v xml:space="preserve">2170560132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3.45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1.8</v>
      </c>
      <c r="BJ1189" s="2">
        <v>3.5</v>
      </c>
      <c r="BK1189" s="2">
        <v>4</v>
      </c>
      <c r="BL1189" s="2">
        <v>32.700000000000003</v>
      </c>
      <c r="BM1189" s="2">
        <v>4.58</v>
      </c>
      <c r="BN1189" s="2">
        <v>37.28</v>
      </c>
      <c r="BO1189" s="2">
        <v>37.28</v>
      </c>
      <c r="BP1189" s="2"/>
      <c r="BQ1189" s="2" t="s">
        <v>489</v>
      </c>
      <c r="BR1189" s="2" t="s">
        <v>123</v>
      </c>
      <c r="BS1189" s="3">
        <v>42829</v>
      </c>
      <c r="BT1189" s="4">
        <v>0.41666666666666669</v>
      </c>
      <c r="BU1189" s="2" t="s">
        <v>1750</v>
      </c>
      <c r="BV1189" s="2" t="s">
        <v>111</v>
      </c>
      <c r="BW1189" s="2"/>
      <c r="BX1189" s="2"/>
      <c r="BY1189" s="2">
        <v>17374.22</v>
      </c>
      <c r="BZ1189" s="2" t="s">
        <v>27</v>
      </c>
      <c r="CA1189" s="2"/>
      <c r="CB1189" s="2"/>
      <c r="CC1189" s="2" t="s">
        <v>75</v>
      </c>
      <c r="CD1189" s="2">
        <v>1645</v>
      </c>
      <c r="CE1189" s="2" t="s">
        <v>118</v>
      </c>
      <c r="CF1189" s="5">
        <v>42831</v>
      </c>
      <c r="CG1189" s="2"/>
      <c r="CH1189" s="2"/>
      <c r="CI1189" s="2">
        <v>1</v>
      </c>
      <c r="CJ1189" s="2">
        <v>1</v>
      </c>
      <c r="CK1189" s="2">
        <v>22</v>
      </c>
      <c r="CL1189" s="2" t="s">
        <v>86</v>
      </c>
      <c r="CM1189" s="2"/>
    </row>
    <row r="1190" spans="1:91">
      <c r="A1190" s="2" t="s">
        <v>71</v>
      </c>
      <c r="B1190" s="2" t="s">
        <v>72</v>
      </c>
      <c r="C1190" s="2" t="s">
        <v>73</v>
      </c>
      <c r="D1190" s="2"/>
      <c r="E1190" s="2" t="str">
        <f>"FES1162542187"</f>
        <v>FES1162542187</v>
      </c>
      <c r="F1190" s="3">
        <v>42831</v>
      </c>
      <c r="G1190" s="2">
        <v>201710</v>
      </c>
      <c r="H1190" s="2" t="s">
        <v>74</v>
      </c>
      <c r="I1190" s="2" t="s">
        <v>75</v>
      </c>
      <c r="J1190" s="2" t="s">
        <v>76</v>
      </c>
      <c r="K1190" s="2" t="s">
        <v>77</v>
      </c>
      <c r="L1190" s="2" t="s">
        <v>234</v>
      </c>
      <c r="M1190" s="2" t="s">
        <v>235</v>
      </c>
      <c r="N1190" s="2" t="s">
        <v>236</v>
      </c>
      <c r="O1190" s="2" t="s">
        <v>115</v>
      </c>
      <c r="P1190" s="2" t="str">
        <f>"2170561090                    "</f>
        <v xml:space="preserve">2170561090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6.43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3</v>
      </c>
      <c r="BJ1190" s="2">
        <v>2.2000000000000002</v>
      </c>
      <c r="BK1190" s="2">
        <v>3</v>
      </c>
      <c r="BL1190" s="2">
        <v>62.59</v>
      </c>
      <c r="BM1190" s="2">
        <v>8.76</v>
      </c>
      <c r="BN1190" s="2">
        <v>71.349999999999994</v>
      </c>
      <c r="BO1190" s="2">
        <v>71.349999999999994</v>
      </c>
      <c r="BP1190" s="2"/>
      <c r="BQ1190" s="2" t="s">
        <v>285</v>
      </c>
      <c r="BR1190" s="2" t="s">
        <v>123</v>
      </c>
      <c r="BS1190" s="3">
        <v>42832</v>
      </c>
      <c r="BT1190" s="4">
        <v>0.36805555555555558</v>
      </c>
      <c r="BU1190" s="2" t="s">
        <v>245</v>
      </c>
      <c r="BV1190" s="2" t="s">
        <v>111</v>
      </c>
      <c r="BW1190" s="2"/>
      <c r="BX1190" s="2"/>
      <c r="BY1190" s="2">
        <v>10847.49</v>
      </c>
      <c r="BZ1190" s="2" t="s">
        <v>27</v>
      </c>
      <c r="CA1190" s="2"/>
      <c r="CB1190" s="2"/>
      <c r="CC1190" s="2" t="s">
        <v>235</v>
      </c>
      <c r="CD1190" s="2">
        <v>6220</v>
      </c>
      <c r="CE1190" s="2" t="s">
        <v>172</v>
      </c>
      <c r="CF1190" s="5">
        <v>42835</v>
      </c>
      <c r="CG1190" s="2"/>
      <c r="CH1190" s="2"/>
      <c r="CI1190" s="2">
        <v>1</v>
      </c>
      <c r="CJ1190" s="2">
        <v>1</v>
      </c>
      <c r="CK1190" s="2">
        <v>21</v>
      </c>
      <c r="CL1190" s="2" t="s">
        <v>86</v>
      </c>
      <c r="CM1190" s="2"/>
    </row>
    <row r="1191" spans="1:91">
      <c r="A1191" s="2" t="s">
        <v>71</v>
      </c>
      <c r="B1191" s="2" t="s">
        <v>72</v>
      </c>
      <c r="C1191" s="2" t="s">
        <v>73</v>
      </c>
      <c r="D1191" s="2"/>
      <c r="E1191" s="2" t="str">
        <f>"FES1162541039"</f>
        <v>FES1162541039</v>
      </c>
      <c r="F1191" s="3">
        <v>42828</v>
      </c>
      <c r="G1191" s="2">
        <v>201710</v>
      </c>
      <c r="H1191" s="2" t="s">
        <v>74</v>
      </c>
      <c r="I1191" s="2" t="s">
        <v>75</v>
      </c>
      <c r="J1191" s="2" t="s">
        <v>76</v>
      </c>
      <c r="K1191" s="2" t="s">
        <v>77</v>
      </c>
      <c r="L1191" s="2" t="s">
        <v>160</v>
      </c>
      <c r="M1191" s="2" t="s">
        <v>161</v>
      </c>
      <c r="N1191" s="2" t="s">
        <v>463</v>
      </c>
      <c r="O1191" s="2" t="s">
        <v>115</v>
      </c>
      <c r="P1191" s="2" t="str">
        <f>"2170560050                    "</f>
        <v xml:space="preserve">2170560050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39.79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17.899999999999999</v>
      </c>
      <c r="BJ1191" s="2">
        <v>8.9</v>
      </c>
      <c r="BK1191" s="2">
        <v>18</v>
      </c>
      <c r="BL1191" s="2">
        <v>376.75</v>
      </c>
      <c r="BM1191" s="2">
        <v>52.75</v>
      </c>
      <c r="BN1191" s="2">
        <v>429.5</v>
      </c>
      <c r="BO1191" s="2">
        <v>429.5</v>
      </c>
      <c r="BP1191" s="2"/>
      <c r="BQ1191" s="2" t="s">
        <v>129</v>
      </c>
      <c r="BR1191" s="2" t="s">
        <v>123</v>
      </c>
      <c r="BS1191" s="3">
        <v>42829</v>
      </c>
      <c r="BT1191" s="4">
        <v>0.41666666666666669</v>
      </c>
      <c r="BU1191" s="2" t="s">
        <v>223</v>
      </c>
      <c r="BV1191" s="2" t="s">
        <v>111</v>
      </c>
      <c r="BW1191" s="2"/>
      <c r="BX1191" s="2"/>
      <c r="BY1191" s="2">
        <v>44528.78</v>
      </c>
      <c r="BZ1191" s="2" t="s">
        <v>27</v>
      </c>
      <c r="CA1191" s="2"/>
      <c r="CB1191" s="2"/>
      <c r="CC1191" s="2" t="s">
        <v>161</v>
      </c>
      <c r="CD1191" s="2">
        <v>5201</v>
      </c>
      <c r="CE1191" s="2" t="s">
        <v>135</v>
      </c>
      <c r="CF1191" s="5">
        <v>42831</v>
      </c>
      <c r="CG1191" s="2"/>
      <c r="CH1191" s="2"/>
      <c r="CI1191" s="2">
        <v>1</v>
      </c>
      <c r="CJ1191" s="2">
        <v>1</v>
      </c>
      <c r="CK1191" s="2">
        <v>21</v>
      </c>
      <c r="CL1191" s="2" t="s">
        <v>86</v>
      </c>
      <c r="CM1191" s="2"/>
    </row>
    <row r="1192" spans="1:91">
      <c r="A1192" s="2" t="s">
        <v>71</v>
      </c>
      <c r="B1192" s="2" t="s">
        <v>72</v>
      </c>
      <c r="C1192" s="2" t="s">
        <v>73</v>
      </c>
      <c r="D1192" s="2"/>
      <c r="E1192" s="2" t="str">
        <f>"FES1162542071"</f>
        <v>FES1162542071</v>
      </c>
      <c r="F1192" s="3">
        <v>42832</v>
      </c>
      <c r="G1192" s="2">
        <v>201710</v>
      </c>
      <c r="H1192" s="2" t="s">
        <v>74</v>
      </c>
      <c r="I1192" s="2" t="s">
        <v>75</v>
      </c>
      <c r="J1192" s="2" t="s">
        <v>76</v>
      </c>
      <c r="K1192" s="2" t="s">
        <v>77</v>
      </c>
      <c r="L1192" s="2" t="s">
        <v>166</v>
      </c>
      <c r="M1192" s="2" t="s">
        <v>167</v>
      </c>
      <c r="N1192" s="2" t="s">
        <v>168</v>
      </c>
      <c r="O1192" s="2" t="s">
        <v>115</v>
      </c>
      <c r="P1192" s="2" t="str">
        <f>"2170557851                    "</f>
        <v xml:space="preserve">2170557851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3.35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1</v>
      </c>
      <c r="BJ1192" s="2">
        <v>0.2</v>
      </c>
      <c r="BK1192" s="2">
        <v>1</v>
      </c>
      <c r="BL1192" s="2">
        <v>32.6</v>
      </c>
      <c r="BM1192" s="2">
        <v>4.5599999999999996</v>
      </c>
      <c r="BN1192" s="2">
        <v>37.159999999999997</v>
      </c>
      <c r="BO1192" s="2">
        <v>37.159999999999997</v>
      </c>
      <c r="BP1192" s="2"/>
      <c r="BQ1192" s="2" t="s">
        <v>169</v>
      </c>
      <c r="BR1192" s="2" t="s">
        <v>123</v>
      </c>
      <c r="BS1192" s="3">
        <v>42835</v>
      </c>
      <c r="BT1192" s="4">
        <v>0.33888888888888885</v>
      </c>
      <c r="BU1192" s="2" t="s">
        <v>823</v>
      </c>
      <c r="BV1192" s="2" t="s">
        <v>111</v>
      </c>
      <c r="BW1192" s="2"/>
      <c r="BX1192" s="2"/>
      <c r="BY1192" s="2">
        <v>1200</v>
      </c>
      <c r="BZ1192" s="2" t="s">
        <v>27</v>
      </c>
      <c r="CA1192" s="2" t="s">
        <v>171</v>
      </c>
      <c r="CB1192" s="2"/>
      <c r="CC1192" s="2" t="s">
        <v>167</v>
      </c>
      <c r="CD1192" s="2">
        <v>2094</v>
      </c>
      <c r="CE1192" s="2" t="s">
        <v>118</v>
      </c>
      <c r="CF1192" s="5">
        <v>42836</v>
      </c>
      <c r="CG1192" s="2"/>
      <c r="CH1192" s="2"/>
      <c r="CI1192" s="2">
        <v>1</v>
      </c>
      <c r="CJ1192" s="2">
        <v>1</v>
      </c>
      <c r="CK1192" s="2">
        <v>22</v>
      </c>
      <c r="CL1192" s="2" t="s">
        <v>86</v>
      </c>
      <c r="CM1192" s="2"/>
    </row>
    <row r="1193" spans="1:91">
      <c r="A1193" s="2" t="s">
        <v>71</v>
      </c>
      <c r="B1193" s="2" t="s">
        <v>72</v>
      </c>
      <c r="C1193" s="2" t="s">
        <v>73</v>
      </c>
      <c r="D1193" s="2"/>
      <c r="E1193" s="2" t="str">
        <f>"FES1162542180"</f>
        <v>FES1162542180</v>
      </c>
      <c r="F1193" s="3">
        <v>42831</v>
      </c>
      <c r="G1193" s="2">
        <v>201710</v>
      </c>
      <c r="H1193" s="2" t="s">
        <v>74</v>
      </c>
      <c r="I1193" s="2" t="s">
        <v>75</v>
      </c>
      <c r="J1193" s="2" t="s">
        <v>76</v>
      </c>
      <c r="K1193" s="2" t="s">
        <v>77</v>
      </c>
      <c r="L1193" s="2" t="s">
        <v>99</v>
      </c>
      <c r="M1193" s="2" t="s">
        <v>100</v>
      </c>
      <c r="N1193" s="2" t="s">
        <v>910</v>
      </c>
      <c r="O1193" s="2" t="s">
        <v>115</v>
      </c>
      <c r="P1193" s="2" t="str">
        <f>"2170561080                    "</f>
        <v xml:space="preserve">2170561080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10.72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2.5</v>
      </c>
      <c r="BJ1193" s="2">
        <v>4.8</v>
      </c>
      <c r="BK1193" s="2">
        <v>5</v>
      </c>
      <c r="BL1193" s="2">
        <v>104.32</v>
      </c>
      <c r="BM1193" s="2">
        <v>14.6</v>
      </c>
      <c r="BN1193" s="2">
        <v>118.92</v>
      </c>
      <c r="BO1193" s="2">
        <v>118.92</v>
      </c>
      <c r="BP1193" s="2"/>
      <c r="BQ1193" s="2" t="s">
        <v>911</v>
      </c>
      <c r="BR1193" s="2" t="s">
        <v>123</v>
      </c>
      <c r="BS1193" s="3">
        <v>42832</v>
      </c>
      <c r="BT1193" s="4">
        <v>0.36458333333333331</v>
      </c>
      <c r="BU1193" s="2" t="s">
        <v>1751</v>
      </c>
      <c r="BV1193" s="2" t="s">
        <v>111</v>
      </c>
      <c r="BW1193" s="2"/>
      <c r="BX1193" s="2"/>
      <c r="BY1193" s="2">
        <v>24214.69</v>
      </c>
      <c r="BZ1193" s="2" t="s">
        <v>27</v>
      </c>
      <c r="CA1193" s="2" t="s">
        <v>1752</v>
      </c>
      <c r="CB1193" s="2"/>
      <c r="CC1193" s="2" t="s">
        <v>100</v>
      </c>
      <c r="CD1193" s="2">
        <v>6065</v>
      </c>
      <c r="CE1193" s="2" t="s">
        <v>89</v>
      </c>
      <c r="CF1193" s="5">
        <v>42832</v>
      </c>
      <c r="CG1193" s="2"/>
      <c r="CH1193" s="2"/>
      <c r="CI1193" s="2">
        <v>1</v>
      </c>
      <c r="CJ1193" s="2">
        <v>1</v>
      </c>
      <c r="CK1193" s="2">
        <v>21</v>
      </c>
      <c r="CL1193" s="2" t="s">
        <v>86</v>
      </c>
      <c r="CM1193" s="2"/>
    </row>
    <row r="1194" spans="1:91">
      <c r="A1194" s="2" t="s">
        <v>71</v>
      </c>
      <c r="B1194" s="2" t="s">
        <v>72</v>
      </c>
      <c r="C1194" s="2" t="s">
        <v>73</v>
      </c>
      <c r="D1194" s="2"/>
      <c r="E1194" s="2" t="str">
        <f>"FES1162541015"</f>
        <v>FES1162541015</v>
      </c>
      <c r="F1194" s="3">
        <v>42828</v>
      </c>
      <c r="G1194" s="2">
        <v>201710</v>
      </c>
      <c r="H1194" s="2" t="s">
        <v>74</v>
      </c>
      <c r="I1194" s="2" t="s">
        <v>75</v>
      </c>
      <c r="J1194" s="2" t="s">
        <v>76</v>
      </c>
      <c r="K1194" s="2" t="s">
        <v>77</v>
      </c>
      <c r="L1194" s="2" t="s">
        <v>180</v>
      </c>
      <c r="M1194" s="2" t="s">
        <v>181</v>
      </c>
      <c r="N1194" s="2" t="s">
        <v>1247</v>
      </c>
      <c r="O1194" s="2" t="s">
        <v>115</v>
      </c>
      <c r="P1194" s="2" t="str">
        <f>"2170560083                    "</f>
        <v xml:space="preserve">2170560083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4.42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</v>
      </c>
      <c r="BJ1194" s="2">
        <v>0.2</v>
      </c>
      <c r="BK1194" s="2">
        <v>1</v>
      </c>
      <c r="BL1194" s="2">
        <v>41.86</v>
      </c>
      <c r="BM1194" s="2">
        <v>5.86</v>
      </c>
      <c r="BN1194" s="2">
        <v>47.72</v>
      </c>
      <c r="BO1194" s="2">
        <v>47.72</v>
      </c>
      <c r="BP1194" s="2"/>
      <c r="BQ1194" s="2" t="s">
        <v>129</v>
      </c>
      <c r="BR1194" s="2" t="s">
        <v>123</v>
      </c>
      <c r="BS1194" s="3">
        <v>42829</v>
      </c>
      <c r="BT1194" s="4">
        <v>0.4375</v>
      </c>
      <c r="BU1194" s="2" t="s">
        <v>1753</v>
      </c>
      <c r="BV1194" s="2" t="s">
        <v>111</v>
      </c>
      <c r="BW1194" s="2"/>
      <c r="BX1194" s="2"/>
      <c r="BY1194" s="2">
        <v>1200</v>
      </c>
      <c r="BZ1194" s="2" t="s">
        <v>27</v>
      </c>
      <c r="CA1194" s="2"/>
      <c r="CB1194" s="2"/>
      <c r="CC1194" s="2" t="s">
        <v>181</v>
      </c>
      <c r="CD1194" s="2">
        <v>4001</v>
      </c>
      <c r="CE1194" s="2" t="s">
        <v>144</v>
      </c>
      <c r="CF1194" s="5">
        <v>42831</v>
      </c>
      <c r="CG1194" s="2"/>
      <c r="CH1194" s="2"/>
      <c r="CI1194" s="2">
        <v>1</v>
      </c>
      <c r="CJ1194" s="2">
        <v>1</v>
      </c>
      <c r="CK1194" s="2">
        <v>21</v>
      </c>
      <c r="CL1194" s="2" t="s">
        <v>86</v>
      </c>
      <c r="CM1194" s="2"/>
    </row>
    <row r="1195" spans="1:91">
      <c r="A1195" s="2" t="s">
        <v>71</v>
      </c>
      <c r="B1195" s="2" t="s">
        <v>72</v>
      </c>
      <c r="C1195" s="2" t="s">
        <v>73</v>
      </c>
      <c r="D1195" s="2"/>
      <c r="E1195" s="2" t="str">
        <f>"FES1162542613"</f>
        <v>FES1162542613</v>
      </c>
      <c r="F1195" s="3">
        <v>42835</v>
      </c>
      <c r="G1195" s="2">
        <v>201710</v>
      </c>
      <c r="H1195" s="2" t="s">
        <v>74</v>
      </c>
      <c r="I1195" s="2" t="s">
        <v>75</v>
      </c>
      <c r="J1195" s="2" t="s">
        <v>76</v>
      </c>
      <c r="K1195" s="2" t="s">
        <v>77</v>
      </c>
      <c r="L1195" s="2" t="s">
        <v>275</v>
      </c>
      <c r="M1195" s="2" t="s">
        <v>276</v>
      </c>
      <c r="N1195" s="2" t="s">
        <v>277</v>
      </c>
      <c r="O1195" s="2" t="s">
        <v>115</v>
      </c>
      <c r="P1195" s="2" t="str">
        <f>"2170559055                    "</f>
        <v xml:space="preserve">2170559055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8.57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2</v>
      </c>
      <c r="BI1195" s="2">
        <v>4</v>
      </c>
      <c r="BJ1195" s="2">
        <v>2.7</v>
      </c>
      <c r="BK1195" s="2">
        <v>4</v>
      </c>
      <c r="BL1195" s="2">
        <v>83.45</v>
      </c>
      <c r="BM1195" s="2">
        <v>11.68</v>
      </c>
      <c r="BN1195" s="2">
        <v>95.13</v>
      </c>
      <c r="BO1195" s="2">
        <v>95.13</v>
      </c>
      <c r="BP1195" s="2"/>
      <c r="BQ1195" s="2" t="s">
        <v>278</v>
      </c>
      <c r="BR1195" s="2" t="s">
        <v>123</v>
      </c>
      <c r="BS1195" s="3">
        <v>42836</v>
      </c>
      <c r="BT1195" s="4">
        <v>0.34375</v>
      </c>
      <c r="BU1195" s="2" t="s">
        <v>279</v>
      </c>
      <c r="BV1195" s="2" t="s">
        <v>111</v>
      </c>
      <c r="BW1195" s="2"/>
      <c r="BX1195" s="2"/>
      <c r="BY1195" s="2">
        <v>13593.44</v>
      </c>
      <c r="BZ1195" s="2" t="s">
        <v>27</v>
      </c>
      <c r="CA1195" s="2"/>
      <c r="CB1195" s="2"/>
      <c r="CC1195" s="2" t="s">
        <v>276</v>
      </c>
      <c r="CD1195" s="2">
        <v>4126</v>
      </c>
      <c r="CE1195" s="2" t="s">
        <v>1232</v>
      </c>
      <c r="CF1195" s="5">
        <v>42837</v>
      </c>
      <c r="CG1195" s="2"/>
      <c r="CH1195" s="2"/>
      <c r="CI1195" s="2">
        <v>1</v>
      </c>
      <c r="CJ1195" s="2">
        <v>1</v>
      </c>
      <c r="CK1195" s="2">
        <v>21</v>
      </c>
      <c r="CL1195" s="2" t="s">
        <v>86</v>
      </c>
      <c r="CM1195" s="2"/>
    </row>
    <row r="1196" spans="1:91">
      <c r="A1196" s="2" t="s">
        <v>71</v>
      </c>
      <c r="B1196" s="2" t="s">
        <v>72</v>
      </c>
      <c r="C1196" s="2" t="s">
        <v>73</v>
      </c>
      <c r="D1196" s="2"/>
      <c r="E1196" s="2" t="str">
        <f>"FES1162540965"</f>
        <v>FES1162540965</v>
      </c>
      <c r="F1196" s="3">
        <v>42828</v>
      </c>
      <c r="G1196" s="2">
        <v>201710</v>
      </c>
      <c r="H1196" s="2" t="s">
        <v>74</v>
      </c>
      <c r="I1196" s="2" t="s">
        <v>75</v>
      </c>
      <c r="J1196" s="2" t="s">
        <v>76</v>
      </c>
      <c r="K1196" s="2" t="s">
        <v>77</v>
      </c>
      <c r="L1196" s="2" t="s">
        <v>358</v>
      </c>
      <c r="M1196" s="2" t="s">
        <v>359</v>
      </c>
      <c r="N1196" s="2" t="s">
        <v>800</v>
      </c>
      <c r="O1196" s="2" t="s">
        <v>115</v>
      </c>
      <c r="P1196" s="2" t="str">
        <f>"2170557950                    "</f>
        <v xml:space="preserve">2170557950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4.42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2</v>
      </c>
      <c r="BJ1196" s="2">
        <v>0.2</v>
      </c>
      <c r="BK1196" s="2">
        <v>2</v>
      </c>
      <c r="BL1196" s="2">
        <v>41.86</v>
      </c>
      <c r="BM1196" s="2">
        <v>5.86</v>
      </c>
      <c r="BN1196" s="2">
        <v>47.72</v>
      </c>
      <c r="BO1196" s="2">
        <v>47.72</v>
      </c>
      <c r="BP1196" s="2"/>
      <c r="BQ1196" s="2" t="s">
        <v>801</v>
      </c>
      <c r="BR1196" s="2" t="s">
        <v>123</v>
      </c>
      <c r="BS1196" s="3">
        <v>42829</v>
      </c>
      <c r="BT1196" s="4">
        <v>0.3125</v>
      </c>
      <c r="BU1196" s="2" t="s">
        <v>469</v>
      </c>
      <c r="BV1196" s="2" t="s">
        <v>111</v>
      </c>
      <c r="BW1196" s="2"/>
      <c r="BX1196" s="2"/>
      <c r="BY1196" s="2">
        <v>1200</v>
      </c>
      <c r="BZ1196" s="2" t="s">
        <v>27</v>
      </c>
      <c r="CA1196" s="2" t="s">
        <v>1754</v>
      </c>
      <c r="CB1196" s="2"/>
      <c r="CC1196" s="2" t="s">
        <v>359</v>
      </c>
      <c r="CD1196" s="2">
        <v>6230</v>
      </c>
      <c r="CE1196" s="2" t="s">
        <v>144</v>
      </c>
      <c r="CF1196" s="5">
        <v>42831</v>
      </c>
      <c r="CG1196" s="2"/>
      <c r="CH1196" s="2"/>
      <c r="CI1196" s="2">
        <v>1</v>
      </c>
      <c r="CJ1196" s="2">
        <v>1</v>
      </c>
      <c r="CK1196" s="2">
        <v>21</v>
      </c>
      <c r="CL1196" s="2" t="s">
        <v>86</v>
      </c>
      <c r="CM1196" s="2"/>
    </row>
    <row r="1197" spans="1:91">
      <c r="A1197" s="2" t="s">
        <v>71</v>
      </c>
      <c r="B1197" s="2" t="s">
        <v>72</v>
      </c>
      <c r="C1197" s="2" t="s">
        <v>73</v>
      </c>
      <c r="D1197" s="2"/>
      <c r="E1197" s="2" t="str">
        <f>"FES1162542448"</f>
        <v>FES1162542448</v>
      </c>
      <c r="F1197" s="3">
        <v>42832</v>
      </c>
      <c r="G1197" s="2">
        <v>201710</v>
      </c>
      <c r="H1197" s="2" t="s">
        <v>74</v>
      </c>
      <c r="I1197" s="2" t="s">
        <v>75</v>
      </c>
      <c r="J1197" s="2" t="s">
        <v>76</v>
      </c>
      <c r="K1197" s="2" t="s">
        <v>77</v>
      </c>
      <c r="L1197" s="2" t="s">
        <v>294</v>
      </c>
      <c r="M1197" s="2" t="s">
        <v>295</v>
      </c>
      <c r="N1197" s="2" t="s">
        <v>1129</v>
      </c>
      <c r="O1197" s="2" t="s">
        <v>115</v>
      </c>
      <c r="P1197" s="2" t="str">
        <f>"2170561338                    "</f>
        <v xml:space="preserve">2170561338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4.29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0.2</v>
      </c>
      <c r="BK1197" s="2">
        <v>1</v>
      </c>
      <c r="BL1197" s="2">
        <v>41.73</v>
      </c>
      <c r="BM1197" s="2">
        <v>5.84</v>
      </c>
      <c r="BN1197" s="2">
        <v>47.57</v>
      </c>
      <c r="BO1197" s="2">
        <v>47.57</v>
      </c>
      <c r="BP1197" s="2"/>
      <c r="BQ1197" s="2" t="s">
        <v>1130</v>
      </c>
      <c r="BR1197" s="2" t="s">
        <v>123</v>
      </c>
      <c r="BS1197" s="3">
        <v>42835</v>
      </c>
      <c r="BT1197" s="4">
        <v>0.4375</v>
      </c>
      <c r="BU1197" s="2" t="s">
        <v>1755</v>
      </c>
      <c r="BV1197" s="2" t="s">
        <v>111</v>
      </c>
      <c r="BW1197" s="2"/>
      <c r="BX1197" s="2"/>
      <c r="BY1197" s="2">
        <v>1200</v>
      </c>
      <c r="BZ1197" s="2" t="s">
        <v>27</v>
      </c>
      <c r="CA1197" s="2"/>
      <c r="CB1197" s="2"/>
      <c r="CC1197" s="2" t="s">
        <v>295</v>
      </c>
      <c r="CD1197" s="2">
        <v>3610</v>
      </c>
      <c r="CE1197" s="2" t="s">
        <v>118</v>
      </c>
      <c r="CF1197" s="5">
        <v>42836</v>
      </c>
      <c r="CG1197" s="2"/>
      <c r="CH1197" s="2"/>
      <c r="CI1197" s="2">
        <v>1</v>
      </c>
      <c r="CJ1197" s="2">
        <v>1</v>
      </c>
      <c r="CK1197" s="2">
        <v>21</v>
      </c>
      <c r="CL1197" s="2" t="s">
        <v>86</v>
      </c>
      <c r="CM1197" s="2"/>
    </row>
    <row r="1198" spans="1:91">
      <c r="A1198" s="2" t="s">
        <v>71</v>
      </c>
      <c r="B1198" s="2" t="s">
        <v>72</v>
      </c>
      <c r="C1198" s="2" t="s">
        <v>73</v>
      </c>
      <c r="D1198" s="2"/>
      <c r="E1198" s="2" t="str">
        <f>"FES1162541035"</f>
        <v>FES1162541035</v>
      </c>
      <c r="F1198" s="3">
        <v>42828</v>
      </c>
      <c r="G1198" s="2">
        <v>201710</v>
      </c>
      <c r="H1198" s="2" t="s">
        <v>74</v>
      </c>
      <c r="I1198" s="2" t="s">
        <v>75</v>
      </c>
      <c r="J1198" s="2" t="s">
        <v>76</v>
      </c>
      <c r="K1198" s="2" t="s">
        <v>77</v>
      </c>
      <c r="L1198" s="2" t="s">
        <v>180</v>
      </c>
      <c r="M1198" s="2" t="s">
        <v>181</v>
      </c>
      <c r="N1198" s="2" t="s">
        <v>931</v>
      </c>
      <c r="O1198" s="2" t="s">
        <v>115</v>
      </c>
      <c r="P1198" s="2" t="str">
        <f>"2170560170                    "</f>
        <v xml:space="preserve">2170560170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68.540000000000006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26.5</v>
      </c>
      <c r="BJ1198" s="2">
        <v>30.9</v>
      </c>
      <c r="BK1198" s="2">
        <v>31</v>
      </c>
      <c r="BL1198" s="2">
        <v>648.86</v>
      </c>
      <c r="BM1198" s="2">
        <v>90.84</v>
      </c>
      <c r="BN1198" s="2">
        <v>739.7</v>
      </c>
      <c r="BO1198" s="2">
        <v>739.7</v>
      </c>
      <c r="BP1198" s="2"/>
      <c r="BQ1198" s="2" t="s">
        <v>1756</v>
      </c>
      <c r="BR1198" s="2" t="s">
        <v>123</v>
      </c>
      <c r="BS1198" s="3">
        <v>42829</v>
      </c>
      <c r="BT1198" s="4">
        <v>0.40625</v>
      </c>
      <c r="BU1198" s="2" t="s">
        <v>1757</v>
      </c>
      <c r="BV1198" s="2" t="s">
        <v>111</v>
      </c>
      <c r="BW1198" s="2"/>
      <c r="BX1198" s="2"/>
      <c r="BY1198" s="2">
        <v>154374.66</v>
      </c>
      <c r="BZ1198" s="2" t="s">
        <v>27</v>
      </c>
      <c r="CA1198" s="2" t="s">
        <v>159</v>
      </c>
      <c r="CB1198" s="2"/>
      <c r="CC1198" s="2" t="s">
        <v>181</v>
      </c>
      <c r="CD1198" s="2">
        <v>4072</v>
      </c>
      <c r="CE1198" s="2" t="s">
        <v>135</v>
      </c>
      <c r="CF1198" s="5">
        <v>42831</v>
      </c>
      <c r="CG1198" s="2"/>
      <c r="CH1198" s="2"/>
      <c r="CI1198" s="2">
        <v>1</v>
      </c>
      <c r="CJ1198" s="2">
        <v>1</v>
      </c>
      <c r="CK1198" s="2">
        <v>21</v>
      </c>
      <c r="CL1198" s="2" t="s">
        <v>86</v>
      </c>
      <c r="CM1198" s="2"/>
    </row>
    <row r="1199" spans="1:91">
      <c r="A1199" s="2" t="s">
        <v>71</v>
      </c>
      <c r="B1199" s="2" t="s">
        <v>72</v>
      </c>
      <c r="C1199" s="2" t="s">
        <v>73</v>
      </c>
      <c r="D1199" s="2"/>
      <c r="E1199" s="2" t="str">
        <f>"FES1162542578"</f>
        <v>FES1162542578</v>
      </c>
      <c r="F1199" s="3">
        <v>42835</v>
      </c>
      <c r="G1199" s="2">
        <v>201710</v>
      </c>
      <c r="H1199" s="2" t="s">
        <v>74</v>
      </c>
      <c r="I1199" s="2" t="s">
        <v>75</v>
      </c>
      <c r="J1199" s="2" t="s">
        <v>76</v>
      </c>
      <c r="K1199" s="2" t="s">
        <v>77</v>
      </c>
      <c r="L1199" s="2" t="s">
        <v>131</v>
      </c>
      <c r="M1199" s="2" t="s">
        <v>132</v>
      </c>
      <c r="N1199" s="2" t="s">
        <v>363</v>
      </c>
      <c r="O1199" s="2" t="s">
        <v>115</v>
      </c>
      <c r="P1199" s="2" t="str">
        <f>"2170559009                    "</f>
        <v xml:space="preserve">2170559009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25.72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2</v>
      </c>
      <c r="BI1199" s="2">
        <v>12</v>
      </c>
      <c r="BJ1199" s="2">
        <v>3.4</v>
      </c>
      <c r="BK1199" s="2">
        <v>12</v>
      </c>
      <c r="BL1199" s="2">
        <v>250.36</v>
      </c>
      <c r="BM1199" s="2">
        <v>35.049999999999997</v>
      </c>
      <c r="BN1199" s="2">
        <v>285.41000000000003</v>
      </c>
      <c r="BO1199" s="2">
        <v>285.41000000000003</v>
      </c>
      <c r="BP1199" s="2"/>
      <c r="BQ1199" s="2" t="s">
        <v>170</v>
      </c>
      <c r="BR1199" s="2" t="s">
        <v>123</v>
      </c>
      <c r="BS1199" s="3">
        <v>42836</v>
      </c>
      <c r="BT1199" s="4">
        <v>0.41666666666666669</v>
      </c>
      <c r="BU1199" s="2" t="s">
        <v>1758</v>
      </c>
      <c r="BV1199" s="2" t="s">
        <v>111</v>
      </c>
      <c r="BW1199" s="2"/>
      <c r="BX1199" s="2"/>
      <c r="BY1199" s="2">
        <v>16954.3</v>
      </c>
      <c r="BZ1199" s="2" t="s">
        <v>27</v>
      </c>
      <c r="CA1199" s="2" t="s">
        <v>159</v>
      </c>
      <c r="CB1199" s="2"/>
      <c r="CC1199" s="2" t="s">
        <v>132</v>
      </c>
      <c r="CD1199" s="2">
        <v>7441</v>
      </c>
      <c r="CE1199" s="2" t="s">
        <v>1759</v>
      </c>
      <c r="CF1199" s="5">
        <v>42837</v>
      </c>
      <c r="CG1199" s="2"/>
      <c r="CH1199" s="2"/>
      <c r="CI1199" s="2">
        <v>1</v>
      </c>
      <c r="CJ1199" s="2">
        <v>1</v>
      </c>
      <c r="CK1199" s="2">
        <v>21</v>
      </c>
      <c r="CL1199" s="2" t="s">
        <v>86</v>
      </c>
      <c r="CM1199" s="2"/>
    </row>
    <row r="1200" spans="1:91">
      <c r="A1200" s="2" t="s">
        <v>71</v>
      </c>
      <c r="B1200" s="2" t="s">
        <v>72</v>
      </c>
      <c r="C1200" s="2" t="s">
        <v>73</v>
      </c>
      <c r="D1200" s="2"/>
      <c r="E1200" s="2" t="str">
        <f>"FES1162540978"</f>
        <v>FES1162540978</v>
      </c>
      <c r="F1200" s="3">
        <v>42828</v>
      </c>
      <c r="G1200" s="2">
        <v>201710</v>
      </c>
      <c r="H1200" s="2" t="s">
        <v>74</v>
      </c>
      <c r="I1200" s="2" t="s">
        <v>75</v>
      </c>
      <c r="J1200" s="2" t="s">
        <v>76</v>
      </c>
      <c r="K1200" s="2" t="s">
        <v>77</v>
      </c>
      <c r="L1200" s="2" t="s">
        <v>176</v>
      </c>
      <c r="M1200" s="2" t="s">
        <v>176</v>
      </c>
      <c r="N1200" s="2" t="s">
        <v>177</v>
      </c>
      <c r="O1200" s="2" t="s">
        <v>115</v>
      </c>
      <c r="P1200" s="2" t="str">
        <f>"2170560058                    "</f>
        <v xml:space="preserve">2170560058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12.16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5.3</v>
      </c>
      <c r="BJ1200" s="2">
        <v>3.5</v>
      </c>
      <c r="BK1200" s="2">
        <v>5.5</v>
      </c>
      <c r="BL1200" s="2">
        <v>115.12</v>
      </c>
      <c r="BM1200" s="2">
        <v>16.12</v>
      </c>
      <c r="BN1200" s="2">
        <v>131.24</v>
      </c>
      <c r="BO1200" s="2">
        <v>131.24</v>
      </c>
      <c r="BP1200" s="2"/>
      <c r="BQ1200" s="2" t="s">
        <v>178</v>
      </c>
      <c r="BR1200" s="2" t="s">
        <v>123</v>
      </c>
      <c r="BS1200" s="3">
        <v>42829</v>
      </c>
      <c r="BT1200" s="4">
        <v>0.54513888888888895</v>
      </c>
      <c r="BU1200" s="2" t="s">
        <v>1718</v>
      </c>
      <c r="BV1200" s="2" t="s">
        <v>111</v>
      </c>
      <c r="BW1200" s="2"/>
      <c r="BX1200" s="2"/>
      <c r="BY1200" s="2">
        <v>17280.12</v>
      </c>
      <c r="BZ1200" s="2" t="s">
        <v>27</v>
      </c>
      <c r="CA1200" s="2"/>
      <c r="CB1200" s="2"/>
      <c r="CC1200" s="2" t="s">
        <v>176</v>
      </c>
      <c r="CD1200" s="2">
        <v>7646</v>
      </c>
      <c r="CE1200" s="2" t="s">
        <v>135</v>
      </c>
      <c r="CF1200" s="5">
        <v>42830</v>
      </c>
      <c r="CG1200" s="2"/>
      <c r="CH1200" s="2"/>
      <c r="CI1200" s="2">
        <v>1</v>
      </c>
      <c r="CJ1200" s="2">
        <v>1</v>
      </c>
      <c r="CK1200" s="2">
        <v>21</v>
      </c>
      <c r="CL1200" s="2" t="s">
        <v>86</v>
      </c>
      <c r="CM1200" s="2"/>
    </row>
    <row r="1201" spans="1:91">
      <c r="A1201" s="2" t="s">
        <v>71</v>
      </c>
      <c r="B1201" s="2" t="s">
        <v>72</v>
      </c>
      <c r="C1201" s="2" t="s">
        <v>73</v>
      </c>
      <c r="D1201" s="2"/>
      <c r="E1201" s="2" t="str">
        <f>"FES1162542286"</f>
        <v>FES1162542286</v>
      </c>
      <c r="F1201" s="3">
        <v>42832</v>
      </c>
      <c r="G1201" s="2">
        <v>201710</v>
      </c>
      <c r="H1201" s="2" t="s">
        <v>74</v>
      </c>
      <c r="I1201" s="2" t="s">
        <v>75</v>
      </c>
      <c r="J1201" s="2" t="s">
        <v>76</v>
      </c>
      <c r="K1201" s="2" t="s">
        <v>77</v>
      </c>
      <c r="L1201" s="2" t="s">
        <v>131</v>
      </c>
      <c r="M1201" s="2" t="s">
        <v>132</v>
      </c>
      <c r="N1201" s="2" t="s">
        <v>649</v>
      </c>
      <c r="O1201" s="2" t="s">
        <v>115</v>
      </c>
      <c r="P1201" s="2" t="str">
        <f>"2170559093                    "</f>
        <v xml:space="preserve">2170559093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4.29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1</v>
      </c>
      <c r="BJ1201" s="2">
        <v>0.2</v>
      </c>
      <c r="BK1201" s="2">
        <v>1</v>
      </c>
      <c r="BL1201" s="2">
        <v>41.73</v>
      </c>
      <c r="BM1201" s="2">
        <v>5.84</v>
      </c>
      <c r="BN1201" s="2">
        <v>47.57</v>
      </c>
      <c r="BO1201" s="2">
        <v>47.57</v>
      </c>
      <c r="BP1201" s="2"/>
      <c r="BQ1201" s="2" t="s">
        <v>650</v>
      </c>
      <c r="BR1201" s="2" t="s">
        <v>123</v>
      </c>
      <c r="BS1201" s="3">
        <v>42835</v>
      </c>
      <c r="BT1201" s="4">
        <v>0.41666666666666669</v>
      </c>
      <c r="BU1201" s="2" t="s">
        <v>130</v>
      </c>
      <c r="BV1201" s="2" t="s">
        <v>111</v>
      </c>
      <c r="BW1201" s="2"/>
      <c r="BX1201" s="2"/>
      <c r="BY1201" s="2">
        <v>1200</v>
      </c>
      <c r="BZ1201" s="2" t="s">
        <v>27</v>
      </c>
      <c r="CA1201" s="2"/>
      <c r="CB1201" s="2"/>
      <c r="CC1201" s="2" t="s">
        <v>132</v>
      </c>
      <c r="CD1201" s="2">
        <v>7405</v>
      </c>
      <c r="CE1201" s="2" t="s">
        <v>144</v>
      </c>
      <c r="CF1201" s="5">
        <v>42836</v>
      </c>
      <c r="CG1201" s="2"/>
      <c r="CH1201" s="2"/>
      <c r="CI1201" s="2">
        <v>1</v>
      </c>
      <c r="CJ1201" s="2">
        <v>1</v>
      </c>
      <c r="CK1201" s="2">
        <v>21</v>
      </c>
      <c r="CL1201" s="2" t="s">
        <v>86</v>
      </c>
      <c r="CM1201" s="2"/>
    </row>
    <row r="1202" spans="1:91">
      <c r="A1202" s="2" t="s">
        <v>71</v>
      </c>
      <c r="B1202" s="2" t="s">
        <v>72</v>
      </c>
      <c r="C1202" s="2" t="s">
        <v>73</v>
      </c>
      <c r="D1202" s="2"/>
      <c r="E1202" s="2" t="str">
        <f>"FES1162543422"</f>
        <v>FES1162543422</v>
      </c>
      <c r="F1202" s="3">
        <v>42837</v>
      </c>
      <c r="G1202" s="2">
        <v>201710</v>
      </c>
      <c r="H1202" s="2" t="s">
        <v>74</v>
      </c>
      <c r="I1202" s="2" t="s">
        <v>75</v>
      </c>
      <c r="J1202" s="2" t="s">
        <v>76</v>
      </c>
      <c r="K1202" s="2" t="s">
        <v>77</v>
      </c>
      <c r="L1202" s="2" t="s">
        <v>131</v>
      </c>
      <c r="M1202" s="2" t="s">
        <v>132</v>
      </c>
      <c r="N1202" s="2" t="s">
        <v>384</v>
      </c>
      <c r="O1202" s="2" t="s">
        <v>115</v>
      </c>
      <c r="P1202" s="2" t="str">
        <f>"2170562112                    "</f>
        <v xml:space="preserve">2170562112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4.29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1</v>
      </c>
      <c r="BI1202" s="2">
        <v>0.4</v>
      </c>
      <c r="BJ1202" s="2">
        <v>1</v>
      </c>
      <c r="BK1202" s="2">
        <v>1</v>
      </c>
      <c r="BL1202" s="2">
        <v>41.73</v>
      </c>
      <c r="BM1202" s="2">
        <v>5.84</v>
      </c>
      <c r="BN1202" s="2">
        <v>47.57</v>
      </c>
      <c r="BO1202" s="2">
        <v>47.57</v>
      </c>
      <c r="BP1202" s="2"/>
      <c r="BQ1202" s="2" t="s">
        <v>1272</v>
      </c>
      <c r="BR1202" s="2" t="s">
        <v>84</v>
      </c>
      <c r="BS1202" s="3">
        <v>42838</v>
      </c>
      <c r="BT1202" s="4">
        <v>0.375</v>
      </c>
      <c r="BU1202" s="2" t="s">
        <v>1345</v>
      </c>
      <c r="BV1202" s="2" t="s">
        <v>111</v>
      </c>
      <c r="BW1202" s="2"/>
      <c r="BX1202" s="2"/>
      <c r="BY1202" s="2">
        <v>4936.1000000000004</v>
      </c>
      <c r="BZ1202" s="2" t="s">
        <v>27</v>
      </c>
      <c r="CA1202" s="2"/>
      <c r="CB1202" s="2"/>
      <c r="CC1202" s="2" t="s">
        <v>132</v>
      </c>
      <c r="CD1202" s="2">
        <v>7530</v>
      </c>
      <c r="CE1202" s="2" t="s">
        <v>118</v>
      </c>
      <c r="CF1202" s="5">
        <v>42843</v>
      </c>
      <c r="CG1202" s="2"/>
      <c r="CH1202" s="2"/>
      <c r="CI1202" s="2">
        <v>1</v>
      </c>
      <c r="CJ1202" s="2">
        <v>1</v>
      </c>
      <c r="CK1202" s="2">
        <v>21</v>
      </c>
      <c r="CL1202" s="2" t="s">
        <v>86</v>
      </c>
      <c r="CM1202" s="2"/>
    </row>
    <row r="1203" spans="1:91">
      <c r="A1203" s="2" t="s">
        <v>71</v>
      </c>
      <c r="B1203" s="2" t="s">
        <v>72</v>
      </c>
      <c r="C1203" s="2" t="s">
        <v>73</v>
      </c>
      <c r="D1203" s="2"/>
      <c r="E1203" s="2" t="str">
        <f>"FES1162542531"</f>
        <v>FES1162542531</v>
      </c>
      <c r="F1203" s="3">
        <v>42835</v>
      </c>
      <c r="G1203" s="2">
        <v>201710</v>
      </c>
      <c r="H1203" s="2" t="s">
        <v>74</v>
      </c>
      <c r="I1203" s="2" t="s">
        <v>75</v>
      </c>
      <c r="J1203" s="2" t="s">
        <v>76</v>
      </c>
      <c r="K1203" s="2" t="s">
        <v>77</v>
      </c>
      <c r="L1203" s="2" t="s">
        <v>496</v>
      </c>
      <c r="M1203" s="2" t="s">
        <v>497</v>
      </c>
      <c r="N1203" s="2" t="s">
        <v>498</v>
      </c>
      <c r="O1203" s="2" t="s">
        <v>115</v>
      </c>
      <c r="P1203" s="2" t="str">
        <f>"2170542531                    "</f>
        <v xml:space="preserve">2170542531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3.35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1</v>
      </c>
      <c r="BJ1203" s="2">
        <v>0.2</v>
      </c>
      <c r="BK1203" s="2">
        <v>1</v>
      </c>
      <c r="BL1203" s="2">
        <v>32.6</v>
      </c>
      <c r="BM1203" s="2">
        <v>4.5599999999999996</v>
      </c>
      <c r="BN1203" s="2">
        <v>37.159999999999997</v>
      </c>
      <c r="BO1203" s="2">
        <v>37.159999999999997</v>
      </c>
      <c r="BP1203" s="2"/>
      <c r="BQ1203" s="2" t="s">
        <v>122</v>
      </c>
      <c r="BR1203" s="2" t="s">
        <v>123</v>
      </c>
      <c r="BS1203" s="3">
        <v>42836</v>
      </c>
      <c r="BT1203" s="4">
        <v>0.33749999999999997</v>
      </c>
      <c r="BU1203" s="2" t="s">
        <v>1760</v>
      </c>
      <c r="BV1203" s="2" t="s">
        <v>111</v>
      </c>
      <c r="BW1203" s="2"/>
      <c r="BX1203" s="2"/>
      <c r="BY1203" s="2">
        <v>1200</v>
      </c>
      <c r="BZ1203" s="2" t="s">
        <v>27</v>
      </c>
      <c r="CA1203" s="2" t="s">
        <v>1041</v>
      </c>
      <c r="CB1203" s="2"/>
      <c r="CC1203" s="2" t="s">
        <v>497</v>
      </c>
      <c r="CD1203" s="2">
        <v>1559</v>
      </c>
      <c r="CE1203" s="2" t="s">
        <v>118</v>
      </c>
      <c r="CF1203" s="5">
        <v>42836</v>
      </c>
      <c r="CG1203" s="2"/>
      <c r="CH1203" s="2"/>
      <c r="CI1203" s="2">
        <v>1</v>
      </c>
      <c r="CJ1203" s="2">
        <v>1</v>
      </c>
      <c r="CK1203" s="2">
        <v>22</v>
      </c>
      <c r="CL1203" s="2" t="s">
        <v>86</v>
      </c>
      <c r="CM1203" s="2"/>
    </row>
    <row r="1204" spans="1:91">
      <c r="A1204" s="2" t="s">
        <v>71</v>
      </c>
      <c r="B1204" s="2" t="s">
        <v>72</v>
      </c>
      <c r="C1204" s="2" t="s">
        <v>73</v>
      </c>
      <c r="D1204" s="2"/>
      <c r="E1204" s="2" t="str">
        <f>"FES1162540962"</f>
        <v>FES1162540962</v>
      </c>
      <c r="F1204" s="3">
        <v>42828</v>
      </c>
      <c r="G1204" s="2">
        <v>201710</v>
      </c>
      <c r="H1204" s="2" t="s">
        <v>74</v>
      </c>
      <c r="I1204" s="2" t="s">
        <v>75</v>
      </c>
      <c r="J1204" s="2" t="s">
        <v>76</v>
      </c>
      <c r="K1204" s="2" t="s">
        <v>77</v>
      </c>
      <c r="L1204" s="2" t="s">
        <v>492</v>
      </c>
      <c r="M1204" s="2" t="s">
        <v>493</v>
      </c>
      <c r="N1204" s="2" t="s">
        <v>878</v>
      </c>
      <c r="O1204" s="2" t="s">
        <v>115</v>
      </c>
      <c r="P1204" s="2" t="str">
        <f>"2170557855                    "</f>
        <v xml:space="preserve">2170557855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5.53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2.2999999999999998</v>
      </c>
      <c r="BJ1204" s="2">
        <v>1.4</v>
      </c>
      <c r="BK1204" s="2">
        <v>2.5</v>
      </c>
      <c r="BL1204" s="2">
        <v>52.33</v>
      </c>
      <c r="BM1204" s="2">
        <v>7.33</v>
      </c>
      <c r="BN1204" s="2">
        <v>59.66</v>
      </c>
      <c r="BO1204" s="2">
        <v>59.66</v>
      </c>
      <c r="BP1204" s="2"/>
      <c r="BQ1204" s="2" t="s">
        <v>116</v>
      </c>
      <c r="BR1204" s="2" t="s">
        <v>123</v>
      </c>
      <c r="BS1204" s="3">
        <v>42829</v>
      </c>
      <c r="BT1204" s="4">
        <v>0.41666666666666669</v>
      </c>
      <c r="BU1204" s="2" t="s">
        <v>1761</v>
      </c>
      <c r="BV1204" s="2" t="s">
        <v>111</v>
      </c>
      <c r="BW1204" s="2"/>
      <c r="BX1204" s="2"/>
      <c r="BY1204" s="2">
        <v>6984.45</v>
      </c>
      <c r="BZ1204" s="2" t="s">
        <v>27</v>
      </c>
      <c r="CA1204" s="2"/>
      <c r="CB1204" s="2"/>
      <c r="CC1204" s="2" t="s">
        <v>493</v>
      </c>
      <c r="CD1204" s="2">
        <v>7140</v>
      </c>
      <c r="CE1204" s="2" t="s">
        <v>135</v>
      </c>
      <c r="CF1204" s="5">
        <v>42830</v>
      </c>
      <c r="CG1204" s="2"/>
      <c r="CH1204" s="2"/>
      <c r="CI1204" s="2">
        <v>1</v>
      </c>
      <c r="CJ1204" s="2">
        <v>1</v>
      </c>
      <c r="CK1204" s="2">
        <v>21</v>
      </c>
      <c r="CL1204" s="2" t="s">
        <v>86</v>
      </c>
      <c r="CM1204" s="2"/>
    </row>
    <row r="1205" spans="1:91">
      <c r="A1205" s="2" t="s">
        <v>71</v>
      </c>
      <c r="B1205" s="2" t="s">
        <v>72</v>
      </c>
      <c r="C1205" s="2" t="s">
        <v>73</v>
      </c>
      <c r="D1205" s="2"/>
      <c r="E1205" s="2" t="str">
        <f>"FES1162540976"</f>
        <v>FES1162540976</v>
      </c>
      <c r="F1205" s="3">
        <v>42828</v>
      </c>
      <c r="G1205" s="2">
        <v>201710</v>
      </c>
      <c r="H1205" s="2" t="s">
        <v>74</v>
      </c>
      <c r="I1205" s="2" t="s">
        <v>75</v>
      </c>
      <c r="J1205" s="2" t="s">
        <v>76</v>
      </c>
      <c r="K1205" s="2" t="s">
        <v>77</v>
      </c>
      <c r="L1205" s="2" t="s">
        <v>131</v>
      </c>
      <c r="M1205" s="2" t="s">
        <v>132</v>
      </c>
      <c r="N1205" s="2" t="s">
        <v>744</v>
      </c>
      <c r="O1205" s="2" t="s">
        <v>115</v>
      </c>
      <c r="P1205" s="2" t="str">
        <f>"2170560056                    "</f>
        <v xml:space="preserve">2170560056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4.42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1</v>
      </c>
      <c r="BJ1205" s="2">
        <v>0.2</v>
      </c>
      <c r="BK1205" s="2">
        <v>1</v>
      </c>
      <c r="BL1205" s="2">
        <v>41.86</v>
      </c>
      <c r="BM1205" s="2">
        <v>5.86</v>
      </c>
      <c r="BN1205" s="2">
        <v>47.72</v>
      </c>
      <c r="BO1205" s="2">
        <v>47.72</v>
      </c>
      <c r="BP1205" s="2"/>
      <c r="BQ1205" s="2" t="s">
        <v>138</v>
      </c>
      <c r="BR1205" s="2" t="s">
        <v>123</v>
      </c>
      <c r="BS1205" s="3">
        <v>42829</v>
      </c>
      <c r="BT1205" s="4">
        <v>0.50138888888888888</v>
      </c>
      <c r="BU1205" s="2" t="s">
        <v>1762</v>
      </c>
      <c r="BV1205" s="2" t="s">
        <v>86</v>
      </c>
      <c r="BW1205" s="2" t="s">
        <v>157</v>
      </c>
      <c r="BX1205" s="2" t="s">
        <v>158</v>
      </c>
      <c r="BY1205" s="2">
        <v>1200</v>
      </c>
      <c r="BZ1205" s="2" t="s">
        <v>27</v>
      </c>
      <c r="CA1205" s="2"/>
      <c r="CB1205" s="2"/>
      <c r="CC1205" s="2" t="s">
        <v>132</v>
      </c>
      <c r="CD1205" s="2">
        <v>7405</v>
      </c>
      <c r="CE1205" s="2" t="s">
        <v>144</v>
      </c>
      <c r="CF1205" s="5">
        <v>42830</v>
      </c>
      <c r="CG1205" s="2"/>
      <c r="CH1205" s="2"/>
      <c r="CI1205" s="2">
        <v>1</v>
      </c>
      <c r="CJ1205" s="2">
        <v>1</v>
      </c>
      <c r="CK1205" s="2">
        <v>21</v>
      </c>
      <c r="CL1205" s="2" t="s">
        <v>86</v>
      </c>
      <c r="CM1205" s="2"/>
    </row>
    <row r="1206" spans="1:91">
      <c r="A1206" s="2" t="s">
        <v>71</v>
      </c>
      <c r="B1206" s="2" t="s">
        <v>72</v>
      </c>
      <c r="C1206" s="2" t="s">
        <v>73</v>
      </c>
      <c r="D1206" s="2"/>
      <c r="E1206" s="2" t="str">
        <f>"FES1162542494"</f>
        <v>FES1162542494</v>
      </c>
      <c r="F1206" s="3">
        <v>42835</v>
      </c>
      <c r="G1206" s="2">
        <v>201710</v>
      </c>
      <c r="H1206" s="2" t="s">
        <v>74</v>
      </c>
      <c r="I1206" s="2" t="s">
        <v>75</v>
      </c>
      <c r="J1206" s="2" t="s">
        <v>76</v>
      </c>
      <c r="K1206" s="2" t="s">
        <v>77</v>
      </c>
      <c r="L1206" s="2" t="s">
        <v>1026</v>
      </c>
      <c r="M1206" s="2" t="s">
        <v>1027</v>
      </c>
      <c r="N1206" s="2" t="s">
        <v>1453</v>
      </c>
      <c r="O1206" s="2" t="s">
        <v>115</v>
      </c>
      <c r="P1206" s="2" t="str">
        <f>"2170559985                    "</f>
        <v xml:space="preserve">2170559985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12.06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2.7</v>
      </c>
      <c r="BJ1206" s="2">
        <v>1.7</v>
      </c>
      <c r="BK1206" s="2">
        <v>3</v>
      </c>
      <c r="BL1206" s="2">
        <v>117.36</v>
      </c>
      <c r="BM1206" s="2">
        <v>16.43</v>
      </c>
      <c r="BN1206" s="2">
        <v>133.79</v>
      </c>
      <c r="BO1206" s="2">
        <v>133.79</v>
      </c>
      <c r="BP1206" s="2"/>
      <c r="BQ1206" s="2"/>
      <c r="BR1206" s="2" t="s">
        <v>123</v>
      </c>
      <c r="BS1206" s="3">
        <v>42836</v>
      </c>
      <c r="BT1206" s="4">
        <v>0.41666666666666669</v>
      </c>
      <c r="BU1206" s="2" t="s">
        <v>1080</v>
      </c>
      <c r="BV1206" s="2" t="s">
        <v>111</v>
      </c>
      <c r="BW1206" s="2"/>
      <c r="BX1206" s="2"/>
      <c r="BY1206" s="2">
        <v>8501.94</v>
      </c>
      <c r="BZ1206" s="2" t="s">
        <v>27</v>
      </c>
      <c r="CA1206" s="2"/>
      <c r="CB1206" s="2"/>
      <c r="CC1206" s="2" t="s">
        <v>1027</v>
      </c>
      <c r="CD1206" s="2">
        <v>7349</v>
      </c>
      <c r="CE1206" s="2" t="s">
        <v>135</v>
      </c>
      <c r="CF1206" s="5">
        <v>42837</v>
      </c>
      <c r="CG1206" s="2"/>
      <c r="CH1206" s="2"/>
      <c r="CI1206" s="2">
        <v>1</v>
      </c>
      <c r="CJ1206" s="2">
        <v>1</v>
      </c>
      <c r="CK1206" s="2">
        <v>23</v>
      </c>
      <c r="CL1206" s="2" t="s">
        <v>86</v>
      </c>
      <c r="CM1206" s="2"/>
    </row>
    <row r="1207" spans="1:91">
      <c r="A1207" s="2" t="s">
        <v>71</v>
      </c>
      <c r="B1207" s="2" t="s">
        <v>72</v>
      </c>
      <c r="C1207" s="2" t="s">
        <v>73</v>
      </c>
      <c r="D1207" s="2"/>
      <c r="E1207" s="2" t="str">
        <f>"FES1162541044"</f>
        <v>FES1162541044</v>
      </c>
      <c r="F1207" s="3">
        <v>42828</v>
      </c>
      <c r="G1207" s="2">
        <v>201710</v>
      </c>
      <c r="H1207" s="2" t="s">
        <v>74</v>
      </c>
      <c r="I1207" s="2" t="s">
        <v>75</v>
      </c>
      <c r="J1207" s="2" t="s">
        <v>76</v>
      </c>
      <c r="K1207" s="2" t="s">
        <v>77</v>
      </c>
      <c r="L1207" s="2" t="s">
        <v>180</v>
      </c>
      <c r="M1207" s="2" t="s">
        <v>181</v>
      </c>
      <c r="N1207" s="2" t="s">
        <v>320</v>
      </c>
      <c r="O1207" s="2" t="s">
        <v>115</v>
      </c>
      <c r="P1207" s="2" t="str">
        <f>"2170560112                    "</f>
        <v xml:space="preserve">2170560112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4.42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1</v>
      </c>
      <c r="BJ1207" s="2">
        <v>0.9</v>
      </c>
      <c r="BK1207" s="2">
        <v>1</v>
      </c>
      <c r="BL1207" s="2">
        <v>41.86</v>
      </c>
      <c r="BM1207" s="2">
        <v>5.86</v>
      </c>
      <c r="BN1207" s="2">
        <v>47.72</v>
      </c>
      <c r="BO1207" s="2">
        <v>47.72</v>
      </c>
      <c r="BP1207" s="2"/>
      <c r="BQ1207" s="2" t="s">
        <v>129</v>
      </c>
      <c r="BR1207" s="2" t="s">
        <v>123</v>
      </c>
      <c r="BS1207" s="3">
        <v>42829</v>
      </c>
      <c r="BT1207" s="4">
        <v>0.4375</v>
      </c>
      <c r="BU1207" s="2" t="s">
        <v>1763</v>
      </c>
      <c r="BV1207" s="2" t="s">
        <v>111</v>
      </c>
      <c r="BW1207" s="2"/>
      <c r="BX1207" s="2"/>
      <c r="BY1207" s="2">
        <v>4672.24</v>
      </c>
      <c r="BZ1207" s="2" t="s">
        <v>27</v>
      </c>
      <c r="CA1207" s="2"/>
      <c r="CB1207" s="2"/>
      <c r="CC1207" s="2" t="s">
        <v>181</v>
      </c>
      <c r="CD1207" s="2">
        <v>4051</v>
      </c>
      <c r="CE1207" s="2" t="s">
        <v>287</v>
      </c>
      <c r="CF1207" s="5">
        <v>42831</v>
      </c>
      <c r="CG1207" s="2"/>
      <c r="CH1207" s="2"/>
      <c r="CI1207" s="2">
        <v>1</v>
      </c>
      <c r="CJ1207" s="2">
        <v>1</v>
      </c>
      <c r="CK1207" s="2">
        <v>21</v>
      </c>
      <c r="CL1207" s="2" t="s">
        <v>86</v>
      </c>
      <c r="CM1207" s="2"/>
    </row>
    <row r="1208" spans="1:91">
      <c r="A1208" s="2" t="s">
        <v>71</v>
      </c>
      <c r="B1208" s="2" t="s">
        <v>72</v>
      </c>
      <c r="C1208" s="2" t="s">
        <v>73</v>
      </c>
      <c r="D1208" s="2"/>
      <c r="E1208" s="2" t="str">
        <f>"FES1162542359"</f>
        <v>FES1162542359</v>
      </c>
      <c r="F1208" s="3">
        <v>42832</v>
      </c>
      <c r="G1208" s="2">
        <v>201710</v>
      </c>
      <c r="H1208" s="2" t="s">
        <v>74</v>
      </c>
      <c r="I1208" s="2" t="s">
        <v>75</v>
      </c>
      <c r="J1208" s="2" t="s">
        <v>76</v>
      </c>
      <c r="K1208" s="2" t="s">
        <v>77</v>
      </c>
      <c r="L1208" s="2" t="s">
        <v>516</v>
      </c>
      <c r="M1208" s="2" t="s">
        <v>517</v>
      </c>
      <c r="N1208" s="2" t="s">
        <v>969</v>
      </c>
      <c r="O1208" s="2" t="s">
        <v>115</v>
      </c>
      <c r="P1208" s="2" t="str">
        <f>"2170561254                    "</f>
        <v xml:space="preserve">2170561254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3.35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1</v>
      </c>
      <c r="BJ1208" s="2">
        <v>0.2</v>
      </c>
      <c r="BK1208" s="2">
        <v>1</v>
      </c>
      <c r="BL1208" s="2">
        <v>32.6</v>
      </c>
      <c r="BM1208" s="2">
        <v>4.5599999999999996</v>
      </c>
      <c r="BN1208" s="2">
        <v>37.159999999999997</v>
      </c>
      <c r="BO1208" s="2">
        <v>37.159999999999997</v>
      </c>
      <c r="BP1208" s="2"/>
      <c r="BQ1208" s="2" t="s">
        <v>970</v>
      </c>
      <c r="BR1208" s="2" t="s">
        <v>123</v>
      </c>
      <c r="BS1208" s="3">
        <v>42835</v>
      </c>
      <c r="BT1208" s="4">
        <v>0.34166666666666662</v>
      </c>
      <c r="BU1208" s="2" t="s">
        <v>290</v>
      </c>
      <c r="BV1208" s="2" t="s">
        <v>111</v>
      </c>
      <c r="BW1208" s="2"/>
      <c r="BX1208" s="2"/>
      <c r="BY1208" s="2">
        <v>1200</v>
      </c>
      <c r="BZ1208" s="2" t="s">
        <v>27</v>
      </c>
      <c r="CA1208" s="2"/>
      <c r="CB1208" s="2"/>
      <c r="CC1208" s="2" t="s">
        <v>517</v>
      </c>
      <c r="CD1208" s="2">
        <v>1459</v>
      </c>
      <c r="CE1208" s="2" t="s">
        <v>118</v>
      </c>
      <c r="CF1208" s="5">
        <v>42836</v>
      </c>
      <c r="CG1208" s="2"/>
      <c r="CH1208" s="2"/>
      <c r="CI1208" s="2">
        <v>1</v>
      </c>
      <c r="CJ1208" s="2">
        <v>1</v>
      </c>
      <c r="CK1208" s="2">
        <v>22</v>
      </c>
      <c r="CL1208" s="2" t="s">
        <v>86</v>
      </c>
      <c r="CM1208" s="2"/>
    </row>
    <row r="1209" spans="1:91">
      <c r="A1209" s="2" t="s">
        <v>71</v>
      </c>
      <c r="B1209" s="2" t="s">
        <v>72</v>
      </c>
      <c r="C1209" s="2" t="s">
        <v>73</v>
      </c>
      <c r="D1209" s="2"/>
      <c r="E1209" s="2" t="str">
        <f>"FES1162540984"</f>
        <v>FES1162540984</v>
      </c>
      <c r="F1209" s="3">
        <v>42828</v>
      </c>
      <c r="G1209" s="2">
        <v>201710</v>
      </c>
      <c r="H1209" s="2" t="s">
        <v>74</v>
      </c>
      <c r="I1209" s="2" t="s">
        <v>75</v>
      </c>
      <c r="J1209" s="2" t="s">
        <v>76</v>
      </c>
      <c r="K1209" s="2" t="s">
        <v>77</v>
      </c>
      <c r="L1209" s="2" t="s">
        <v>112</v>
      </c>
      <c r="M1209" s="2" t="s">
        <v>113</v>
      </c>
      <c r="N1209" s="2" t="s">
        <v>1094</v>
      </c>
      <c r="O1209" s="2" t="s">
        <v>115</v>
      </c>
      <c r="P1209" s="2" t="str">
        <f>"2170560065                    "</f>
        <v xml:space="preserve">2170560065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4.42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1</v>
      </c>
      <c r="BJ1209" s="2">
        <v>0.2</v>
      </c>
      <c r="BK1209" s="2">
        <v>1</v>
      </c>
      <c r="BL1209" s="2">
        <v>41.86</v>
      </c>
      <c r="BM1209" s="2">
        <v>5.86</v>
      </c>
      <c r="BN1209" s="2">
        <v>47.72</v>
      </c>
      <c r="BO1209" s="2">
        <v>47.72</v>
      </c>
      <c r="BP1209" s="2"/>
      <c r="BQ1209" s="2" t="s">
        <v>1095</v>
      </c>
      <c r="BR1209" s="2" t="s">
        <v>123</v>
      </c>
      <c r="BS1209" s="3">
        <v>42829</v>
      </c>
      <c r="BT1209" s="4">
        <v>0.39583333333333331</v>
      </c>
      <c r="BU1209" s="2" t="s">
        <v>1764</v>
      </c>
      <c r="BV1209" s="2" t="s">
        <v>111</v>
      </c>
      <c r="BW1209" s="2"/>
      <c r="BX1209" s="2"/>
      <c r="BY1209" s="2">
        <v>1200</v>
      </c>
      <c r="BZ1209" s="2" t="s">
        <v>27</v>
      </c>
      <c r="CA1209" s="2" t="s">
        <v>159</v>
      </c>
      <c r="CB1209" s="2"/>
      <c r="CC1209" s="2" t="s">
        <v>113</v>
      </c>
      <c r="CD1209" s="2">
        <v>3201</v>
      </c>
      <c r="CE1209" s="2" t="s">
        <v>144</v>
      </c>
      <c r="CF1209" s="5">
        <v>42831</v>
      </c>
      <c r="CG1209" s="2"/>
      <c r="CH1209" s="2"/>
      <c r="CI1209" s="2">
        <v>1</v>
      </c>
      <c r="CJ1209" s="2">
        <v>1</v>
      </c>
      <c r="CK1209" s="2">
        <v>21</v>
      </c>
      <c r="CL1209" s="2" t="s">
        <v>86</v>
      </c>
      <c r="CM1209" s="2"/>
    </row>
    <row r="1210" spans="1:91">
      <c r="A1210" s="2" t="s">
        <v>71</v>
      </c>
      <c r="B1210" s="2" t="s">
        <v>72</v>
      </c>
      <c r="C1210" s="2" t="s">
        <v>73</v>
      </c>
      <c r="D1210" s="2"/>
      <c r="E1210" s="2" t="str">
        <f>"FES1162542458"</f>
        <v>FES1162542458</v>
      </c>
      <c r="F1210" s="3">
        <v>42835</v>
      </c>
      <c r="G1210" s="2">
        <v>201710</v>
      </c>
      <c r="H1210" s="2" t="s">
        <v>74</v>
      </c>
      <c r="I1210" s="2" t="s">
        <v>75</v>
      </c>
      <c r="J1210" s="2" t="s">
        <v>76</v>
      </c>
      <c r="K1210" s="2" t="s">
        <v>77</v>
      </c>
      <c r="L1210" s="2" t="s">
        <v>131</v>
      </c>
      <c r="M1210" s="2" t="s">
        <v>132</v>
      </c>
      <c r="N1210" s="2" t="s">
        <v>1765</v>
      </c>
      <c r="O1210" s="2" t="s">
        <v>115</v>
      </c>
      <c r="P1210" s="2" t="str">
        <f>"2170561347                    "</f>
        <v xml:space="preserve">2170561347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4.29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1</v>
      </c>
      <c r="BJ1210" s="2">
        <v>0.2</v>
      </c>
      <c r="BK1210" s="2">
        <v>1</v>
      </c>
      <c r="BL1210" s="2">
        <v>41.73</v>
      </c>
      <c r="BM1210" s="2">
        <v>5.84</v>
      </c>
      <c r="BN1210" s="2">
        <v>47.57</v>
      </c>
      <c r="BO1210" s="2">
        <v>47.57</v>
      </c>
      <c r="BP1210" s="2"/>
      <c r="BQ1210" s="2" t="s">
        <v>1766</v>
      </c>
      <c r="BR1210" s="2" t="s">
        <v>123</v>
      </c>
      <c r="BS1210" s="3">
        <v>42836</v>
      </c>
      <c r="BT1210" s="4">
        <v>0.4916666666666667</v>
      </c>
      <c r="BU1210" s="2" t="s">
        <v>915</v>
      </c>
      <c r="BV1210" s="2" t="s">
        <v>86</v>
      </c>
      <c r="BW1210" s="2" t="s">
        <v>157</v>
      </c>
      <c r="BX1210" s="2" t="s">
        <v>1537</v>
      </c>
      <c r="BY1210" s="2">
        <v>1200</v>
      </c>
      <c r="BZ1210" s="2" t="s">
        <v>27</v>
      </c>
      <c r="CA1210" s="2"/>
      <c r="CB1210" s="2"/>
      <c r="CC1210" s="2" t="s">
        <v>132</v>
      </c>
      <c r="CD1210" s="2">
        <v>8000</v>
      </c>
      <c r="CE1210" s="2" t="s">
        <v>144</v>
      </c>
      <c r="CF1210" s="5">
        <v>42837</v>
      </c>
      <c r="CG1210" s="2"/>
      <c r="CH1210" s="2"/>
      <c r="CI1210" s="2">
        <v>1</v>
      </c>
      <c r="CJ1210" s="2">
        <v>1</v>
      </c>
      <c r="CK1210" s="2">
        <v>21</v>
      </c>
      <c r="CL1210" s="2" t="s">
        <v>86</v>
      </c>
      <c r="CM1210" s="2"/>
    </row>
    <row r="1211" spans="1:91">
      <c r="A1211" s="2" t="s">
        <v>71</v>
      </c>
      <c r="B1211" s="2" t="s">
        <v>72</v>
      </c>
      <c r="C1211" s="2" t="s">
        <v>73</v>
      </c>
      <c r="D1211" s="2"/>
      <c r="E1211" s="2" t="str">
        <f>"FES1162541045"</f>
        <v>FES1162541045</v>
      </c>
      <c r="F1211" s="3">
        <v>42828</v>
      </c>
      <c r="G1211" s="2">
        <v>201710</v>
      </c>
      <c r="H1211" s="2" t="s">
        <v>74</v>
      </c>
      <c r="I1211" s="2" t="s">
        <v>75</v>
      </c>
      <c r="J1211" s="2" t="s">
        <v>76</v>
      </c>
      <c r="K1211" s="2" t="s">
        <v>77</v>
      </c>
      <c r="L1211" s="2" t="s">
        <v>180</v>
      </c>
      <c r="M1211" s="2" t="s">
        <v>181</v>
      </c>
      <c r="N1211" s="2" t="s">
        <v>839</v>
      </c>
      <c r="O1211" s="2" t="s">
        <v>115</v>
      </c>
      <c r="P1211" s="2" t="str">
        <f>"2170560114                    "</f>
        <v xml:space="preserve">2170560114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6.63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1</v>
      </c>
      <c r="BJ1211" s="2">
        <v>3</v>
      </c>
      <c r="BK1211" s="2">
        <v>3</v>
      </c>
      <c r="BL1211" s="2">
        <v>62.79</v>
      </c>
      <c r="BM1211" s="2">
        <v>8.7899999999999991</v>
      </c>
      <c r="BN1211" s="2">
        <v>71.58</v>
      </c>
      <c r="BO1211" s="2">
        <v>71.58</v>
      </c>
      <c r="BP1211" s="2"/>
      <c r="BQ1211" s="2" t="s">
        <v>840</v>
      </c>
      <c r="BR1211" s="2" t="s">
        <v>123</v>
      </c>
      <c r="BS1211" s="3">
        <v>42829</v>
      </c>
      <c r="BT1211" s="4">
        <v>0.375</v>
      </c>
      <c r="BU1211" s="2" t="s">
        <v>186</v>
      </c>
      <c r="BV1211" s="2" t="s">
        <v>111</v>
      </c>
      <c r="BW1211" s="2"/>
      <c r="BX1211" s="2"/>
      <c r="BY1211" s="2">
        <v>15246</v>
      </c>
      <c r="BZ1211" s="2" t="s">
        <v>27</v>
      </c>
      <c r="CA1211" s="2" t="s">
        <v>159</v>
      </c>
      <c r="CB1211" s="2"/>
      <c r="CC1211" s="2" t="s">
        <v>181</v>
      </c>
      <c r="CD1211" s="2">
        <v>4052</v>
      </c>
      <c r="CE1211" s="2" t="s">
        <v>287</v>
      </c>
      <c r="CF1211" s="5">
        <v>42831</v>
      </c>
      <c r="CG1211" s="2"/>
      <c r="CH1211" s="2"/>
      <c r="CI1211" s="2">
        <v>1</v>
      </c>
      <c r="CJ1211" s="2">
        <v>1</v>
      </c>
      <c r="CK1211" s="2">
        <v>21</v>
      </c>
      <c r="CL1211" s="2" t="s">
        <v>86</v>
      </c>
      <c r="CM1211" s="2"/>
    </row>
    <row r="1212" spans="1:91">
      <c r="A1212" s="2" t="s">
        <v>71</v>
      </c>
      <c r="B1212" s="2" t="s">
        <v>72</v>
      </c>
      <c r="C1212" s="2" t="s">
        <v>73</v>
      </c>
      <c r="D1212" s="2"/>
      <c r="E1212" s="2" t="str">
        <f>"FES1162542439"</f>
        <v>FES1162542439</v>
      </c>
      <c r="F1212" s="3">
        <v>42832</v>
      </c>
      <c r="G1212" s="2">
        <v>201710</v>
      </c>
      <c r="H1212" s="2" t="s">
        <v>74</v>
      </c>
      <c r="I1212" s="2" t="s">
        <v>75</v>
      </c>
      <c r="J1212" s="2" t="s">
        <v>76</v>
      </c>
      <c r="K1212" s="2" t="s">
        <v>77</v>
      </c>
      <c r="L1212" s="2" t="s">
        <v>119</v>
      </c>
      <c r="M1212" s="2" t="s">
        <v>120</v>
      </c>
      <c r="N1212" s="2" t="s">
        <v>1767</v>
      </c>
      <c r="O1212" s="2" t="s">
        <v>115</v>
      </c>
      <c r="P1212" s="2" t="str">
        <f>"2170561327                    "</f>
        <v xml:space="preserve">2170561327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3.35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</v>
      </c>
      <c r="BJ1212" s="2">
        <v>0.2</v>
      </c>
      <c r="BK1212" s="2">
        <v>1</v>
      </c>
      <c r="BL1212" s="2">
        <v>32.6</v>
      </c>
      <c r="BM1212" s="2">
        <v>4.5599999999999996</v>
      </c>
      <c r="BN1212" s="2">
        <v>37.159999999999997</v>
      </c>
      <c r="BO1212" s="2">
        <v>37.159999999999997</v>
      </c>
      <c r="BP1212" s="2"/>
      <c r="BQ1212" s="2" t="s">
        <v>122</v>
      </c>
      <c r="BR1212" s="2" t="s">
        <v>123</v>
      </c>
      <c r="BS1212" s="3">
        <v>42835</v>
      </c>
      <c r="BT1212" s="4">
        <v>0.52083333333333337</v>
      </c>
      <c r="BU1212" s="2" t="s">
        <v>1768</v>
      </c>
      <c r="BV1212" s="2" t="s">
        <v>111</v>
      </c>
      <c r="BW1212" s="2"/>
      <c r="BX1212" s="2"/>
      <c r="BY1212" s="2">
        <v>1200</v>
      </c>
      <c r="BZ1212" s="2" t="s">
        <v>27</v>
      </c>
      <c r="CA1212" s="2"/>
      <c r="CB1212" s="2"/>
      <c r="CC1212" s="2" t="s">
        <v>120</v>
      </c>
      <c r="CD1212" s="2">
        <v>2163</v>
      </c>
      <c r="CE1212" s="2" t="s">
        <v>118</v>
      </c>
      <c r="CF1212" s="5">
        <v>42835</v>
      </c>
      <c r="CG1212" s="2"/>
      <c r="CH1212" s="2"/>
      <c r="CI1212" s="2">
        <v>1</v>
      </c>
      <c r="CJ1212" s="2">
        <v>1</v>
      </c>
      <c r="CK1212" s="2">
        <v>22</v>
      </c>
      <c r="CL1212" s="2" t="s">
        <v>86</v>
      </c>
      <c r="CM1212" s="2"/>
    </row>
    <row r="1213" spans="1:91">
      <c r="A1213" s="2" t="s">
        <v>71</v>
      </c>
      <c r="B1213" s="2" t="s">
        <v>72</v>
      </c>
      <c r="C1213" s="2" t="s">
        <v>73</v>
      </c>
      <c r="D1213" s="2"/>
      <c r="E1213" s="2" t="str">
        <f>"FES1162540949"</f>
        <v>FES1162540949</v>
      </c>
      <c r="F1213" s="3">
        <v>42828</v>
      </c>
      <c r="G1213" s="2">
        <v>201710</v>
      </c>
      <c r="H1213" s="2" t="s">
        <v>74</v>
      </c>
      <c r="I1213" s="2" t="s">
        <v>75</v>
      </c>
      <c r="J1213" s="2" t="s">
        <v>76</v>
      </c>
      <c r="K1213" s="2" t="s">
        <v>77</v>
      </c>
      <c r="L1213" s="2" t="s">
        <v>131</v>
      </c>
      <c r="M1213" s="2" t="s">
        <v>132</v>
      </c>
      <c r="N1213" s="2" t="s">
        <v>1769</v>
      </c>
      <c r="O1213" s="2" t="s">
        <v>115</v>
      </c>
      <c r="P1213" s="2" t="str">
        <f>"2170560035                    "</f>
        <v xml:space="preserve">2170560035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13.26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6</v>
      </c>
      <c r="BJ1213" s="2">
        <v>5.9</v>
      </c>
      <c r="BK1213" s="2">
        <v>6</v>
      </c>
      <c r="BL1213" s="2">
        <v>125.58</v>
      </c>
      <c r="BM1213" s="2">
        <v>17.579999999999998</v>
      </c>
      <c r="BN1213" s="2">
        <v>143.16</v>
      </c>
      <c r="BO1213" s="2">
        <v>143.16</v>
      </c>
      <c r="BP1213" s="2"/>
      <c r="BQ1213" s="2" t="s">
        <v>129</v>
      </c>
      <c r="BR1213" s="2" t="s">
        <v>123</v>
      </c>
      <c r="BS1213" s="3">
        <v>42829</v>
      </c>
      <c r="BT1213" s="4">
        <v>0.4777777777777778</v>
      </c>
      <c r="BU1213" s="2" t="s">
        <v>1770</v>
      </c>
      <c r="BV1213" s="2" t="s">
        <v>86</v>
      </c>
      <c r="BW1213" s="2" t="s">
        <v>484</v>
      </c>
      <c r="BX1213" s="2" t="s">
        <v>860</v>
      </c>
      <c r="BY1213" s="2">
        <v>29512</v>
      </c>
      <c r="BZ1213" s="2" t="s">
        <v>27</v>
      </c>
      <c r="CA1213" s="2"/>
      <c r="CB1213" s="2"/>
      <c r="CC1213" s="2" t="s">
        <v>132</v>
      </c>
      <c r="CD1213" s="2">
        <v>7500</v>
      </c>
      <c r="CE1213" s="2" t="s">
        <v>135</v>
      </c>
      <c r="CF1213" s="5">
        <v>42830</v>
      </c>
      <c r="CG1213" s="2"/>
      <c r="CH1213" s="2"/>
      <c r="CI1213" s="2">
        <v>1</v>
      </c>
      <c r="CJ1213" s="2">
        <v>1</v>
      </c>
      <c r="CK1213" s="2">
        <v>21</v>
      </c>
      <c r="CL1213" s="2" t="s">
        <v>86</v>
      </c>
      <c r="CM1213" s="2"/>
    </row>
    <row r="1214" spans="1:91">
      <c r="A1214" s="2" t="s">
        <v>71</v>
      </c>
      <c r="B1214" s="2" t="s">
        <v>72</v>
      </c>
      <c r="C1214" s="2" t="s">
        <v>73</v>
      </c>
      <c r="D1214" s="2"/>
      <c r="E1214" s="2" t="str">
        <f>"FES1162542664"</f>
        <v>FES1162542664</v>
      </c>
      <c r="F1214" s="3">
        <v>42835</v>
      </c>
      <c r="G1214" s="2">
        <v>201710</v>
      </c>
      <c r="H1214" s="2" t="s">
        <v>74</v>
      </c>
      <c r="I1214" s="2" t="s">
        <v>75</v>
      </c>
      <c r="J1214" s="2" t="s">
        <v>76</v>
      </c>
      <c r="K1214" s="2" t="s">
        <v>77</v>
      </c>
      <c r="L1214" s="2" t="s">
        <v>131</v>
      </c>
      <c r="M1214" s="2" t="s">
        <v>132</v>
      </c>
      <c r="N1214" s="2" t="s">
        <v>1771</v>
      </c>
      <c r="O1214" s="2" t="s">
        <v>115</v>
      </c>
      <c r="P1214" s="2" t="str">
        <f>"2170561477                    "</f>
        <v xml:space="preserve">2170561477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4.29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</v>
      </c>
      <c r="BJ1214" s="2">
        <v>0.2</v>
      </c>
      <c r="BK1214" s="2">
        <v>1</v>
      </c>
      <c r="BL1214" s="2">
        <v>41.73</v>
      </c>
      <c r="BM1214" s="2">
        <v>5.84</v>
      </c>
      <c r="BN1214" s="2">
        <v>47.57</v>
      </c>
      <c r="BO1214" s="2">
        <v>47.57</v>
      </c>
      <c r="BP1214" s="2"/>
      <c r="BQ1214" s="2" t="s">
        <v>1772</v>
      </c>
      <c r="BR1214" s="2" t="s">
        <v>123</v>
      </c>
      <c r="BS1214" s="3">
        <v>42836</v>
      </c>
      <c r="BT1214" s="4">
        <v>0.41666666666666669</v>
      </c>
      <c r="BU1214" s="2" t="s">
        <v>1773</v>
      </c>
      <c r="BV1214" s="2" t="s">
        <v>111</v>
      </c>
      <c r="BW1214" s="2"/>
      <c r="BX1214" s="2"/>
      <c r="BY1214" s="2">
        <v>1200</v>
      </c>
      <c r="BZ1214" s="2" t="s">
        <v>27</v>
      </c>
      <c r="CA1214" s="2"/>
      <c r="CB1214" s="2"/>
      <c r="CC1214" s="2" t="s">
        <v>132</v>
      </c>
      <c r="CD1214" s="2">
        <v>7441</v>
      </c>
      <c r="CE1214" s="2" t="s">
        <v>144</v>
      </c>
      <c r="CF1214" s="5">
        <v>42837</v>
      </c>
      <c r="CG1214" s="2"/>
      <c r="CH1214" s="2"/>
      <c r="CI1214" s="2">
        <v>1</v>
      </c>
      <c r="CJ1214" s="2">
        <v>1</v>
      </c>
      <c r="CK1214" s="2">
        <v>21</v>
      </c>
      <c r="CL1214" s="2" t="s">
        <v>86</v>
      </c>
      <c r="CM1214" s="2"/>
    </row>
    <row r="1215" spans="1:91">
      <c r="A1215" s="2" t="s">
        <v>71</v>
      </c>
      <c r="B1215" s="2" t="s">
        <v>72</v>
      </c>
      <c r="C1215" s="2" t="s">
        <v>73</v>
      </c>
      <c r="D1215" s="2"/>
      <c r="E1215" s="2" t="str">
        <f>"FES1162541008"</f>
        <v>FES1162541008</v>
      </c>
      <c r="F1215" s="3">
        <v>42828</v>
      </c>
      <c r="G1215" s="2">
        <v>201710</v>
      </c>
      <c r="H1215" s="2" t="s">
        <v>74</v>
      </c>
      <c r="I1215" s="2" t="s">
        <v>75</v>
      </c>
      <c r="J1215" s="2" t="s">
        <v>76</v>
      </c>
      <c r="K1215" s="2" t="s">
        <v>77</v>
      </c>
      <c r="L1215" s="2" t="s">
        <v>99</v>
      </c>
      <c r="M1215" s="2" t="s">
        <v>100</v>
      </c>
      <c r="N1215" s="2" t="s">
        <v>108</v>
      </c>
      <c r="O1215" s="2" t="s">
        <v>115</v>
      </c>
      <c r="P1215" s="2" t="str">
        <f>"2170556245                    "</f>
        <v xml:space="preserve">2170556245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64.11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3</v>
      </c>
      <c r="BI1215" s="2">
        <v>28.9</v>
      </c>
      <c r="BJ1215" s="2">
        <v>11.6</v>
      </c>
      <c r="BK1215" s="2">
        <v>29</v>
      </c>
      <c r="BL1215" s="2">
        <v>606.99</v>
      </c>
      <c r="BM1215" s="2">
        <v>84.98</v>
      </c>
      <c r="BN1215" s="2">
        <v>691.97</v>
      </c>
      <c r="BO1215" s="2">
        <v>691.97</v>
      </c>
      <c r="BP1215" s="2"/>
      <c r="BQ1215" s="2" t="s">
        <v>109</v>
      </c>
      <c r="BR1215" s="2" t="s">
        <v>123</v>
      </c>
      <c r="BS1215" s="3">
        <v>42829</v>
      </c>
      <c r="BT1215" s="4">
        <v>0.375</v>
      </c>
      <c r="BU1215" s="2" t="s">
        <v>110</v>
      </c>
      <c r="BV1215" s="2" t="s">
        <v>111</v>
      </c>
      <c r="BW1215" s="2"/>
      <c r="BX1215" s="2"/>
      <c r="BY1215" s="2">
        <v>57790.95</v>
      </c>
      <c r="BZ1215" s="2" t="s">
        <v>27</v>
      </c>
      <c r="CA1215" s="2" t="s">
        <v>106</v>
      </c>
      <c r="CB1215" s="2"/>
      <c r="CC1215" s="2" t="s">
        <v>100</v>
      </c>
      <c r="CD1215" s="2">
        <v>6001</v>
      </c>
      <c r="CE1215" s="2" t="s">
        <v>1774</v>
      </c>
      <c r="CF1215" s="5">
        <v>42829</v>
      </c>
      <c r="CG1215" s="2"/>
      <c r="CH1215" s="2"/>
      <c r="CI1215" s="2">
        <v>1</v>
      </c>
      <c r="CJ1215" s="2">
        <v>1</v>
      </c>
      <c r="CK1215" s="2">
        <v>21</v>
      </c>
      <c r="CL1215" s="2" t="s">
        <v>86</v>
      </c>
      <c r="CM1215" s="2"/>
    </row>
    <row r="1216" spans="1:91">
      <c r="A1216" s="2" t="s">
        <v>71</v>
      </c>
      <c r="B1216" s="2" t="s">
        <v>72</v>
      </c>
      <c r="C1216" s="2" t="s">
        <v>73</v>
      </c>
      <c r="D1216" s="2"/>
      <c r="E1216" s="2" t="str">
        <f>"FES1162542242"</f>
        <v>FES1162542242</v>
      </c>
      <c r="F1216" s="3">
        <v>42832</v>
      </c>
      <c r="G1216" s="2">
        <v>201710</v>
      </c>
      <c r="H1216" s="2" t="s">
        <v>74</v>
      </c>
      <c r="I1216" s="2" t="s">
        <v>75</v>
      </c>
      <c r="J1216" s="2" t="s">
        <v>76</v>
      </c>
      <c r="K1216" s="2" t="s">
        <v>77</v>
      </c>
      <c r="L1216" s="2" t="s">
        <v>176</v>
      </c>
      <c r="M1216" s="2" t="s">
        <v>176</v>
      </c>
      <c r="N1216" s="2" t="s">
        <v>1775</v>
      </c>
      <c r="O1216" s="2" t="s">
        <v>115</v>
      </c>
      <c r="P1216" s="2" t="str">
        <f>"2170561146                    "</f>
        <v xml:space="preserve">2170561146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8.57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4</v>
      </c>
      <c r="BJ1216" s="2">
        <v>1.4</v>
      </c>
      <c r="BK1216" s="2">
        <v>4</v>
      </c>
      <c r="BL1216" s="2">
        <v>83.45</v>
      </c>
      <c r="BM1216" s="2">
        <v>11.68</v>
      </c>
      <c r="BN1216" s="2">
        <v>95.13</v>
      </c>
      <c r="BO1216" s="2">
        <v>95.13</v>
      </c>
      <c r="BP1216" s="2"/>
      <c r="BQ1216" s="2" t="s">
        <v>122</v>
      </c>
      <c r="BR1216" s="2" t="s">
        <v>123</v>
      </c>
      <c r="BS1216" s="3">
        <v>42835</v>
      </c>
      <c r="BT1216" s="4">
        <v>0.4826388888888889</v>
      </c>
      <c r="BU1216" s="2" t="s">
        <v>1776</v>
      </c>
      <c r="BV1216" s="2" t="s">
        <v>111</v>
      </c>
      <c r="BW1216" s="2"/>
      <c r="BX1216" s="2"/>
      <c r="BY1216" s="2">
        <v>6946.17</v>
      </c>
      <c r="BZ1216" s="2" t="s">
        <v>27</v>
      </c>
      <c r="CA1216" s="2"/>
      <c r="CB1216" s="2"/>
      <c r="CC1216" s="2" t="s">
        <v>176</v>
      </c>
      <c r="CD1216" s="2">
        <v>7646</v>
      </c>
      <c r="CE1216" s="2" t="s">
        <v>135</v>
      </c>
      <c r="CF1216" s="5">
        <v>42836</v>
      </c>
      <c r="CG1216" s="2"/>
      <c r="CH1216" s="2"/>
      <c r="CI1216" s="2">
        <v>1</v>
      </c>
      <c r="CJ1216" s="2">
        <v>1</v>
      </c>
      <c r="CK1216" s="2">
        <v>21</v>
      </c>
      <c r="CL1216" s="2" t="s">
        <v>86</v>
      </c>
      <c r="CM1216" s="2"/>
    </row>
    <row r="1217" spans="1:91">
      <c r="A1217" s="2" t="s">
        <v>71</v>
      </c>
      <c r="B1217" s="2" t="s">
        <v>72</v>
      </c>
      <c r="C1217" s="2" t="s">
        <v>73</v>
      </c>
      <c r="D1217" s="2"/>
      <c r="E1217" s="2" t="str">
        <f>"FES1162540928"</f>
        <v>FES1162540928</v>
      </c>
      <c r="F1217" s="3">
        <v>42828</v>
      </c>
      <c r="G1217" s="2">
        <v>201710</v>
      </c>
      <c r="H1217" s="2" t="s">
        <v>74</v>
      </c>
      <c r="I1217" s="2" t="s">
        <v>75</v>
      </c>
      <c r="J1217" s="2" t="s">
        <v>76</v>
      </c>
      <c r="K1217" s="2" t="s">
        <v>77</v>
      </c>
      <c r="L1217" s="2" t="s">
        <v>294</v>
      </c>
      <c r="M1217" s="2" t="s">
        <v>295</v>
      </c>
      <c r="N1217" s="2" t="s">
        <v>728</v>
      </c>
      <c r="O1217" s="2" t="s">
        <v>115</v>
      </c>
      <c r="P1217" s="2" t="str">
        <f>"2170560012                    "</f>
        <v xml:space="preserve">2170560012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4.42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1</v>
      </c>
      <c r="BJ1217" s="2">
        <v>0.2</v>
      </c>
      <c r="BK1217" s="2">
        <v>1</v>
      </c>
      <c r="BL1217" s="2">
        <v>41.86</v>
      </c>
      <c r="BM1217" s="2">
        <v>5.86</v>
      </c>
      <c r="BN1217" s="2">
        <v>47.72</v>
      </c>
      <c r="BO1217" s="2">
        <v>47.72</v>
      </c>
      <c r="BP1217" s="2"/>
      <c r="BQ1217" s="2" t="s">
        <v>729</v>
      </c>
      <c r="BR1217" s="2" t="s">
        <v>123</v>
      </c>
      <c r="BS1217" s="3">
        <v>42829</v>
      </c>
      <c r="BT1217" s="4">
        <v>0.4375</v>
      </c>
      <c r="BU1217" s="2" t="s">
        <v>1777</v>
      </c>
      <c r="BV1217" s="2" t="s">
        <v>111</v>
      </c>
      <c r="BW1217" s="2"/>
      <c r="BX1217" s="2"/>
      <c r="BY1217" s="2">
        <v>1200</v>
      </c>
      <c r="BZ1217" s="2" t="s">
        <v>27</v>
      </c>
      <c r="CA1217" s="2"/>
      <c r="CB1217" s="2"/>
      <c r="CC1217" s="2" t="s">
        <v>295</v>
      </c>
      <c r="CD1217" s="2">
        <v>3610</v>
      </c>
      <c r="CE1217" s="2" t="s">
        <v>144</v>
      </c>
      <c r="CF1217" s="5">
        <v>42831</v>
      </c>
      <c r="CG1217" s="2"/>
      <c r="CH1217" s="2"/>
      <c r="CI1217" s="2">
        <v>1</v>
      </c>
      <c r="CJ1217" s="2">
        <v>1</v>
      </c>
      <c r="CK1217" s="2">
        <v>21</v>
      </c>
      <c r="CL1217" s="2" t="s">
        <v>86</v>
      </c>
      <c r="CM1217" s="2"/>
    </row>
    <row r="1218" spans="1:91">
      <c r="A1218" s="2" t="s">
        <v>71</v>
      </c>
      <c r="B1218" s="2" t="s">
        <v>72</v>
      </c>
      <c r="C1218" s="2" t="s">
        <v>73</v>
      </c>
      <c r="D1218" s="2"/>
      <c r="E1218" s="2" t="str">
        <f>"FES1162542654"</f>
        <v>FES1162542654</v>
      </c>
      <c r="F1218" s="3">
        <v>42835</v>
      </c>
      <c r="G1218" s="2">
        <v>201710</v>
      </c>
      <c r="H1218" s="2" t="s">
        <v>74</v>
      </c>
      <c r="I1218" s="2" t="s">
        <v>75</v>
      </c>
      <c r="J1218" s="2" t="s">
        <v>76</v>
      </c>
      <c r="K1218" s="2" t="s">
        <v>77</v>
      </c>
      <c r="L1218" s="2" t="s">
        <v>131</v>
      </c>
      <c r="M1218" s="2" t="s">
        <v>132</v>
      </c>
      <c r="N1218" s="2" t="s">
        <v>1084</v>
      </c>
      <c r="O1218" s="2" t="s">
        <v>115</v>
      </c>
      <c r="P1218" s="2" t="str">
        <f>"2170561517                    "</f>
        <v xml:space="preserve">2170561517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17.149999999999999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2</v>
      </c>
      <c r="BI1218" s="2">
        <v>8</v>
      </c>
      <c r="BJ1218" s="2">
        <v>3.8</v>
      </c>
      <c r="BK1218" s="2">
        <v>8</v>
      </c>
      <c r="BL1218" s="2">
        <v>166.91</v>
      </c>
      <c r="BM1218" s="2">
        <v>23.37</v>
      </c>
      <c r="BN1218" s="2">
        <v>190.28</v>
      </c>
      <c r="BO1218" s="2">
        <v>190.28</v>
      </c>
      <c r="BP1218" s="2"/>
      <c r="BQ1218" s="2" t="s">
        <v>1085</v>
      </c>
      <c r="BR1218" s="2" t="s">
        <v>123</v>
      </c>
      <c r="BS1218" s="3">
        <v>42836</v>
      </c>
      <c r="BT1218" s="4">
        <v>0.41666666666666669</v>
      </c>
      <c r="BU1218" s="2" t="s">
        <v>1778</v>
      </c>
      <c r="BV1218" s="2" t="s">
        <v>111</v>
      </c>
      <c r="BW1218" s="2"/>
      <c r="BX1218" s="2"/>
      <c r="BY1218" s="2">
        <v>19167.88</v>
      </c>
      <c r="BZ1218" s="2" t="s">
        <v>27</v>
      </c>
      <c r="CA1218" s="2" t="s">
        <v>159</v>
      </c>
      <c r="CB1218" s="2"/>
      <c r="CC1218" s="2" t="s">
        <v>132</v>
      </c>
      <c r="CD1218" s="2">
        <v>7441</v>
      </c>
      <c r="CE1218" s="2" t="s">
        <v>1232</v>
      </c>
      <c r="CF1218" s="5">
        <v>42837</v>
      </c>
      <c r="CG1218" s="2"/>
      <c r="CH1218" s="2"/>
      <c r="CI1218" s="2">
        <v>1</v>
      </c>
      <c r="CJ1218" s="2">
        <v>1</v>
      </c>
      <c r="CK1218" s="2">
        <v>21</v>
      </c>
      <c r="CL1218" s="2" t="s">
        <v>86</v>
      </c>
      <c r="CM1218" s="2"/>
    </row>
    <row r="1219" spans="1:91">
      <c r="A1219" s="2" t="s">
        <v>71</v>
      </c>
      <c r="B1219" s="2" t="s">
        <v>72</v>
      </c>
      <c r="C1219" s="2" t="s">
        <v>73</v>
      </c>
      <c r="D1219" s="2"/>
      <c r="E1219" s="2" t="str">
        <f>"FES1162540935"</f>
        <v>FES1162540935</v>
      </c>
      <c r="F1219" s="3">
        <v>42828</v>
      </c>
      <c r="G1219" s="2">
        <v>201710</v>
      </c>
      <c r="H1219" s="2" t="s">
        <v>74</v>
      </c>
      <c r="I1219" s="2" t="s">
        <v>75</v>
      </c>
      <c r="J1219" s="2" t="s">
        <v>76</v>
      </c>
      <c r="K1219" s="2" t="s">
        <v>77</v>
      </c>
      <c r="L1219" s="2" t="s">
        <v>131</v>
      </c>
      <c r="M1219" s="2" t="s">
        <v>132</v>
      </c>
      <c r="N1219" s="2" t="s">
        <v>1197</v>
      </c>
      <c r="O1219" s="2" t="s">
        <v>115</v>
      </c>
      <c r="P1219" s="2" t="str">
        <f>"2170556071                    "</f>
        <v xml:space="preserve">2170556071 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4.42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1</v>
      </c>
      <c r="BJ1219" s="2">
        <v>0.2</v>
      </c>
      <c r="BK1219" s="2">
        <v>1</v>
      </c>
      <c r="BL1219" s="2">
        <v>41.86</v>
      </c>
      <c r="BM1219" s="2">
        <v>5.86</v>
      </c>
      <c r="BN1219" s="2">
        <v>47.72</v>
      </c>
      <c r="BO1219" s="2">
        <v>47.72</v>
      </c>
      <c r="BP1219" s="2"/>
      <c r="BQ1219" s="2" t="s">
        <v>1198</v>
      </c>
      <c r="BR1219" s="2" t="s">
        <v>123</v>
      </c>
      <c r="BS1219" s="3">
        <v>42829</v>
      </c>
      <c r="BT1219" s="4">
        <v>0.41666666666666669</v>
      </c>
      <c r="BU1219" s="2" t="s">
        <v>1779</v>
      </c>
      <c r="BV1219" s="2" t="s">
        <v>111</v>
      </c>
      <c r="BW1219" s="2"/>
      <c r="BX1219" s="2"/>
      <c r="BY1219" s="2">
        <v>1200</v>
      </c>
      <c r="BZ1219" s="2" t="s">
        <v>27</v>
      </c>
      <c r="CA1219" s="2"/>
      <c r="CB1219" s="2"/>
      <c r="CC1219" s="2" t="s">
        <v>132</v>
      </c>
      <c r="CD1219" s="2">
        <v>7441</v>
      </c>
      <c r="CE1219" s="2" t="s">
        <v>144</v>
      </c>
      <c r="CF1219" s="5">
        <v>42830</v>
      </c>
      <c r="CG1219" s="2"/>
      <c r="CH1219" s="2"/>
      <c r="CI1219" s="2">
        <v>1</v>
      </c>
      <c r="CJ1219" s="2">
        <v>1</v>
      </c>
      <c r="CK1219" s="2">
        <v>21</v>
      </c>
      <c r="CL1219" s="2" t="s">
        <v>86</v>
      </c>
      <c r="CM1219" s="2"/>
    </row>
    <row r="1220" spans="1:91">
      <c r="A1220" s="2" t="s">
        <v>71</v>
      </c>
      <c r="B1220" s="2" t="s">
        <v>72</v>
      </c>
      <c r="C1220" s="2" t="s">
        <v>73</v>
      </c>
      <c r="D1220" s="2"/>
      <c r="E1220" s="2" t="str">
        <f>"FES1162542431"</f>
        <v>FES1162542431</v>
      </c>
      <c r="F1220" s="3">
        <v>42832</v>
      </c>
      <c r="G1220" s="2">
        <v>201710</v>
      </c>
      <c r="H1220" s="2" t="s">
        <v>74</v>
      </c>
      <c r="I1220" s="2" t="s">
        <v>75</v>
      </c>
      <c r="J1220" s="2" t="s">
        <v>76</v>
      </c>
      <c r="K1220" s="2" t="s">
        <v>77</v>
      </c>
      <c r="L1220" s="2" t="s">
        <v>131</v>
      </c>
      <c r="M1220" s="2" t="s">
        <v>132</v>
      </c>
      <c r="N1220" s="2" t="s">
        <v>1534</v>
      </c>
      <c r="O1220" s="2" t="s">
        <v>115</v>
      </c>
      <c r="P1220" s="2" t="str">
        <f>"2170561321                    "</f>
        <v xml:space="preserve">2170561321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4.29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1</v>
      </c>
      <c r="BI1220" s="2">
        <v>1.6</v>
      </c>
      <c r="BJ1220" s="2">
        <v>0.2</v>
      </c>
      <c r="BK1220" s="2">
        <v>2</v>
      </c>
      <c r="BL1220" s="2">
        <v>41.73</v>
      </c>
      <c r="BM1220" s="2">
        <v>5.84</v>
      </c>
      <c r="BN1220" s="2">
        <v>47.57</v>
      </c>
      <c r="BO1220" s="2">
        <v>47.57</v>
      </c>
      <c r="BP1220" s="2"/>
      <c r="BQ1220" s="2" t="s">
        <v>116</v>
      </c>
      <c r="BR1220" s="2" t="s">
        <v>123</v>
      </c>
      <c r="BS1220" s="3">
        <v>42835</v>
      </c>
      <c r="BT1220" s="4">
        <v>0.38194444444444442</v>
      </c>
      <c r="BU1220" s="2" t="s">
        <v>1545</v>
      </c>
      <c r="BV1220" s="2" t="s">
        <v>111</v>
      </c>
      <c r="BW1220" s="2"/>
      <c r="BX1220" s="2"/>
      <c r="BY1220" s="2">
        <v>1200</v>
      </c>
      <c r="BZ1220" s="2" t="s">
        <v>27</v>
      </c>
      <c r="CA1220" s="2"/>
      <c r="CB1220" s="2"/>
      <c r="CC1220" s="2" t="s">
        <v>132</v>
      </c>
      <c r="CD1220" s="2">
        <v>7493</v>
      </c>
      <c r="CE1220" s="2" t="s">
        <v>118</v>
      </c>
      <c r="CF1220" s="5">
        <v>42836</v>
      </c>
      <c r="CG1220" s="2"/>
      <c r="CH1220" s="2"/>
      <c r="CI1220" s="2">
        <v>1</v>
      </c>
      <c r="CJ1220" s="2">
        <v>1</v>
      </c>
      <c r="CK1220" s="2">
        <v>21</v>
      </c>
      <c r="CL1220" s="2" t="s">
        <v>86</v>
      </c>
      <c r="CM1220" s="2"/>
    </row>
    <row r="1221" spans="1:91">
      <c r="A1221" s="2" t="s">
        <v>71</v>
      </c>
      <c r="B1221" s="2" t="s">
        <v>72</v>
      </c>
      <c r="C1221" s="2" t="s">
        <v>73</v>
      </c>
      <c r="D1221" s="2"/>
      <c r="E1221" s="2" t="str">
        <f>"FES1162542668"</f>
        <v>FES1162542668</v>
      </c>
      <c r="F1221" s="3">
        <v>42835</v>
      </c>
      <c r="G1221" s="2">
        <v>201710</v>
      </c>
      <c r="H1221" s="2" t="s">
        <v>74</v>
      </c>
      <c r="I1221" s="2" t="s">
        <v>75</v>
      </c>
      <c r="J1221" s="2" t="s">
        <v>76</v>
      </c>
      <c r="K1221" s="2" t="s">
        <v>77</v>
      </c>
      <c r="L1221" s="2" t="s">
        <v>220</v>
      </c>
      <c r="M1221" s="2" t="s">
        <v>221</v>
      </c>
      <c r="N1221" s="2" t="s">
        <v>222</v>
      </c>
      <c r="O1221" s="2" t="s">
        <v>115</v>
      </c>
      <c r="P1221" s="2" t="str">
        <f>"2170561536                    "</f>
        <v xml:space="preserve">2170561536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26.79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9</v>
      </c>
      <c r="BJ1221" s="2">
        <v>12.2</v>
      </c>
      <c r="BK1221" s="2">
        <v>12.5</v>
      </c>
      <c r="BL1221" s="2">
        <v>260.79000000000002</v>
      </c>
      <c r="BM1221" s="2">
        <v>36.51</v>
      </c>
      <c r="BN1221" s="2">
        <v>297.3</v>
      </c>
      <c r="BO1221" s="2">
        <v>297.3</v>
      </c>
      <c r="BP1221" s="2"/>
      <c r="BQ1221" s="2" t="s">
        <v>223</v>
      </c>
      <c r="BR1221" s="2" t="s">
        <v>123</v>
      </c>
      <c r="BS1221" s="3">
        <v>42836</v>
      </c>
      <c r="BT1221" s="4">
        <v>0.40069444444444446</v>
      </c>
      <c r="BU1221" s="2" t="s">
        <v>224</v>
      </c>
      <c r="BV1221" s="2" t="s">
        <v>111</v>
      </c>
      <c r="BW1221" s="2"/>
      <c r="BX1221" s="2"/>
      <c r="BY1221" s="2">
        <v>61109.42</v>
      </c>
      <c r="BZ1221" s="2" t="s">
        <v>27</v>
      </c>
      <c r="CA1221" s="2" t="s">
        <v>159</v>
      </c>
      <c r="CB1221" s="2"/>
      <c r="CC1221" s="2" t="s">
        <v>221</v>
      </c>
      <c r="CD1221" s="2">
        <v>6536</v>
      </c>
      <c r="CE1221" s="2" t="s">
        <v>287</v>
      </c>
      <c r="CF1221" s="5">
        <v>42837</v>
      </c>
      <c r="CG1221" s="2"/>
      <c r="CH1221" s="2"/>
      <c r="CI1221" s="2">
        <v>1</v>
      </c>
      <c r="CJ1221" s="2">
        <v>1</v>
      </c>
      <c r="CK1221" s="2">
        <v>21</v>
      </c>
      <c r="CL1221" s="2" t="s">
        <v>86</v>
      </c>
      <c r="CM1221" s="2"/>
    </row>
    <row r="1222" spans="1:91">
      <c r="A1222" s="2" t="s">
        <v>71</v>
      </c>
      <c r="B1222" s="2" t="s">
        <v>72</v>
      </c>
      <c r="C1222" s="2" t="s">
        <v>73</v>
      </c>
      <c r="D1222" s="2"/>
      <c r="E1222" s="2" t="str">
        <f>"FES1162540936"</f>
        <v>FES1162540936</v>
      </c>
      <c r="F1222" s="3">
        <v>42828</v>
      </c>
      <c r="G1222" s="2">
        <v>201710</v>
      </c>
      <c r="H1222" s="2" t="s">
        <v>74</v>
      </c>
      <c r="I1222" s="2" t="s">
        <v>75</v>
      </c>
      <c r="J1222" s="2" t="s">
        <v>76</v>
      </c>
      <c r="K1222" s="2" t="s">
        <v>77</v>
      </c>
      <c r="L1222" s="2" t="s">
        <v>131</v>
      </c>
      <c r="M1222" s="2" t="s">
        <v>132</v>
      </c>
      <c r="N1222" s="2" t="s">
        <v>858</v>
      </c>
      <c r="O1222" s="2" t="s">
        <v>115</v>
      </c>
      <c r="P1222" s="2" t="str">
        <f>"2170559955                    "</f>
        <v xml:space="preserve">2170559955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11.05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4.7</v>
      </c>
      <c r="BJ1222" s="2">
        <v>1.5</v>
      </c>
      <c r="BK1222" s="2">
        <v>5</v>
      </c>
      <c r="BL1222" s="2">
        <v>104.65</v>
      </c>
      <c r="BM1222" s="2">
        <v>14.65</v>
      </c>
      <c r="BN1222" s="2">
        <v>119.3</v>
      </c>
      <c r="BO1222" s="2">
        <v>119.3</v>
      </c>
      <c r="BP1222" s="2"/>
      <c r="BQ1222" s="2" t="s">
        <v>617</v>
      </c>
      <c r="BR1222" s="2" t="s">
        <v>123</v>
      </c>
      <c r="BS1222" s="3">
        <v>42829</v>
      </c>
      <c r="BT1222" s="4">
        <v>0.51041666666666663</v>
      </c>
      <c r="BU1222" s="2" t="s">
        <v>1780</v>
      </c>
      <c r="BV1222" s="2" t="s">
        <v>86</v>
      </c>
      <c r="BW1222" s="2" t="s">
        <v>164</v>
      </c>
      <c r="BX1222" s="2" t="s">
        <v>1370</v>
      </c>
      <c r="BY1222" s="2">
        <v>7358.16</v>
      </c>
      <c r="BZ1222" s="2" t="s">
        <v>27</v>
      </c>
      <c r="CA1222" s="2"/>
      <c r="CB1222" s="2"/>
      <c r="CC1222" s="2" t="s">
        <v>132</v>
      </c>
      <c r="CD1222" s="2">
        <v>7580</v>
      </c>
      <c r="CE1222" s="2" t="s">
        <v>135</v>
      </c>
      <c r="CF1222" s="5">
        <v>42830</v>
      </c>
      <c r="CG1222" s="2"/>
      <c r="CH1222" s="2"/>
      <c r="CI1222" s="2">
        <v>1</v>
      </c>
      <c r="CJ1222" s="2">
        <v>1</v>
      </c>
      <c r="CK1222" s="2">
        <v>21</v>
      </c>
      <c r="CL1222" s="2" t="s">
        <v>86</v>
      </c>
      <c r="CM1222" s="2"/>
    </row>
    <row r="1223" spans="1:91">
      <c r="A1223" s="2" t="s">
        <v>71</v>
      </c>
      <c r="B1223" s="2" t="s">
        <v>72</v>
      </c>
      <c r="C1223" s="2" t="s">
        <v>73</v>
      </c>
      <c r="D1223" s="2"/>
      <c r="E1223" s="2" t="str">
        <f>"FES1162542302"</f>
        <v>FES1162542302</v>
      </c>
      <c r="F1223" s="3">
        <v>42832</v>
      </c>
      <c r="G1223" s="2">
        <v>201710</v>
      </c>
      <c r="H1223" s="2" t="s">
        <v>74</v>
      </c>
      <c r="I1223" s="2" t="s">
        <v>75</v>
      </c>
      <c r="J1223" s="2" t="s">
        <v>76</v>
      </c>
      <c r="K1223" s="2" t="s">
        <v>77</v>
      </c>
      <c r="L1223" s="2" t="s">
        <v>234</v>
      </c>
      <c r="M1223" s="2" t="s">
        <v>235</v>
      </c>
      <c r="N1223" s="2" t="s">
        <v>1133</v>
      </c>
      <c r="O1223" s="2" t="s">
        <v>115</v>
      </c>
      <c r="P1223" s="2" t="str">
        <f>"2170561191                    "</f>
        <v xml:space="preserve">2170561191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4.29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1</v>
      </c>
      <c r="BJ1223" s="2">
        <v>0.2</v>
      </c>
      <c r="BK1223" s="2">
        <v>1</v>
      </c>
      <c r="BL1223" s="2">
        <v>41.73</v>
      </c>
      <c r="BM1223" s="2">
        <v>5.84</v>
      </c>
      <c r="BN1223" s="2">
        <v>47.57</v>
      </c>
      <c r="BO1223" s="2">
        <v>47.57</v>
      </c>
      <c r="BP1223" s="2"/>
      <c r="BQ1223" s="2" t="s">
        <v>1781</v>
      </c>
      <c r="BR1223" s="2" t="s">
        <v>123</v>
      </c>
      <c r="BS1223" s="3">
        <v>42835</v>
      </c>
      <c r="BT1223" s="4">
        <v>0.33680555555555558</v>
      </c>
      <c r="BU1223" s="2" t="s">
        <v>245</v>
      </c>
      <c r="BV1223" s="2" t="s">
        <v>111</v>
      </c>
      <c r="BW1223" s="2"/>
      <c r="BX1223" s="2"/>
      <c r="BY1223" s="2">
        <v>1200</v>
      </c>
      <c r="BZ1223" s="2" t="s">
        <v>27</v>
      </c>
      <c r="CA1223" s="2"/>
      <c r="CB1223" s="2"/>
      <c r="CC1223" s="2" t="s">
        <v>235</v>
      </c>
      <c r="CD1223" s="2">
        <v>6220</v>
      </c>
      <c r="CE1223" s="2" t="s">
        <v>144</v>
      </c>
      <c r="CF1223" s="5">
        <v>42836</v>
      </c>
      <c r="CG1223" s="2"/>
      <c r="CH1223" s="2"/>
      <c r="CI1223" s="2">
        <v>1</v>
      </c>
      <c r="CJ1223" s="2">
        <v>1</v>
      </c>
      <c r="CK1223" s="2">
        <v>21</v>
      </c>
      <c r="CL1223" s="2" t="s">
        <v>86</v>
      </c>
      <c r="CM1223" s="2"/>
    </row>
    <row r="1224" spans="1:91">
      <c r="A1224" s="2" t="s">
        <v>71</v>
      </c>
      <c r="B1224" s="2" t="s">
        <v>72</v>
      </c>
      <c r="C1224" s="2" t="s">
        <v>73</v>
      </c>
      <c r="D1224" s="2"/>
      <c r="E1224" s="2" t="str">
        <f>"FES1162540977"</f>
        <v>FES1162540977</v>
      </c>
      <c r="F1224" s="3">
        <v>42828</v>
      </c>
      <c r="G1224" s="2">
        <v>201710</v>
      </c>
      <c r="H1224" s="2" t="s">
        <v>74</v>
      </c>
      <c r="I1224" s="2" t="s">
        <v>75</v>
      </c>
      <c r="J1224" s="2" t="s">
        <v>76</v>
      </c>
      <c r="K1224" s="2" t="s">
        <v>77</v>
      </c>
      <c r="L1224" s="2" t="s">
        <v>180</v>
      </c>
      <c r="M1224" s="2" t="s">
        <v>181</v>
      </c>
      <c r="N1224" s="2" t="s">
        <v>706</v>
      </c>
      <c r="O1224" s="2" t="s">
        <v>115</v>
      </c>
      <c r="P1224" s="2" t="str">
        <f>"2170560057                    "</f>
        <v xml:space="preserve">2170560057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4.42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1</v>
      </c>
      <c r="BJ1224" s="2">
        <v>0.2</v>
      </c>
      <c r="BK1224" s="2">
        <v>1</v>
      </c>
      <c r="BL1224" s="2">
        <v>41.86</v>
      </c>
      <c r="BM1224" s="2">
        <v>5.86</v>
      </c>
      <c r="BN1224" s="2">
        <v>47.72</v>
      </c>
      <c r="BO1224" s="2">
        <v>47.72</v>
      </c>
      <c r="BP1224" s="2"/>
      <c r="BQ1224" s="2" t="s">
        <v>707</v>
      </c>
      <c r="BR1224" s="2" t="s">
        <v>123</v>
      </c>
      <c r="BS1224" s="3">
        <v>42829</v>
      </c>
      <c r="BT1224" s="4">
        <v>0.4375</v>
      </c>
      <c r="BU1224" s="2" t="s">
        <v>1782</v>
      </c>
      <c r="BV1224" s="2" t="s">
        <v>111</v>
      </c>
      <c r="BW1224" s="2"/>
      <c r="BX1224" s="2"/>
      <c r="BY1224" s="2">
        <v>1200</v>
      </c>
      <c r="BZ1224" s="2" t="s">
        <v>27</v>
      </c>
      <c r="CA1224" s="2"/>
      <c r="CB1224" s="2"/>
      <c r="CC1224" s="2" t="s">
        <v>181</v>
      </c>
      <c r="CD1224" s="2">
        <v>4052</v>
      </c>
      <c r="CE1224" s="2" t="s">
        <v>144</v>
      </c>
      <c r="CF1224" s="5">
        <v>42831</v>
      </c>
      <c r="CG1224" s="2"/>
      <c r="CH1224" s="2"/>
      <c r="CI1224" s="2">
        <v>1</v>
      </c>
      <c r="CJ1224" s="2">
        <v>1</v>
      </c>
      <c r="CK1224" s="2">
        <v>21</v>
      </c>
      <c r="CL1224" s="2" t="s">
        <v>86</v>
      </c>
      <c r="CM1224" s="2"/>
    </row>
    <row r="1225" spans="1:91">
      <c r="A1225" s="2" t="s">
        <v>71</v>
      </c>
      <c r="B1225" s="2" t="s">
        <v>72</v>
      </c>
      <c r="C1225" s="2" t="s">
        <v>73</v>
      </c>
      <c r="D1225" s="2"/>
      <c r="E1225" s="2" t="str">
        <f>"FES1162542675"</f>
        <v>FES1162542675</v>
      </c>
      <c r="F1225" s="3">
        <v>42835</v>
      </c>
      <c r="G1225" s="2">
        <v>201710</v>
      </c>
      <c r="H1225" s="2" t="s">
        <v>74</v>
      </c>
      <c r="I1225" s="2" t="s">
        <v>75</v>
      </c>
      <c r="J1225" s="2" t="s">
        <v>76</v>
      </c>
      <c r="K1225" s="2" t="s">
        <v>77</v>
      </c>
      <c r="L1225" s="2" t="s">
        <v>99</v>
      </c>
      <c r="M1225" s="2" t="s">
        <v>100</v>
      </c>
      <c r="N1225" s="2" t="s">
        <v>1783</v>
      </c>
      <c r="O1225" s="2" t="s">
        <v>115</v>
      </c>
      <c r="P1225" s="2" t="str">
        <f>"2170561547                    "</f>
        <v xml:space="preserve">2170561547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4.29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1</v>
      </c>
      <c r="BJ1225" s="2">
        <v>0.2</v>
      </c>
      <c r="BK1225" s="2">
        <v>1</v>
      </c>
      <c r="BL1225" s="2">
        <v>41.73</v>
      </c>
      <c r="BM1225" s="2">
        <v>5.84</v>
      </c>
      <c r="BN1225" s="2">
        <v>47.57</v>
      </c>
      <c r="BO1225" s="2">
        <v>47.57</v>
      </c>
      <c r="BP1225" s="2"/>
      <c r="BQ1225" s="2" t="s">
        <v>1784</v>
      </c>
      <c r="BR1225" s="2" t="s">
        <v>123</v>
      </c>
      <c r="BS1225" s="3">
        <v>42836</v>
      </c>
      <c r="BT1225" s="4">
        <v>0.31527777777777777</v>
      </c>
      <c r="BU1225" s="2" t="s">
        <v>1785</v>
      </c>
      <c r="BV1225" s="2" t="s">
        <v>111</v>
      </c>
      <c r="BW1225" s="2"/>
      <c r="BX1225" s="2"/>
      <c r="BY1225" s="2">
        <v>1200</v>
      </c>
      <c r="BZ1225" s="2" t="s">
        <v>27</v>
      </c>
      <c r="CA1225" s="2" t="s">
        <v>154</v>
      </c>
      <c r="CB1225" s="2"/>
      <c r="CC1225" s="2" t="s">
        <v>100</v>
      </c>
      <c r="CD1225" s="2">
        <v>6001</v>
      </c>
      <c r="CE1225" s="2" t="s">
        <v>144</v>
      </c>
      <c r="CF1225" s="5">
        <v>42836</v>
      </c>
      <c r="CG1225" s="2"/>
      <c r="CH1225" s="2"/>
      <c r="CI1225" s="2">
        <v>1</v>
      </c>
      <c r="CJ1225" s="2">
        <v>1</v>
      </c>
      <c r="CK1225" s="2">
        <v>21</v>
      </c>
      <c r="CL1225" s="2" t="s">
        <v>86</v>
      </c>
      <c r="CM1225" s="2"/>
    </row>
    <row r="1226" spans="1:91">
      <c r="A1226" s="2" t="s">
        <v>71</v>
      </c>
      <c r="B1226" s="2" t="s">
        <v>72</v>
      </c>
      <c r="C1226" s="2" t="s">
        <v>73</v>
      </c>
      <c r="D1226" s="2"/>
      <c r="E1226" s="2" t="str">
        <f>"FES1162541004"</f>
        <v>FES1162541004</v>
      </c>
      <c r="F1226" s="3">
        <v>42828</v>
      </c>
      <c r="G1226" s="2">
        <v>201710</v>
      </c>
      <c r="H1226" s="2" t="s">
        <v>74</v>
      </c>
      <c r="I1226" s="2" t="s">
        <v>75</v>
      </c>
      <c r="J1226" s="2" t="s">
        <v>76</v>
      </c>
      <c r="K1226" s="2" t="s">
        <v>77</v>
      </c>
      <c r="L1226" s="2" t="s">
        <v>187</v>
      </c>
      <c r="M1226" s="2" t="s">
        <v>146</v>
      </c>
      <c r="N1226" s="2" t="s">
        <v>1786</v>
      </c>
      <c r="O1226" s="2" t="s">
        <v>115</v>
      </c>
      <c r="P1226" s="2" t="str">
        <f>"2170560079                    "</f>
        <v xml:space="preserve">2170560079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4.42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1</v>
      </c>
      <c r="BJ1226" s="2">
        <v>0.2</v>
      </c>
      <c r="BK1226" s="2">
        <v>1</v>
      </c>
      <c r="BL1226" s="2">
        <v>41.86</v>
      </c>
      <c r="BM1226" s="2">
        <v>5.86</v>
      </c>
      <c r="BN1226" s="2">
        <v>47.72</v>
      </c>
      <c r="BO1226" s="2">
        <v>47.72</v>
      </c>
      <c r="BP1226" s="2"/>
      <c r="BQ1226" s="2" t="s">
        <v>1787</v>
      </c>
      <c r="BR1226" s="2" t="s">
        <v>123</v>
      </c>
      <c r="BS1226" s="3">
        <v>42829</v>
      </c>
      <c r="BT1226" s="4">
        <v>0.38194444444444442</v>
      </c>
      <c r="BU1226" s="2" t="s">
        <v>1788</v>
      </c>
      <c r="BV1226" s="2" t="s">
        <v>111</v>
      </c>
      <c r="BW1226" s="2"/>
      <c r="BX1226" s="2"/>
      <c r="BY1226" s="2">
        <v>1200</v>
      </c>
      <c r="BZ1226" s="2" t="s">
        <v>27</v>
      </c>
      <c r="CA1226" s="2"/>
      <c r="CB1226" s="2"/>
      <c r="CC1226" s="2" t="s">
        <v>146</v>
      </c>
      <c r="CD1226" s="2">
        <v>183</v>
      </c>
      <c r="CE1226" s="2" t="s">
        <v>144</v>
      </c>
      <c r="CF1226" s="5">
        <v>42832</v>
      </c>
      <c r="CG1226" s="2"/>
      <c r="CH1226" s="2"/>
      <c r="CI1226" s="2">
        <v>0</v>
      </c>
      <c r="CJ1226" s="2">
        <v>0</v>
      </c>
      <c r="CK1226" s="2">
        <v>21</v>
      </c>
      <c r="CL1226" s="2" t="s">
        <v>86</v>
      </c>
      <c r="CM1226" s="2"/>
    </row>
    <row r="1227" spans="1:91">
      <c r="A1227" s="2" t="s">
        <v>71</v>
      </c>
      <c r="B1227" s="2" t="s">
        <v>72</v>
      </c>
      <c r="C1227" s="2" t="s">
        <v>73</v>
      </c>
      <c r="D1227" s="2"/>
      <c r="E1227" s="2" t="str">
        <f>"FES1162542446"</f>
        <v>FES1162542446</v>
      </c>
      <c r="F1227" s="3">
        <v>42832</v>
      </c>
      <c r="G1227" s="2">
        <v>201710</v>
      </c>
      <c r="H1227" s="2" t="s">
        <v>74</v>
      </c>
      <c r="I1227" s="2" t="s">
        <v>75</v>
      </c>
      <c r="J1227" s="2" t="s">
        <v>76</v>
      </c>
      <c r="K1227" s="2" t="s">
        <v>77</v>
      </c>
      <c r="L1227" s="2" t="s">
        <v>294</v>
      </c>
      <c r="M1227" s="2" t="s">
        <v>295</v>
      </c>
      <c r="N1227" s="2" t="s">
        <v>1789</v>
      </c>
      <c r="O1227" s="2" t="s">
        <v>115</v>
      </c>
      <c r="P1227" s="2" t="str">
        <f>"2170561335                    "</f>
        <v xml:space="preserve">2170561335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4.29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1.7</v>
      </c>
      <c r="BJ1227" s="2">
        <v>1.4</v>
      </c>
      <c r="BK1227" s="2">
        <v>2</v>
      </c>
      <c r="BL1227" s="2">
        <v>41.73</v>
      </c>
      <c r="BM1227" s="2">
        <v>5.84</v>
      </c>
      <c r="BN1227" s="2">
        <v>47.57</v>
      </c>
      <c r="BO1227" s="2">
        <v>47.57</v>
      </c>
      <c r="BP1227" s="2"/>
      <c r="BQ1227" s="2" t="s">
        <v>932</v>
      </c>
      <c r="BR1227" s="2" t="s">
        <v>123</v>
      </c>
      <c r="BS1227" s="3">
        <v>42835</v>
      </c>
      <c r="BT1227" s="4">
        <v>0.41944444444444445</v>
      </c>
      <c r="BU1227" s="2" t="s">
        <v>1790</v>
      </c>
      <c r="BV1227" s="2" t="s">
        <v>111</v>
      </c>
      <c r="BW1227" s="2"/>
      <c r="BX1227" s="2"/>
      <c r="BY1227" s="2">
        <v>6935.54</v>
      </c>
      <c r="BZ1227" s="2" t="s">
        <v>27</v>
      </c>
      <c r="CA1227" s="2"/>
      <c r="CB1227" s="2"/>
      <c r="CC1227" s="2" t="s">
        <v>295</v>
      </c>
      <c r="CD1227" s="2">
        <v>3610</v>
      </c>
      <c r="CE1227" s="2" t="s">
        <v>89</v>
      </c>
      <c r="CF1227" s="5">
        <v>42836</v>
      </c>
      <c r="CG1227" s="2"/>
      <c r="CH1227" s="2"/>
      <c r="CI1227" s="2">
        <v>1</v>
      </c>
      <c r="CJ1227" s="2">
        <v>1</v>
      </c>
      <c r="CK1227" s="2">
        <v>21</v>
      </c>
      <c r="CL1227" s="2" t="s">
        <v>86</v>
      </c>
      <c r="CM1227" s="2"/>
    </row>
    <row r="1228" spans="1:91">
      <c r="A1228" s="2" t="s">
        <v>71</v>
      </c>
      <c r="B1228" s="2" t="s">
        <v>72</v>
      </c>
      <c r="C1228" s="2" t="s">
        <v>73</v>
      </c>
      <c r="D1228" s="2"/>
      <c r="E1228" s="2" t="str">
        <f>"FES1162541003"</f>
        <v>FES1162541003</v>
      </c>
      <c r="F1228" s="3">
        <v>42828</v>
      </c>
      <c r="G1228" s="2">
        <v>201710</v>
      </c>
      <c r="H1228" s="2" t="s">
        <v>74</v>
      </c>
      <c r="I1228" s="2" t="s">
        <v>75</v>
      </c>
      <c r="J1228" s="2" t="s">
        <v>76</v>
      </c>
      <c r="K1228" s="2" t="s">
        <v>77</v>
      </c>
      <c r="L1228" s="2" t="s">
        <v>99</v>
      </c>
      <c r="M1228" s="2" t="s">
        <v>100</v>
      </c>
      <c r="N1228" s="2" t="s">
        <v>313</v>
      </c>
      <c r="O1228" s="2" t="s">
        <v>115</v>
      </c>
      <c r="P1228" s="2" t="str">
        <f>"2170560078                    "</f>
        <v xml:space="preserve">2170560078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9.9499999999999993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1</v>
      </c>
      <c r="BI1228" s="2">
        <v>4</v>
      </c>
      <c r="BJ1228" s="2">
        <v>4.0999999999999996</v>
      </c>
      <c r="BK1228" s="2">
        <v>4.5</v>
      </c>
      <c r="BL1228" s="2">
        <v>94.19</v>
      </c>
      <c r="BM1228" s="2">
        <v>13.19</v>
      </c>
      <c r="BN1228" s="2">
        <v>107.38</v>
      </c>
      <c r="BO1228" s="2">
        <v>107.38</v>
      </c>
      <c r="BP1228" s="2"/>
      <c r="BQ1228" s="2" t="s">
        <v>314</v>
      </c>
      <c r="BR1228" s="2" t="s">
        <v>123</v>
      </c>
      <c r="BS1228" s="3">
        <v>42829</v>
      </c>
      <c r="BT1228" s="4">
        <v>0.29166666666666669</v>
      </c>
      <c r="BU1228" s="2" t="s">
        <v>1523</v>
      </c>
      <c r="BV1228" s="2" t="s">
        <v>111</v>
      </c>
      <c r="BW1228" s="2"/>
      <c r="BX1228" s="2"/>
      <c r="BY1228" s="2">
        <v>20685.3</v>
      </c>
      <c r="BZ1228" s="2" t="s">
        <v>27</v>
      </c>
      <c r="CA1228" s="2" t="s">
        <v>106</v>
      </c>
      <c r="CB1228" s="2"/>
      <c r="CC1228" s="2" t="s">
        <v>100</v>
      </c>
      <c r="CD1228" s="2">
        <v>6012</v>
      </c>
      <c r="CE1228" s="2" t="s">
        <v>135</v>
      </c>
      <c r="CF1228" s="5">
        <v>42829</v>
      </c>
      <c r="CG1228" s="2"/>
      <c r="CH1228" s="2"/>
      <c r="CI1228" s="2">
        <v>1</v>
      </c>
      <c r="CJ1228" s="2">
        <v>1</v>
      </c>
      <c r="CK1228" s="2">
        <v>21</v>
      </c>
      <c r="CL1228" s="2" t="s">
        <v>86</v>
      </c>
      <c r="CM1228" s="2"/>
    </row>
    <row r="1229" spans="1:91">
      <c r="A1229" s="2" t="s">
        <v>71</v>
      </c>
      <c r="B1229" s="2" t="s">
        <v>72</v>
      </c>
      <c r="C1229" s="2" t="s">
        <v>73</v>
      </c>
      <c r="D1229" s="2"/>
      <c r="E1229" s="2" t="str">
        <f>"FES1162542527"</f>
        <v>FES1162542527</v>
      </c>
      <c r="F1229" s="3">
        <v>42835</v>
      </c>
      <c r="G1229" s="2">
        <v>201710</v>
      </c>
      <c r="H1229" s="2" t="s">
        <v>74</v>
      </c>
      <c r="I1229" s="2" t="s">
        <v>75</v>
      </c>
      <c r="J1229" s="2" t="s">
        <v>76</v>
      </c>
      <c r="K1229" s="2" t="s">
        <v>77</v>
      </c>
      <c r="L1229" s="2" t="s">
        <v>131</v>
      </c>
      <c r="M1229" s="2" t="s">
        <v>132</v>
      </c>
      <c r="N1229" s="2" t="s">
        <v>384</v>
      </c>
      <c r="O1229" s="2" t="s">
        <v>115</v>
      </c>
      <c r="P1229" s="2" t="str">
        <f>"2170560637                    "</f>
        <v xml:space="preserve">2170560637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12.86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6</v>
      </c>
      <c r="BJ1229" s="2">
        <v>2.7</v>
      </c>
      <c r="BK1229" s="2">
        <v>6</v>
      </c>
      <c r="BL1229" s="2">
        <v>125.18</v>
      </c>
      <c r="BM1229" s="2">
        <v>17.53</v>
      </c>
      <c r="BN1229" s="2">
        <v>142.71</v>
      </c>
      <c r="BO1229" s="2">
        <v>142.71</v>
      </c>
      <c r="BP1229" s="2"/>
      <c r="BQ1229" s="2" t="s">
        <v>468</v>
      </c>
      <c r="BR1229" s="2" t="s">
        <v>123</v>
      </c>
      <c r="BS1229" s="3">
        <v>42836</v>
      </c>
      <c r="BT1229" s="4">
        <v>0.41666666666666669</v>
      </c>
      <c r="BU1229" s="2" t="s">
        <v>1791</v>
      </c>
      <c r="BV1229" s="2" t="s">
        <v>111</v>
      </c>
      <c r="BW1229" s="2"/>
      <c r="BX1229" s="2"/>
      <c r="BY1229" s="2">
        <v>13700</v>
      </c>
      <c r="BZ1229" s="2" t="s">
        <v>27</v>
      </c>
      <c r="CA1229" s="2" t="s">
        <v>159</v>
      </c>
      <c r="CB1229" s="2"/>
      <c r="CC1229" s="2" t="s">
        <v>132</v>
      </c>
      <c r="CD1229" s="2">
        <v>7405</v>
      </c>
      <c r="CE1229" s="2" t="s">
        <v>287</v>
      </c>
      <c r="CF1229" s="5">
        <v>42837</v>
      </c>
      <c r="CG1229" s="2"/>
      <c r="CH1229" s="2"/>
      <c r="CI1229" s="2">
        <v>1</v>
      </c>
      <c r="CJ1229" s="2">
        <v>1</v>
      </c>
      <c r="CK1229" s="2">
        <v>21</v>
      </c>
      <c r="CL1229" s="2" t="s">
        <v>86</v>
      </c>
      <c r="CM1229" s="2"/>
    </row>
    <row r="1230" spans="1:91">
      <c r="A1230" s="2" t="s">
        <v>71</v>
      </c>
      <c r="B1230" s="2" t="s">
        <v>72</v>
      </c>
      <c r="C1230" s="2" t="s">
        <v>73</v>
      </c>
      <c r="D1230" s="2"/>
      <c r="E1230" s="2" t="str">
        <f>"FES1162541030"</f>
        <v>FES1162541030</v>
      </c>
      <c r="F1230" s="3">
        <v>42828</v>
      </c>
      <c r="G1230" s="2">
        <v>201710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131</v>
      </c>
      <c r="M1230" s="2" t="s">
        <v>132</v>
      </c>
      <c r="N1230" s="2" t="s">
        <v>744</v>
      </c>
      <c r="O1230" s="2" t="s">
        <v>115</v>
      </c>
      <c r="P1230" s="2" t="str">
        <f>"2170560100                    "</f>
        <v xml:space="preserve">2170560100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4.42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1</v>
      </c>
      <c r="BJ1230" s="2">
        <v>0.2</v>
      </c>
      <c r="BK1230" s="2">
        <v>1</v>
      </c>
      <c r="BL1230" s="2">
        <v>41.86</v>
      </c>
      <c r="BM1230" s="2">
        <v>5.86</v>
      </c>
      <c r="BN1230" s="2">
        <v>47.72</v>
      </c>
      <c r="BO1230" s="2">
        <v>47.72</v>
      </c>
      <c r="BP1230" s="2"/>
      <c r="BQ1230" s="2" t="s">
        <v>138</v>
      </c>
      <c r="BR1230" s="2" t="s">
        <v>123</v>
      </c>
      <c r="BS1230" s="3">
        <v>42829</v>
      </c>
      <c r="BT1230" s="4">
        <v>0.41666666666666669</v>
      </c>
      <c r="BU1230" s="2" t="s">
        <v>1762</v>
      </c>
      <c r="BV1230" s="2" t="s">
        <v>111</v>
      </c>
      <c r="BW1230" s="2"/>
      <c r="BX1230" s="2"/>
      <c r="BY1230" s="2">
        <v>1200</v>
      </c>
      <c r="BZ1230" s="2" t="s">
        <v>27</v>
      </c>
      <c r="CA1230" s="2"/>
      <c r="CB1230" s="2"/>
      <c r="CC1230" s="2" t="s">
        <v>132</v>
      </c>
      <c r="CD1230" s="2">
        <v>7405</v>
      </c>
      <c r="CE1230" s="2" t="s">
        <v>144</v>
      </c>
      <c r="CF1230" s="5">
        <v>42830</v>
      </c>
      <c r="CG1230" s="2"/>
      <c r="CH1230" s="2"/>
      <c r="CI1230" s="2">
        <v>1</v>
      </c>
      <c r="CJ1230" s="2">
        <v>1</v>
      </c>
      <c r="CK1230" s="2">
        <v>21</v>
      </c>
      <c r="CL1230" s="2" t="s">
        <v>86</v>
      </c>
      <c r="CM1230" s="2"/>
    </row>
    <row r="1231" spans="1:91">
      <c r="A1231" s="2" t="s">
        <v>71</v>
      </c>
      <c r="B1231" s="2" t="s">
        <v>72</v>
      </c>
      <c r="C1231" s="2" t="s">
        <v>73</v>
      </c>
      <c r="D1231" s="2"/>
      <c r="E1231" s="2" t="str">
        <f>"FES1162542236"</f>
        <v>FES1162542236</v>
      </c>
      <c r="F1231" s="3">
        <v>42832</v>
      </c>
      <c r="G1231" s="2">
        <v>201710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187</v>
      </c>
      <c r="M1231" s="2" t="s">
        <v>146</v>
      </c>
      <c r="N1231" s="2" t="s">
        <v>1602</v>
      </c>
      <c r="O1231" s="2" t="s">
        <v>115</v>
      </c>
      <c r="P1231" s="2" t="str">
        <f>"2170558953                    "</f>
        <v xml:space="preserve">2170558953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4.29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41.73</v>
      </c>
      <c r="BM1231" s="2">
        <v>5.84</v>
      </c>
      <c r="BN1231" s="2">
        <v>47.57</v>
      </c>
      <c r="BO1231" s="2">
        <v>47.57</v>
      </c>
      <c r="BP1231" s="2"/>
      <c r="BQ1231" s="2" t="s">
        <v>1603</v>
      </c>
      <c r="BR1231" s="2" t="s">
        <v>123</v>
      </c>
      <c r="BS1231" s="3">
        <v>42835</v>
      </c>
      <c r="BT1231" s="4">
        <v>0.38541666666666669</v>
      </c>
      <c r="BU1231" s="2" t="s">
        <v>1137</v>
      </c>
      <c r="BV1231" s="2" t="s">
        <v>111</v>
      </c>
      <c r="BW1231" s="2"/>
      <c r="BX1231" s="2"/>
      <c r="BY1231" s="2">
        <v>1200</v>
      </c>
      <c r="BZ1231" s="2" t="s">
        <v>27</v>
      </c>
      <c r="CA1231" s="2"/>
      <c r="CB1231" s="2"/>
      <c r="CC1231" s="2" t="s">
        <v>146</v>
      </c>
      <c r="CD1231" s="2">
        <v>117</v>
      </c>
      <c r="CE1231" s="2" t="s">
        <v>144</v>
      </c>
      <c r="CF1231" s="5">
        <v>42837</v>
      </c>
      <c r="CG1231" s="2"/>
      <c r="CH1231" s="2"/>
      <c r="CI1231" s="2">
        <v>0</v>
      </c>
      <c r="CJ1231" s="2">
        <v>0</v>
      </c>
      <c r="CK1231" s="2">
        <v>21</v>
      </c>
      <c r="CL1231" s="2" t="s">
        <v>86</v>
      </c>
      <c r="CM1231" s="2"/>
    </row>
    <row r="1232" spans="1:91">
      <c r="A1232" s="2" t="s">
        <v>71</v>
      </c>
      <c r="B1232" s="2" t="s">
        <v>72</v>
      </c>
      <c r="C1232" s="2" t="s">
        <v>73</v>
      </c>
      <c r="D1232" s="2"/>
      <c r="E1232" s="2" t="str">
        <f>"FES1162540964"</f>
        <v>FES1162540964</v>
      </c>
      <c r="F1232" s="3">
        <v>42828</v>
      </c>
      <c r="G1232" s="2">
        <v>201710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180</v>
      </c>
      <c r="M1232" s="2" t="s">
        <v>181</v>
      </c>
      <c r="N1232" s="2" t="s">
        <v>1621</v>
      </c>
      <c r="O1232" s="2" t="s">
        <v>115</v>
      </c>
      <c r="P1232" s="2" t="str">
        <f>"2170557921                    "</f>
        <v xml:space="preserve">2170557921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4.42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1</v>
      </c>
      <c r="BJ1232" s="2">
        <v>0.2</v>
      </c>
      <c r="BK1232" s="2">
        <v>1</v>
      </c>
      <c r="BL1232" s="2">
        <v>41.86</v>
      </c>
      <c r="BM1232" s="2">
        <v>5.86</v>
      </c>
      <c r="BN1232" s="2">
        <v>47.72</v>
      </c>
      <c r="BO1232" s="2">
        <v>47.72</v>
      </c>
      <c r="BP1232" s="2"/>
      <c r="BQ1232" s="2" t="s">
        <v>129</v>
      </c>
      <c r="BR1232" s="2" t="s">
        <v>123</v>
      </c>
      <c r="BS1232" s="3">
        <v>42829</v>
      </c>
      <c r="BT1232" s="4">
        <v>0.4375</v>
      </c>
      <c r="BU1232" s="2" t="s">
        <v>1792</v>
      </c>
      <c r="BV1232" s="2" t="s">
        <v>111</v>
      </c>
      <c r="BW1232" s="2"/>
      <c r="BX1232" s="2"/>
      <c r="BY1232" s="2">
        <v>1200</v>
      </c>
      <c r="BZ1232" s="2" t="s">
        <v>27</v>
      </c>
      <c r="CA1232" s="2"/>
      <c r="CB1232" s="2"/>
      <c r="CC1232" s="2" t="s">
        <v>181</v>
      </c>
      <c r="CD1232" s="2">
        <v>4017</v>
      </c>
      <c r="CE1232" s="2" t="s">
        <v>144</v>
      </c>
      <c r="CF1232" s="5">
        <v>42831</v>
      </c>
      <c r="CG1232" s="2"/>
      <c r="CH1232" s="2"/>
      <c r="CI1232" s="2">
        <v>1</v>
      </c>
      <c r="CJ1232" s="2">
        <v>1</v>
      </c>
      <c r="CK1232" s="2">
        <v>21</v>
      </c>
      <c r="CL1232" s="2" t="s">
        <v>86</v>
      </c>
      <c r="CM1232" s="2"/>
    </row>
    <row r="1233" spans="1:91">
      <c r="A1233" s="2" t="s">
        <v>71</v>
      </c>
      <c r="B1233" s="2" t="s">
        <v>72</v>
      </c>
      <c r="C1233" s="2" t="s">
        <v>73</v>
      </c>
      <c r="D1233" s="2"/>
      <c r="E1233" s="2" t="str">
        <f>"FES1162542665"</f>
        <v>FES1162542665</v>
      </c>
      <c r="F1233" s="3">
        <v>42835</v>
      </c>
      <c r="G1233" s="2">
        <v>201710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131</v>
      </c>
      <c r="M1233" s="2" t="s">
        <v>132</v>
      </c>
      <c r="N1233" s="2" t="s">
        <v>1771</v>
      </c>
      <c r="O1233" s="2" t="s">
        <v>115</v>
      </c>
      <c r="P1233" s="2" t="str">
        <f>"2170561491                    "</f>
        <v xml:space="preserve">2170561491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72.88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27</v>
      </c>
      <c r="BJ1233" s="2">
        <v>34</v>
      </c>
      <c r="BK1233" s="2">
        <v>34</v>
      </c>
      <c r="BL1233" s="2">
        <v>709.36</v>
      </c>
      <c r="BM1233" s="2">
        <v>99.31</v>
      </c>
      <c r="BN1233" s="2">
        <v>808.67</v>
      </c>
      <c r="BO1233" s="2">
        <v>808.67</v>
      </c>
      <c r="BP1233" s="2"/>
      <c r="BQ1233" s="2" t="s">
        <v>1772</v>
      </c>
      <c r="BR1233" s="2" t="s">
        <v>123</v>
      </c>
      <c r="BS1233" s="3">
        <v>42836</v>
      </c>
      <c r="BT1233" s="4">
        <v>0.41666666666666669</v>
      </c>
      <c r="BU1233" s="2" t="s">
        <v>1773</v>
      </c>
      <c r="BV1233" s="2" t="s">
        <v>111</v>
      </c>
      <c r="BW1233" s="2"/>
      <c r="BX1233" s="2"/>
      <c r="BY1233" s="2">
        <v>169963.2</v>
      </c>
      <c r="BZ1233" s="2" t="s">
        <v>27</v>
      </c>
      <c r="CA1233" s="2"/>
      <c r="CB1233" s="2"/>
      <c r="CC1233" s="2" t="s">
        <v>132</v>
      </c>
      <c r="CD1233" s="2">
        <v>7441</v>
      </c>
      <c r="CE1233" s="2" t="s">
        <v>135</v>
      </c>
      <c r="CF1233" s="5">
        <v>42837</v>
      </c>
      <c r="CG1233" s="2"/>
      <c r="CH1233" s="2"/>
      <c r="CI1233" s="2">
        <v>1</v>
      </c>
      <c r="CJ1233" s="2">
        <v>1</v>
      </c>
      <c r="CK1233" s="2">
        <v>21</v>
      </c>
      <c r="CL1233" s="2" t="s">
        <v>86</v>
      </c>
      <c r="CM1233" s="2"/>
    </row>
    <row r="1234" spans="1:91">
      <c r="A1234" s="2" t="s">
        <v>71</v>
      </c>
      <c r="B1234" s="2" t="s">
        <v>72</v>
      </c>
      <c r="C1234" s="2" t="s">
        <v>73</v>
      </c>
      <c r="D1234" s="2"/>
      <c r="E1234" s="2" t="str">
        <f>"FES1162541051"</f>
        <v>FES1162541051</v>
      </c>
      <c r="F1234" s="3">
        <v>42828</v>
      </c>
      <c r="G1234" s="2">
        <v>201710</v>
      </c>
      <c r="H1234" s="2" t="s">
        <v>74</v>
      </c>
      <c r="I1234" s="2" t="s">
        <v>75</v>
      </c>
      <c r="J1234" s="2" t="s">
        <v>76</v>
      </c>
      <c r="K1234" s="2" t="s">
        <v>77</v>
      </c>
      <c r="L1234" s="2" t="s">
        <v>633</v>
      </c>
      <c r="M1234" s="2" t="s">
        <v>634</v>
      </c>
      <c r="N1234" s="2" t="s">
        <v>635</v>
      </c>
      <c r="O1234" s="2" t="s">
        <v>115</v>
      </c>
      <c r="P1234" s="2" t="str">
        <f>"2170560124                    "</f>
        <v xml:space="preserve">2170560124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6.22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1</v>
      </c>
      <c r="BJ1234" s="2">
        <v>0.2</v>
      </c>
      <c r="BK1234" s="2">
        <v>1</v>
      </c>
      <c r="BL1234" s="2">
        <v>58.87</v>
      </c>
      <c r="BM1234" s="2">
        <v>8.24</v>
      </c>
      <c r="BN1234" s="2">
        <v>67.11</v>
      </c>
      <c r="BO1234" s="2">
        <v>67.11</v>
      </c>
      <c r="BP1234" s="2"/>
      <c r="BQ1234" s="2" t="s">
        <v>636</v>
      </c>
      <c r="BR1234" s="2" t="s">
        <v>123</v>
      </c>
      <c r="BS1234" s="3">
        <v>42829</v>
      </c>
      <c r="BT1234" s="4">
        <v>0.41666666666666669</v>
      </c>
      <c r="BU1234" s="2" t="s">
        <v>637</v>
      </c>
      <c r="BV1234" s="2" t="s">
        <v>111</v>
      </c>
      <c r="BW1234" s="2"/>
      <c r="BX1234" s="2"/>
      <c r="BY1234" s="2">
        <v>1200</v>
      </c>
      <c r="BZ1234" s="2" t="s">
        <v>27</v>
      </c>
      <c r="CA1234" s="2"/>
      <c r="CB1234" s="2"/>
      <c r="CC1234" s="2" t="s">
        <v>634</v>
      </c>
      <c r="CD1234" s="2">
        <v>1759</v>
      </c>
      <c r="CE1234" s="2" t="s">
        <v>118</v>
      </c>
      <c r="CF1234" s="5">
        <v>42831</v>
      </c>
      <c r="CG1234" s="2"/>
      <c r="CH1234" s="2"/>
      <c r="CI1234" s="2">
        <v>1</v>
      </c>
      <c r="CJ1234" s="2">
        <v>1</v>
      </c>
      <c r="CK1234" s="2">
        <v>24</v>
      </c>
      <c r="CL1234" s="2" t="s">
        <v>86</v>
      </c>
      <c r="CM1234" s="2"/>
    </row>
    <row r="1235" spans="1:91">
      <c r="A1235" s="2" t="s">
        <v>71</v>
      </c>
      <c r="B1235" s="2" t="s">
        <v>72</v>
      </c>
      <c r="C1235" s="2" t="s">
        <v>73</v>
      </c>
      <c r="D1235" s="2"/>
      <c r="E1235" s="2" t="str">
        <f>"FES1162542447"</f>
        <v>FES1162542447</v>
      </c>
      <c r="F1235" s="3">
        <v>42832</v>
      </c>
      <c r="G1235" s="2">
        <v>201710</v>
      </c>
      <c r="H1235" s="2" t="s">
        <v>74</v>
      </c>
      <c r="I1235" s="2" t="s">
        <v>75</v>
      </c>
      <c r="J1235" s="2" t="s">
        <v>76</v>
      </c>
      <c r="K1235" s="2" t="s">
        <v>77</v>
      </c>
      <c r="L1235" s="2" t="s">
        <v>180</v>
      </c>
      <c r="M1235" s="2" t="s">
        <v>181</v>
      </c>
      <c r="N1235" s="2" t="s">
        <v>1793</v>
      </c>
      <c r="O1235" s="2" t="s">
        <v>115</v>
      </c>
      <c r="P1235" s="2" t="str">
        <f>"2170561336                    "</f>
        <v xml:space="preserve">2170561336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6.43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2.2999999999999998</v>
      </c>
      <c r="BJ1235" s="2">
        <v>3</v>
      </c>
      <c r="BK1235" s="2">
        <v>3</v>
      </c>
      <c r="BL1235" s="2">
        <v>62.59</v>
      </c>
      <c r="BM1235" s="2">
        <v>8.76</v>
      </c>
      <c r="BN1235" s="2">
        <v>71.349999999999994</v>
      </c>
      <c r="BO1235" s="2">
        <v>71.349999999999994</v>
      </c>
      <c r="BP1235" s="2"/>
      <c r="BQ1235" s="2" t="s">
        <v>129</v>
      </c>
      <c r="BR1235" s="2" t="s">
        <v>123</v>
      </c>
      <c r="BS1235" s="3">
        <v>42835</v>
      </c>
      <c r="BT1235" s="4">
        <v>0.4375</v>
      </c>
      <c r="BU1235" s="2" t="s">
        <v>1794</v>
      </c>
      <c r="BV1235" s="2" t="s">
        <v>111</v>
      </c>
      <c r="BW1235" s="2"/>
      <c r="BX1235" s="2"/>
      <c r="BY1235" s="2">
        <v>15154.92</v>
      </c>
      <c r="BZ1235" s="2" t="s">
        <v>27</v>
      </c>
      <c r="CA1235" s="2"/>
      <c r="CB1235" s="2"/>
      <c r="CC1235" s="2" t="s">
        <v>181</v>
      </c>
      <c r="CD1235" s="2">
        <v>4068</v>
      </c>
      <c r="CE1235" s="2" t="s">
        <v>172</v>
      </c>
      <c r="CF1235" s="5">
        <v>42836</v>
      </c>
      <c r="CG1235" s="2"/>
      <c r="CH1235" s="2"/>
      <c r="CI1235" s="2">
        <v>1</v>
      </c>
      <c r="CJ1235" s="2">
        <v>1</v>
      </c>
      <c r="CK1235" s="2">
        <v>21</v>
      </c>
      <c r="CL1235" s="2" t="s">
        <v>86</v>
      </c>
      <c r="CM1235" s="2"/>
    </row>
    <row r="1236" spans="1:91">
      <c r="A1236" s="2" t="s">
        <v>71</v>
      </c>
      <c r="B1236" s="2" t="s">
        <v>72</v>
      </c>
      <c r="C1236" s="2" t="s">
        <v>73</v>
      </c>
      <c r="D1236" s="2"/>
      <c r="E1236" s="2" t="str">
        <f>"FES1162540966"</f>
        <v>FES1162540966</v>
      </c>
      <c r="F1236" s="3">
        <v>42828</v>
      </c>
      <c r="G1236" s="2">
        <v>201710</v>
      </c>
      <c r="H1236" s="2" t="s">
        <v>74</v>
      </c>
      <c r="I1236" s="2" t="s">
        <v>75</v>
      </c>
      <c r="J1236" s="2" t="s">
        <v>76</v>
      </c>
      <c r="K1236" s="2" t="s">
        <v>77</v>
      </c>
      <c r="L1236" s="2" t="s">
        <v>131</v>
      </c>
      <c r="M1236" s="2" t="s">
        <v>132</v>
      </c>
      <c r="N1236" s="2" t="s">
        <v>1224</v>
      </c>
      <c r="O1236" s="2" t="s">
        <v>115</v>
      </c>
      <c r="P1236" s="2" t="str">
        <f>"2170558034                    "</f>
        <v xml:space="preserve">2170558034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7.74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2.1</v>
      </c>
      <c r="BJ1236" s="2">
        <v>3.3</v>
      </c>
      <c r="BK1236" s="2">
        <v>3.5</v>
      </c>
      <c r="BL1236" s="2">
        <v>73.260000000000005</v>
      </c>
      <c r="BM1236" s="2">
        <v>10.26</v>
      </c>
      <c r="BN1236" s="2">
        <v>83.52</v>
      </c>
      <c r="BO1236" s="2">
        <v>83.52</v>
      </c>
      <c r="BP1236" s="2"/>
      <c r="BQ1236" s="2" t="s">
        <v>122</v>
      </c>
      <c r="BR1236" s="2" t="s">
        <v>123</v>
      </c>
      <c r="BS1236" s="3">
        <v>42829</v>
      </c>
      <c r="BT1236" s="4">
        <v>0.51388888888888895</v>
      </c>
      <c r="BU1236" s="2" t="s">
        <v>1795</v>
      </c>
      <c r="BV1236" s="2" t="s">
        <v>86</v>
      </c>
      <c r="BW1236" s="2" t="s">
        <v>164</v>
      </c>
      <c r="BX1236" s="2" t="s">
        <v>1370</v>
      </c>
      <c r="BY1236" s="2">
        <v>16596.7</v>
      </c>
      <c r="BZ1236" s="2" t="s">
        <v>27</v>
      </c>
      <c r="CA1236" s="2"/>
      <c r="CB1236" s="2"/>
      <c r="CC1236" s="2" t="s">
        <v>132</v>
      </c>
      <c r="CD1236" s="2">
        <v>7580</v>
      </c>
      <c r="CE1236" s="2" t="s">
        <v>135</v>
      </c>
      <c r="CF1236" s="5">
        <v>42830</v>
      </c>
      <c r="CG1236" s="2"/>
      <c r="CH1236" s="2"/>
      <c r="CI1236" s="2">
        <v>1</v>
      </c>
      <c r="CJ1236" s="2">
        <v>1</v>
      </c>
      <c r="CK1236" s="2">
        <v>21</v>
      </c>
      <c r="CL1236" s="2" t="s">
        <v>86</v>
      </c>
      <c r="CM1236" s="2"/>
    </row>
    <row r="1237" spans="1:91">
      <c r="A1237" s="2" t="s">
        <v>71</v>
      </c>
      <c r="B1237" s="2" t="s">
        <v>72</v>
      </c>
      <c r="C1237" s="2" t="s">
        <v>73</v>
      </c>
      <c r="D1237" s="2"/>
      <c r="E1237" s="2" t="str">
        <f>"FES1162542524"</f>
        <v>FES1162542524</v>
      </c>
      <c r="F1237" s="3">
        <v>42835</v>
      </c>
      <c r="G1237" s="2">
        <v>201710</v>
      </c>
      <c r="H1237" s="2" t="s">
        <v>74</v>
      </c>
      <c r="I1237" s="2" t="s">
        <v>75</v>
      </c>
      <c r="J1237" s="2" t="s">
        <v>76</v>
      </c>
      <c r="K1237" s="2" t="s">
        <v>77</v>
      </c>
      <c r="L1237" s="2" t="s">
        <v>131</v>
      </c>
      <c r="M1237" s="2" t="s">
        <v>132</v>
      </c>
      <c r="N1237" s="2" t="s">
        <v>1188</v>
      </c>
      <c r="O1237" s="2" t="s">
        <v>115</v>
      </c>
      <c r="P1237" s="2" t="str">
        <f>"2170559336                    "</f>
        <v xml:space="preserve">2170559336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4.29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1</v>
      </c>
      <c r="BJ1237" s="2">
        <v>0.2</v>
      </c>
      <c r="BK1237" s="2">
        <v>1</v>
      </c>
      <c r="BL1237" s="2">
        <v>41.73</v>
      </c>
      <c r="BM1237" s="2">
        <v>5.84</v>
      </c>
      <c r="BN1237" s="2">
        <v>47.57</v>
      </c>
      <c r="BO1237" s="2">
        <v>47.57</v>
      </c>
      <c r="BP1237" s="2"/>
      <c r="BQ1237" s="2" t="s">
        <v>129</v>
      </c>
      <c r="BR1237" s="2" t="s">
        <v>123</v>
      </c>
      <c r="BS1237" s="3">
        <v>42836</v>
      </c>
      <c r="BT1237" s="4">
        <v>0.4284722222222222</v>
      </c>
      <c r="BU1237" s="2" t="s">
        <v>1796</v>
      </c>
      <c r="BV1237" s="2" t="s">
        <v>111</v>
      </c>
      <c r="BW1237" s="2"/>
      <c r="BX1237" s="2"/>
      <c r="BY1237" s="2">
        <v>1200</v>
      </c>
      <c r="BZ1237" s="2" t="s">
        <v>27</v>
      </c>
      <c r="CA1237" s="2"/>
      <c r="CB1237" s="2"/>
      <c r="CC1237" s="2" t="s">
        <v>132</v>
      </c>
      <c r="CD1237" s="2">
        <v>7560</v>
      </c>
      <c r="CE1237" s="2" t="s">
        <v>144</v>
      </c>
      <c r="CF1237" s="5">
        <v>42837</v>
      </c>
      <c r="CG1237" s="2"/>
      <c r="CH1237" s="2"/>
      <c r="CI1237" s="2">
        <v>1</v>
      </c>
      <c r="CJ1237" s="2">
        <v>1</v>
      </c>
      <c r="CK1237" s="2">
        <v>21</v>
      </c>
      <c r="CL1237" s="2" t="s">
        <v>86</v>
      </c>
      <c r="CM1237" s="2"/>
    </row>
    <row r="1238" spans="1:91">
      <c r="A1238" s="2" t="s">
        <v>71</v>
      </c>
      <c r="B1238" s="2" t="s">
        <v>72</v>
      </c>
      <c r="C1238" s="2" t="s">
        <v>73</v>
      </c>
      <c r="D1238" s="2"/>
      <c r="E1238" s="2" t="str">
        <f>"FES1162541027"</f>
        <v>FES1162541027</v>
      </c>
      <c r="F1238" s="3">
        <v>42828</v>
      </c>
      <c r="G1238" s="2">
        <v>201710</v>
      </c>
      <c r="H1238" s="2" t="s">
        <v>74</v>
      </c>
      <c r="I1238" s="2" t="s">
        <v>75</v>
      </c>
      <c r="J1238" s="2" t="s">
        <v>76</v>
      </c>
      <c r="K1238" s="2" t="s">
        <v>77</v>
      </c>
      <c r="L1238" s="2" t="s">
        <v>187</v>
      </c>
      <c r="M1238" s="2" t="s">
        <v>146</v>
      </c>
      <c r="N1238" s="2" t="s">
        <v>1797</v>
      </c>
      <c r="O1238" s="2" t="s">
        <v>115</v>
      </c>
      <c r="P1238" s="2" t="str">
        <f>"2170560097                    "</f>
        <v xml:space="preserve">2170560097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4.42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1</v>
      </c>
      <c r="BJ1238" s="2">
        <v>0.2</v>
      </c>
      <c r="BK1238" s="2">
        <v>1</v>
      </c>
      <c r="BL1238" s="2">
        <v>41.86</v>
      </c>
      <c r="BM1238" s="2">
        <v>5.86</v>
      </c>
      <c r="BN1238" s="2">
        <v>47.72</v>
      </c>
      <c r="BO1238" s="2">
        <v>47.72</v>
      </c>
      <c r="BP1238" s="2"/>
      <c r="BQ1238" s="2" t="s">
        <v>1798</v>
      </c>
      <c r="BR1238" s="2" t="s">
        <v>123</v>
      </c>
      <c r="BS1238" s="3">
        <v>42829</v>
      </c>
      <c r="BT1238" s="4">
        <v>0.38541666666666669</v>
      </c>
      <c r="BU1238" s="2" t="s">
        <v>1799</v>
      </c>
      <c r="BV1238" s="2" t="s">
        <v>111</v>
      </c>
      <c r="BW1238" s="2"/>
      <c r="BX1238" s="2"/>
      <c r="BY1238" s="2">
        <v>1200</v>
      </c>
      <c r="BZ1238" s="2" t="s">
        <v>27</v>
      </c>
      <c r="CA1238" s="2" t="s">
        <v>159</v>
      </c>
      <c r="CB1238" s="2"/>
      <c r="CC1238" s="2" t="s">
        <v>146</v>
      </c>
      <c r="CD1238" s="2">
        <v>81</v>
      </c>
      <c r="CE1238" s="2" t="s">
        <v>144</v>
      </c>
      <c r="CF1238" s="5">
        <v>42832</v>
      </c>
      <c r="CG1238" s="2"/>
      <c r="CH1238" s="2"/>
      <c r="CI1238" s="2">
        <v>0</v>
      </c>
      <c r="CJ1238" s="2">
        <v>0</v>
      </c>
      <c r="CK1238" s="2">
        <v>21</v>
      </c>
      <c r="CL1238" s="2" t="s">
        <v>86</v>
      </c>
      <c r="CM1238" s="2"/>
    </row>
    <row r="1239" spans="1:91">
      <c r="A1239" s="2" t="s">
        <v>71</v>
      </c>
      <c r="B1239" s="2" t="s">
        <v>72</v>
      </c>
      <c r="C1239" s="2" t="s">
        <v>73</v>
      </c>
      <c r="D1239" s="2"/>
      <c r="E1239" s="2" t="str">
        <f>"FES1162542296"</f>
        <v>FES1162542296</v>
      </c>
      <c r="F1239" s="3">
        <v>42832</v>
      </c>
      <c r="G1239" s="2">
        <v>201710</v>
      </c>
      <c r="H1239" s="2" t="s">
        <v>74</v>
      </c>
      <c r="I1239" s="2" t="s">
        <v>75</v>
      </c>
      <c r="J1239" s="2" t="s">
        <v>76</v>
      </c>
      <c r="K1239" s="2" t="s">
        <v>77</v>
      </c>
      <c r="L1239" s="2" t="s">
        <v>358</v>
      </c>
      <c r="M1239" s="2" t="s">
        <v>359</v>
      </c>
      <c r="N1239" s="2" t="s">
        <v>360</v>
      </c>
      <c r="O1239" s="2" t="s">
        <v>115</v>
      </c>
      <c r="P1239" s="2" t="str">
        <f>"2170560908                    "</f>
        <v xml:space="preserve">2170560908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4.29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</v>
      </c>
      <c r="BJ1239" s="2">
        <v>0.2</v>
      </c>
      <c r="BK1239" s="2">
        <v>1</v>
      </c>
      <c r="BL1239" s="2">
        <v>41.73</v>
      </c>
      <c r="BM1239" s="2">
        <v>5.84</v>
      </c>
      <c r="BN1239" s="2">
        <v>47.57</v>
      </c>
      <c r="BO1239" s="2">
        <v>47.57</v>
      </c>
      <c r="BP1239" s="2"/>
      <c r="BQ1239" s="2" t="s">
        <v>361</v>
      </c>
      <c r="BR1239" s="2" t="s">
        <v>123</v>
      </c>
      <c r="BS1239" s="3">
        <v>42835</v>
      </c>
      <c r="BT1239" s="4">
        <v>0.31597222222222221</v>
      </c>
      <c r="BU1239" s="2" t="s">
        <v>1271</v>
      </c>
      <c r="BV1239" s="2" t="s">
        <v>111</v>
      </c>
      <c r="BW1239" s="2"/>
      <c r="BX1239" s="2"/>
      <c r="BY1239" s="2">
        <v>1200</v>
      </c>
      <c r="BZ1239" s="2" t="s">
        <v>27</v>
      </c>
      <c r="CA1239" s="2"/>
      <c r="CB1239" s="2"/>
      <c r="CC1239" s="2" t="s">
        <v>359</v>
      </c>
      <c r="CD1239" s="2">
        <v>6229</v>
      </c>
      <c r="CE1239" s="2" t="s">
        <v>144</v>
      </c>
      <c r="CF1239" s="5">
        <v>42836</v>
      </c>
      <c r="CG1239" s="2"/>
      <c r="CH1239" s="2"/>
      <c r="CI1239" s="2">
        <v>1</v>
      </c>
      <c r="CJ1239" s="2">
        <v>1</v>
      </c>
      <c r="CK1239" s="2">
        <v>21</v>
      </c>
      <c r="CL1239" s="2" t="s">
        <v>86</v>
      </c>
      <c r="CM1239" s="2"/>
    </row>
    <row r="1240" spans="1:91">
      <c r="A1240" s="2" t="s">
        <v>71</v>
      </c>
      <c r="B1240" s="2" t="s">
        <v>72</v>
      </c>
      <c r="C1240" s="2" t="s">
        <v>73</v>
      </c>
      <c r="D1240" s="2"/>
      <c r="E1240" s="2" t="str">
        <f>"FES1162540951"</f>
        <v>FES1162540951</v>
      </c>
      <c r="F1240" s="3">
        <v>42828</v>
      </c>
      <c r="G1240" s="2">
        <v>201710</v>
      </c>
      <c r="H1240" s="2" t="s">
        <v>74</v>
      </c>
      <c r="I1240" s="2" t="s">
        <v>75</v>
      </c>
      <c r="J1240" s="2" t="s">
        <v>76</v>
      </c>
      <c r="K1240" s="2" t="s">
        <v>77</v>
      </c>
      <c r="L1240" s="2" t="s">
        <v>474</v>
      </c>
      <c r="M1240" s="2" t="s">
        <v>475</v>
      </c>
      <c r="N1240" s="2" t="s">
        <v>1001</v>
      </c>
      <c r="O1240" s="2" t="s">
        <v>115</v>
      </c>
      <c r="P1240" s="2" t="str">
        <f>"2170560041                    "</f>
        <v xml:space="preserve">2170560041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4.42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1</v>
      </c>
      <c r="BJ1240" s="2">
        <v>0.2</v>
      </c>
      <c r="BK1240" s="2">
        <v>1</v>
      </c>
      <c r="BL1240" s="2">
        <v>41.86</v>
      </c>
      <c r="BM1240" s="2">
        <v>5.86</v>
      </c>
      <c r="BN1240" s="2">
        <v>47.72</v>
      </c>
      <c r="BO1240" s="2">
        <v>47.72</v>
      </c>
      <c r="BP1240" s="2"/>
      <c r="BQ1240" s="2" t="s">
        <v>472</v>
      </c>
      <c r="BR1240" s="2" t="s">
        <v>123</v>
      </c>
      <c r="BS1240" s="3">
        <v>42829</v>
      </c>
      <c r="BT1240" s="4">
        <v>0.41388888888888892</v>
      </c>
      <c r="BU1240" s="2" t="s">
        <v>1738</v>
      </c>
      <c r="BV1240" s="2" t="s">
        <v>111</v>
      </c>
      <c r="BW1240" s="2"/>
      <c r="BX1240" s="2"/>
      <c r="BY1240" s="2">
        <v>1200</v>
      </c>
      <c r="BZ1240" s="2" t="s">
        <v>27</v>
      </c>
      <c r="CA1240" s="2"/>
      <c r="CB1240" s="2"/>
      <c r="CC1240" s="2" t="s">
        <v>475</v>
      </c>
      <c r="CD1240" s="2">
        <v>3290</v>
      </c>
      <c r="CE1240" s="2" t="s">
        <v>144</v>
      </c>
      <c r="CF1240" s="5">
        <v>42832</v>
      </c>
      <c r="CG1240" s="2"/>
      <c r="CH1240" s="2"/>
      <c r="CI1240" s="2">
        <v>1</v>
      </c>
      <c r="CJ1240" s="2">
        <v>1</v>
      </c>
      <c r="CK1240" s="2">
        <v>21</v>
      </c>
      <c r="CL1240" s="2" t="s">
        <v>86</v>
      </c>
      <c r="CM1240" s="2"/>
    </row>
    <row r="1241" spans="1:91">
      <c r="A1241" s="2" t="s">
        <v>71</v>
      </c>
      <c r="B1241" s="2" t="s">
        <v>72</v>
      </c>
      <c r="C1241" s="2" t="s">
        <v>73</v>
      </c>
      <c r="D1241" s="2"/>
      <c r="E1241" s="2" t="str">
        <f>"FES1162542498"</f>
        <v>FES1162542498</v>
      </c>
      <c r="F1241" s="3">
        <v>42835</v>
      </c>
      <c r="G1241" s="2">
        <v>201710</v>
      </c>
      <c r="H1241" s="2" t="s">
        <v>74</v>
      </c>
      <c r="I1241" s="2" t="s">
        <v>75</v>
      </c>
      <c r="J1241" s="2" t="s">
        <v>76</v>
      </c>
      <c r="K1241" s="2" t="s">
        <v>77</v>
      </c>
      <c r="L1241" s="2" t="s">
        <v>166</v>
      </c>
      <c r="M1241" s="2" t="s">
        <v>167</v>
      </c>
      <c r="N1241" s="2" t="s">
        <v>168</v>
      </c>
      <c r="O1241" s="2" t="s">
        <v>115</v>
      </c>
      <c r="P1241" s="2" t="str">
        <f>"2170560329                    "</f>
        <v xml:space="preserve">2170560329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3.35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1</v>
      </c>
      <c r="BJ1241" s="2">
        <v>0.2</v>
      </c>
      <c r="BK1241" s="2">
        <v>1</v>
      </c>
      <c r="BL1241" s="2">
        <v>32.6</v>
      </c>
      <c r="BM1241" s="2">
        <v>4.5599999999999996</v>
      </c>
      <c r="BN1241" s="2">
        <v>37.159999999999997</v>
      </c>
      <c r="BO1241" s="2">
        <v>37.159999999999997</v>
      </c>
      <c r="BP1241" s="2"/>
      <c r="BQ1241" s="2" t="s">
        <v>169</v>
      </c>
      <c r="BR1241" s="2" t="s">
        <v>123</v>
      </c>
      <c r="BS1241" s="3">
        <v>42836</v>
      </c>
      <c r="BT1241" s="4">
        <v>0.40763888888888888</v>
      </c>
      <c r="BU1241" s="2" t="s">
        <v>170</v>
      </c>
      <c r="BV1241" s="2" t="s">
        <v>111</v>
      </c>
      <c r="BW1241" s="2"/>
      <c r="BX1241" s="2"/>
      <c r="BY1241" s="2">
        <v>1200</v>
      </c>
      <c r="BZ1241" s="2" t="s">
        <v>27</v>
      </c>
      <c r="CA1241" s="2" t="s">
        <v>171</v>
      </c>
      <c r="CB1241" s="2"/>
      <c r="CC1241" s="2" t="s">
        <v>167</v>
      </c>
      <c r="CD1241" s="2">
        <v>2094</v>
      </c>
      <c r="CE1241" s="2" t="s">
        <v>118</v>
      </c>
      <c r="CF1241" s="5">
        <v>42836</v>
      </c>
      <c r="CG1241" s="2"/>
      <c r="CH1241" s="2"/>
      <c r="CI1241" s="2">
        <v>1</v>
      </c>
      <c r="CJ1241" s="2">
        <v>1</v>
      </c>
      <c r="CK1241" s="2">
        <v>22</v>
      </c>
      <c r="CL1241" s="2" t="s">
        <v>86</v>
      </c>
      <c r="CM1241" s="2"/>
    </row>
    <row r="1242" spans="1:91">
      <c r="A1242" s="2" t="s">
        <v>71</v>
      </c>
      <c r="B1242" s="2" t="s">
        <v>72</v>
      </c>
      <c r="C1242" s="2" t="s">
        <v>73</v>
      </c>
      <c r="D1242" s="2"/>
      <c r="E1242" s="2" t="str">
        <f>"FES1162540952"</f>
        <v>FES1162540952</v>
      </c>
      <c r="F1242" s="3">
        <v>42828</v>
      </c>
      <c r="G1242" s="2">
        <v>201710</v>
      </c>
      <c r="H1242" s="2" t="s">
        <v>74</v>
      </c>
      <c r="I1242" s="2" t="s">
        <v>75</v>
      </c>
      <c r="J1242" s="2" t="s">
        <v>76</v>
      </c>
      <c r="K1242" s="2" t="s">
        <v>77</v>
      </c>
      <c r="L1242" s="2" t="s">
        <v>1800</v>
      </c>
      <c r="M1242" s="2" t="s">
        <v>1801</v>
      </c>
      <c r="N1242" s="2" t="s">
        <v>1802</v>
      </c>
      <c r="O1242" s="2" t="s">
        <v>115</v>
      </c>
      <c r="P1242" s="2" t="str">
        <f>"2170560043                    "</f>
        <v xml:space="preserve">2170560043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8.57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1</v>
      </c>
      <c r="BJ1242" s="2">
        <v>0.2</v>
      </c>
      <c r="BK1242" s="2">
        <v>1</v>
      </c>
      <c r="BL1242" s="2">
        <v>81.11</v>
      </c>
      <c r="BM1242" s="2">
        <v>11.36</v>
      </c>
      <c r="BN1242" s="2">
        <v>92.47</v>
      </c>
      <c r="BO1242" s="2">
        <v>92.47</v>
      </c>
      <c r="BP1242" s="2"/>
      <c r="BQ1242" s="2" t="s">
        <v>1803</v>
      </c>
      <c r="BR1242" s="2" t="s">
        <v>123</v>
      </c>
      <c r="BS1242" s="3">
        <v>42829</v>
      </c>
      <c r="BT1242" s="4">
        <v>0.4680555555555555</v>
      </c>
      <c r="BU1242" s="2" t="s">
        <v>1804</v>
      </c>
      <c r="BV1242" s="2" t="s">
        <v>111</v>
      </c>
      <c r="BW1242" s="2"/>
      <c r="BX1242" s="2"/>
      <c r="BY1242" s="2">
        <v>1200</v>
      </c>
      <c r="BZ1242" s="2" t="s">
        <v>27</v>
      </c>
      <c r="CA1242" s="2" t="s">
        <v>1805</v>
      </c>
      <c r="CB1242" s="2"/>
      <c r="CC1242" s="2" t="s">
        <v>1801</v>
      </c>
      <c r="CD1242" s="2">
        <v>7131</v>
      </c>
      <c r="CE1242" s="2" t="s">
        <v>118</v>
      </c>
      <c r="CF1242" s="5">
        <v>42829</v>
      </c>
      <c r="CG1242" s="2"/>
      <c r="CH1242" s="2"/>
      <c r="CI1242" s="2">
        <v>1</v>
      </c>
      <c r="CJ1242" s="2">
        <v>1</v>
      </c>
      <c r="CK1242" s="2">
        <v>23</v>
      </c>
      <c r="CL1242" s="2" t="s">
        <v>86</v>
      </c>
      <c r="CM1242" s="2"/>
    </row>
    <row r="1243" spans="1:91">
      <c r="A1243" s="2" t="s">
        <v>71</v>
      </c>
      <c r="B1243" s="2" t="s">
        <v>72</v>
      </c>
      <c r="C1243" s="2" t="s">
        <v>73</v>
      </c>
      <c r="D1243" s="2"/>
      <c r="E1243" s="2" t="str">
        <f>"FES1162542145"</f>
        <v>FES1162542145</v>
      </c>
      <c r="F1243" s="3">
        <v>42832</v>
      </c>
      <c r="G1243" s="2">
        <v>201710</v>
      </c>
      <c r="H1243" s="2" t="s">
        <v>74</v>
      </c>
      <c r="I1243" s="2" t="s">
        <v>75</v>
      </c>
      <c r="J1243" s="2" t="s">
        <v>76</v>
      </c>
      <c r="K1243" s="2" t="s">
        <v>77</v>
      </c>
      <c r="L1243" s="2" t="s">
        <v>187</v>
      </c>
      <c r="M1243" s="2" t="s">
        <v>146</v>
      </c>
      <c r="N1243" s="2" t="s">
        <v>1602</v>
      </c>
      <c r="O1243" s="2" t="s">
        <v>115</v>
      </c>
      <c r="P1243" s="2" t="str">
        <f>"2170561021                    "</f>
        <v xml:space="preserve">2170561021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7.5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2.2000000000000002</v>
      </c>
      <c r="BJ1243" s="2">
        <v>3.4</v>
      </c>
      <c r="BK1243" s="2">
        <v>3.5</v>
      </c>
      <c r="BL1243" s="2">
        <v>73.02</v>
      </c>
      <c r="BM1243" s="2">
        <v>10.220000000000001</v>
      </c>
      <c r="BN1243" s="2">
        <v>83.24</v>
      </c>
      <c r="BO1243" s="2">
        <v>83.24</v>
      </c>
      <c r="BP1243" s="2"/>
      <c r="BQ1243" s="2" t="s">
        <v>1603</v>
      </c>
      <c r="BR1243" s="2" t="s">
        <v>123</v>
      </c>
      <c r="BS1243" s="3">
        <v>42835</v>
      </c>
      <c r="BT1243" s="4">
        <v>0.38541666666666669</v>
      </c>
      <c r="BU1243" s="2" t="s">
        <v>1137</v>
      </c>
      <c r="BV1243" s="2" t="s">
        <v>111</v>
      </c>
      <c r="BW1243" s="2"/>
      <c r="BX1243" s="2"/>
      <c r="BY1243" s="2">
        <v>17052.310000000001</v>
      </c>
      <c r="BZ1243" s="2" t="s">
        <v>27</v>
      </c>
      <c r="CA1243" s="2"/>
      <c r="CB1243" s="2"/>
      <c r="CC1243" s="2" t="s">
        <v>146</v>
      </c>
      <c r="CD1243" s="2">
        <v>117</v>
      </c>
      <c r="CE1243" s="2" t="s">
        <v>89</v>
      </c>
      <c r="CF1243" s="5">
        <v>42837</v>
      </c>
      <c r="CG1243" s="2"/>
      <c r="CH1243" s="2"/>
      <c r="CI1243" s="2">
        <v>0</v>
      </c>
      <c r="CJ1243" s="2">
        <v>0</v>
      </c>
      <c r="CK1243" s="2">
        <v>21</v>
      </c>
      <c r="CL1243" s="2" t="s">
        <v>86</v>
      </c>
      <c r="CM1243" s="2"/>
    </row>
    <row r="1244" spans="1:91">
      <c r="A1244" s="2" t="s">
        <v>71</v>
      </c>
      <c r="B1244" s="2" t="s">
        <v>72</v>
      </c>
      <c r="C1244" s="2" t="s">
        <v>73</v>
      </c>
      <c r="D1244" s="2"/>
      <c r="E1244" s="2" t="str">
        <f>"FES1162541047"</f>
        <v>FES1162541047</v>
      </c>
      <c r="F1244" s="3">
        <v>42828</v>
      </c>
      <c r="G1244" s="2">
        <v>201710</v>
      </c>
      <c r="H1244" s="2" t="s">
        <v>74</v>
      </c>
      <c r="I1244" s="2" t="s">
        <v>75</v>
      </c>
      <c r="J1244" s="2" t="s">
        <v>76</v>
      </c>
      <c r="K1244" s="2" t="s">
        <v>77</v>
      </c>
      <c r="L1244" s="2" t="s">
        <v>549</v>
      </c>
      <c r="M1244" s="2" t="s">
        <v>550</v>
      </c>
      <c r="N1244" s="2" t="s">
        <v>551</v>
      </c>
      <c r="O1244" s="2" t="s">
        <v>115</v>
      </c>
      <c r="P1244" s="2" t="str">
        <f>"2170560119                    "</f>
        <v xml:space="preserve">2170560119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4.42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1.1000000000000001</v>
      </c>
      <c r="BJ1244" s="2">
        <v>1</v>
      </c>
      <c r="BK1244" s="2">
        <v>1.5</v>
      </c>
      <c r="BL1244" s="2">
        <v>41.86</v>
      </c>
      <c r="BM1244" s="2">
        <v>5.86</v>
      </c>
      <c r="BN1244" s="2">
        <v>47.72</v>
      </c>
      <c r="BO1244" s="2">
        <v>47.72</v>
      </c>
      <c r="BP1244" s="2"/>
      <c r="BQ1244" s="2" t="s">
        <v>552</v>
      </c>
      <c r="BR1244" s="2" t="s">
        <v>123</v>
      </c>
      <c r="BS1244" s="3">
        <v>42829</v>
      </c>
      <c r="BT1244" s="4">
        <v>0.41666666666666669</v>
      </c>
      <c r="BU1244" s="2" t="s">
        <v>1806</v>
      </c>
      <c r="BV1244" s="2" t="s">
        <v>111</v>
      </c>
      <c r="BW1244" s="2"/>
      <c r="BX1244" s="2"/>
      <c r="BY1244" s="2">
        <v>4893.6400000000003</v>
      </c>
      <c r="BZ1244" s="2" t="s">
        <v>27</v>
      </c>
      <c r="CA1244" s="2"/>
      <c r="CB1244" s="2"/>
      <c r="CC1244" s="2" t="s">
        <v>550</v>
      </c>
      <c r="CD1244" s="2">
        <v>3700</v>
      </c>
      <c r="CE1244" s="2" t="s">
        <v>135</v>
      </c>
      <c r="CF1244" s="5">
        <v>42831</v>
      </c>
      <c r="CG1244" s="2"/>
      <c r="CH1244" s="2"/>
      <c r="CI1244" s="2">
        <v>1</v>
      </c>
      <c r="CJ1244" s="2">
        <v>1</v>
      </c>
      <c r="CK1244" s="2">
        <v>21</v>
      </c>
      <c r="CL1244" s="2" t="s">
        <v>86</v>
      </c>
      <c r="CM1244" s="2"/>
    </row>
    <row r="1245" spans="1:91">
      <c r="A1245" s="2" t="s">
        <v>71</v>
      </c>
      <c r="B1245" s="2" t="s">
        <v>72</v>
      </c>
      <c r="C1245" s="2" t="s">
        <v>73</v>
      </c>
      <c r="D1245" s="2"/>
      <c r="E1245" s="2" t="str">
        <f>"FES1162542485"</f>
        <v>FES1162542485</v>
      </c>
      <c r="F1245" s="3">
        <v>42835</v>
      </c>
      <c r="G1245" s="2">
        <v>201710</v>
      </c>
      <c r="H1245" s="2" t="s">
        <v>74</v>
      </c>
      <c r="I1245" s="2" t="s">
        <v>75</v>
      </c>
      <c r="J1245" s="2" t="s">
        <v>76</v>
      </c>
      <c r="K1245" s="2" t="s">
        <v>77</v>
      </c>
      <c r="L1245" s="2" t="s">
        <v>119</v>
      </c>
      <c r="M1245" s="2" t="s">
        <v>120</v>
      </c>
      <c r="N1245" s="2" t="s">
        <v>725</v>
      </c>
      <c r="O1245" s="2" t="s">
        <v>115</v>
      </c>
      <c r="P1245" s="2" t="str">
        <f>"2170558870                    "</f>
        <v xml:space="preserve">2170558870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3.35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1</v>
      </c>
      <c r="BJ1245" s="2">
        <v>0.2</v>
      </c>
      <c r="BK1245" s="2">
        <v>1</v>
      </c>
      <c r="BL1245" s="2">
        <v>32.6</v>
      </c>
      <c r="BM1245" s="2">
        <v>4.5599999999999996</v>
      </c>
      <c r="BN1245" s="2">
        <v>37.159999999999997</v>
      </c>
      <c r="BO1245" s="2">
        <v>37.159999999999997</v>
      </c>
      <c r="BP1245" s="2"/>
      <c r="BQ1245" s="2" t="s">
        <v>726</v>
      </c>
      <c r="BR1245" s="2" t="s">
        <v>123</v>
      </c>
      <c r="BS1245" s="3">
        <v>42836</v>
      </c>
      <c r="BT1245" s="4">
        <v>0.36458333333333331</v>
      </c>
      <c r="BU1245" s="2" t="s">
        <v>767</v>
      </c>
      <c r="BV1245" s="2" t="s">
        <v>111</v>
      </c>
      <c r="BW1245" s="2"/>
      <c r="BX1245" s="2"/>
      <c r="BY1245" s="2">
        <v>1200</v>
      </c>
      <c r="BZ1245" s="2" t="s">
        <v>27</v>
      </c>
      <c r="CA1245" s="2" t="s">
        <v>125</v>
      </c>
      <c r="CB1245" s="2"/>
      <c r="CC1245" s="2" t="s">
        <v>120</v>
      </c>
      <c r="CD1245" s="2">
        <v>2162</v>
      </c>
      <c r="CE1245" s="2" t="s">
        <v>118</v>
      </c>
      <c r="CF1245" s="5">
        <v>42838</v>
      </c>
      <c r="CG1245" s="2"/>
      <c r="CH1245" s="2"/>
      <c r="CI1245" s="2">
        <v>1</v>
      </c>
      <c r="CJ1245" s="2">
        <v>1</v>
      </c>
      <c r="CK1245" s="2">
        <v>22</v>
      </c>
      <c r="CL1245" s="2" t="s">
        <v>86</v>
      </c>
      <c r="CM1245" s="2"/>
    </row>
    <row r="1246" spans="1:91">
      <c r="A1246" s="2" t="s">
        <v>71</v>
      </c>
      <c r="B1246" s="2" t="s">
        <v>72</v>
      </c>
      <c r="C1246" s="2" t="s">
        <v>73</v>
      </c>
      <c r="D1246" s="2"/>
      <c r="E1246" s="2" t="str">
        <f>"FES1162540970"</f>
        <v>FES1162540970</v>
      </c>
      <c r="F1246" s="3">
        <v>42828</v>
      </c>
      <c r="G1246" s="2">
        <v>201710</v>
      </c>
      <c r="H1246" s="2" t="s">
        <v>74</v>
      </c>
      <c r="I1246" s="2" t="s">
        <v>75</v>
      </c>
      <c r="J1246" s="2" t="s">
        <v>76</v>
      </c>
      <c r="K1246" s="2" t="s">
        <v>77</v>
      </c>
      <c r="L1246" s="2" t="s">
        <v>166</v>
      </c>
      <c r="M1246" s="2" t="s">
        <v>167</v>
      </c>
      <c r="N1246" s="2" t="s">
        <v>1807</v>
      </c>
      <c r="O1246" s="2" t="s">
        <v>115</v>
      </c>
      <c r="P1246" s="2" t="str">
        <f>"21705560048                   "</f>
        <v xml:space="preserve">21705560048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3.45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4</v>
      </c>
      <c r="BJ1246" s="2">
        <v>3.2</v>
      </c>
      <c r="BK1246" s="2">
        <v>4</v>
      </c>
      <c r="BL1246" s="2">
        <v>32.700000000000003</v>
      </c>
      <c r="BM1246" s="2">
        <v>4.58</v>
      </c>
      <c r="BN1246" s="2">
        <v>37.28</v>
      </c>
      <c r="BO1246" s="2">
        <v>37.28</v>
      </c>
      <c r="BP1246" s="2"/>
      <c r="BQ1246" s="2" t="s">
        <v>1808</v>
      </c>
      <c r="BR1246" s="2" t="s">
        <v>123</v>
      </c>
      <c r="BS1246" s="3">
        <v>42829</v>
      </c>
      <c r="BT1246" s="4">
        <v>0.34583333333333338</v>
      </c>
      <c r="BU1246" s="2" t="s">
        <v>1809</v>
      </c>
      <c r="BV1246" s="2" t="s">
        <v>111</v>
      </c>
      <c r="BW1246" s="2"/>
      <c r="BX1246" s="2"/>
      <c r="BY1246" s="2">
        <v>15980.16</v>
      </c>
      <c r="BZ1246" s="2" t="s">
        <v>27</v>
      </c>
      <c r="CA1246" s="2" t="s">
        <v>171</v>
      </c>
      <c r="CB1246" s="2"/>
      <c r="CC1246" s="2" t="s">
        <v>167</v>
      </c>
      <c r="CD1246" s="2">
        <v>2094</v>
      </c>
      <c r="CE1246" s="2" t="s">
        <v>89</v>
      </c>
      <c r="CF1246" s="5">
        <v>42830</v>
      </c>
      <c r="CG1246" s="2"/>
      <c r="CH1246" s="2"/>
      <c r="CI1246" s="2">
        <v>1</v>
      </c>
      <c r="CJ1246" s="2">
        <v>1</v>
      </c>
      <c r="CK1246" s="2">
        <v>22</v>
      </c>
      <c r="CL1246" s="2" t="s">
        <v>86</v>
      </c>
      <c r="CM1246" s="2"/>
    </row>
    <row r="1247" spans="1:91">
      <c r="A1247" s="2" t="s">
        <v>71</v>
      </c>
      <c r="B1247" s="2" t="s">
        <v>72</v>
      </c>
      <c r="C1247" s="2" t="s">
        <v>73</v>
      </c>
      <c r="D1247" s="2"/>
      <c r="E1247" s="2" t="str">
        <f>"FES1162541060"</f>
        <v>FES1162541060</v>
      </c>
      <c r="F1247" s="3">
        <v>42828</v>
      </c>
      <c r="G1247" s="2">
        <v>201710</v>
      </c>
      <c r="H1247" s="2" t="s">
        <v>74</v>
      </c>
      <c r="I1247" s="2" t="s">
        <v>75</v>
      </c>
      <c r="J1247" s="2" t="s">
        <v>76</v>
      </c>
      <c r="K1247" s="2" t="s">
        <v>77</v>
      </c>
      <c r="L1247" s="2" t="s">
        <v>516</v>
      </c>
      <c r="M1247" s="2" t="s">
        <v>517</v>
      </c>
      <c r="N1247" s="2" t="s">
        <v>755</v>
      </c>
      <c r="O1247" s="2" t="s">
        <v>115</v>
      </c>
      <c r="P1247" s="2" t="str">
        <f>"2170560137                    "</f>
        <v xml:space="preserve">2170560137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3.45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1</v>
      </c>
      <c r="BJ1247" s="2">
        <v>0.2</v>
      </c>
      <c r="BK1247" s="2">
        <v>1</v>
      </c>
      <c r="BL1247" s="2">
        <v>32.700000000000003</v>
      </c>
      <c r="BM1247" s="2">
        <v>4.58</v>
      </c>
      <c r="BN1247" s="2">
        <v>37.28</v>
      </c>
      <c r="BO1247" s="2">
        <v>37.28</v>
      </c>
      <c r="BP1247" s="2"/>
      <c r="BQ1247" s="2" t="s">
        <v>122</v>
      </c>
      <c r="BR1247" s="2" t="s">
        <v>123</v>
      </c>
      <c r="BS1247" s="3">
        <v>42829</v>
      </c>
      <c r="BT1247" s="4">
        <v>0.41666666666666669</v>
      </c>
      <c r="BU1247" s="2" t="s">
        <v>290</v>
      </c>
      <c r="BV1247" s="2" t="s">
        <v>111</v>
      </c>
      <c r="BW1247" s="2"/>
      <c r="BX1247" s="2"/>
      <c r="BY1247" s="2">
        <v>1200</v>
      </c>
      <c r="BZ1247" s="2" t="s">
        <v>27</v>
      </c>
      <c r="CA1247" s="2"/>
      <c r="CB1247" s="2"/>
      <c r="CC1247" s="2" t="s">
        <v>517</v>
      </c>
      <c r="CD1247" s="2">
        <v>1459</v>
      </c>
      <c r="CE1247" s="2" t="s">
        <v>118</v>
      </c>
      <c r="CF1247" s="5">
        <v>42831</v>
      </c>
      <c r="CG1247" s="2"/>
      <c r="CH1247" s="2"/>
      <c r="CI1247" s="2">
        <v>1</v>
      </c>
      <c r="CJ1247" s="2">
        <v>1</v>
      </c>
      <c r="CK1247" s="2">
        <v>22</v>
      </c>
      <c r="CL1247" s="2" t="s">
        <v>86</v>
      </c>
      <c r="CM1247" s="2"/>
    </row>
    <row r="1248" spans="1:91">
      <c r="A1248" s="2" t="s">
        <v>71</v>
      </c>
      <c r="B1248" s="2" t="s">
        <v>72</v>
      </c>
      <c r="C1248" s="2" t="s">
        <v>73</v>
      </c>
      <c r="D1248" s="2"/>
      <c r="E1248" s="2" t="str">
        <f>"FES1162542674"</f>
        <v>FES1162542674</v>
      </c>
      <c r="F1248" s="3">
        <v>42835</v>
      </c>
      <c r="G1248" s="2">
        <v>201710</v>
      </c>
      <c r="H1248" s="2" t="s">
        <v>74</v>
      </c>
      <c r="I1248" s="2" t="s">
        <v>75</v>
      </c>
      <c r="J1248" s="2" t="s">
        <v>76</v>
      </c>
      <c r="K1248" s="2" t="s">
        <v>77</v>
      </c>
      <c r="L1248" s="2" t="s">
        <v>294</v>
      </c>
      <c r="M1248" s="2" t="s">
        <v>295</v>
      </c>
      <c r="N1248" s="2" t="s">
        <v>296</v>
      </c>
      <c r="O1248" s="2" t="s">
        <v>115</v>
      </c>
      <c r="P1248" s="2" t="str">
        <f>"2170561546                    "</f>
        <v xml:space="preserve">2170561546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4.29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1.1000000000000001</v>
      </c>
      <c r="BJ1248" s="2">
        <v>1.3</v>
      </c>
      <c r="BK1248" s="2">
        <v>1.5</v>
      </c>
      <c r="BL1248" s="2">
        <v>41.73</v>
      </c>
      <c r="BM1248" s="2">
        <v>5.84</v>
      </c>
      <c r="BN1248" s="2">
        <v>47.57</v>
      </c>
      <c r="BO1248" s="2">
        <v>47.57</v>
      </c>
      <c r="BP1248" s="2"/>
      <c r="BQ1248" s="2" t="s">
        <v>297</v>
      </c>
      <c r="BR1248" s="2" t="s">
        <v>123</v>
      </c>
      <c r="BS1248" s="3">
        <v>42836</v>
      </c>
      <c r="BT1248" s="4">
        <v>0.4375</v>
      </c>
      <c r="BU1248" s="2" t="s">
        <v>1092</v>
      </c>
      <c r="BV1248" s="2" t="s">
        <v>111</v>
      </c>
      <c r="BW1248" s="2"/>
      <c r="BX1248" s="2"/>
      <c r="BY1248" s="2">
        <v>6300</v>
      </c>
      <c r="BZ1248" s="2" t="s">
        <v>27</v>
      </c>
      <c r="CA1248" s="2"/>
      <c r="CB1248" s="2"/>
      <c r="CC1248" s="2" t="s">
        <v>295</v>
      </c>
      <c r="CD1248" s="2">
        <v>3620</v>
      </c>
      <c r="CE1248" s="2" t="s">
        <v>287</v>
      </c>
      <c r="CF1248" s="5">
        <v>42837</v>
      </c>
      <c r="CG1248" s="2"/>
      <c r="CH1248" s="2"/>
      <c r="CI1248" s="2">
        <v>1</v>
      </c>
      <c r="CJ1248" s="2">
        <v>1</v>
      </c>
      <c r="CK1248" s="2">
        <v>21</v>
      </c>
      <c r="CL1248" s="2" t="s">
        <v>86</v>
      </c>
      <c r="CM1248" s="2"/>
    </row>
    <row r="1249" spans="1:91">
      <c r="A1249" s="2" t="s">
        <v>71</v>
      </c>
      <c r="B1249" s="2" t="s">
        <v>72</v>
      </c>
      <c r="C1249" s="2" t="s">
        <v>73</v>
      </c>
      <c r="D1249" s="2"/>
      <c r="E1249" s="2" t="str">
        <f>"FES1162543285"</f>
        <v>FES1162543285</v>
      </c>
      <c r="F1249" s="3">
        <v>42837</v>
      </c>
      <c r="G1249" s="2">
        <v>201710</v>
      </c>
      <c r="H1249" s="2" t="s">
        <v>74</v>
      </c>
      <c r="I1249" s="2" t="s">
        <v>75</v>
      </c>
      <c r="J1249" s="2" t="s">
        <v>76</v>
      </c>
      <c r="K1249" s="2" t="s">
        <v>77</v>
      </c>
      <c r="L1249" s="2" t="s">
        <v>506</v>
      </c>
      <c r="M1249" s="2" t="s">
        <v>507</v>
      </c>
      <c r="N1249" s="2" t="s">
        <v>1368</v>
      </c>
      <c r="O1249" s="2" t="s">
        <v>115</v>
      </c>
      <c r="P1249" s="2" t="str">
        <f>"2170559834                    "</f>
        <v xml:space="preserve">2170559834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8.31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1</v>
      </c>
      <c r="BJ1249" s="2">
        <v>0.2</v>
      </c>
      <c r="BK1249" s="2">
        <v>1</v>
      </c>
      <c r="BL1249" s="2">
        <v>80.849999999999994</v>
      </c>
      <c r="BM1249" s="2">
        <v>11.32</v>
      </c>
      <c r="BN1249" s="2">
        <v>92.17</v>
      </c>
      <c r="BO1249" s="2">
        <v>92.17</v>
      </c>
      <c r="BP1249" s="2"/>
      <c r="BQ1249" s="2" t="s">
        <v>83</v>
      </c>
      <c r="BR1249" s="2" t="s">
        <v>84</v>
      </c>
      <c r="BS1249" s="3">
        <v>42843</v>
      </c>
      <c r="BT1249" s="4">
        <v>0.41666666666666669</v>
      </c>
      <c r="BU1249" s="2" t="s">
        <v>1369</v>
      </c>
      <c r="BV1249" s="2" t="s">
        <v>86</v>
      </c>
      <c r="BW1249" s="2" t="s">
        <v>87</v>
      </c>
      <c r="BX1249" s="2" t="s">
        <v>1370</v>
      </c>
      <c r="BY1249" s="2">
        <v>1200</v>
      </c>
      <c r="BZ1249" s="2" t="s">
        <v>27</v>
      </c>
      <c r="CA1249" s="2"/>
      <c r="CB1249" s="2"/>
      <c r="CC1249" s="2" t="s">
        <v>507</v>
      </c>
      <c r="CD1249" s="2">
        <v>7380</v>
      </c>
      <c r="CE1249" s="2" t="s">
        <v>118</v>
      </c>
      <c r="CF1249" s="5">
        <v>42845</v>
      </c>
      <c r="CG1249" s="2"/>
      <c r="CH1249" s="2"/>
      <c r="CI1249" s="2">
        <v>3</v>
      </c>
      <c r="CJ1249" s="2">
        <v>4</v>
      </c>
      <c r="CK1249" s="2">
        <v>23</v>
      </c>
      <c r="CL1249" s="2" t="s">
        <v>86</v>
      </c>
      <c r="CM1249" s="2"/>
    </row>
    <row r="1250" spans="1:91">
      <c r="A1250" s="2" t="s">
        <v>71</v>
      </c>
      <c r="B1250" s="2" t="s">
        <v>72</v>
      </c>
      <c r="C1250" s="2" t="s">
        <v>73</v>
      </c>
      <c r="D1250" s="2"/>
      <c r="E1250" s="2" t="str">
        <f>"FES1162542444"</f>
        <v>FES1162542444</v>
      </c>
      <c r="F1250" s="3">
        <v>42832</v>
      </c>
      <c r="G1250" s="2">
        <v>201710</v>
      </c>
      <c r="H1250" s="2" t="s">
        <v>74</v>
      </c>
      <c r="I1250" s="2" t="s">
        <v>75</v>
      </c>
      <c r="J1250" s="2" t="s">
        <v>76</v>
      </c>
      <c r="K1250" s="2" t="s">
        <v>77</v>
      </c>
      <c r="L1250" s="2" t="s">
        <v>187</v>
      </c>
      <c r="M1250" s="2" t="s">
        <v>146</v>
      </c>
      <c r="N1250" s="2" t="s">
        <v>1810</v>
      </c>
      <c r="O1250" s="2" t="s">
        <v>115</v>
      </c>
      <c r="P1250" s="2" t="str">
        <f>"2170561329                    "</f>
        <v xml:space="preserve">2170561329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4.29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1</v>
      </c>
      <c r="BJ1250" s="2">
        <v>0.2</v>
      </c>
      <c r="BK1250" s="2">
        <v>1</v>
      </c>
      <c r="BL1250" s="2">
        <v>41.73</v>
      </c>
      <c r="BM1250" s="2">
        <v>5.84</v>
      </c>
      <c r="BN1250" s="2">
        <v>47.57</v>
      </c>
      <c r="BO1250" s="2">
        <v>47.57</v>
      </c>
      <c r="BP1250" s="2"/>
      <c r="BQ1250" s="2" t="s">
        <v>116</v>
      </c>
      <c r="BR1250" s="2" t="s">
        <v>123</v>
      </c>
      <c r="BS1250" s="3">
        <v>42835</v>
      </c>
      <c r="BT1250" s="4">
        <v>0.33611111111111108</v>
      </c>
      <c r="BU1250" s="2" t="s">
        <v>1811</v>
      </c>
      <c r="BV1250" s="2" t="s">
        <v>111</v>
      </c>
      <c r="BW1250" s="2"/>
      <c r="BX1250" s="2"/>
      <c r="BY1250" s="2">
        <v>1200</v>
      </c>
      <c r="BZ1250" s="2" t="s">
        <v>27</v>
      </c>
      <c r="CA1250" s="2" t="s">
        <v>1812</v>
      </c>
      <c r="CB1250" s="2"/>
      <c r="CC1250" s="2" t="s">
        <v>146</v>
      </c>
      <c r="CD1250" s="2">
        <v>159</v>
      </c>
      <c r="CE1250" s="2" t="s">
        <v>118</v>
      </c>
      <c r="CF1250" s="5">
        <v>42837</v>
      </c>
      <c r="CG1250" s="2"/>
      <c r="CH1250" s="2"/>
      <c r="CI1250" s="2">
        <v>0</v>
      </c>
      <c r="CJ1250" s="2">
        <v>0</v>
      </c>
      <c r="CK1250" s="2">
        <v>21</v>
      </c>
      <c r="CL1250" s="2" t="s">
        <v>86</v>
      </c>
      <c r="CM1250" s="2"/>
    </row>
    <row r="1251" spans="1:91">
      <c r="A1251" s="2" t="s">
        <v>71</v>
      </c>
      <c r="B1251" s="2" t="s">
        <v>72</v>
      </c>
      <c r="C1251" s="2" t="s">
        <v>73</v>
      </c>
      <c r="D1251" s="2"/>
      <c r="E1251" s="2" t="str">
        <f>"FES1162541086"</f>
        <v>FES1162541086</v>
      </c>
      <c r="F1251" s="3">
        <v>42828</v>
      </c>
      <c r="G1251" s="2">
        <v>201710</v>
      </c>
      <c r="H1251" s="2" t="s">
        <v>74</v>
      </c>
      <c r="I1251" s="2" t="s">
        <v>75</v>
      </c>
      <c r="J1251" s="2" t="s">
        <v>76</v>
      </c>
      <c r="K1251" s="2" t="s">
        <v>77</v>
      </c>
      <c r="L1251" s="2" t="s">
        <v>91</v>
      </c>
      <c r="M1251" s="2" t="s">
        <v>92</v>
      </c>
      <c r="N1251" s="2" t="s">
        <v>1813</v>
      </c>
      <c r="O1251" s="2" t="s">
        <v>115</v>
      </c>
      <c r="P1251" s="2" t="str">
        <f>"21705560165                   "</f>
        <v xml:space="preserve">21705560165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3.45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1</v>
      </c>
      <c r="BJ1251" s="2">
        <v>0.2</v>
      </c>
      <c r="BK1251" s="2">
        <v>1</v>
      </c>
      <c r="BL1251" s="2">
        <v>32.700000000000003</v>
      </c>
      <c r="BM1251" s="2">
        <v>4.58</v>
      </c>
      <c r="BN1251" s="2">
        <v>37.28</v>
      </c>
      <c r="BO1251" s="2">
        <v>37.28</v>
      </c>
      <c r="BP1251" s="2"/>
      <c r="BQ1251" s="2" t="s">
        <v>122</v>
      </c>
      <c r="BR1251" s="2" t="s">
        <v>123</v>
      </c>
      <c r="BS1251" s="3">
        <v>42829</v>
      </c>
      <c r="BT1251" s="4">
        <v>0.40625</v>
      </c>
      <c r="BU1251" s="2" t="s">
        <v>1814</v>
      </c>
      <c r="BV1251" s="2" t="s">
        <v>111</v>
      </c>
      <c r="BW1251" s="2"/>
      <c r="BX1251" s="2"/>
      <c r="BY1251" s="2">
        <v>1200</v>
      </c>
      <c r="BZ1251" s="2" t="s">
        <v>27</v>
      </c>
      <c r="CA1251" s="2" t="s">
        <v>1815</v>
      </c>
      <c r="CB1251" s="2"/>
      <c r="CC1251" s="2" t="s">
        <v>92</v>
      </c>
      <c r="CD1251" s="2">
        <v>1422</v>
      </c>
      <c r="CE1251" s="2" t="s">
        <v>118</v>
      </c>
      <c r="CF1251" s="5">
        <v>42829</v>
      </c>
      <c r="CG1251" s="2"/>
      <c r="CH1251" s="2"/>
      <c r="CI1251" s="2">
        <v>1</v>
      </c>
      <c r="CJ1251" s="2">
        <v>1</v>
      </c>
      <c r="CK1251" s="2">
        <v>22</v>
      </c>
      <c r="CL1251" s="2" t="s">
        <v>86</v>
      </c>
      <c r="CM1251" s="2"/>
    </row>
    <row r="1252" spans="1:91">
      <c r="A1252" s="2" t="s">
        <v>71</v>
      </c>
      <c r="B1252" s="2" t="s">
        <v>72</v>
      </c>
      <c r="C1252" s="2" t="s">
        <v>73</v>
      </c>
      <c r="D1252" s="2"/>
      <c r="E1252" s="2" t="str">
        <f>"FES1162541012"</f>
        <v>FES1162541012</v>
      </c>
      <c r="F1252" s="3">
        <v>42828</v>
      </c>
      <c r="G1252" s="2">
        <v>201710</v>
      </c>
      <c r="H1252" s="2" t="s">
        <v>74</v>
      </c>
      <c r="I1252" s="2" t="s">
        <v>75</v>
      </c>
      <c r="J1252" s="2" t="s">
        <v>76</v>
      </c>
      <c r="K1252" s="2" t="s">
        <v>77</v>
      </c>
      <c r="L1252" s="2" t="s">
        <v>112</v>
      </c>
      <c r="M1252" s="2" t="s">
        <v>113</v>
      </c>
      <c r="N1252" s="2" t="s">
        <v>1816</v>
      </c>
      <c r="O1252" s="2" t="s">
        <v>115</v>
      </c>
      <c r="P1252" s="2" t="str">
        <f>"2170560081                    "</f>
        <v xml:space="preserve">2170560081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4.42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1</v>
      </c>
      <c r="BJ1252" s="2">
        <v>0.2</v>
      </c>
      <c r="BK1252" s="2">
        <v>1</v>
      </c>
      <c r="BL1252" s="2">
        <v>41.86</v>
      </c>
      <c r="BM1252" s="2">
        <v>5.86</v>
      </c>
      <c r="BN1252" s="2">
        <v>47.72</v>
      </c>
      <c r="BO1252" s="2">
        <v>47.72</v>
      </c>
      <c r="BP1252" s="2"/>
      <c r="BQ1252" s="2" t="s">
        <v>1817</v>
      </c>
      <c r="BR1252" s="2" t="s">
        <v>123</v>
      </c>
      <c r="BS1252" s="3">
        <v>42829</v>
      </c>
      <c r="BT1252" s="4">
        <v>0.375</v>
      </c>
      <c r="BU1252" s="2" t="s">
        <v>1818</v>
      </c>
      <c r="BV1252" s="2" t="s">
        <v>111</v>
      </c>
      <c r="BW1252" s="2"/>
      <c r="BX1252" s="2"/>
      <c r="BY1252" s="2">
        <v>1200</v>
      </c>
      <c r="BZ1252" s="2" t="s">
        <v>27</v>
      </c>
      <c r="CA1252" s="2" t="s">
        <v>159</v>
      </c>
      <c r="CB1252" s="2"/>
      <c r="CC1252" s="2" t="s">
        <v>113</v>
      </c>
      <c r="CD1252" s="2">
        <v>3200</v>
      </c>
      <c r="CE1252" s="2" t="s">
        <v>144</v>
      </c>
      <c r="CF1252" s="5">
        <v>42831</v>
      </c>
      <c r="CG1252" s="2"/>
      <c r="CH1252" s="2"/>
      <c r="CI1252" s="2">
        <v>1</v>
      </c>
      <c r="CJ1252" s="2">
        <v>1</v>
      </c>
      <c r="CK1252" s="2">
        <v>21</v>
      </c>
      <c r="CL1252" s="2" t="s">
        <v>86</v>
      </c>
      <c r="CM1252" s="2"/>
    </row>
    <row r="1253" spans="1:91">
      <c r="A1253" s="2" t="s">
        <v>71</v>
      </c>
      <c r="B1253" s="2" t="s">
        <v>72</v>
      </c>
      <c r="C1253" s="2" t="s">
        <v>73</v>
      </c>
      <c r="D1253" s="2"/>
      <c r="E1253" s="2" t="str">
        <f>"FES1162542240"</f>
        <v>FES1162542240</v>
      </c>
      <c r="F1253" s="3">
        <v>42832</v>
      </c>
      <c r="G1253" s="2">
        <v>201710</v>
      </c>
      <c r="H1253" s="2" t="s">
        <v>74</v>
      </c>
      <c r="I1253" s="2" t="s">
        <v>75</v>
      </c>
      <c r="J1253" s="2" t="s">
        <v>76</v>
      </c>
      <c r="K1253" s="2" t="s">
        <v>77</v>
      </c>
      <c r="L1253" s="2" t="s">
        <v>131</v>
      </c>
      <c r="M1253" s="2" t="s">
        <v>132</v>
      </c>
      <c r="N1253" s="2" t="s">
        <v>1497</v>
      </c>
      <c r="O1253" s="2" t="s">
        <v>115</v>
      </c>
      <c r="P1253" s="2" t="str">
        <f>"2170561142                    "</f>
        <v xml:space="preserve">2170561142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4.29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</v>
      </c>
      <c r="BJ1253" s="2">
        <v>0.2</v>
      </c>
      <c r="BK1253" s="2">
        <v>1</v>
      </c>
      <c r="BL1253" s="2">
        <v>41.73</v>
      </c>
      <c r="BM1253" s="2">
        <v>5.84</v>
      </c>
      <c r="BN1253" s="2">
        <v>47.57</v>
      </c>
      <c r="BO1253" s="2">
        <v>47.57</v>
      </c>
      <c r="BP1253" s="2"/>
      <c r="BQ1253" s="2" t="s">
        <v>1498</v>
      </c>
      <c r="BR1253" s="2" t="s">
        <v>123</v>
      </c>
      <c r="BS1253" s="3">
        <v>42835</v>
      </c>
      <c r="BT1253" s="4">
        <v>0.41666666666666669</v>
      </c>
      <c r="BU1253" s="2" t="s">
        <v>1546</v>
      </c>
      <c r="BV1253" s="2" t="s">
        <v>111</v>
      </c>
      <c r="BW1253" s="2"/>
      <c r="BX1253" s="2"/>
      <c r="BY1253" s="2">
        <v>1200</v>
      </c>
      <c r="BZ1253" s="2" t="s">
        <v>27</v>
      </c>
      <c r="CA1253" s="2"/>
      <c r="CB1253" s="2"/>
      <c r="CC1253" s="2" t="s">
        <v>132</v>
      </c>
      <c r="CD1253" s="2">
        <v>7441</v>
      </c>
      <c r="CE1253" s="2" t="s">
        <v>144</v>
      </c>
      <c r="CF1253" s="5">
        <v>42836</v>
      </c>
      <c r="CG1253" s="2"/>
      <c r="CH1253" s="2"/>
      <c r="CI1253" s="2">
        <v>1</v>
      </c>
      <c r="CJ1253" s="2">
        <v>1</v>
      </c>
      <c r="CK1253" s="2">
        <v>21</v>
      </c>
      <c r="CL1253" s="2" t="s">
        <v>86</v>
      </c>
      <c r="CM1253" s="2"/>
    </row>
    <row r="1254" spans="1:91">
      <c r="A1254" s="2" t="s">
        <v>71</v>
      </c>
      <c r="B1254" s="2" t="s">
        <v>72</v>
      </c>
      <c r="C1254" s="2" t="s">
        <v>73</v>
      </c>
      <c r="D1254" s="2"/>
      <c r="E1254" s="2" t="str">
        <f>"FES1162540959"</f>
        <v>FES1162540959</v>
      </c>
      <c r="F1254" s="3">
        <v>42828</v>
      </c>
      <c r="G1254" s="2">
        <v>201710</v>
      </c>
      <c r="H1254" s="2" t="s">
        <v>74</v>
      </c>
      <c r="I1254" s="2" t="s">
        <v>75</v>
      </c>
      <c r="J1254" s="2" t="s">
        <v>76</v>
      </c>
      <c r="K1254" s="2" t="s">
        <v>77</v>
      </c>
      <c r="L1254" s="2" t="s">
        <v>99</v>
      </c>
      <c r="M1254" s="2" t="s">
        <v>100</v>
      </c>
      <c r="N1254" s="2" t="s">
        <v>108</v>
      </c>
      <c r="O1254" s="2" t="s">
        <v>115</v>
      </c>
      <c r="P1254" s="2" t="str">
        <f>"2170555972                    "</f>
        <v xml:space="preserve">2170555972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4.42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1</v>
      </c>
      <c r="BJ1254" s="2">
        <v>0.2</v>
      </c>
      <c r="BK1254" s="2">
        <v>1</v>
      </c>
      <c r="BL1254" s="2">
        <v>41.86</v>
      </c>
      <c r="BM1254" s="2">
        <v>5.86</v>
      </c>
      <c r="BN1254" s="2">
        <v>47.72</v>
      </c>
      <c r="BO1254" s="2">
        <v>47.72</v>
      </c>
      <c r="BP1254" s="2"/>
      <c r="BQ1254" s="2" t="s">
        <v>109</v>
      </c>
      <c r="BR1254" s="2" t="s">
        <v>123</v>
      </c>
      <c r="BS1254" s="3">
        <v>42829</v>
      </c>
      <c r="BT1254" s="4">
        <v>0.375</v>
      </c>
      <c r="BU1254" s="2" t="s">
        <v>110</v>
      </c>
      <c r="BV1254" s="2" t="s">
        <v>111</v>
      </c>
      <c r="BW1254" s="2"/>
      <c r="BX1254" s="2"/>
      <c r="BY1254" s="2">
        <v>1200</v>
      </c>
      <c r="BZ1254" s="2" t="s">
        <v>27</v>
      </c>
      <c r="CA1254" s="2" t="s">
        <v>106</v>
      </c>
      <c r="CB1254" s="2"/>
      <c r="CC1254" s="2" t="s">
        <v>100</v>
      </c>
      <c r="CD1254" s="2">
        <v>6001</v>
      </c>
      <c r="CE1254" s="2" t="s">
        <v>144</v>
      </c>
      <c r="CF1254" s="5">
        <v>42829</v>
      </c>
      <c r="CG1254" s="2"/>
      <c r="CH1254" s="2"/>
      <c r="CI1254" s="2">
        <v>1</v>
      </c>
      <c r="CJ1254" s="2">
        <v>1</v>
      </c>
      <c r="CK1254" s="2">
        <v>21</v>
      </c>
      <c r="CL1254" s="2" t="s">
        <v>86</v>
      </c>
      <c r="CM1254" s="2"/>
    </row>
    <row r="1255" spans="1:91">
      <c r="A1255" s="2" t="s">
        <v>71</v>
      </c>
      <c r="B1255" s="2" t="s">
        <v>72</v>
      </c>
      <c r="C1255" s="2" t="s">
        <v>73</v>
      </c>
      <c r="D1255" s="2"/>
      <c r="E1255" s="2" t="str">
        <f>"FES1162542653"</f>
        <v>FES1162542653</v>
      </c>
      <c r="F1255" s="3">
        <v>42835</v>
      </c>
      <c r="G1255" s="2">
        <v>201710</v>
      </c>
      <c r="H1255" s="2" t="s">
        <v>74</v>
      </c>
      <c r="I1255" s="2" t="s">
        <v>75</v>
      </c>
      <c r="J1255" s="2" t="s">
        <v>76</v>
      </c>
      <c r="K1255" s="2" t="s">
        <v>77</v>
      </c>
      <c r="L1255" s="2" t="s">
        <v>74</v>
      </c>
      <c r="M1255" s="2" t="s">
        <v>75</v>
      </c>
      <c r="N1255" s="2" t="s">
        <v>436</v>
      </c>
      <c r="O1255" s="2" t="s">
        <v>115</v>
      </c>
      <c r="P1255" s="2" t="str">
        <f>"2170561515                    "</f>
        <v xml:space="preserve">2170561515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3.35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1</v>
      </c>
      <c r="BJ1255" s="2">
        <v>0.2</v>
      </c>
      <c r="BK1255" s="2">
        <v>1</v>
      </c>
      <c r="BL1255" s="2">
        <v>32.6</v>
      </c>
      <c r="BM1255" s="2">
        <v>4.5599999999999996</v>
      </c>
      <c r="BN1255" s="2">
        <v>37.159999999999997</v>
      </c>
      <c r="BO1255" s="2">
        <v>37.159999999999997</v>
      </c>
      <c r="BP1255" s="2"/>
      <c r="BQ1255" s="2" t="s">
        <v>437</v>
      </c>
      <c r="BR1255" s="2" t="s">
        <v>123</v>
      </c>
      <c r="BS1255" s="3">
        <v>42836</v>
      </c>
      <c r="BT1255" s="4">
        <v>0.31805555555555554</v>
      </c>
      <c r="BU1255" s="2" t="s">
        <v>438</v>
      </c>
      <c r="BV1255" s="2" t="s">
        <v>111</v>
      </c>
      <c r="BW1255" s="2"/>
      <c r="BX1255" s="2"/>
      <c r="BY1255" s="2">
        <v>1200</v>
      </c>
      <c r="BZ1255" s="2" t="s">
        <v>27</v>
      </c>
      <c r="CA1255" s="2"/>
      <c r="CB1255" s="2"/>
      <c r="CC1255" s="2" t="s">
        <v>75</v>
      </c>
      <c r="CD1255" s="2">
        <v>1600</v>
      </c>
      <c r="CE1255" s="2" t="s">
        <v>118</v>
      </c>
      <c r="CF1255" s="5">
        <v>42838</v>
      </c>
      <c r="CG1255" s="2"/>
      <c r="CH1255" s="2"/>
      <c r="CI1255" s="2">
        <v>1</v>
      </c>
      <c r="CJ1255" s="2">
        <v>1</v>
      </c>
      <c r="CK1255" s="2">
        <v>22</v>
      </c>
      <c r="CL1255" s="2" t="s">
        <v>86</v>
      </c>
      <c r="CM1255" s="2"/>
    </row>
    <row r="1256" spans="1:91">
      <c r="A1256" s="2" t="s">
        <v>71</v>
      </c>
      <c r="B1256" s="2" t="s">
        <v>72</v>
      </c>
      <c r="C1256" s="2" t="s">
        <v>73</v>
      </c>
      <c r="D1256" s="2"/>
      <c r="E1256" s="2" t="str">
        <f>"FES1162540929"</f>
        <v>FES1162540929</v>
      </c>
      <c r="F1256" s="3">
        <v>42828</v>
      </c>
      <c r="G1256" s="2">
        <v>201710</v>
      </c>
      <c r="H1256" s="2" t="s">
        <v>74</v>
      </c>
      <c r="I1256" s="2" t="s">
        <v>75</v>
      </c>
      <c r="J1256" s="2" t="s">
        <v>76</v>
      </c>
      <c r="K1256" s="2" t="s">
        <v>77</v>
      </c>
      <c r="L1256" s="2" t="s">
        <v>99</v>
      </c>
      <c r="M1256" s="2" t="s">
        <v>100</v>
      </c>
      <c r="N1256" s="2" t="s">
        <v>583</v>
      </c>
      <c r="O1256" s="2" t="s">
        <v>115</v>
      </c>
      <c r="P1256" s="2" t="str">
        <f>"2170560013                    "</f>
        <v xml:space="preserve">2170560013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4.42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1</v>
      </c>
      <c r="BI1256" s="2">
        <v>2</v>
      </c>
      <c r="BJ1256" s="2">
        <v>0.2</v>
      </c>
      <c r="BK1256" s="2">
        <v>2</v>
      </c>
      <c r="BL1256" s="2">
        <v>41.86</v>
      </c>
      <c r="BM1256" s="2">
        <v>5.86</v>
      </c>
      <c r="BN1256" s="2">
        <v>47.72</v>
      </c>
      <c r="BO1256" s="2">
        <v>47.72</v>
      </c>
      <c r="BP1256" s="2"/>
      <c r="BQ1256" s="2" t="s">
        <v>584</v>
      </c>
      <c r="BR1256" s="2" t="s">
        <v>123</v>
      </c>
      <c r="BS1256" s="3">
        <v>42829</v>
      </c>
      <c r="BT1256" s="4">
        <v>0.29166666666666669</v>
      </c>
      <c r="BU1256" s="2" t="s">
        <v>1080</v>
      </c>
      <c r="BV1256" s="2" t="s">
        <v>111</v>
      </c>
      <c r="BW1256" s="2"/>
      <c r="BX1256" s="2"/>
      <c r="BY1256" s="2">
        <v>1200</v>
      </c>
      <c r="BZ1256" s="2" t="s">
        <v>27</v>
      </c>
      <c r="CA1256" s="2" t="s">
        <v>154</v>
      </c>
      <c r="CB1256" s="2"/>
      <c r="CC1256" s="2" t="s">
        <v>100</v>
      </c>
      <c r="CD1256" s="2">
        <v>6001</v>
      </c>
      <c r="CE1256" s="2" t="s">
        <v>144</v>
      </c>
      <c r="CF1256" s="5">
        <v>42829</v>
      </c>
      <c r="CG1256" s="2"/>
      <c r="CH1256" s="2"/>
      <c r="CI1256" s="2">
        <v>1</v>
      </c>
      <c r="CJ1256" s="2">
        <v>1</v>
      </c>
      <c r="CK1256" s="2">
        <v>21</v>
      </c>
      <c r="CL1256" s="2" t="s">
        <v>86</v>
      </c>
      <c r="CM1256" s="2"/>
    </row>
    <row r="1257" spans="1:91">
      <c r="A1257" s="2" t="s">
        <v>71</v>
      </c>
      <c r="B1257" s="2" t="s">
        <v>72</v>
      </c>
      <c r="C1257" s="2" t="s">
        <v>73</v>
      </c>
      <c r="D1257" s="2"/>
      <c r="E1257" s="2" t="str">
        <f>"FES1162542442"</f>
        <v>FES1162542442</v>
      </c>
      <c r="F1257" s="3">
        <v>42832</v>
      </c>
      <c r="G1257" s="2">
        <v>201710</v>
      </c>
      <c r="H1257" s="2" t="s">
        <v>74</v>
      </c>
      <c r="I1257" s="2" t="s">
        <v>75</v>
      </c>
      <c r="J1257" s="2" t="s">
        <v>76</v>
      </c>
      <c r="K1257" s="2" t="s">
        <v>77</v>
      </c>
      <c r="L1257" s="2" t="s">
        <v>160</v>
      </c>
      <c r="M1257" s="2" t="s">
        <v>161</v>
      </c>
      <c r="N1257" s="2" t="s">
        <v>463</v>
      </c>
      <c r="O1257" s="2" t="s">
        <v>115</v>
      </c>
      <c r="P1257" s="2" t="str">
        <f>"2170561209                    "</f>
        <v xml:space="preserve">2170561209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7.5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3.4</v>
      </c>
      <c r="BJ1257" s="2">
        <v>1.7</v>
      </c>
      <c r="BK1257" s="2">
        <v>3.5</v>
      </c>
      <c r="BL1257" s="2">
        <v>73.02</v>
      </c>
      <c r="BM1257" s="2">
        <v>10.220000000000001</v>
      </c>
      <c r="BN1257" s="2">
        <v>83.24</v>
      </c>
      <c r="BO1257" s="2">
        <v>83.24</v>
      </c>
      <c r="BP1257" s="2"/>
      <c r="BQ1257" s="2" t="s">
        <v>129</v>
      </c>
      <c r="BR1257" s="2" t="s">
        <v>123</v>
      </c>
      <c r="BS1257" s="3">
        <v>42835</v>
      </c>
      <c r="BT1257" s="4">
        <v>0.41666666666666669</v>
      </c>
      <c r="BU1257" s="2" t="s">
        <v>223</v>
      </c>
      <c r="BV1257" s="2" t="s">
        <v>111</v>
      </c>
      <c r="BW1257" s="2"/>
      <c r="BX1257" s="2"/>
      <c r="BY1257" s="2">
        <v>8559.4699999999993</v>
      </c>
      <c r="BZ1257" s="2" t="s">
        <v>27</v>
      </c>
      <c r="CA1257" s="2"/>
      <c r="CB1257" s="2"/>
      <c r="CC1257" s="2" t="s">
        <v>161</v>
      </c>
      <c r="CD1257" s="2">
        <v>5201</v>
      </c>
      <c r="CE1257" s="2" t="s">
        <v>89</v>
      </c>
      <c r="CF1257" s="5">
        <v>42836</v>
      </c>
      <c r="CG1257" s="2"/>
      <c r="CH1257" s="2"/>
      <c r="CI1257" s="2">
        <v>1</v>
      </c>
      <c r="CJ1257" s="2">
        <v>1</v>
      </c>
      <c r="CK1257" s="2">
        <v>21</v>
      </c>
      <c r="CL1257" s="2" t="s">
        <v>86</v>
      </c>
      <c r="CM1257" s="2"/>
    </row>
    <row r="1258" spans="1:91">
      <c r="A1258" s="2" t="s">
        <v>71</v>
      </c>
      <c r="B1258" s="2" t="s">
        <v>72</v>
      </c>
      <c r="C1258" s="2" t="s">
        <v>73</v>
      </c>
      <c r="D1258" s="2"/>
      <c r="E1258" s="2" t="str">
        <f>"FES1162540986"</f>
        <v>FES1162540986</v>
      </c>
      <c r="F1258" s="3">
        <v>42828</v>
      </c>
      <c r="G1258" s="2">
        <v>201710</v>
      </c>
      <c r="H1258" s="2" t="s">
        <v>74</v>
      </c>
      <c r="I1258" s="2" t="s">
        <v>75</v>
      </c>
      <c r="J1258" s="2" t="s">
        <v>76</v>
      </c>
      <c r="K1258" s="2" t="s">
        <v>77</v>
      </c>
      <c r="L1258" s="2" t="s">
        <v>176</v>
      </c>
      <c r="M1258" s="2" t="s">
        <v>176</v>
      </c>
      <c r="N1258" s="2" t="s">
        <v>460</v>
      </c>
      <c r="O1258" s="2" t="s">
        <v>115</v>
      </c>
      <c r="P1258" s="2" t="str">
        <f>"2170560068                    "</f>
        <v xml:space="preserve">2170560068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4.42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1</v>
      </c>
      <c r="BJ1258" s="2">
        <v>0.2</v>
      </c>
      <c r="BK1258" s="2">
        <v>1</v>
      </c>
      <c r="BL1258" s="2">
        <v>41.86</v>
      </c>
      <c r="BM1258" s="2">
        <v>5.86</v>
      </c>
      <c r="BN1258" s="2">
        <v>47.72</v>
      </c>
      <c r="BO1258" s="2">
        <v>47.72</v>
      </c>
      <c r="BP1258" s="2"/>
      <c r="BQ1258" s="2" t="s">
        <v>461</v>
      </c>
      <c r="BR1258" s="2" t="s">
        <v>123</v>
      </c>
      <c r="BS1258" s="3">
        <v>42829</v>
      </c>
      <c r="BT1258" s="4">
        <v>0.54166666666666663</v>
      </c>
      <c r="BU1258" s="2" t="s">
        <v>1819</v>
      </c>
      <c r="BV1258" s="2" t="s">
        <v>111</v>
      </c>
      <c r="BW1258" s="2"/>
      <c r="BX1258" s="2"/>
      <c r="BY1258" s="2">
        <v>1200</v>
      </c>
      <c r="BZ1258" s="2" t="s">
        <v>27</v>
      </c>
      <c r="CA1258" s="2"/>
      <c r="CB1258" s="2"/>
      <c r="CC1258" s="2" t="s">
        <v>176</v>
      </c>
      <c r="CD1258" s="2">
        <v>7646</v>
      </c>
      <c r="CE1258" s="2" t="s">
        <v>144</v>
      </c>
      <c r="CF1258" s="5">
        <v>42830</v>
      </c>
      <c r="CG1258" s="2"/>
      <c r="CH1258" s="2"/>
      <c r="CI1258" s="2">
        <v>1</v>
      </c>
      <c r="CJ1258" s="2">
        <v>1</v>
      </c>
      <c r="CK1258" s="2">
        <v>21</v>
      </c>
      <c r="CL1258" s="2" t="s">
        <v>86</v>
      </c>
      <c r="CM1258" s="2"/>
    </row>
    <row r="1259" spans="1:91">
      <c r="A1259" s="2" t="s">
        <v>71</v>
      </c>
      <c r="B1259" s="2" t="s">
        <v>72</v>
      </c>
      <c r="C1259" s="2" t="s">
        <v>73</v>
      </c>
      <c r="D1259" s="2"/>
      <c r="E1259" s="2" t="str">
        <f>"FES1162542681"</f>
        <v>FES1162542681</v>
      </c>
      <c r="F1259" s="3">
        <v>42835</v>
      </c>
      <c r="G1259" s="2">
        <v>201710</v>
      </c>
      <c r="H1259" s="2" t="s">
        <v>74</v>
      </c>
      <c r="I1259" s="2" t="s">
        <v>75</v>
      </c>
      <c r="J1259" s="2" t="s">
        <v>76</v>
      </c>
      <c r="K1259" s="2" t="s">
        <v>77</v>
      </c>
      <c r="L1259" s="2" t="s">
        <v>1692</v>
      </c>
      <c r="M1259" s="2" t="s">
        <v>1693</v>
      </c>
      <c r="N1259" s="2" t="s">
        <v>1820</v>
      </c>
      <c r="O1259" s="2" t="s">
        <v>115</v>
      </c>
      <c r="P1259" s="2" t="str">
        <f>"2170561367                    "</f>
        <v xml:space="preserve">2170561367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4.29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1</v>
      </c>
      <c r="BJ1259" s="2">
        <v>0.2</v>
      </c>
      <c r="BK1259" s="2">
        <v>1</v>
      </c>
      <c r="BL1259" s="2">
        <v>41.73</v>
      </c>
      <c r="BM1259" s="2">
        <v>5.84</v>
      </c>
      <c r="BN1259" s="2">
        <v>47.57</v>
      </c>
      <c r="BO1259" s="2">
        <v>47.57</v>
      </c>
      <c r="BP1259" s="2"/>
      <c r="BQ1259" s="2" t="s">
        <v>116</v>
      </c>
      <c r="BR1259" s="2" t="s">
        <v>123</v>
      </c>
      <c r="BS1259" s="3">
        <v>42836</v>
      </c>
      <c r="BT1259" s="4">
        <v>0.4375</v>
      </c>
      <c r="BU1259" s="2" t="s">
        <v>245</v>
      </c>
      <c r="BV1259" s="2" t="s">
        <v>111</v>
      </c>
      <c r="BW1259" s="2"/>
      <c r="BX1259" s="2"/>
      <c r="BY1259" s="2">
        <v>1200</v>
      </c>
      <c r="BZ1259" s="2" t="s">
        <v>27</v>
      </c>
      <c r="CA1259" s="2"/>
      <c r="CB1259" s="2"/>
      <c r="CC1259" s="2" t="s">
        <v>1693</v>
      </c>
      <c r="CD1259" s="2">
        <v>4120</v>
      </c>
      <c r="CE1259" s="2" t="s">
        <v>144</v>
      </c>
      <c r="CF1259" s="5">
        <v>42837</v>
      </c>
      <c r="CG1259" s="2"/>
      <c r="CH1259" s="2"/>
      <c r="CI1259" s="2">
        <v>1</v>
      </c>
      <c r="CJ1259" s="2">
        <v>1</v>
      </c>
      <c r="CK1259" s="2">
        <v>21</v>
      </c>
      <c r="CL1259" s="2" t="s">
        <v>86</v>
      </c>
      <c r="CM1259" s="2"/>
    </row>
    <row r="1260" spans="1:91">
      <c r="A1260" s="2" t="s">
        <v>71</v>
      </c>
      <c r="B1260" s="2" t="s">
        <v>72</v>
      </c>
      <c r="C1260" s="2" t="s">
        <v>73</v>
      </c>
      <c r="D1260" s="2"/>
      <c r="E1260" s="2" t="str">
        <f>"FES1162541005"</f>
        <v>FES1162541005</v>
      </c>
      <c r="F1260" s="3">
        <v>42828</v>
      </c>
      <c r="G1260" s="2">
        <v>201710</v>
      </c>
      <c r="H1260" s="2" t="s">
        <v>74</v>
      </c>
      <c r="I1260" s="2" t="s">
        <v>75</v>
      </c>
      <c r="J1260" s="2" t="s">
        <v>76</v>
      </c>
      <c r="K1260" s="2" t="s">
        <v>77</v>
      </c>
      <c r="L1260" s="2" t="s">
        <v>74</v>
      </c>
      <c r="M1260" s="2" t="s">
        <v>75</v>
      </c>
      <c r="N1260" s="2" t="s">
        <v>488</v>
      </c>
      <c r="O1260" s="2" t="s">
        <v>115</v>
      </c>
      <c r="P1260" s="2" t="str">
        <f>"2170560080                    "</f>
        <v xml:space="preserve">2170560080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3.45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1</v>
      </c>
      <c r="BJ1260" s="2">
        <v>0.2</v>
      </c>
      <c r="BK1260" s="2">
        <v>1</v>
      </c>
      <c r="BL1260" s="2">
        <v>32.700000000000003</v>
      </c>
      <c r="BM1260" s="2">
        <v>4.58</v>
      </c>
      <c r="BN1260" s="2">
        <v>37.28</v>
      </c>
      <c r="BO1260" s="2">
        <v>37.28</v>
      </c>
      <c r="BP1260" s="2"/>
      <c r="BQ1260" s="2" t="s">
        <v>489</v>
      </c>
      <c r="BR1260" s="2" t="s">
        <v>123</v>
      </c>
      <c r="BS1260" s="3">
        <v>42829</v>
      </c>
      <c r="BT1260" s="4">
        <v>0.41666666666666669</v>
      </c>
      <c r="BU1260" s="2" t="s">
        <v>1750</v>
      </c>
      <c r="BV1260" s="2" t="s">
        <v>111</v>
      </c>
      <c r="BW1260" s="2"/>
      <c r="BX1260" s="2"/>
      <c r="BY1260" s="2">
        <v>1200</v>
      </c>
      <c r="BZ1260" s="2" t="s">
        <v>27</v>
      </c>
      <c r="CA1260" s="2"/>
      <c r="CB1260" s="2"/>
      <c r="CC1260" s="2" t="s">
        <v>75</v>
      </c>
      <c r="CD1260" s="2">
        <v>1645</v>
      </c>
      <c r="CE1260" s="2" t="s">
        <v>118</v>
      </c>
      <c r="CF1260" s="5">
        <v>42831</v>
      </c>
      <c r="CG1260" s="2"/>
      <c r="CH1260" s="2"/>
      <c r="CI1260" s="2">
        <v>1</v>
      </c>
      <c r="CJ1260" s="2">
        <v>1</v>
      </c>
      <c r="CK1260" s="2">
        <v>22</v>
      </c>
      <c r="CL1260" s="2" t="s">
        <v>86</v>
      </c>
      <c r="CM1260" s="2"/>
    </row>
    <row r="1261" spans="1:91">
      <c r="A1261" s="2" t="s">
        <v>71</v>
      </c>
      <c r="B1261" s="2" t="s">
        <v>72</v>
      </c>
      <c r="C1261" s="2" t="s">
        <v>73</v>
      </c>
      <c r="D1261" s="2"/>
      <c r="E1261" s="2" t="str">
        <f>"FES1162542192"</f>
        <v>FES1162542192</v>
      </c>
      <c r="F1261" s="3">
        <v>42832</v>
      </c>
      <c r="G1261" s="2">
        <v>201710</v>
      </c>
      <c r="H1261" s="2" t="s">
        <v>74</v>
      </c>
      <c r="I1261" s="2" t="s">
        <v>75</v>
      </c>
      <c r="J1261" s="2" t="s">
        <v>76</v>
      </c>
      <c r="K1261" s="2" t="s">
        <v>77</v>
      </c>
      <c r="L1261" s="2" t="s">
        <v>166</v>
      </c>
      <c r="M1261" s="2" t="s">
        <v>167</v>
      </c>
      <c r="N1261" s="2" t="s">
        <v>861</v>
      </c>
      <c r="O1261" s="2" t="s">
        <v>115</v>
      </c>
      <c r="P1261" s="2" t="str">
        <f>"2170561101                    "</f>
        <v xml:space="preserve">2170561101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3.35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1.1000000000000001</v>
      </c>
      <c r="BJ1261" s="2">
        <v>0.2</v>
      </c>
      <c r="BK1261" s="2">
        <v>2</v>
      </c>
      <c r="BL1261" s="2">
        <v>32.6</v>
      </c>
      <c r="BM1261" s="2">
        <v>4.5599999999999996</v>
      </c>
      <c r="BN1261" s="2">
        <v>37.159999999999997</v>
      </c>
      <c r="BO1261" s="2">
        <v>37.159999999999997</v>
      </c>
      <c r="BP1261" s="2"/>
      <c r="BQ1261" s="2" t="s">
        <v>862</v>
      </c>
      <c r="BR1261" s="2" t="s">
        <v>123</v>
      </c>
      <c r="BS1261" s="3">
        <v>42835</v>
      </c>
      <c r="BT1261" s="4">
        <v>0.36249999999999999</v>
      </c>
      <c r="BU1261" s="2" t="s">
        <v>862</v>
      </c>
      <c r="BV1261" s="2" t="s">
        <v>111</v>
      </c>
      <c r="BW1261" s="2"/>
      <c r="BX1261" s="2"/>
      <c r="BY1261" s="2">
        <v>1200</v>
      </c>
      <c r="BZ1261" s="2" t="s">
        <v>27</v>
      </c>
      <c r="CA1261" s="2"/>
      <c r="CB1261" s="2"/>
      <c r="CC1261" s="2" t="s">
        <v>167</v>
      </c>
      <c r="CD1261" s="2">
        <v>2091</v>
      </c>
      <c r="CE1261" s="2" t="s">
        <v>118</v>
      </c>
      <c r="CF1261" s="5">
        <v>42836</v>
      </c>
      <c r="CG1261" s="2"/>
      <c r="CH1261" s="2"/>
      <c r="CI1261" s="2">
        <v>1</v>
      </c>
      <c r="CJ1261" s="2">
        <v>1</v>
      </c>
      <c r="CK1261" s="2">
        <v>22</v>
      </c>
      <c r="CL1261" s="2" t="s">
        <v>86</v>
      </c>
      <c r="CM1261" s="2"/>
    </row>
    <row r="1262" spans="1:91">
      <c r="A1262" s="2" t="s">
        <v>71</v>
      </c>
      <c r="B1262" s="2" t="s">
        <v>72</v>
      </c>
      <c r="C1262" s="2" t="s">
        <v>73</v>
      </c>
      <c r="D1262" s="2"/>
      <c r="E1262" s="2" t="str">
        <f>"FES1162542650"</f>
        <v>FES1162542650</v>
      </c>
      <c r="F1262" s="3">
        <v>42835</v>
      </c>
      <c r="G1262" s="2">
        <v>201710</v>
      </c>
      <c r="H1262" s="2" t="s">
        <v>74</v>
      </c>
      <c r="I1262" s="2" t="s">
        <v>75</v>
      </c>
      <c r="J1262" s="2" t="s">
        <v>76</v>
      </c>
      <c r="K1262" s="2" t="s">
        <v>77</v>
      </c>
      <c r="L1262" s="2" t="s">
        <v>166</v>
      </c>
      <c r="M1262" s="2" t="s">
        <v>167</v>
      </c>
      <c r="N1262" s="2" t="s">
        <v>1821</v>
      </c>
      <c r="O1262" s="2" t="s">
        <v>115</v>
      </c>
      <c r="P1262" s="2" t="str">
        <f>"2170559347                    "</f>
        <v xml:space="preserve">2170559347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3.35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1</v>
      </c>
      <c r="BJ1262" s="2">
        <v>0.2</v>
      </c>
      <c r="BK1262" s="2">
        <v>1</v>
      </c>
      <c r="BL1262" s="2">
        <v>32.6</v>
      </c>
      <c r="BM1262" s="2">
        <v>4.5599999999999996</v>
      </c>
      <c r="BN1262" s="2">
        <v>37.159999999999997</v>
      </c>
      <c r="BO1262" s="2">
        <v>37.159999999999997</v>
      </c>
      <c r="BP1262" s="2"/>
      <c r="BQ1262" s="2" t="s">
        <v>1822</v>
      </c>
      <c r="BR1262" s="2" t="s">
        <v>123</v>
      </c>
      <c r="BS1262" s="3">
        <v>42836</v>
      </c>
      <c r="BT1262" s="4">
        <v>0.31597222222222221</v>
      </c>
      <c r="BU1262" s="2" t="s">
        <v>1823</v>
      </c>
      <c r="BV1262" s="2" t="s">
        <v>111</v>
      </c>
      <c r="BW1262" s="2"/>
      <c r="BX1262" s="2"/>
      <c r="BY1262" s="2">
        <v>1200</v>
      </c>
      <c r="BZ1262" s="2" t="s">
        <v>27</v>
      </c>
      <c r="CA1262" s="2" t="s">
        <v>171</v>
      </c>
      <c r="CB1262" s="2"/>
      <c r="CC1262" s="2" t="s">
        <v>167</v>
      </c>
      <c r="CD1262" s="2">
        <v>2094</v>
      </c>
      <c r="CE1262" s="2" t="s">
        <v>118</v>
      </c>
      <c r="CF1262" s="5">
        <v>42836</v>
      </c>
      <c r="CG1262" s="2"/>
      <c r="CH1262" s="2"/>
      <c r="CI1262" s="2">
        <v>1</v>
      </c>
      <c r="CJ1262" s="2">
        <v>1</v>
      </c>
      <c r="CK1262" s="2">
        <v>22</v>
      </c>
      <c r="CL1262" s="2" t="s">
        <v>86</v>
      </c>
      <c r="CM1262" s="2"/>
    </row>
    <row r="1263" spans="1:91">
      <c r="A1263" s="2" t="s">
        <v>71</v>
      </c>
      <c r="B1263" s="2" t="s">
        <v>72</v>
      </c>
      <c r="C1263" s="2" t="s">
        <v>73</v>
      </c>
      <c r="D1263" s="2"/>
      <c r="E1263" s="2" t="str">
        <f>"FES1162542429"</f>
        <v>FES1162542429</v>
      </c>
      <c r="F1263" s="3">
        <v>42832</v>
      </c>
      <c r="G1263" s="2">
        <v>201710</v>
      </c>
      <c r="H1263" s="2" t="s">
        <v>74</v>
      </c>
      <c r="I1263" s="2" t="s">
        <v>75</v>
      </c>
      <c r="J1263" s="2" t="s">
        <v>76</v>
      </c>
      <c r="K1263" s="2" t="s">
        <v>77</v>
      </c>
      <c r="L1263" s="2" t="s">
        <v>131</v>
      </c>
      <c r="M1263" s="2" t="s">
        <v>132</v>
      </c>
      <c r="N1263" s="2" t="s">
        <v>1824</v>
      </c>
      <c r="O1263" s="2" t="s">
        <v>115</v>
      </c>
      <c r="P1263" s="2" t="str">
        <f>"2170561318                    "</f>
        <v xml:space="preserve">2170561318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17.149999999999999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2</v>
      </c>
      <c r="BI1263" s="2">
        <v>8</v>
      </c>
      <c r="BJ1263" s="2">
        <v>6.2</v>
      </c>
      <c r="BK1263" s="2">
        <v>8</v>
      </c>
      <c r="BL1263" s="2">
        <v>166.91</v>
      </c>
      <c r="BM1263" s="2">
        <v>23.37</v>
      </c>
      <c r="BN1263" s="2">
        <v>190.28</v>
      </c>
      <c r="BO1263" s="2">
        <v>190.28</v>
      </c>
      <c r="BP1263" s="2"/>
      <c r="BQ1263" s="2"/>
      <c r="BR1263" s="2" t="s">
        <v>123</v>
      </c>
      <c r="BS1263" s="3">
        <v>42835</v>
      </c>
      <c r="BT1263" s="4">
        <v>0.3263888888888889</v>
      </c>
      <c r="BU1263" s="2" t="s">
        <v>1825</v>
      </c>
      <c r="BV1263" s="2" t="s">
        <v>111</v>
      </c>
      <c r="BW1263" s="2"/>
      <c r="BX1263" s="2"/>
      <c r="BY1263" s="2">
        <v>31205.09</v>
      </c>
      <c r="BZ1263" s="2" t="s">
        <v>27</v>
      </c>
      <c r="CA1263" s="2"/>
      <c r="CB1263" s="2"/>
      <c r="CC1263" s="2" t="s">
        <v>132</v>
      </c>
      <c r="CD1263" s="2">
        <v>7530</v>
      </c>
      <c r="CE1263" s="2" t="s">
        <v>135</v>
      </c>
      <c r="CF1263" s="5">
        <v>42836</v>
      </c>
      <c r="CG1263" s="2"/>
      <c r="CH1263" s="2"/>
      <c r="CI1263" s="2">
        <v>1</v>
      </c>
      <c r="CJ1263" s="2">
        <v>1</v>
      </c>
      <c r="CK1263" s="2">
        <v>21</v>
      </c>
      <c r="CL1263" s="2" t="s">
        <v>86</v>
      </c>
      <c r="CM1263" s="2"/>
    </row>
    <row r="1264" spans="1:91">
      <c r="A1264" s="2" t="s">
        <v>71</v>
      </c>
      <c r="B1264" s="2" t="s">
        <v>72</v>
      </c>
      <c r="C1264" s="2" t="s">
        <v>73</v>
      </c>
      <c r="D1264" s="2"/>
      <c r="E1264" s="2" t="str">
        <f>"FES1162541054"</f>
        <v>FES1162541054</v>
      </c>
      <c r="F1264" s="3">
        <v>42828</v>
      </c>
      <c r="G1264" s="2">
        <v>201710</v>
      </c>
      <c r="H1264" s="2" t="s">
        <v>74</v>
      </c>
      <c r="I1264" s="2" t="s">
        <v>75</v>
      </c>
      <c r="J1264" s="2" t="s">
        <v>76</v>
      </c>
      <c r="K1264" s="2" t="s">
        <v>77</v>
      </c>
      <c r="L1264" s="2" t="s">
        <v>131</v>
      </c>
      <c r="M1264" s="2" t="s">
        <v>132</v>
      </c>
      <c r="N1264" s="2" t="s">
        <v>1826</v>
      </c>
      <c r="O1264" s="2" t="s">
        <v>115</v>
      </c>
      <c r="P1264" s="2" t="str">
        <f>"2170560130                    "</f>
        <v xml:space="preserve">2170560130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4.42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1</v>
      </c>
      <c r="BJ1264" s="2">
        <v>0.2</v>
      </c>
      <c r="BK1264" s="2">
        <v>1</v>
      </c>
      <c r="BL1264" s="2">
        <v>41.86</v>
      </c>
      <c r="BM1264" s="2">
        <v>5.86</v>
      </c>
      <c r="BN1264" s="2">
        <v>47.72</v>
      </c>
      <c r="BO1264" s="2">
        <v>47.72</v>
      </c>
      <c r="BP1264" s="2"/>
      <c r="BQ1264" s="2"/>
      <c r="BR1264" s="2" t="s">
        <v>123</v>
      </c>
      <c r="BS1264" s="3">
        <v>42829</v>
      </c>
      <c r="BT1264" s="4">
        <v>0.4375</v>
      </c>
      <c r="BU1264" s="2" t="s">
        <v>1827</v>
      </c>
      <c r="BV1264" s="2" t="s">
        <v>111</v>
      </c>
      <c r="BW1264" s="2"/>
      <c r="BX1264" s="2"/>
      <c r="BY1264" s="2">
        <v>1200</v>
      </c>
      <c r="BZ1264" s="2" t="s">
        <v>27</v>
      </c>
      <c r="CA1264" s="2" t="s">
        <v>159</v>
      </c>
      <c r="CB1264" s="2"/>
      <c r="CC1264" s="2" t="s">
        <v>132</v>
      </c>
      <c r="CD1264" s="2">
        <v>7405</v>
      </c>
      <c r="CE1264" s="2" t="s">
        <v>144</v>
      </c>
      <c r="CF1264" s="5">
        <v>42830</v>
      </c>
      <c r="CG1264" s="2"/>
      <c r="CH1264" s="2"/>
      <c r="CI1264" s="2">
        <v>1</v>
      </c>
      <c r="CJ1264" s="2">
        <v>1</v>
      </c>
      <c r="CK1264" s="2">
        <v>21</v>
      </c>
      <c r="CL1264" s="2" t="s">
        <v>86</v>
      </c>
      <c r="CM1264" s="2"/>
    </row>
    <row r="1265" spans="1:91">
      <c r="A1265" s="2" t="s">
        <v>71</v>
      </c>
      <c r="B1265" s="2" t="s">
        <v>72</v>
      </c>
      <c r="C1265" s="2" t="s">
        <v>73</v>
      </c>
      <c r="D1265" s="2"/>
      <c r="E1265" s="2" t="str">
        <f>"FES1162542610"</f>
        <v>FES1162542610</v>
      </c>
      <c r="F1265" s="3">
        <v>42835</v>
      </c>
      <c r="G1265" s="2">
        <v>201710</v>
      </c>
      <c r="H1265" s="2" t="s">
        <v>74</v>
      </c>
      <c r="I1265" s="2" t="s">
        <v>75</v>
      </c>
      <c r="J1265" s="2" t="s">
        <v>76</v>
      </c>
      <c r="K1265" s="2" t="s">
        <v>77</v>
      </c>
      <c r="L1265" s="2" t="s">
        <v>294</v>
      </c>
      <c r="M1265" s="2" t="s">
        <v>295</v>
      </c>
      <c r="N1265" s="2" t="s">
        <v>439</v>
      </c>
      <c r="O1265" s="2" t="s">
        <v>115</v>
      </c>
      <c r="P1265" s="2" t="str">
        <f>"2170561470                    "</f>
        <v xml:space="preserve">2170561470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4.29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1.6</v>
      </c>
      <c r="BJ1265" s="2">
        <v>0.2</v>
      </c>
      <c r="BK1265" s="2">
        <v>2</v>
      </c>
      <c r="BL1265" s="2">
        <v>41.73</v>
      </c>
      <c r="BM1265" s="2">
        <v>5.84</v>
      </c>
      <c r="BN1265" s="2">
        <v>47.57</v>
      </c>
      <c r="BO1265" s="2">
        <v>47.57</v>
      </c>
      <c r="BP1265" s="2"/>
      <c r="BQ1265" s="2" t="s">
        <v>129</v>
      </c>
      <c r="BR1265" s="2" t="s">
        <v>123</v>
      </c>
      <c r="BS1265" s="3">
        <v>42836</v>
      </c>
      <c r="BT1265" s="4">
        <v>0.4375</v>
      </c>
      <c r="BU1265" s="2" t="s">
        <v>799</v>
      </c>
      <c r="BV1265" s="2" t="s">
        <v>111</v>
      </c>
      <c r="BW1265" s="2"/>
      <c r="BX1265" s="2"/>
      <c r="BY1265" s="2">
        <v>1200</v>
      </c>
      <c r="BZ1265" s="2" t="s">
        <v>27</v>
      </c>
      <c r="CA1265" s="2"/>
      <c r="CB1265" s="2"/>
      <c r="CC1265" s="2" t="s">
        <v>295</v>
      </c>
      <c r="CD1265" s="2">
        <v>3610</v>
      </c>
      <c r="CE1265" s="2" t="s">
        <v>144</v>
      </c>
      <c r="CF1265" s="5">
        <v>42837</v>
      </c>
      <c r="CG1265" s="2"/>
      <c r="CH1265" s="2"/>
      <c r="CI1265" s="2">
        <v>1</v>
      </c>
      <c r="CJ1265" s="2">
        <v>1</v>
      </c>
      <c r="CK1265" s="2">
        <v>21</v>
      </c>
      <c r="CL1265" s="2" t="s">
        <v>86</v>
      </c>
      <c r="CM1265" s="2"/>
    </row>
    <row r="1266" spans="1:91">
      <c r="A1266" s="2" t="s">
        <v>71</v>
      </c>
      <c r="B1266" s="2" t="s">
        <v>72</v>
      </c>
      <c r="C1266" s="2" t="s">
        <v>73</v>
      </c>
      <c r="D1266" s="2"/>
      <c r="E1266" s="2" t="str">
        <f>"FES1162541066"</f>
        <v>FES1162541066</v>
      </c>
      <c r="F1266" s="3">
        <v>42828</v>
      </c>
      <c r="G1266" s="2">
        <v>201710</v>
      </c>
      <c r="H1266" s="2" t="s">
        <v>74</v>
      </c>
      <c r="I1266" s="2" t="s">
        <v>75</v>
      </c>
      <c r="J1266" s="2" t="s">
        <v>76</v>
      </c>
      <c r="K1266" s="2" t="s">
        <v>77</v>
      </c>
      <c r="L1266" s="2" t="s">
        <v>119</v>
      </c>
      <c r="M1266" s="2" t="s">
        <v>120</v>
      </c>
      <c r="N1266" s="2" t="s">
        <v>697</v>
      </c>
      <c r="O1266" s="2" t="s">
        <v>115</v>
      </c>
      <c r="P1266" s="2" t="str">
        <f>"2170559187                    "</f>
        <v xml:space="preserve">2170559187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3.45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1</v>
      </c>
      <c r="BJ1266" s="2">
        <v>0.2</v>
      </c>
      <c r="BK1266" s="2">
        <v>1</v>
      </c>
      <c r="BL1266" s="2">
        <v>32.700000000000003</v>
      </c>
      <c r="BM1266" s="2">
        <v>4.58</v>
      </c>
      <c r="BN1266" s="2">
        <v>37.28</v>
      </c>
      <c r="BO1266" s="2">
        <v>37.28</v>
      </c>
      <c r="BP1266" s="2"/>
      <c r="BQ1266" s="2" t="s">
        <v>698</v>
      </c>
      <c r="BR1266" s="2" t="s">
        <v>123</v>
      </c>
      <c r="BS1266" s="3">
        <v>42829</v>
      </c>
      <c r="BT1266" s="4">
        <v>0.37013888888888885</v>
      </c>
      <c r="BU1266" s="2" t="s">
        <v>1828</v>
      </c>
      <c r="BV1266" s="2" t="s">
        <v>111</v>
      </c>
      <c r="BW1266" s="2"/>
      <c r="BX1266" s="2"/>
      <c r="BY1266" s="2">
        <v>1200</v>
      </c>
      <c r="BZ1266" s="2" t="s">
        <v>27</v>
      </c>
      <c r="CA1266" s="2" t="s">
        <v>125</v>
      </c>
      <c r="CB1266" s="2"/>
      <c r="CC1266" s="2" t="s">
        <v>120</v>
      </c>
      <c r="CD1266" s="2">
        <v>2163</v>
      </c>
      <c r="CE1266" s="2" t="s">
        <v>118</v>
      </c>
      <c r="CF1266" s="5">
        <v>42829</v>
      </c>
      <c r="CG1266" s="2"/>
      <c r="CH1266" s="2"/>
      <c r="CI1266" s="2">
        <v>1</v>
      </c>
      <c r="CJ1266" s="2">
        <v>1</v>
      </c>
      <c r="CK1266" s="2">
        <v>22</v>
      </c>
      <c r="CL1266" s="2" t="s">
        <v>86</v>
      </c>
      <c r="CM1266" s="2"/>
    </row>
    <row r="1267" spans="1:91">
      <c r="A1267" s="2" t="s">
        <v>71</v>
      </c>
      <c r="B1267" s="2" t="s">
        <v>72</v>
      </c>
      <c r="C1267" s="2" t="s">
        <v>73</v>
      </c>
      <c r="D1267" s="2"/>
      <c r="E1267" s="2" t="str">
        <f>"FES1162542048"</f>
        <v>FES1162542048</v>
      </c>
      <c r="F1267" s="3">
        <v>42832</v>
      </c>
      <c r="G1267" s="2">
        <v>201710</v>
      </c>
      <c r="H1267" s="2" t="s">
        <v>74</v>
      </c>
      <c r="I1267" s="2" t="s">
        <v>75</v>
      </c>
      <c r="J1267" s="2" t="s">
        <v>76</v>
      </c>
      <c r="K1267" s="2" t="s">
        <v>77</v>
      </c>
      <c r="L1267" s="2" t="s">
        <v>516</v>
      </c>
      <c r="M1267" s="2" t="s">
        <v>517</v>
      </c>
      <c r="N1267" s="2" t="s">
        <v>1829</v>
      </c>
      <c r="O1267" s="2" t="s">
        <v>115</v>
      </c>
      <c r="P1267" s="2" t="str">
        <f>"2170560978                    "</f>
        <v xml:space="preserve">2170560978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3.35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1</v>
      </c>
      <c r="BJ1267" s="2">
        <v>0.2</v>
      </c>
      <c r="BK1267" s="2">
        <v>1</v>
      </c>
      <c r="BL1267" s="2">
        <v>32.6</v>
      </c>
      <c r="BM1267" s="2">
        <v>4.5599999999999996</v>
      </c>
      <c r="BN1267" s="2">
        <v>37.159999999999997</v>
      </c>
      <c r="BO1267" s="2">
        <v>37.159999999999997</v>
      </c>
      <c r="BP1267" s="2"/>
      <c r="BQ1267" s="2" t="s">
        <v>122</v>
      </c>
      <c r="BR1267" s="2" t="s">
        <v>123</v>
      </c>
      <c r="BS1267" s="3">
        <v>42836</v>
      </c>
      <c r="BT1267" s="4">
        <v>0.41666666666666669</v>
      </c>
      <c r="BU1267" s="2" t="s">
        <v>1830</v>
      </c>
      <c r="BV1267" s="2" t="s">
        <v>86</v>
      </c>
      <c r="BW1267" s="2" t="s">
        <v>96</v>
      </c>
      <c r="BX1267" s="2" t="s">
        <v>812</v>
      </c>
      <c r="BY1267" s="2">
        <v>1200</v>
      </c>
      <c r="BZ1267" s="2" t="s">
        <v>27</v>
      </c>
      <c r="CA1267" s="2" t="s">
        <v>159</v>
      </c>
      <c r="CB1267" s="2"/>
      <c r="CC1267" s="2" t="s">
        <v>517</v>
      </c>
      <c r="CD1267" s="2">
        <v>1460</v>
      </c>
      <c r="CE1267" s="2" t="s">
        <v>118</v>
      </c>
      <c r="CF1267" s="5">
        <v>42843</v>
      </c>
      <c r="CG1267" s="2"/>
      <c r="CH1267" s="2"/>
      <c r="CI1267" s="2">
        <v>1</v>
      </c>
      <c r="CJ1267" s="2">
        <v>2</v>
      </c>
      <c r="CK1267" s="2">
        <v>22</v>
      </c>
      <c r="CL1267" s="2" t="s">
        <v>86</v>
      </c>
      <c r="CM1267" s="2"/>
    </row>
    <row r="1268" spans="1:91">
      <c r="A1268" s="2" t="s">
        <v>71</v>
      </c>
      <c r="B1268" s="2" t="s">
        <v>72</v>
      </c>
      <c r="C1268" s="2" t="s">
        <v>73</v>
      </c>
      <c r="D1268" s="2"/>
      <c r="E1268" s="2" t="str">
        <f>"FES1162541074"</f>
        <v>FES1162541074</v>
      </c>
      <c r="F1268" s="3">
        <v>42828</v>
      </c>
      <c r="G1268" s="2">
        <v>201710</v>
      </c>
      <c r="H1268" s="2" t="s">
        <v>74</v>
      </c>
      <c r="I1268" s="2" t="s">
        <v>75</v>
      </c>
      <c r="J1268" s="2" t="s">
        <v>76</v>
      </c>
      <c r="K1268" s="2" t="s">
        <v>77</v>
      </c>
      <c r="L1268" s="2" t="s">
        <v>275</v>
      </c>
      <c r="M1268" s="2" t="s">
        <v>276</v>
      </c>
      <c r="N1268" s="2" t="s">
        <v>277</v>
      </c>
      <c r="O1268" s="2" t="s">
        <v>115</v>
      </c>
      <c r="P1268" s="2" t="str">
        <f>"2170559055                    "</f>
        <v xml:space="preserve">2170559055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12.16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5.5</v>
      </c>
      <c r="BJ1268" s="2">
        <v>3.2</v>
      </c>
      <c r="BK1268" s="2">
        <v>5.5</v>
      </c>
      <c r="BL1268" s="2">
        <v>115.12</v>
      </c>
      <c r="BM1268" s="2">
        <v>16.12</v>
      </c>
      <c r="BN1268" s="2">
        <v>131.24</v>
      </c>
      <c r="BO1268" s="2">
        <v>131.24</v>
      </c>
      <c r="BP1268" s="2"/>
      <c r="BQ1268" s="2" t="s">
        <v>278</v>
      </c>
      <c r="BR1268" s="2" t="s">
        <v>123</v>
      </c>
      <c r="BS1268" s="3">
        <v>42829</v>
      </c>
      <c r="BT1268" s="4">
        <v>0.37152777777777773</v>
      </c>
      <c r="BU1268" s="2" t="s">
        <v>1831</v>
      </c>
      <c r="BV1268" s="2" t="s">
        <v>111</v>
      </c>
      <c r="BW1268" s="2"/>
      <c r="BX1268" s="2"/>
      <c r="BY1268" s="2">
        <v>16192.13</v>
      </c>
      <c r="BZ1268" s="2" t="s">
        <v>27</v>
      </c>
      <c r="CA1268" s="2"/>
      <c r="CB1268" s="2"/>
      <c r="CC1268" s="2" t="s">
        <v>276</v>
      </c>
      <c r="CD1268" s="2">
        <v>4126</v>
      </c>
      <c r="CE1268" s="2" t="s">
        <v>135</v>
      </c>
      <c r="CF1268" s="5">
        <v>42831</v>
      </c>
      <c r="CG1268" s="2"/>
      <c r="CH1268" s="2"/>
      <c r="CI1268" s="2">
        <v>1</v>
      </c>
      <c r="CJ1268" s="2">
        <v>1</v>
      </c>
      <c r="CK1268" s="2">
        <v>21</v>
      </c>
      <c r="CL1268" s="2" t="s">
        <v>86</v>
      </c>
      <c r="CM1268" s="2"/>
    </row>
    <row r="1269" spans="1:91">
      <c r="A1269" s="2" t="s">
        <v>71</v>
      </c>
      <c r="B1269" s="2" t="s">
        <v>72</v>
      </c>
      <c r="C1269" s="2" t="s">
        <v>73</v>
      </c>
      <c r="D1269" s="2"/>
      <c r="E1269" s="2" t="str">
        <f>"FES1162542614"</f>
        <v>FES1162542614</v>
      </c>
      <c r="F1269" s="3">
        <v>42835</v>
      </c>
      <c r="G1269" s="2">
        <v>201710</v>
      </c>
      <c r="H1269" s="2" t="s">
        <v>74</v>
      </c>
      <c r="I1269" s="2" t="s">
        <v>75</v>
      </c>
      <c r="J1269" s="2" t="s">
        <v>76</v>
      </c>
      <c r="K1269" s="2" t="s">
        <v>77</v>
      </c>
      <c r="L1269" s="2" t="s">
        <v>396</v>
      </c>
      <c r="M1269" s="2" t="s">
        <v>397</v>
      </c>
      <c r="N1269" s="2" t="s">
        <v>398</v>
      </c>
      <c r="O1269" s="2" t="s">
        <v>115</v>
      </c>
      <c r="P1269" s="2" t="str">
        <f>"2170559976                    "</f>
        <v xml:space="preserve">2170559976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4.29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1</v>
      </c>
      <c r="BJ1269" s="2">
        <v>0.2</v>
      </c>
      <c r="BK1269" s="2">
        <v>1</v>
      </c>
      <c r="BL1269" s="2">
        <v>41.73</v>
      </c>
      <c r="BM1269" s="2">
        <v>5.84</v>
      </c>
      <c r="BN1269" s="2">
        <v>47.57</v>
      </c>
      <c r="BO1269" s="2">
        <v>47.57</v>
      </c>
      <c r="BP1269" s="2"/>
      <c r="BQ1269" s="2" t="s">
        <v>399</v>
      </c>
      <c r="BR1269" s="2" t="s">
        <v>123</v>
      </c>
      <c r="BS1269" s="3">
        <v>42836</v>
      </c>
      <c r="BT1269" s="4">
        <v>0.4375</v>
      </c>
      <c r="BU1269" s="2" t="s">
        <v>1832</v>
      </c>
      <c r="BV1269" s="2" t="s">
        <v>111</v>
      </c>
      <c r="BW1269" s="2"/>
      <c r="BX1269" s="2"/>
      <c r="BY1269" s="2">
        <v>1200</v>
      </c>
      <c r="BZ1269" s="2" t="s">
        <v>27</v>
      </c>
      <c r="CA1269" s="2" t="s">
        <v>159</v>
      </c>
      <c r="CB1269" s="2"/>
      <c r="CC1269" s="2" t="s">
        <v>397</v>
      </c>
      <c r="CD1269" s="2">
        <v>4300</v>
      </c>
      <c r="CE1269" s="2" t="s">
        <v>144</v>
      </c>
      <c r="CF1269" s="5">
        <v>42837</v>
      </c>
      <c r="CG1269" s="2"/>
      <c r="CH1269" s="2"/>
      <c r="CI1269" s="2">
        <v>1</v>
      </c>
      <c r="CJ1269" s="2">
        <v>1</v>
      </c>
      <c r="CK1269" s="2">
        <v>21</v>
      </c>
      <c r="CL1269" s="2" t="s">
        <v>86</v>
      </c>
      <c r="CM1269" s="2"/>
    </row>
    <row r="1270" spans="1:91">
      <c r="A1270" s="2" t="s">
        <v>71</v>
      </c>
      <c r="B1270" s="2" t="s">
        <v>72</v>
      </c>
      <c r="C1270" s="2" t="s">
        <v>73</v>
      </c>
      <c r="D1270" s="2"/>
      <c r="E1270" s="2" t="str">
        <f>"FES1162541112"</f>
        <v>FES1162541112</v>
      </c>
      <c r="F1270" s="3">
        <v>42828</v>
      </c>
      <c r="G1270" s="2">
        <v>201710</v>
      </c>
      <c r="H1270" s="2" t="s">
        <v>74</v>
      </c>
      <c r="I1270" s="2" t="s">
        <v>75</v>
      </c>
      <c r="J1270" s="2" t="s">
        <v>76</v>
      </c>
      <c r="K1270" s="2" t="s">
        <v>77</v>
      </c>
      <c r="L1270" s="2" t="s">
        <v>180</v>
      </c>
      <c r="M1270" s="2" t="s">
        <v>181</v>
      </c>
      <c r="N1270" s="2" t="s">
        <v>320</v>
      </c>
      <c r="O1270" s="2" t="s">
        <v>115</v>
      </c>
      <c r="P1270" s="2" t="str">
        <f>"2170560195                    "</f>
        <v xml:space="preserve">2170560195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4.42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1.3</v>
      </c>
      <c r="BJ1270" s="2">
        <v>0.2</v>
      </c>
      <c r="BK1270" s="2">
        <v>1.5</v>
      </c>
      <c r="BL1270" s="2">
        <v>41.86</v>
      </c>
      <c r="BM1270" s="2">
        <v>5.86</v>
      </c>
      <c r="BN1270" s="2">
        <v>47.72</v>
      </c>
      <c r="BO1270" s="2">
        <v>47.72</v>
      </c>
      <c r="BP1270" s="2"/>
      <c r="BQ1270" s="2" t="s">
        <v>129</v>
      </c>
      <c r="BR1270" s="2" t="s">
        <v>123</v>
      </c>
      <c r="BS1270" s="3">
        <v>42829</v>
      </c>
      <c r="BT1270" s="4">
        <v>0.4375</v>
      </c>
      <c r="BU1270" s="2" t="s">
        <v>1763</v>
      </c>
      <c r="BV1270" s="2" t="s">
        <v>111</v>
      </c>
      <c r="BW1270" s="2"/>
      <c r="BX1270" s="2"/>
      <c r="BY1270" s="2">
        <v>1200</v>
      </c>
      <c r="BZ1270" s="2" t="s">
        <v>27</v>
      </c>
      <c r="CA1270" s="2"/>
      <c r="CB1270" s="2"/>
      <c r="CC1270" s="2" t="s">
        <v>181</v>
      </c>
      <c r="CD1270" s="2">
        <v>4051</v>
      </c>
      <c r="CE1270" s="2" t="s">
        <v>144</v>
      </c>
      <c r="CF1270" s="5">
        <v>42831</v>
      </c>
      <c r="CG1270" s="2"/>
      <c r="CH1270" s="2"/>
      <c r="CI1270" s="2">
        <v>1</v>
      </c>
      <c r="CJ1270" s="2">
        <v>1</v>
      </c>
      <c r="CK1270" s="2">
        <v>21</v>
      </c>
      <c r="CL1270" s="2" t="s">
        <v>86</v>
      </c>
      <c r="CM1270" s="2"/>
    </row>
    <row r="1271" spans="1:91">
      <c r="A1271" s="2" t="s">
        <v>71</v>
      </c>
      <c r="B1271" s="2" t="s">
        <v>72</v>
      </c>
      <c r="C1271" s="2" t="s">
        <v>73</v>
      </c>
      <c r="D1271" s="2"/>
      <c r="E1271" s="2" t="str">
        <f>"FES1162542414"</f>
        <v>FES1162542414</v>
      </c>
      <c r="F1271" s="3">
        <v>42832</v>
      </c>
      <c r="G1271" s="2">
        <v>201710</v>
      </c>
      <c r="H1271" s="2" t="s">
        <v>74</v>
      </c>
      <c r="I1271" s="2" t="s">
        <v>75</v>
      </c>
      <c r="J1271" s="2" t="s">
        <v>76</v>
      </c>
      <c r="K1271" s="2" t="s">
        <v>77</v>
      </c>
      <c r="L1271" s="2" t="s">
        <v>516</v>
      </c>
      <c r="M1271" s="2" t="s">
        <v>517</v>
      </c>
      <c r="N1271" s="2" t="s">
        <v>808</v>
      </c>
      <c r="O1271" s="2" t="s">
        <v>115</v>
      </c>
      <c r="P1271" s="2" t="str">
        <f>"2170561054                    "</f>
        <v xml:space="preserve">2170561054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3.35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2.8</v>
      </c>
      <c r="BJ1271" s="2">
        <v>1.3</v>
      </c>
      <c r="BK1271" s="2">
        <v>3</v>
      </c>
      <c r="BL1271" s="2">
        <v>32.6</v>
      </c>
      <c r="BM1271" s="2">
        <v>4.5599999999999996</v>
      </c>
      <c r="BN1271" s="2">
        <v>37.159999999999997</v>
      </c>
      <c r="BO1271" s="2">
        <v>37.159999999999997</v>
      </c>
      <c r="BP1271" s="2"/>
      <c r="BQ1271" s="2" t="s">
        <v>809</v>
      </c>
      <c r="BR1271" s="2" t="s">
        <v>123</v>
      </c>
      <c r="BS1271" s="3">
        <v>42835</v>
      </c>
      <c r="BT1271" s="4">
        <v>0.4236111111111111</v>
      </c>
      <c r="BU1271" s="2" t="s">
        <v>1833</v>
      </c>
      <c r="BV1271" s="2" t="s">
        <v>111</v>
      </c>
      <c r="BW1271" s="2"/>
      <c r="BX1271" s="2"/>
      <c r="BY1271" s="2">
        <v>6741.6</v>
      </c>
      <c r="BZ1271" s="2" t="s">
        <v>27</v>
      </c>
      <c r="CA1271" s="2"/>
      <c r="CB1271" s="2"/>
      <c r="CC1271" s="2" t="s">
        <v>517</v>
      </c>
      <c r="CD1271" s="2">
        <v>1459</v>
      </c>
      <c r="CE1271" s="2" t="s">
        <v>172</v>
      </c>
      <c r="CF1271" s="5">
        <v>42836</v>
      </c>
      <c r="CG1271" s="2"/>
      <c r="CH1271" s="2"/>
      <c r="CI1271" s="2">
        <v>1</v>
      </c>
      <c r="CJ1271" s="2">
        <v>1</v>
      </c>
      <c r="CK1271" s="2">
        <v>22</v>
      </c>
      <c r="CL1271" s="2" t="s">
        <v>86</v>
      </c>
      <c r="CM1271" s="2"/>
    </row>
    <row r="1272" spans="1:91">
      <c r="A1272" s="2" t="s">
        <v>71</v>
      </c>
      <c r="B1272" s="2" t="s">
        <v>72</v>
      </c>
      <c r="C1272" s="2" t="s">
        <v>73</v>
      </c>
      <c r="D1272" s="2"/>
      <c r="E1272" s="2" t="str">
        <f>"FES1162541072"</f>
        <v>FES1162541072</v>
      </c>
      <c r="F1272" s="3">
        <v>42828</v>
      </c>
      <c r="G1272" s="2">
        <v>201710</v>
      </c>
      <c r="H1272" s="2" t="s">
        <v>74</v>
      </c>
      <c r="I1272" s="2" t="s">
        <v>75</v>
      </c>
      <c r="J1272" s="2" t="s">
        <v>76</v>
      </c>
      <c r="K1272" s="2" t="s">
        <v>77</v>
      </c>
      <c r="L1272" s="2" t="s">
        <v>160</v>
      </c>
      <c r="M1272" s="2" t="s">
        <v>161</v>
      </c>
      <c r="N1272" s="2" t="s">
        <v>1432</v>
      </c>
      <c r="O1272" s="2" t="s">
        <v>115</v>
      </c>
      <c r="P1272" s="2" t="str">
        <f>"1162541073                    "</f>
        <v xml:space="preserve">1162541073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42.01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19</v>
      </c>
      <c r="BJ1272" s="2">
        <v>18.2</v>
      </c>
      <c r="BK1272" s="2">
        <v>19</v>
      </c>
      <c r="BL1272" s="2">
        <v>397.69</v>
      </c>
      <c r="BM1272" s="2">
        <v>55.68</v>
      </c>
      <c r="BN1272" s="2">
        <v>453.37</v>
      </c>
      <c r="BO1272" s="2">
        <v>453.37</v>
      </c>
      <c r="BP1272" s="2"/>
      <c r="BQ1272" s="2" t="s">
        <v>129</v>
      </c>
      <c r="BR1272" s="2" t="s">
        <v>123</v>
      </c>
      <c r="BS1272" s="3">
        <v>42829</v>
      </c>
      <c r="BT1272" s="4">
        <v>0.41666666666666669</v>
      </c>
      <c r="BU1272" s="2" t="s">
        <v>1834</v>
      </c>
      <c r="BV1272" s="2" t="s">
        <v>111</v>
      </c>
      <c r="BW1272" s="2"/>
      <c r="BX1272" s="2"/>
      <c r="BY1272" s="2">
        <v>91057.73</v>
      </c>
      <c r="BZ1272" s="2" t="s">
        <v>27</v>
      </c>
      <c r="CA1272" s="2"/>
      <c r="CB1272" s="2"/>
      <c r="CC1272" s="2" t="s">
        <v>161</v>
      </c>
      <c r="CD1272" s="2">
        <v>5201</v>
      </c>
      <c r="CE1272" s="2" t="s">
        <v>135</v>
      </c>
      <c r="CF1272" s="5">
        <v>42831</v>
      </c>
      <c r="CG1272" s="2"/>
      <c r="CH1272" s="2"/>
      <c r="CI1272" s="2">
        <v>1</v>
      </c>
      <c r="CJ1272" s="2">
        <v>1</v>
      </c>
      <c r="CK1272" s="2">
        <v>21</v>
      </c>
      <c r="CL1272" s="2" t="s">
        <v>86</v>
      </c>
      <c r="CM1272" s="2"/>
    </row>
    <row r="1273" spans="1:91">
      <c r="A1273" s="2" t="s">
        <v>71</v>
      </c>
      <c r="B1273" s="2" t="s">
        <v>72</v>
      </c>
      <c r="C1273" s="2" t="s">
        <v>73</v>
      </c>
      <c r="D1273" s="2"/>
      <c r="E1273" s="2" t="str">
        <f>"FES1162542620"</f>
        <v>FES1162542620</v>
      </c>
      <c r="F1273" s="3">
        <v>42835</v>
      </c>
      <c r="G1273" s="2">
        <v>201710</v>
      </c>
      <c r="H1273" s="2" t="s">
        <v>74</v>
      </c>
      <c r="I1273" s="2" t="s">
        <v>75</v>
      </c>
      <c r="J1273" s="2" t="s">
        <v>76</v>
      </c>
      <c r="K1273" s="2" t="s">
        <v>77</v>
      </c>
      <c r="L1273" s="2" t="s">
        <v>139</v>
      </c>
      <c r="M1273" s="2" t="s">
        <v>140</v>
      </c>
      <c r="N1273" s="2" t="s">
        <v>1835</v>
      </c>
      <c r="O1273" s="2" t="s">
        <v>115</v>
      </c>
      <c r="P1273" s="2" t="str">
        <f>"2170561473                    "</f>
        <v xml:space="preserve">2170561473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7.5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3.1</v>
      </c>
      <c r="BJ1273" s="2">
        <v>3.3</v>
      </c>
      <c r="BK1273" s="2">
        <v>3.5</v>
      </c>
      <c r="BL1273" s="2">
        <v>73.02</v>
      </c>
      <c r="BM1273" s="2">
        <v>10.220000000000001</v>
      </c>
      <c r="BN1273" s="2">
        <v>83.24</v>
      </c>
      <c r="BO1273" s="2">
        <v>83.24</v>
      </c>
      <c r="BP1273" s="2"/>
      <c r="BQ1273" s="2" t="s">
        <v>1836</v>
      </c>
      <c r="BR1273" s="2" t="s">
        <v>123</v>
      </c>
      <c r="BS1273" s="3">
        <v>42836</v>
      </c>
      <c r="BT1273" s="4">
        <v>0.35902777777777778</v>
      </c>
      <c r="BU1273" s="2" t="s">
        <v>1837</v>
      </c>
      <c r="BV1273" s="2" t="s">
        <v>111</v>
      </c>
      <c r="BW1273" s="2"/>
      <c r="BX1273" s="2"/>
      <c r="BY1273" s="2">
        <v>16416</v>
      </c>
      <c r="BZ1273" s="2" t="s">
        <v>27</v>
      </c>
      <c r="CA1273" s="2"/>
      <c r="CB1273" s="2"/>
      <c r="CC1273" s="2" t="s">
        <v>140</v>
      </c>
      <c r="CD1273" s="2">
        <v>157</v>
      </c>
      <c r="CE1273" s="2" t="s">
        <v>1838</v>
      </c>
      <c r="CF1273" s="5">
        <v>42838</v>
      </c>
      <c r="CG1273" s="2"/>
      <c r="CH1273" s="2"/>
      <c r="CI1273" s="2">
        <v>0</v>
      </c>
      <c r="CJ1273" s="2">
        <v>0</v>
      </c>
      <c r="CK1273" s="2">
        <v>21</v>
      </c>
      <c r="CL1273" s="2" t="s">
        <v>86</v>
      </c>
      <c r="CM1273" s="2"/>
    </row>
    <row r="1274" spans="1:91">
      <c r="A1274" s="2" t="s">
        <v>71</v>
      </c>
      <c r="B1274" s="2" t="s">
        <v>72</v>
      </c>
      <c r="C1274" s="2" t="s">
        <v>73</v>
      </c>
      <c r="D1274" s="2"/>
      <c r="E1274" s="2" t="str">
        <f>"FES1162541084"</f>
        <v>FES1162541084</v>
      </c>
      <c r="F1274" s="3">
        <v>42828</v>
      </c>
      <c r="G1274" s="2">
        <v>201710</v>
      </c>
      <c r="H1274" s="2" t="s">
        <v>74</v>
      </c>
      <c r="I1274" s="2" t="s">
        <v>75</v>
      </c>
      <c r="J1274" s="2" t="s">
        <v>76</v>
      </c>
      <c r="K1274" s="2" t="s">
        <v>77</v>
      </c>
      <c r="L1274" s="2" t="s">
        <v>166</v>
      </c>
      <c r="M1274" s="2" t="s">
        <v>167</v>
      </c>
      <c r="N1274" s="2" t="s">
        <v>168</v>
      </c>
      <c r="O1274" s="2" t="s">
        <v>115</v>
      </c>
      <c r="P1274" s="2" t="str">
        <f>"2170560162                    "</f>
        <v xml:space="preserve">2170560162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3.45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1.3</v>
      </c>
      <c r="BJ1274" s="2">
        <v>0.2</v>
      </c>
      <c r="BK1274" s="2">
        <v>2</v>
      </c>
      <c r="BL1274" s="2">
        <v>32.700000000000003</v>
      </c>
      <c r="BM1274" s="2">
        <v>4.58</v>
      </c>
      <c r="BN1274" s="2">
        <v>37.28</v>
      </c>
      <c r="BO1274" s="2">
        <v>37.28</v>
      </c>
      <c r="BP1274" s="2"/>
      <c r="BQ1274" s="2" t="s">
        <v>169</v>
      </c>
      <c r="BR1274" s="2" t="s">
        <v>123</v>
      </c>
      <c r="BS1274" s="3">
        <v>42829</v>
      </c>
      <c r="BT1274" s="4">
        <v>0.375</v>
      </c>
      <c r="BU1274" s="2" t="s">
        <v>1839</v>
      </c>
      <c r="BV1274" s="2" t="s">
        <v>111</v>
      </c>
      <c r="BW1274" s="2"/>
      <c r="BX1274" s="2"/>
      <c r="BY1274" s="2">
        <v>1200</v>
      </c>
      <c r="BZ1274" s="2" t="s">
        <v>27</v>
      </c>
      <c r="CA1274" s="2"/>
      <c r="CB1274" s="2"/>
      <c r="CC1274" s="2" t="s">
        <v>167</v>
      </c>
      <c r="CD1274" s="2">
        <v>2094</v>
      </c>
      <c r="CE1274" s="2" t="s">
        <v>118</v>
      </c>
      <c r="CF1274" s="5">
        <v>42830</v>
      </c>
      <c r="CG1274" s="2"/>
      <c r="CH1274" s="2"/>
      <c r="CI1274" s="2">
        <v>1</v>
      </c>
      <c r="CJ1274" s="2">
        <v>1</v>
      </c>
      <c r="CK1274" s="2">
        <v>22</v>
      </c>
      <c r="CL1274" s="2" t="s">
        <v>86</v>
      </c>
      <c r="CM1274" s="2"/>
    </row>
    <row r="1275" spans="1:91">
      <c r="A1275" s="2" t="s">
        <v>71</v>
      </c>
      <c r="B1275" s="2" t="s">
        <v>72</v>
      </c>
      <c r="C1275" s="2" t="s">
        <v>73</v>
      </c>
      <c r="D1275" s="2"/>
      <c r="E1275" s="2" t="str">
        <f>"FES1162542282"</f>
        <v>FES1162542282</v>
      </c>
      <c r="F1275" s="3">
        <v>42832</v>
      </c>
      <c r="G1275" s="2">
        <v>201710</v>
      </c>
      <c r="H1275" s="2" t="s">
        <v>74</v>
      </c>
      <c r="I1275" s="2" t="s">
        <v>75</v>
      </c>
      <c r="J1275" s="2" t="s">
        <v>76</v>
      </c>
      <c r="K1275" s="2" t="s">
        <v>77</v>
      </c>
      <c r="L1275" s="2" t="s">
        <v>358</v>
      </c>
      <c r="M1275" s="2" t="s">
        <v>359</v>
      </c>
      <c r="N1275" s="2" t="s">
        <v>800</v>
      </c>
      <c r="O1275" s="2" t="s">
        <v>115</v>
      </c>
      <c r="P1275" s="2" t="str">
        <f>"2170559035                    "</f>
        <v xml:space="preserve">2170559035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4.29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1.1000000000000001</v>
      </c>
      <c r="BJ1275" s="2">
        <v>0.2</v>
      </c>
      <c r="BK1275" s="2">
        <v>1.5</v>
      </c>
      <c r="BL1275" s="2">
        <v>41.73</v>
      </c>
      <c r="BM1275" s="2">
        <v>5.84</v>
      </c>
      <c r="BN1275" s="2">
        <v>47.57</v>
      </c>
      <c r="BO1275" s="2">
        <v>47.57</v>
      </c>
      <c r="BP1275" s="2"/>
      <c r="BQ1275" s="2" t="s">
        <v>801</v>
      </c>
      <c r="BR1275" s="2" t="s">
        <v>123</v>
      </c>
      <c r="BS1275" s="3">
        <v>42835</v>
      </c>
      <c r="BT1275" s="4">
        <v>0.31111111111111112</v>
      </c>
      <c r="BU1275" s="2" t="s">
        <v>1840</v>
      </c>
      <c r="BV1275" s="2" t="s">
        <v>111</v>
      </c>
      <c r="BW1275" s="2"/>
      <c r="BX1275" s="2"/>
      <c r="BY1275" s="2">
        <v>1200</v>
      </c>
      <c r="BZ1275" s="2" t="s">
        <v>27</v>
      </c>
      <c r="CA1275" s="2"/>
      <c r="CB1275" s="2"/>
      <c r="CC1275" s="2" t="s">
        <v>359</v>
      </c>
      <c r="CD1275" s="2">
        <v>6230</v>
      </c>
      <c r="CE1275" s="2" t="s">
        <v>144</v>
      </c>
      <c r="CF1275" s="5">
        <v>42836</v>
      </c>
      <c r="CG1275" s="2"/>
      <c r="CH1275" s="2"/>
      <c r="CI1275" s="2">
        <v>1</v>
      </c>
      <c r="CJ1275" s="2">
        <v>1</v>
      </c>
      <c r="CK1275" s="2">
        <v>21</v>
      </c>
      <c r="CL1275" s="2" t="s">
        <v>86</v>
      </c>
      <c r="CM1275" s="2"/>
    </row>
    <row r="1276" spans="1:91">
      <c r="A1276" s="2" t="s">
        <v>71</v>
      </c>
      <c r="B1276" s="2" t="s">
        <v>72</v>
      </c>
      <c r="C1276" s="2" t="s">
        <v>73</v>
      </c>
      <c r="D1276" s="2"/>
      <c r="E1276" s="2" t="str">
        <f>"FES1162541014"</f>
        <v>FES1162541014</v>
      </c>
      <c r="F1276" s="3">
        <v>42828</v>
      </c>
      <c r="G1276" s="2">
        <v>201710</v>
      </c>
      <c r="H1276" s="2" t="s">
        <v>74</v>
      </c>
      <c r="I1276" s="2" t="s">
        <v>75</v>
      </c>
      <c r="J1276" s="2" t="s">
        <v>76</v>
      </c>
      <c r="K1276" s="2" t="s">
        <v>77</v>
      </c>
      <c r="L1276" s="2" t="s">
        <v>131</v>
      </c>
      <c r="M1276" s="2" t="s">
        <v>132</v>
      </c>
      <c r="N1276" s="2" t="s">
        <v>744</v>
      </c>
      <c r="O1276" s="2" t="s">
        <v>115</v>
      </c>
      <c r="P1276" s="2" t="str">
        <f>"2170558921                    "</f>
        <v xml:space="preserve">2170558921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4.42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</v>
      </c>
      <c r="BJ1276" s="2">
        <v>0.2</v>
      </c>
      <c r="BK1276" s="2">
        <v>1</v>
      </c>
      <c r="BL1276" s="2">
        <v>41.86</v>
      </c>
      <c r="BM1276" s="2">
        <v>5.86</v>
      </c>
      <c r="BN1276" s="2">
        <v>47.72</v>
      </c>
      <c r="BO1276" s="2">
        <v>47.72</v>
      </c>
      <c r="BP1276" s="2"/>
      <c r="BQ1276" s="2" t="s">
        <v>138</v>
      </c>
      <c r="BR1276" s="2" t="s">
        <v>123</v>
      </c>
      <c r="BS1276" s="3">
        <v>42829</v>
      </c>
      <c r="BT1276" s="4">
        <v>0.50277777777777777</v>
      </c>
      <c r="BU1276" s="2" t="s">
        <v>1762</v>
      </c>
      <c r="BV1276" s="2" t="s">
        <v>86</v>
      </c>
      <c r="BW1276" s="2" t="s">
        <v>157</v>
      </c>
      <c r="BX1276" s="2" t="s">
        <v>158</v>
      </c>
      <c r="BY1276" s="2">
        <v>1200</v>
      </c>
      <c r="BZ1276" s="2" t="s">
        <v>27</v>
      </c>
      <c r="CA1276" s="2"/>
      <c r="CB1276" s="2"/>
      <c r="CC1276" s="2" t="s">
        <v>132</v>
      </c>
      <c r="CD1276" s="2">
        <v>7405</v>
      </c>
      <c r="CE1276" s="2" t="s">
        <v>144</v>
      </c>
      <c r="CF1276" s="5">
        <v>42830</v>
      </c>
      <c r="CG1276" s="2"/>
      <c r="CH1276" s="2"/>
      <c r="CI1276" s="2">
        <v>1</v>
      </c>
      <c r="CJ1276" s="2">
        <v>1</v>
      </c>
      <c r="CK1276" s="2">
        <v>21</v>
      </c>
      <c r="CL1276" s="2" t="s">
        <v>86</v>
      </c>
      <c r="CM1276" s="2"/>
    </row>
    <row r="1277" spans="1:91">
      <c r="A1277" s="2" t="s">
        <v>71</v>
      </c>
      <c r="B1277" s="2" t="s">
        <v>72</v>
      </c>
      <c r="C1277" s="2" t="s">
        <v>73</v>
      </c>
      <c r="D1277" s="2"/>
      <c r="E1277" s="2" t="str">
        <f>"FES1162542599"</f>
        <v>FES1162542599</v>
      </c>
      <c r="F1277" s="3">
        <v>42835</v>
      </c>
      <c r="G1277" s="2">
        <v>201710</v>
      </c>
      <c r="H1277" s="2" t="s">
        <v>74</v>
      </c>
      <c r="I1277" s="2" t="s">
        <v>75</v>
      </c>
      <c r="J1277" s="2" t="s">
        <v>76</v>
      </c>
      <c r="K1277" s="2" t="s">
        <v>77</v>
      </c>
      <c r="L1277" s="2" t="s">
        <v>91</v>
      </c>
      <c r="M1277" s="2" t="s">
        <v>92</v>
      </c>
      <c r="N1277" s="2" t="s">
        <v>1841</v>
      </c>
      <c r="O1277" s="2" t="s">
        <v>115</v>
      </c>
      <c r="P1277" s="2" t="str">
        <f>"2170561456                    "</f>
        <v xml:space="preserve">2170561456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3.35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2</v>
      </c>
      <c r="BJ1277" s="2">
        <v>1</v>
      </c>
      <c r="BK1277" s="2">
        <v>2</v>
      </c>
      <c r="BL1277" s="2">
        <v>32.6</v>
      </c>
      <c r="BM1277" s="2">
        <v>4.5599999999999996</v>
      </c>
      <c r="BN1277" s="2">
        <v>37.159999999999997</v>
      </c>
      <c r="BO1277" s="2">
        <v>37.159999999999997</v>
      </c>
      <c r="BP1277" s="2"/>
      <c r="BQ1277" s="2" t="s">
        <v>1842</v>
      </c>
      <c r="BR1277" s="2" t="s">
        <v>123</v>
      </c>
      <c r="BS1277" s="3">
        <v>42836</v>
      </c>
      <c r="BT1277" s="4">
        <v>0.41666666666666669</v>
      </c>
      <c r="BU1277" s="2" t="s">
        <v>1843</v>
      </c>
      <c r="BV1277" s="2" t="s">
        <v>111</v>
      </c>
      <c r="BW1277" s="2"/>
      <c r="BX1277" s="2"/>
      <c r="BY1277" s="2">
        <v>5035.95</v>
      </c>
      <c r="BZ1277" s="2" t="s">
        <v>27</v>
      </c>
      <c r="CA1277" s="2"/>
      <c r="CB1277" s="2"/>
      <c r="CC1277" s="2" t="s">
        <v>92</v>
      </c>
      <c r="CD1277" s="2">
        <v>1422</v>
      </c>
      <c r="CE1277" s="2" t="s">
        <v>89</v>
      </c>
      <c r="CF1277" s="5">
        <v>42838</v>
      </c>
      <c r="CG1277" s="2"/>
      <c r="CH1277" s="2"/>
      <c r="CI1277" s="2">
        <v>1</v>
      </c>
      <c r="CJ1277" s="2">
        <v>1</v>
      </c>
      <c r="CK1277" s="2">
        <v>22</v>
      </c>
      <c r="CL1277" s="2" t="s">
        <v>86</v>
      </c>
      <c r="CM1277" s="2"/>
    </row>
    <row r="1278" spans="1:91">
      <c r="A1278" s="2" t="s">
        <v>71</v>
      </c>
      <c r="B1278" s="2" t="s">
        <v>72</v>
      </c>
      <c r="C1278" s="2" t="s">
        <v>73</v>
      </c>
      <c r="D1278" s="2"/>
      <c r="E1278" s="2" t="str">
        <f>"FES1162540957"</f>
        <v>FES1162540957</v>
      </c>
      <c r="F1278" s="3">
        <v>42828</v>
      </c>
      <c r="G1278" s="2">
        <v>201710</v>
      </c>
      <c r="H1278" s="2" t="s">
        <v>74</v>
      </c>
      <c r="I1278" s="2" t="s">
        <v>75</v>
      </c>
      <c r="J1278" s="2" t="s">
        <v>76</v>
      </c>
      <c r="K1278" s="2" t="s">
        <v>77</v>
      </c>
      <c r="L1278" s="2" t="s">
        <v>1226</v>
      </c>
      <c r="M1278" s="2" t="s">
        <v>1227</v>
      </c>
      <c r="N1278" s="2" t="s">
        <v>1844</v>
      </c>
      <c r="O1278" s="2" t="s">
        <v>115</v>
      </c>
      <c r="P1278" s="2" t="str">
        <f>"2170553944                    "</f>
        <v xml:space="preserve">2170553944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35.65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5</v>
      </c>
      <c r="BJ1278" s="2">
        <v>8.8000000000000007</v>
      </c>
      <c r="BK1278" s="2">
        <v>9</v>
      </c>
      <c r="BL1278" s="2">
        <v>337.51</v>
      </c>
      <c r="BM1278" s="2">
        <v>47.25</v>
      </c>
      <c r="BN1278" s="2">
        <v>384.76</v>
      </c>
      <c r="BO1278" s="2">
        <v>384.76</v>
      </c>
      <c r="BP1278" s="2"/>
      <c r="BQ1278" s="2" t="s">
        <v>1845</v>
      </c>
      <c r="BR1278" s="2" t="s">
        <v>123</v>
      </c>
      <c r="BS1278" s="3">
        <v>42829</v>
      </c>
      <c r="BT1278" s="4">
        <v>0.3888888888888889</v>
      </c>
      <c r="BU1278" s="2" t="s">
        <v>1846</v>
      </c>
      <c r="BV1278" s="2" t="s">
        <v>111</v>
      </c>
      <c r="BW1278" s="2"/>
      <c r="BX1278" s="2"/>
      <c r="BY1278" s="2">
        <v>43989</v>
      </c>
      <c r="BZ1278" s="2" t="s">
        <v>27</v>
      </c>
      <c r="CA1278" s="2"/>
      <c r="CB1278" s="2"/>
      <c r="CC1278" s="2" t="s">
        <v>1227</v>
      </c>
      <c r="CD1278" s="2">
        <v>3236</v>
      </c>
      <c r="CE1278" s="2" t="s">
        <v>135</v>
      </c>
      <c r="CF1278" s="5">
        <v>42831</v>
      </c>
      <c r="CG1278" s="2"/>
      <c r="CH1278" s="2"/>
      <c r="CI1278" s="2">
        <v>1</v>
      </c>
      <c r="CJ1278" s="2">
        <v>1</v>
      </c>
      <c r="CK1278" s="2">
        <v>23</v>
      </c>
      <c r="CL1278" s="2" t="s">
        <v>86</v>
      </c>
      <c r="CM1278" s="2"/>
    </row>
    <row r="1279" spans="1:91">
      <c r="A1279" s="2" t="s">
        <v>71</v>
      </c>
      <c r="B1279" s="2" t="s">
        <v>72</v>
      </c>
      <c r="C1279" s="2" t="s">
        <v>73</v>
      </c>
      <c r="D1279" s="2"/>
      <c r="E1279" s="2" t="str">
        <f>"FES1162541022"</f>
        <v>FES1162541022</v>
      </c>
      <c r="F1279" s="3">
        <v>42828</v>
      </c>
      <c r="G1279" s="2">
        <v>201710</v>
      </c>
      <c r="H1279" s="2" t="s">
        <v>74</v>
      </c>
      <c r="I1279" s="2" t="s">
        <v>75</v>
      </c>
      <c r="J1279" s="2" t="s">
        <v>76</v>
      </c>
      <c r="K1279" s="2" t="s">
        <v>77</v>
      </c>
      <c r="L1279" s="2" t="s">
        <v>99</v>
      </c>
      <c r="M1279" s="2" t="s">
        <v>100</v>
      </c>
      <c r="N1279" s="2" t="s">
        <v>375</v>
      </c>
      <c r="O1279" s="2" t="s">
        <v>115</v>
      </c>
      <c r="P1279" s="2" t="str">
        <f>"2170560089                    "</f>
        <v xml:space="preserve">2170560089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4.42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1</v>
      </c>
      <c r="BJ1279" s="2">
        <v>0.2</v>
      </c>
      <c r="BK1279" s="2">
        <v>1</v>
      </c>
      <c r="BL1279" s="2">
        <v>41.86</v>
      </c>
      <c r="BM1279" s="2">
        <v>5.86</v>
      </c>
      <c r="BN1279" s="2">
        <v>47.72</v>
      </c>
      <c r="BO1279" s="2">
        <v>47.72</v>
      </c>
      <c r="BP1279" s="2"/>
      <c r="BQ1279" s="2" t="s">
        <v>376</v>
      </c>
      <c r="BR1279" s="2" t="s">
        <v>123</v>
      </c>
      <c r="BS1279" s="3">
        <v>42829</v>
      </c>
      <c r="BT1279" s="4">
        <v>0.38680555555555557</v>
      </c>
      <c r="BU1279" s="2" t="s">
        <v>377</v>
      </c>
      <c r="BV1279" s="2" t="s">
        <v>111</v>
      </c>
      <c r="BW1279" s="2"/>
      <c r="BX1279" s="2"/>
      <c r="BY1279" s="2">
        <v>1200</v>
      </c>
      <c r="BZ1279" s="2" t="s">
        <v>27</v>
      </c>
      <c r="CA1279" s="2" t="s">
        <v>378</v>
      </c>
      <c r="CB1279" s="2"/>
      <c r="CC1279" s="2" t="s">
        <v>100</v>
      </c>
      <c r="CD1279" s="2">
        <v>6070</v>
      </c>
      <c r="CE1279" s="2" t="s">
        <v>144</v>
      </c>
      <c r="CF1279" s="5">
        <v>42831</v>
      </c>
      <c r="CG1279" s="2"/>
      <c r="CH1279" s="2"/>
      <c r="CI1279" s="2">
        <v>1</v>
      </c>
      <c r="CJ1279" s="2">
        <v>1</v>
      </c>
      <c r="CK1279" s="2">
        <v>21</v>
      </c>
      <c r="CL1279" s="2" t="s">
        <v>86</v>
      </c>
      <c r="CM1279" s="2"/>
    </row>
    <row r="1280" spans="1:91">
      <c r="A1280" s="2" t="s">
        <v>71</v>
      </c>
      <c r="B1280" s="2" t="s">
        <v>72</v>
      </c>
      <c r="C1280" s="2" t="s">
        <v>73</v>
      </c>
      <c r="D1280" s="2"/>
      <c r="E1280" s="2" t="str">
        <f>"FES1162542505"</f>
        <v>FES1162542505</v>
      </c>
      <c r="F1280" s="3">
        <v>42835</v>
      </c>
      <c r="G1280" s="2">
        <v>201710</v>
      </c>
      <c r="H1280" s="2" t="s">
        <v>74</v>
      </c>
      <c r="I1280" s="2" t="s">
        <v>75</v>
      </c>
      <c r="J1280" s="2" t="s">
        <v>76</v>
      </c>
      <c r="K1280" s="2" t="s">
        <v>77</v>
      </c>
      <c r="L1280" s="2" t="s">
        <v>166</v>
      </c>
      <c r="M1280" s="2" t="s">
        <v>167</v>
      </c>
      <c r="N1280" s="2" t="s">
        <v>942</v>
      </c>
      <c r="O1280" s="2" t="s">
        <v>115</v>
      </c>
      <c r="P1280" s="2" t="str">
        <f>"2170560821                    "</f>
        <v xml:space="preserve">2170560821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3.35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1</v>
      </c>
      <c r="BJ1280" s="2">
        <v>0.2</v>
      </c>
      <c r="BK1280" s="2">
        <v>1</v>
      </c>
      <c r="BL1280" s="2">
        <v>32.6</v>
      </c>
      <c r="BM1280" s="2">
        <v>4.5599999999999996</v>
      </c>
      <c r="BN1280" s="2">
        <v>37.159999999999997</v>
      </c>
      <c r="BO1280" s="2">
        <v>37.159999999999997</v>
      </c>
      <c r="BP1280" s="2"/>
      <c r="BQ1280" s="2" t="s">
        <v>943</v>
      </c>
      <c r="BR1280" s="2" t="s">
        <v>123</v>
      </c>
      <c r="BS1280" s="3">
        <v>42836</v>
      </c>
      <c r="BT1280" s="4">
        <v>0.4375</v>
      </c>
      <c r="BU1280" s="2" t="s">
        <v>1847</v>
      </c>
      <c r="BV1280" s="2" t="s">
        <v>111</v>
      </c>
      <c r="BW1280" s="2"/>
      <c r="BX1280" s="2"/>
      <c r="BY1280" s="2">
        <v>1200</v>
      </c>
      <c r="BZ1280" s="2" t="s">
        <v>27</v>
      </c>
      <c r="CA1280" s="2"/>
      <c r="CB1280" s="2"/>
      <c r="CC1280" s="2" t="s">
        <v>167</v>
      </c>
      <c r="CD1280" s="2">
        <v>2065</v>
      </c>
      <c r="CE1280" s="2" t="s">
        <v>118</v>
      </c>
      <c r="CF1280" s="5">
        <v>42838</v>
      </c>
      <c r="CG1280" s="2"/>
      <c r="CH1280" s="2"/>
      <c r="CI1280" s="2">
        <v>1</v>
      </c>
      <c r="CJ1280" s="2">
        <v>1</v>
      </c>
      <c r="CK1280" s="2">
        <v>22</v>
      </c>
      <c r="CL1280" s="2" t="s">
        <v>86</v>
      </c>
      <c r="CM1280" s="2"/>
    </row>
    <row r="1281" spans="1:91">
      <c r="A1281" s="2" t="s">
        <v>71</v>
      </c>
      <c r="B1281" s="2" t="s">
        <v>72</v>
      </c>
      <c r="C1281" s="2" t="s">
        <v>73</v>
      </c>
      <c r="D1281" s="2"/>
      <c r="E1281" s="2" t="str">
        <f>"FES1162540969"</f>
        <v>FES1162540969</v>
      </c>
      <c r="F1281" s="3">
        <v>42828</v>
      </c>
      <c r="G1281" s="2">
        <v>201710</v>
      </c>
      <c r="H1281" s="2" t="s">
        <v>74</v>
      </c>
      <c r="I1281" s="2" t="s">
        <v>75</v>
      </c>
      <c r="J1281" s="2" t="s">
        <v>76</v>
      </c>
      <c r="K1281" s="2" t="s">
        <v>77</v>
      </c>
      <c r="L1281" s="2" t="s">
        <v>99</v>
      </c>
      <c r="M1281" s="2" t="s">
        <v>100</v>
      </c>
      <c r="N1281" s="2" t="s">
        <v>843</v>
      </c>
      <c r="O1281" s="2" t="s">
        <v>115</v>
      </c>
      <c r="P1281" s="2" t="str">
        <f>"2170559889                    "</f>
        <v xml:space="preserve">2170559889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6.63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3</v>
      </c>
      <c r="BJ1281" s="2">
        <v>1.7</v>
      </c>
      <c r="BK1281" s="2">
        <v>3</v>
      </c>
      <c r="BL1281" s="2">
        <v>62.79</v>
      </c>
      <c r="BM1281" s="2">
        <v>8.7899999999999991</v>
      </c>
      <c r="BN1281" s="2">
        <v>71.58</v>
      </c>
      <c r="BO1281" s="2">
        <v>71.58</v>
      </c>
      <c r="BP1281" s="2"/>
      <c r="BQ1281" s="2" t="s">
        <v>844</v>
      </c>
      <c r="BR1281" s="2" t="s">
        <v>123</v>
      </c>
      <c r="BS1281" s="3">
        <v>42829</v>
      </c>
      <c r="BT1281" s="4">
        <v>0.30277777777777776</v>
      </c>
      <c r="BU1281" s="2" t="s">
        <v>245</v>
      </c>
      <c r="BV1281" s="2" t="s">
        <v>111</v>
      </c>
      <c r="BW1281" s="2"/>
      <c r="BX1281" s="2"/>
      <c r="BY1281" s="2">
        <v>8273.66</v>
      </c>
      <c r="BZ1281" s="2" t="s">
        <v>27</v>
      </c>
      <c r="CA1281" s="2" t="s">
        <v>154</v>
      </c>
      <c r="CB1281" s="2"/>
      <c r="CC1281" s="2" t="s">
        <v>100</v>
      </c>
      <c r="CD1281" s="2">
        <v>6001</v>
      </c>
      <c r="CE1281" s="2" t="s">
        <v>135</v>
      </c>
      <c r="CF1281" s="5">
        <v>42829</v>
      </c>
      <c r="CG1281" s="2"/>
      <c r="CH1281" s="2"/>
      <c r="CI1281" s="2">
        <v>1</v>
      </c>
      <c r="CJ1281" s="2">
        <v>1</v>
      </c>
      <c r="CK1281" s="2">
        <v>21</v>
      </c>
      <c r="CL1281" s="2" t="s">
        <v>86</v>
      </c>
      <c r="CM1281" s="2"/>
    </row>
    <row r="1282" spans="1:91">
      <c r="A1282" s="2" t="s">
        <v>71</v>
      </c>
      <c r="B1282" s="2" t="s">
        <v>72</v>
      </c>
      <c r="C1282" s="2" t="s">
        <v>73</v>
      </c>
      <c r="D1282" s="2"/>
      <c r="E1282" s="2" t="str">
        <f>"FES1162542288"</f>
        <v>FES1162542288</v>
      </c>
      <c r="F1282" s="3">
        <v>42832</v>
      </c>
      <c r="G1282" s="2">
        <v>201710</v>
      </c>
      <c r="H1282" s="2" t="s">
        <v>74</v>
      </c>
      <c r="I1282" s="2" t="s">
        <v>75</v>
      </c>
      <c r="J1282" s="2" t="s">
        <v>76</v>
      </c>
      <c r="K1282" s="2" t="s">
        <v>77</v>
      </c>
      <c r="L1282" s="2" t="s">
        <v>99</v>
      </c>
      <c r="M1282" s="2" t="s">
        <v>100</v>
      </c>
      <c r="N1282" s="2" t="s">
        <v>700</v>
      </c>
      <c r="O1282" s="2" t="s">
        <v>115</v>
      </c>
      <c r="P1282" s="2" t="str">
        <f>"2170559176                    "</f>
        <v xml:space="preserve">2170559176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4.29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1.4</v>
      </c>
      <c r="BJ1282" s="2">
        <v>0.2</v>
      </c>
      <c r="BK1282" s="2">
        <v>1.5</v>
      </c>
      <c r="BL1282" s="2">
        <v>41.73</v>
      </c>
      <c r="BM1282" s="2">
        <v>5.84</v>
      </c>
      <c r="BN1282" s="2">
        <v>47.57</v>
      </c>
      <c r="BO1282" s="2">
        <v>47.57</v>
      </c>
      <c r="BP1282" s="2"/>
      <c r="BQ1282" s="2" t="s">
        <v>701</v>
      </c>
      <c r="BR1282" s="2" t="s">
        <v>123</v>
      </c>
      <c r="BS1282" s="3">
        <v>42835</v>
      </c>
      <c r="BT1282" s="4">
        <v>0.39305555555555555</v>
      </c>
      <c r="BU1282" s="2" t="s">
        <v>1848</v>
      </c>
      <c r="BV1282" s="2" t="s">
        <v>111</v>
      </c>
      <c r="BW1282" s="2"/>
      <c r="BX1282" s="2"/>
      <c r="BY1282" s="2">
        <v>1200</v>
      </c>
      <c r="BZ1282" s="2" t="s">
        <v>27</v>
      </c>
      <c r="CA1282" s="2" t="s">
        <v>1849</v>
      </c>
      <c r="CB1282" s="2"/>
      <c r="CC1282" s="2" t="s">
        <v>100</v>
      </c>
      <c r="CD1282" s="2">
        <v>6001</v>
      </c>
      <c r="CE1282" s="2" t="s">
        <v>144</v>
      </c>
      <c r="CF1282" s="5">
        <v>42835</v>
      </c>
      <c r="CG1282" s="2"/>
      <c r="CH1282" s="2"/>
      <c r="CI1282" s="2">
        <v>1</v>
      </c>
      <c r="CJ1282" s="2">
        <v>1</v>
      </c>
      <c r="CK1282" s="2">
        <v>21</v>
      </c>
      <c r="CL1282" s="2" t="s">
        <v>86</v>
      </c>
      <c r="CM1282" s="2"/>
    </row>
    <row r="1283" spans="1:91">
      <c r="A1283" s="2" t="s">
        <v>71</v>
      </c>
      <c r="B1283" s="2" t="s">
        <v>72</v>
      </c>
      <c r="C1283" s="2" t="s">
        <v>73</v>
      </c>
      <c r="D1283" s="2"/>
      <c r="E1283" s="2" t="str">
        <f>"FES1162541055"</f>
        <v>FES1162541055</v>
      </c>
      <c r="F1283" s="3">
        <v>42828</v>
      </c>
      <c r="G1283" s="2">
        <v>201710</v>
      </c>
      <c r="H1283" s="2" t="s">
        <v>74</v>
      </c>
      <c r="I1283" s="2" t="s">
        <v>75</v>
      </c>
      <c r="J1283" s="2" t="s">
        <v>76</v>
      </c>
      <c r="K1283" s="2" t="s">
        <v>77</v>
      </c>
      <c r="L1283" s="2" t="s">
        <v>187</v>
      </c>
      <c r="M1283" s="2" t="s">
        <v>146</v>
      </c>
      <c r="N1283" s="2" t="s">
        <v>1461</v>
      </c>
      <c r="O1283" s="2" t="s">
        <v>115</v>
      </c>
      <c r="P1283" s="2" t="str">
        <f>"2170560131                    "</f>
        <v xml:space="preserve">2170560131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4.42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1.4</v>
      </c>
      <c r="BJ1283" s="2">
        <v>0.2</v>
      </c>
      <c r="BK1283" s="2">
        <v>1.5</v>
      </c>
      <c r="BL1283" s="2">
        <v>41.86</v>
      </c>
      <c r="BM1283" s="2">
        <v>5.86</v>
      </c>
      <c r="BN1283" s="2">
        <v>47.72</v>
      </c>
      <c r="BO1283" s="2">
        <v>47.72</v>
      </c>
      <c r="BP1283" s="2"/>
      <c r="BQ1283" s="2" t="s">
        <v>1462</v>
      </c>
      <c r="BR1283" s="2" t="s">
        <v>123</v>
      </c>
      <c r="BS1283" s="3">
        <v>42829</v>
      </c>
      <c r="BT1283" s="4">
        <v>0.37152777777777773</v>
      </c>
      <c r="BU1283" s="2" t="s">
        <v>1850</v>
      </c>
      <c r="BV1283" s="2" t="s">
        <v>111</v>
      </c>
      <c r="BW1283" s="2"/>
      <c r="BX1283" s="2"/>
      <c r="BY1283" s="2">
        <v>1200</v>
      </c>
      <c r="BZ1283" s="2" t="s">
        <v>27</v>
      </c>
      <c r="CA1283" s="2"/>
      <c r="CB1283" s="2"/>
      <c r="CC1283" s="2" t="s">
        <v>146</v>
      </c>
      <c r="CD1283" s="2">
        <v>182</v>
      </c>
      <c r="CE1283" s="2" t="s">
        <v>144</v>
      </c>
      <c r="CF1283" s="5">
        <v>42832</v>
      </c>
      <c r="CG1283" s="2"/>
      <c r="CH1283" s="2"/>
      <c r="CI1283" s="2">
        <v>0</v>
      </c>
      <c r="CJ1283" s="2">
        <v>0</v>
      </c>
      <c r="CK1283" s="2">
        <v>21</v>
      </c>
      <c r="CL1283" s="2" t="s">
        <v>86</v>
      </c>
      <c r="CM1283" s="2"/>
    </row>
    <row r="1284" spans="1:91">
      <c r="A1284" s="2" t="s">
        <v>71</v>
      </c>
      <c r="B1284" s="2" t="s">
        <v>72</v>
      </c>
      <c r="C1284" s="2" t="s">
        <v>73</v>
      </c>
      <c r="D1284" s="2"/>
      <c r="E1284" s="2" t="str">
        <f>"FES1162542523"</f>
        <v>FES1162542523</v>
      </c>
      <c r="F1284" s="3">
        <v>42835</v>
      </c>
      <c r="G1284" s="2">
        <v>201710</v>
      </c>
      <c r="H1284" s="2" t="s">
        <v>74</v>
      </c>
      <c r="I1284" s="2" t="s">
        <v>75</v>
      </c>
      <c r="J1284" s="2" t="s">
        <v>76</v>
      </c>
      <c r="K1284" s="2" t="s">
        <v>77</v>
      </c>
      <c r="L1284" s="2" t="s">
        <v>131</v>
      </c>
      <c r="M1284" s="2" t="s">
        <v>132</v>
      </c>
      <c r="N1284" s="2" t="s">
        <v>1851</v>
      </c>
      <c r="O1284" s="2" t="s">
        <v>115</v>
      </c>
      <c r="P1284" s="2" t="str">
        <f>"2170561392                    "</f>
        <v xml:space="preserve">2170561392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9.65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2.2000000000000002</v>
      </c>
      <c r="BJ1284" s="2">
        <v>4.4000000000000004</v>
      </c>
      <c r="BK1284" s="2">
        <v>4.5</v>
      </c>
      <c r="BL1284" s="2">
        <v>93.89</v>
      </c>
      <c r="BM1284" s="2">
        <v>13.14</v>
      </c>
      <c r="BN1284" s="2">
        <v>107.03</v>
      </c>
      <c r="BO1284" s="2">
        <v>107.03</v>
      </c>
      <c r="BP1284" s="2"/>
      <c r="BQ1284" s="2" t="s">
        <v>129</v>
      </c>
      <c r="BR1284" s="2" t="s">
        <v>123</v>
      </c>
      <c r="BS1284" s="3">
        <v>42836</v>
      </c>
      <c r="BT1284" s="4">
        <v>0.41666666666666669</v>
      </c>
      <c r="BU1284" s="2" t="s">
        <v>1852</v>
      </c>
      <c r="BV1284" s="2" t="s">
        <v>111</v>
      </c>
      <c r="BW1284" s="2"/>
      <c r="BX1284" s="2"/>
      <c r="BY1284" s="2">
        <v>21780</v>
      </c>
      <c r="BZ1284" s="2" t="s">
        <v>27</v>
      </c>
      <c r="CA1284" s="2"/>
      <c r="CB1284" s="2"/>
      <c r="CC1284" s="2" t="s">
        <v>132</v>
      </c>
      <c r="CD1284" s="2">
        <v>7405</v>
      </c>
      <c r="CE1284" s="2" t="s">
        <v>1838</v>
      </c>
      <c r="CF1284" s="5">
        <v>42837</v>
      </c>
      <c r="CG1284" s="2"/>
      <c r="CH1284" s="2"/>
      <c r="CI1284" s="2">
        <v>1</v>
      </c>
      <c r="CJ1284" s="2">
        <v>1</v>
      </c>
      <c r="CK1284" s="2">
        <v>21</v>
      </c>
      <c r="CL1284" s="2" t="s">
        <v>86</v>
      </c>
      <c r="CM1284" s="2"/>
    </row>
    <row r="1285" spans="1:91">
      <c r="A1285" s="2" t="s">
        <v>71</v>
      </c>
      <c r="B1285" s="2" t="s">
        <v>72</v>
      </c>
      <c r="C1285" s="2" t="s">
        <v>73</v>
      </c>
      <c r="D1285" s="2"/>
      <c r="E1285" s="2" t="str">
        <f>"FES1162540925"</f>
        <v>FES1162540925</v>
      </c>
      <c r="F1285" s="3">
        <v>42828</v>
      </c>
      <c r="G1285" s="2">
        <v>201710</v>
      </c>
      <c r="H1285" s="2" t="s">
        <v>74</v>
      </c>
      <c r="I1285" s="2" t="s">
        <v>75</v>
      </c>
      <c r="J1285" s="2" t="s">
        <v>76</v>
      </c>
      <c r="K1285" s="2" t="s">
        <v>77</v>
      </c>
      <c r="L1285" s="2" t="s">
        <v>131</v>
      </c>
      <c r="M1285" s="2" t="s">
        <v>132</v>
      </c>
      <c r="N1285" s="2" t="s">
        <v>1853</v>
      </c>
      <c r="O1285" s="2" t="s">
        <v>115</v>
      </c>
      <c r="P1285" s="2" t="str">
        <f>"2170560008                    "</f>
        <v xml:space="preserve">2170560008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13.26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3</v>
      </c>
      <c r="BJ1285" s="2">
        <v>6</v>
      </c>
      <c r="BK1285" s="2">
        <v>6</v>
      </c>
      <c r="BL1285" s="2">
        <v>125.58</v>
      </c>
      <c r="BM1285" s="2">
        <v>17.579999999999998</v>
      </c>
      <c r="BN1285" s="2">
        <v>143.16</v>
      </c>
      <c r="BO1285" s="2">
        <v>143.16</v>
      </c>
      <c r="BP1285" s="2"/>
      <c r="BQ1285" s="2" t="s">
        <v>129</v>
      </c>
      <c r="BR1285" s="2" t="s">
        <v>123</v>
      </c>
      <c r="BS1285" s="3">
        <v>42829</v>
      </c>
      <c r="BT1285" s="4">
        <v>0.41666666666666669</v>
      </c>
      <c r="BU1285" s="2" t="s">
        <v>1854</v>
      </c>
      <c r="BV1285" s="2" t="s">
        <v>111</v>
      </c>
      <c r="BW1285" s="2"/>
      <c r="BX1285" s="2"/>
      <c r="BY1285" s="2">
        <v>29851.94</v>
      </c>
      <c r="BZ1285" s="2" t="s">
        <v>27</v>
      </c>
      <c r="CA1285" s="2"/>
      <c r="CB1285" s="2"/>
      <c r="CC1285" s="2" t="s">
        <v>132</v>
      </c>
      <c r="CD1285" s="2">
        <v>8000</v>
      </c>
      <c r="CE1285" s="2" t="s">
        <v>135</v>
      </c>
      <c r="CF1285" s="5">
        <v>42830</v>
      </c>
      <c r="CG1285" s="2"/>
      <c r="CH1285" s="2"/>
      <c r="CI1285" s="2">
        <v>1</v>
      </c>
      <c r="CJ1285" s="2">
        <v>1</v>
      </c>
      <c r="CK1285" s="2">
        <v>21</v>
      </c>
      <c r="CL1285" s="2" t="s">
        <v>86</v>
      </c>
      <c r="CM1285" s="2"/>
    </row>
    <row r="1286" spans="1:91">
      <c r="A1286" s="2" t="s">
        <v>71</v>
      </c>
      <c r="B1286" s="2" t="s">
        <v>72</v>
      </c>
      <c r="C1286" s="2" t="s">
        <v>73</v>
      </c>
      <c r="D1286" s="2"/>
      <c r="E1286" s="2" t="str">
        <f>"FES1162542221"</f>
        <v>FES1162542221</v>
      </c>
      <c r="F1286" s="3">
        <v>42832</v>
      </c>
      <c r="G1286" s="2">
        <v>201710</v>
      </c>
      <c r="H1286" s="2" t="s">
        <v>74</v>
      </c>
      <c r="I1286" s="2" t="s">
        <v>75</v>
      </c>
      <c r="J1286" s="2" t="s">
        <v>76</v>
      </c>
      <c r="K1286" s="2" t="s">
        <v>77</v>
      </c>
      <c r="L1286" s="2" t="s">
        <v>74</v>
      </c>
      <c r="M1286" s="2" t="s">
        <v>75</v>
      </c>
      <c r="N1286" s="2" t="s">
        <v>1855</v>
      </c>
      <c r="O1286" s="2" t="s">
        <v>115</v>
      </c>
      <c r="P1286" s="2" t="str">
        <f>"2170561119                    "</f>
        <v xml:space="preserve">2170561119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3.35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2.8</v>
      </c>
      <c r="BJ1286" s="2">
        <v>1</v>
      </c>
      <c r="BK1286" s="2">
        <v>3</v>
      </c>
      <c r="BL1286" s="2">
        <v>32.6</v>
      </c>
      <c r="BM1286" s="2">
        <v>4.5599999999999996</v>
      </c>
      <c r="BN1286" s="2">
        <v>37.159999999999997</v>
      </c>
      <c r="BO1286" s="2">
        <v>37.159999999999997</v>
      </c>
      <c r="BP1286" s="2"/>
      <c r="BQ1286" s="2" t="s">
        <v>1856</v>
      </c>
      <c r="BR1286" s="2" t="s">
        <v>123</v>
      </c>
      <c r="BS1286" s="3">
        <v>42835</v>
      </c>
      <c r="BT1286" s="4">
        <v>0.41666666666666669</v>
      </c>
      <c r="BU1286" s="2" t="s">
        <v>1857</v>
      </c>
      <c r="BV1286" s="2" t="s">
        <v>111</v>
      </c>
      <c r="BW1286" s="2"/>
      <c r="BX1286" s="2"/>
      <c r="BY1286" s="2">
        <v>4952.7700000000004</v>
      </c>
      <c r="BZ1286" s="2" t="s">
        <v>27</v>
      </c>
      <c r="CA1286" s="2"/>
      <c r="CB1286" s="2"/>
      <c r="CC1286" s="2" t="s">
        <v>75</v>
      </c>
      <c r="CD1286" s="2">
        <v>1601</v>
      </c>
      <c r="CE1286" s="2" t="s">
        <v>89</v>
      </c>
      <c r="CF1286" s="5">
        <v>42836</v>
      </c>
      <c r="CG1286" s="2"/>
      <c r="CH1286" s="2"/>
      <c r="CI1286" s="2">
        <v>1</v>
      </c>
      <c r="CJ1286" s="2">
        <v>1</v>
      </c>
      <c r="CK1286" s="2">
        <v>22</v>
      </c>
      <c r="CL1286" s="2" t="s">
        <v>86</v>
      </c>
      <c r="CM1286" s="2"/>
    </row>
    <row r="1287" spans="1:91">
      <c r="A1287" s="2" t="s">
        <v>71</v>
      </c>
      <c r="B1287" s="2" t="s">
        <v>72</v>
      </c>
      <c r="C1287" s="2" t="s">
        <v>73</v>
      </c>
      <c r="D1287" s="2"/>
      <c r="E1287" s="2" t="str">
        <f>"FES1162540960"</f>
        <v>FES1162540960</v>
      </c>
      <c r="F1287" s="3">
        <v>42828</v>
      </c>
      <c r="G1287" s="2">
        <v>201710</v>
      </c>
      <c r="H1287" s="2" t="s">
        <v>74</v>
      </c>
      <c r="I1287" s="2" t="s">
        <v>75</v>
      </c>
      <c r="J1287" s="2" t="s">
        <v>76</v>
      </c>
      <c r="K1287" s="2" t="s">
        <v>77</v>
      </c>
      <c r="L1287" s="2" t="s">
        <v>180</v>
      </c>
      <c r="M1287" s="2" t="s">
        <v>181</v>
      </c>
      <c r="N1287" s="2" t="s">
        <v>1858</v>
      </c>
      <c r="O1287" s="2" t="s">
        <v>115</v>
      </c>
      <c r="P1287" s="2" t="str">
        <f>"2170557554                    "</f>
        <v xml:space="preserve">2170557554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8.84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1</v>
      </c>
      <c r="BI1287" s="2">
        <v>4</v>
      </c>
      <c r="BJ1287" s="2">
        <v>1.4</v>
      </c>
      <c r="BK1287" s="2">
        <v>4</v>
      </c>
      <c r="BL1287" s="2">
        <v>83.72</v>
      </c>
      <c r="BM1287" s="2">
        <v>11.72</v>
      </c>
      <c r="BN1287" s="2">
        <v>95.44</v>
      </c>
      <c r="BO1287" s="2">
        <v>95.44</v>
      </c>
      <c r="BP1287" s="2"/>
      <c r="BQ1287" s="2" t="s">
        <v>129</v>
      </c>
      <c r="BR1287" s="2" t="s">
        <v>123</v>
      </c>
      <c r="BS1287" s="3">
        <v>42829</v>
      </c>
      <c r="BT1287" s="4">
        <v>0.4375</v>
      </c>
      <c r="BU1287" s="2" t="s">
        <v>97</v>
      </c>
      <c r="BV1287" s="2" t="s">
        <v>111</v>
      </c>
      <c r="BW1287" s="2"/>
      <c r="BX1287" s="2"/>
      <c r="BY1287" s="2">
        <v>6891.3</v>
      </c>
      <c r="BZ1287" s="2" t="s">
        <v>27</v>
      </c>
      <c r="CA1287" s="2"/>
      <c r="CB1287" s="2"/>
      <c r="CC1287" s="2" t="s">
        <v>181</v>
      </c>
      <c r="CD1287" s="2">
        <v>4052</v>
      </c>
      <c r="CE1287" s="2" t="s">
        <v>135</v>
      </c>
      <c r="CF1287" s="5">
        <v>42831</v>
      </c>
      <c r="CG1287" s="2"/>
      <c r="CH1287" s="2"/>
      <c r="CI1287" s="2">
        <v>1</v>
      </c>
      <c r="CJ1287" s="2">
        <v>1</v>
      </c>
      <c r="CK1287" s="2">
        <v>21</v>
      </c>
      <c r="CL1287" s="2" t="s">
        <v>86</v>
      </c>
      <c r="CM1287" s="2"/>
    </row>
    <row r="1288" spans="1:91">
      <c r="A1288" s="2" t="s">
        <v>71</v>
      </c>
      <c r="B1288" s="2" t="s">
        <v>72</v>
      </c>
      <c r="C1288" s="2" t="s">
        <v>73</v>
      </c>
      <c r="D1288" s="2"/>
      <c r="E1288" s="2" t="str">
        <f>"FES1162542662"</f>
        <v>FES1162542662</v>
      </c>
      <c r="F1288" s="3">
        <v>42835</v>
      </c>
      <c r="G1288" s="2">
        <v>201710</v>
      </c>
      <c r="H1288" s="2" t="s">
        <v>74</v>
      </c>
      <c r="I1288" s="2" t="s">
        <v>75</v>
      </c>
      <c r="J1288" s="2" t="s">
        <v>76</v>
      </c>
      <c r="K1288" s="2" t="s">
        <v>77</v>
      </c>
      <c r="L1288" s="2" t="s">
        <v>641</v>
      </c>
      <c r="M1288" s="2" t="s">
        <v>642</v>
      </c>
      <c r="N1288" s="2" t="s">
        <v>643</v>
      </c>
      <c r="O1288" s="2" t="s">
        <v>115</v>
      </c>
      <c r="P1288" s="2" t="str">
        <f>"2170561433                    "</f>
        <v xml:space="preserve">2170561433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8.31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1</v>
      </c>
      <c r="BJ1288" s="2">
        <v>0.2</v>
      </c>
      <c r="BK1288" s="2">
        <v>1</v>
      </c>
      <c r="BL1288" s="2">
        <v>80.849999999999994</v>
      </c>
      <c r="BM1288" s="2">
        <v>11.32</v>
      </c>
      <c r="BN1288" s="2">
        <v>92.17</v>
      </c>
      <c r="BO1288" s="2">
        <v>92.17</v>
      </c>
      <c r="BP1288" s="2"/>
      <c r="BQ1288" s="2" t="s">
        <v>83</v>
      </c>
      <c r="BR1288" s="2" t="s">
        <v>123</v>
      </c>
      <c r="BS1288" s="3">
        <v>42836</v>
      </c>
      <c r="BT1288" s="4">
        <v>0.60902777777777783</v>
      </c>
      <c r="BU1288" s="2" t="s">
        <v>1859</v>
      </c>
      <c r="BV1288" s="2" t="s">
        <v>111</v>
      </c>
      <c r="BW1288" s="2"/>
      <c r="BX1288" s="2"/>
      <c r="BY1288" s="2">
        <v>1200</v>
      </c>
      <c r="BZ1288" s="2" t="s">
        <v>27</v>
      </c>
      <c r="CA1288" s="2" t="s">
        <v>159</v>
      </c>
      <c r="CB1288" s="2"/>
      <c r="CC1288" s="2" t="s">
        <v>642</v>
      </c>
      <c r="CD1288" s="2">
        <v>6300</v>
      </c>
      <c r="CE1288" s="2" t="s">
        <v>144</v>
      </c>
      <c r="CF1288" s="5">
        <v>42837</v>
      </c>
      <c r="CG1288" s="2"/>
      <c r="CH1288" s="2"/>
      <c r="CI1288" s="2">
        <v>3</v>
      </c>
      <c r="CJ1288" s="2">
        <v>1</v>
      </c>
      <c r="CK1288" s="2">
        <v>23</v>
      </c>
      <c r="CL1288" s="2" t="s">
        <v>86</v>
      </c>
      <c r="CM1288" s="2"/>
    </row>
    <row r="1289" spans="1:91">
      <c r="A1289" s="2" t="s">
        <v>71</v>
      </c>
      <c r="B1289" s="2" t="s">
        <v>72</v>
      </c>
      <c r="C1289" s="2" t="s">
        <v>73</v>
      </c>
      <c r="D1289" s="2"/>
      <c r="E1289" s="2" t="str">
        <f>"FES1162540947"</f>
        <v>FES1162540947</v>
      </c>
      <c r="F1289" s="3">
        <v>42828</v>
      </c>
      <c r="G1289" s="2">
        <v>201710</v>
      </c>
      <c r="H1289" s="2" t="s">
        <v>74</v>
      </c>
      <c r="I1289" s="2" t="s">
        <v>75</v>
      </c>
      <c r="J1289" s="2" t="s">
        <v>76</v>
      </c>
      <c r="K1289" s="2" t="s">
        <v>77</v>
      </c>
      <c r="L1289" s="2" t="s">
        <v>1032</v>
      </c>
      <c r="M1289" s="2" t="s">
        <v>1033</v>
      </c>
      <c r="N1289" s="2" t="s">
        <v>1409</v>
      </c>
      <c r="O1289" s="2" t="s">
        <v>115</v>
      </c>
      <c r="P1289" s="2" t="str">
        <f>"2170560033                    "</f>
        <v xml:space="preserve">2170560033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8.57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</v>
      </c>
      <c r="BJ1289" s="2">
        <v>0.2</v>
      </c>
      <c r="BK1289" s="2">
        <v>1</v>
      </c>
      <c r="BL1289" s="2">
        <v>81.11</v>
      </c>
      <c r="BM1289" s="2">
        <v>11.36</v>
      </c>
      <c r="BN1289" s="2">
        <v>92.47</v>
      </c>
      <c r="BO1289" s="2">
        <v>92.47</v>
      </c>
      <c r="BP1289" s="2"/>
      <c r="BQ1289" s="2" t="s">
        <v>13</v>
      </c>
      <c r="BR1289" s="2" t="s">
        <v>123</v>
      </c>
      <c r="BS1289" s="3">
        <v>42829</v>
      </c>
      <c r="BT1289" s="4">
        <v>0.49652777777777773</v>
      </c>
      <c r="BU1289" s="2" t="s">
        <v>1860</v>
      </c>
      <c r="BV1289" s="2" t="s">
        <v>111</v>
      </c>
      <c r="BW1289" s="2"/>
      <c r="BX1289" s="2"/>
      <c r="BY1289" s="2">
        <v>1200</v>
      </c>
      <c r="BZ1289" s="2" t="s">
        <v>27</v>
      </c>
      <c r="CA1289" s="2"/>
      <c r="CB1289" s="2"/>
      <c r="CC1289" s="2" t="s">
        <v>1033</v>
      </c>
      <c r="CD1289" s="2">
        <v>5660</v>
      </c>
      <c r="CE1289" s="2" t="s">
        <v>118</v>
      </c>
      <c r="CF1289" s="5">
        <v>42832</v>
      </c>
      <c r="CG1289" s="2"/>
      <c r="CH1289" s="2"/>
      <c r="CI1289" s="2">
        <v>3</v>
      </c>
      <c r="CJ1289" s="2">
        <v>1</v>
      </c>
      <c r="CK1289" s="2">
        <v>23</v>
      </c>
      <c r="CL1289" s="2" t="s">
        <v>86</v>
      </c>
      <c r="CM1289" s="2"/>
    </row>
    <row r="1290" spans="1:91">
      <c r="A1290" s="2" t="s">
        <v>71</v>
      </c>
      <c r="B1290" s="2" t="s">
        <v>72</v>
      </c>
      <c r="C1290" s="2" t="s">
        <v>73</v>
      </c>
      <c r="D1290" s="2"/>
      <c r="E1290" s="2" t="str">
        <f>"FES1162542260"</f>
        <v>FES1162542260</v>
      </c>
      <c r="F1290" s="3">
        <v>42832</v>
      </c>
      <c r="G1290" s="2">
        <v>201710</v>
      </c>
      <c r="H1290" s="2" t="s">
        <v>74</v>
      </c>
      <c r="I1290" s="2" t="s">
        <v>75</v>
      </c>
      <c r="J1290" s="2" t="s">
        <v>76</v>
      </c>
      <c r="K1290" s="2" t="s">
        <v>77</v>
      </c>
      <c r="L1290" s="2" t="s">
        <v>166</v>
      </c>
      <c r="M1290" s="2" t="s">
        <v>167</v>
      </c>
      <c r="N1290" s="2" t="s">
        <v>168</v>
      </c>
      <c r="O1290" s="2" t="s">
        <v>115</v>
      </c>
      <c r="P1290" s="2" t="str">
        <f>"2170561166                    "</f>
        <v xml:space="preserve">2170561166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3.35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1</v>
      </c>
      <c r="BI1290" s="2">
        <v>2</v>
      </c>
      <c r="BJ1290" s="2">
        <v>0.2</v>
      </c>
      <c r="BK1290" s="2">
        <v>2</v>
      </c>
      <c r="BL1290" s="2">
        <v>32.6</v>
      </c>
      <c r="BM1290" s="2">
        <v>4.5599999999999996</v>
      </c>
      <c r="BN1290" s="2">
        <v>37.159999999999997</v>
      </c>
      <c r="BO1290" s="2">
        <v>37.159999999999997</v>
      </c>
      <c r="BP1290" s="2"/>
      <c r="BQ1290" s="2" t="s">
        <v>169</v>
      </c>
      <c r="BR1290" s="2" t="s">
        <v>123</v>
      </c>
      <c r="BS1290" s="3">
        <v>42835</v>
      </c>
      <c r="BT1290" s="4">
        <v>0.33333333333333331</v>
      </c>
      <c r="BU1290" s="2" t="s">
        <v>170</v>
      </c>
      <c r="BV1290" s="2" t="s">
        <v>111</v>
      </c>
      <c r="BW1290" s="2"/>
      <c r="BX1290" s="2"/>
      <c r="BY1290" s="2">
        <v>1200</v>
      </c>
      <c r="BZ1290" s="2" t="s">
        <v>27</v>
      </c>
      <c r="CA1290" s="2"/>
      <c r="CB1290" s="2"/>
      <c r="CC1290" s="2" t="s">
        <v>167</v>
      </c>
      <c r="CD1290" s="2">
        <v>2094</v>
      </c>
      <c r="CE1290" s="2" t="s">
        <v>118</v>
      </c>
      <c r="CF1290" s="5">
        <v>42836</v>
      </c>
      <c r="CG1290" s="2"/>
      <c r="CH1290" s="2"/>
      <c r="CI1290" s="2">
        <v>1</v>
      </c>
      <c r="CJ1290" s="2">
        <v>1</v>
      </c>
      <c r="CK1290" s="2">
        <v>22</v>
      </c>
      <c r="CL1290" s="2" t="s">
        <v>86</v>
      </c>
      <c r="CM1290" s="2"/>
    </row>
    <row r="1291" spans="1:91">
      <c r="A1291" s="2" t="s">
        <v>71</v>
      </c>
      <c r="B1291" s="2" t="s">
        <v>72</v>
      </c>
      <c r="C1291" s="2" t="s">
        <v>73</v>
      </c>
      <c r="D1291" s="2"/>
      <c r="E1291" s="2" t="str">
        <f>"FES1162540963"</f>
        <v>FES1162540963</v>
      </c>
      <c r="F1291" s="3">
        <v>42828</v>
      </c>
      <c r="G1291" s="2">
        <v>201710</v>
      </c>
      <c r="H1291" s="2" t="s">
        <v>74</v>
      </c>
      <c r="I1291" s="2" t="s">
        <v>75</v>
      </c>
      <c r="J1291" s="2" t="s">
        <v>76</v>
      </c>
      <c r="K1291" s="2" t="s">
        <v>77</v>
      </c>
      <c r="L1291" s="2" t="s">
        <v>358</v>
      </c>
      <c r="M1291" s="2" t="s">
        <v>359</v>
      </c>
      <c r="N1291" s="2" t="s">
        <v>360</v>
      </c>
      <c r="O1291" s="2" t="s">
        <v>115</v>
      </c>
      <c r="P1291" s="2" t="str">
        <f>"2170557881                    "</f>
        <v xml:space="preserve">2170557881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4.42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1.4</v>
      </c>
      <c r="BJ1291" s="2">
        <v>0.2</v>
      </c>
      <c r="BK1291" s="2">
        <v>1.5</v>
      </c>
      <c r="BL1291" s="2">
        <v>41.86</v>
      </c>
      <c r="BM1291" s="2">
        <v>5.86</v>
      </c>
      <c r="BN1291" s="2">
        <v>47.72</v>
      </c>
      <c r="BO1291" s="2">
        <v>47.72</v>
      </c>
      <c r="BP1291" s="2"/>
      <c r="BQ1291" s="2" t="s">
        <v>361</v>
      </c>
      <c r="BR1291" s="2" t="s">
        <v>123</v>
      </c>
      <c r="BS1291" s="3">
        <v>42829</v>
      </c>
      <c r="BT1291" s="4">
        <v>0.32291666666666669</v>
      </c>
      <c r="BU1291" s="2" t="s">
        <v>1861</v>
      </c>
      <c r="BV1291" s="2" t="s">
        <v>111</v>
      </c>
      <c r="BW1291" s="2"/>
      <c r="BX1291" s="2"/>
      <c r="BY1291" s="2">
        <v>1200</v>
      </c>
      <c r="BZ1291" s="2" t="s">
        <v>27</v>
      </c>
      <c r="CA1291" s="2" t="s">
        <v>1754</v>
      </c>
      <c r="CB1291" s="2"/>
      <c r="CC1291" s="2" t="s">
        <v>359</v>
      </c>
      <c r="CD1291" s="2">
        <v>6229</v>
      </c>
      <c r="CE1291" s="2" t="s">
        <v>144</v>
      </c>
      <c r="CF1291" s="5">
        <v>42831</v>
      </c>
      <c r="CG1291" s="2"/>
      <c r="CH1291" s="2"/>
      <c r="CI1291" s="2">
        <v>1</v>
      </c>
      <c r="CJ1291" s="2">
        <v>1</v>
      </c>
      <c r="CK1291" s="2">
        <v>21</v>
      </c>
      <c r="CL1291" s="2" t="s">
        <v>86</v>
      </c>
      <c r="CM1291" s="2"/>
    </row>
    <row r="1292" spans="1:91">
      <c r="A1292" s="2" t="s">
        <v>71</v>
      </c>
      <c r="B1292" s="2" t="s">
        <v>72</v>
      </c>
      <c r="C1292" s="2" t="s">
        <v>73</v>
      </c>
      <c r="D1292" s="2"/>
      <c r="E1292" s="2" t="str">
        <f>"FES1162542621"</f>
        <v>FES1162542621</v>
      </c>
      <c r="F1292" s="3">
        <v>42835</v>
      </c>
      <c r="G1292" s="2">
        <v>201710</v>
      </c>
      <c r="H1292" s="2" t="s">
        <v>74</v>
      </c>
      <c r="I1292" s="2" t="s">
        <v>75</v>
      </c>
      <c r="J1292" s="2" t="s">
        <v>76</v>
      </c>
      <c r="K1292" s="2" t="s">
        <v>77</v>
      </c>
      <c r="L1292" s="2" t="s">
        <v>166</v>
      </c>
      <c r="M1292" s="2" t="s">
        <v>167</v>
      </c>
      <c r="N1292" s="2" t="s">
        <v>168</v>
      </c>
      <c r="O1292" s="2" t="s">
        <v>115</v>
      </c>
      <c r="P1292" s="2" t="str">
        <f>"2170561480                    "</f>
        <v xml:space="preserve">2170561480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3.35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2.6</v>
      </c>
      <c r="BJ1292" s="2">
        <v>0.2</v>
      </c>
      <c r="BK1292" s="2">
        <v>3</v>
      </c>
      <c r="BL1292" s="2">
        <v>32.6</v>
      </c>
      <c r="BM1292" s="2">
        <v>4.5599999999999996</v>
      </c>
      <c r="BN1292" s="2">
        <v>37.159999999999997</v>
      </c>
      <c r="BO1292" s="2">
        <v>37.159999999999997</v>
      </c>
      <c r="BP1292" s="2"/>
      <c r="BQ1292" s="2" t="s">
        <v>169</v>
      </c>
      <c r="BR1292" s="2" t="s">
        <v>123</v>
      </c>
      <c r="BS1292" s="3">
        <v>42836</v>
      </c>
      <c r="BT1292" s="4">
        <v>0.40763888888888888</v>
      </c>
      <c r="BU1292" s="2" t="s">
        <v>170</v>
      </c>
      <c r="BV1292" s="2" t="s">
        <v>111</v>
      </c>
      <c r="BW1292" s="2"/>
      <c r="BX1292" s="2"/>
      <c r="BY1292" s="2">
        <v>1200</v>
      </c>
      <c r="BZ1292" s="2" t="s">
        <v>27</v>
      </c>
      <c r="CA1292" s="2" t="s">
        <v>171</v>
      </c>
      <c r="CB1292" s="2"/>
      <c r="CC1292" s="2" t="s">
        <v>167</v>
      </c>
      <c r="CD1292" s="2">
        <v>2094</v>
      </c>
      <c r="CE1292" s="2" t="s">
        <v>118</v>
      </c>
      <c r="CF1292" s="5">
        <v>42836</v>
      </c>
      <c r="CG1292" s="2"/>
      <c r="CH1292" s="2"/>
      <c r="CI1292" s="2">
        <v>1</v>
      </c>
      <c r="CJ1292" s="2">
        <v>1</v>
      </c>
      <c r="CK1292" s="2">
        <v>22</v>
      </c>
      <c r="CL1292" s="2" t="s">
        <v>86</v>
      </c>
      <c r="CM1292" s="2"/>
    </row>
    <row r="1293" spans="1:91">
      <c r="A1293" s="2" t="s">
        <v>71</v>
      </c>
      <c r="B1293" s="2" t="s">
        <v>72</v>
      </c>
      <c r="C1293" s="2" t="s">
        <v>73</v>
      </c>
      <c r="D1293" s="2"/>
      <c r="E1293" s="2" t="str">
        <f>"FES1162542284"</f>
        <v>FES1162542284</v>
      </c>
      <c r="F1293" s="3">
        <v>42832</v>
      </c>
      <c r="G1293" s="2">
        <v>201710</v>
      </c>
      <c r="H1293" s="2" t="s">
        <v>74</v>
      </c>
      <c r="I1293" s="2" t="s">
        <v>75</v>
      </c>
      <c r="J1293" s="2" t="s">
        <v>76</v>
      </c>
      <c r="K1293" s="2" t="s">
        <v>77</v>
      </c>
      <c r="L1293" s="2" t="s">
        <v>99</v>
      </c>
      <c r="M1293" s="2" t="s">
        <v>100</v>
      </c>
      <c r="N1293" s="2" t="s">
        <v>593</v>
      </c>
      <c r="O1293" s="2" t="s">
        <v>115</v>
      </c>
      <c r="P1293" s="2" t="str">
        <f>"2170559081                    "</f>
        <v xml:space="preserve">2170559081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7.5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3.1</v>
      </c>
      <c r="BJ1293" s="2">
        <v>3.2</v>
      </c>
      <c r="BK1293" s="2">
        <v>3.5</v>
      </c>
      <c r="BL1293" s="2">
        <v>73.02</v>
      </c>
      <c r="BM1293" s="2">
        <v>10.220000000000001</v>
      </c>
      <c r="BN1293" s="2">
        <v>83.24</v>
      </c>
      <c r="BO1293" s="2">
        <v>83.24</v>
      </c>
      <c r="BP1293" s="2"/>
      <c r="BQ1293" s="2" t="s">
        <v>1862</v>
      </c>
      <c r="BR1293" s="2" t="s">
        <v>123</v>
      </c>
      <c r="BS1293" s="3">
        <v>42835</v>
      </c>
      <c r="BT1293" s="4">
        <v>0.38541666666666669</v>
      </c>
      <c r="BU1293" s="2" t="s">
        <v>544</v>
      </c>
      <c r="BV1293" s="2" t="s">
        <v>111</v>
      </c>
      <c r="BW1293" s="2"/>
      <c r="BX1293" s="2"/>
      <c r="BY1293" s="2">
        <v>16130.02</v>
      </c>
      <c r="BZ1293" s="2" t="s">
        <v>27</v>
      </c>
      <c r="CA1293" s="2"/>
      <c r="CB1293" s="2"/>
      <c r="CC1293" s="2" t="s">
        <v>100</v>
      </c>
      <c r="CD1293" s="2">
        <v>6001</v>
      </c>
      <c r="CE1293" s="2" t="s">
        <v>135</v>
      </c>
      <c r="CF1293" s="5">
        <v>42836</v>
      </c>
      <c r="CG1293" s="2"/>
      <c r="CH1293" s="2"/>
      <c r="CI1293" s="2">
        <v>1</v>
      </c>
      <c r="CJ1293" s="2">
        <v>1</v>
      </c>
      <c r="CK1293" s="2">
        <v>21</v>
      </c>
      <c r="CL1293" s="2" t="s">
        <v>86</v>
      </c>
      <c r="CM1293" s="2"/>
    </row>
    <row r="1294" spans="1:91">
      <c r="A1294" s="2" t="s">
        <v>71</v>
      </c>
      <c r="B1294" s="2" t="s">
        <v>72</v>
      </c>
      <c r="C1294" s="2" t="s">
        <v>73</v>
      </c>
      <c r="D1294" s="2"/>
      <c r="E1294" s="2" t="str">
        <f>"FES1162542491"</f>
        <v>FES1162542491</v>
      </c>
      <c r="F1294" s="3">
        <v>42835</v>
      </c>
      <c r="G1294" s="2">
        <v>201710</v>
      </c>
      <c r="H1294" s="2" t="s">
        <v>74</v>
      </c>
      <c r="I1294" s="2" t="s">
        <v>75</v>
      </c>
      <c r="J1294" s="2" t="s">
        <v>76</v>
      </c>
      <c r="K1294" s="2" t="s">
        <v>77</v>
      </c>
      <c r="L1294" s="2" t="s">
        <v>126</v>
      </c>
      <c r="M1294" s="2" t="s">
        <v>127</v>
      </c>
      <c r="N1294" s="2" t="s">
        <v>718</v>
      </c>
      <c r="O1294" s="2" t="s">
        <v>115</v>
      </c>
      <c r="P1294" s="2" t="str">
        <f>"2170559522                    "</f>
        <v xml:space="preserve">2170559522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4.29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1</v>
      </c>
      <c r="BJ1294" s="2">
        <v>0.2</v>
      </c>
      <c r="BK1294" s="2">
        <v>1</v>
      </c>
      <c r="BL1294" s="2">
        <v>41.73</v>
      </c>
      <c r="BM1294" s="2">
        <v>5.84</v>
      </c>
      <c r="BN1294" s="2">
        <v>47.57</v>
      </c>
      <c r="BO1294" s="2">
        <v>47.57</v>
      </c>
      <c r="BP1294" s="2"/>
      <c r="BQ1294" s="2" t="s">
        <v>719</v>
      </c>
      <c r="BR1294" s="2" t="s">
        <v>123</v>
      </c>
      <c r="BS1294" s="3">
        <v>42836</v>
      </c>
      <c r="BT1294" s="4">
        <v>0.3979166666666667</v>
      </c>
      <c r="BU1294" s="2" t="s">
        <v>1863</v>
      </c>
      <c r="BV1294" s="2" t="s">
        <v>111</v>
      </c>
      <c r="BW1294" s="2"/>
      <c r="BX1294" s="2"/>
      <c r="BY1294" s="2">
        <v>1200</v>
      </c>
      <c r="BZ1294" s="2" t="s">
        <v>27</v>
      </c>
      <c r="CA1294" s="2"/>
      <c r="CB1294" s="2"/>
      <c r="CC1294" s="2" t="s">
        <v>127</v>
      </c>
      <c r="CD1294" s="2">
        <v>6850</v>
      </c>
      <c r="CE1294" s="2" t="s">
        <v>144</v>
      </c>
      <c r="CF1294" s="5">
        <v>42837</v>
      </c>
      <c r="CG1294" s="2"/>
      <c r="CH1294" s="2"/>
      <c r="CI1294" s="2">
        <v>3</v>
      </c>
      <c r="CJ1294" s="2">
        <v>1</v>
      </c>
      <c r="CK1294" s="2">
        <v>21</v>
      </c>
      <c r="CL1294" s="2" t="s">
        <v>86</v>
      </c>
      <c r="CM1294" s="2"/>
    </row>
    <row r="1295" spans="1:91">
      <c r="A1295" s="2" t="s">
        <v>71</v>
      </c>
      <c r="B1295" s="2" t="s">
        <v>72</v>
      </c>
      <c r="C1295" s="2" t="s">
        <v>73</v>
      </c>
      <c r="D1295" s="2"/>
      <c r="E1295" s="2" t="str">
        <f>"FES1162541031"</f>
        <v>FES1162541031</v>
      </c>
      <c r="F1295" s="3">
        <v>42828</v>
      </c>
      <c r="G1295" s="2">
        <v>201710</v>
      </c>
      <c r="H1295" s="2" t="s">
        <v>74</v>
      </c>
      <c r="I1295" s="2" t="s">
        <v>75</v>
      </c>
      <c r="J1295" s="2" t="s">
        <v>76</v>
      </c>
      <c r="K1295" s="2" t="s">
        <v>77</v>
      </c>
      <c r="L1295" s="2" t="s">
        <v>180</v>
      </c>
      <c r="M1295" s="2" t="s">
        <v>181</v>
      </c>
      <c r="N1295" s="2" t="s">
        <v>931</v>
      </c>
      <c r="O1295" s="2" t="s">
        <v>115</v>
      </c>
      <c r="P1295" s="2" t="str">
        <f>"2170560101                    "</f>
        <v xml:space="preserve">2170560101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24.32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2</v>
      </c>
      <c r="BI1295" s="2">
        <v>11</v>
      </c>
      <c r="BJ1295" s="2">
        <v>7.8</v>
      </c>
      <c r="BK1295" s="2">
        <v>11</v>
      </c>
      <c r="BL1295" s="2">
        <v>230.24</v>
      </c>
      <c r="BM1295" s="2">
        <v>32.229999999999997</v>
      </c>
      <c r="BN1295" s="2">
        <v>262.47000000000003</v>
      </c>
      <c r="BO1295" s="2">
        <v>262.47000000000003</v>
      </c>
      <c r="BP1295" s="2"/>
      <c r="BQ1295" s="2" t="s">
        <v>932</v>
      </c>
      <c r="BR1295" s="2" t="s">
        <v>123</v>
      </c>
      <c r="BS1295" s="3">
        <v>42829</v>
      </c>
      <c r="BT1295" s="4">
        <v>0.40625</v>
      </c>
      <c r="BU1295" s="2" t="s">
        <v>1864</v>
      </c>
      <c r="BV1295" s="2" t="s">
        <v>111</v>
      </c>
      <c r="BW1295" s="2"/>
      <c r="BX1295" s="2"/>
      <c r="BY1295" s="2">
        <v>38888.49</v>
      </c>
      <c r="BZ1295" s="2" t="s">
        <v>27</v>
      </c>
      <c r="CA1295" s="2" t="s">
        <v>159</v>
      </c>
      <c r="CB1295" s="2"/>
      <c r="CC1295" s="2" t="s">
        <v>181</v>
      </c>
      <c r="CD1295" s="2">
        <v>4072</v>
      </c>
      <c r="CE1295" s="2" t="s">
        <v>1865</v>
      </c>
      <c r="CF1295" s="5">
        <v>42831</v>
      </c>
      <c r="CG1295" s="2"/>
      <c r="CH1295" s="2"/>
      <c r="CI1295" s="2">
        <v>1</v>
      </c>
      <c r="CJ1295" s="2">
        <v>1</v>
      </c>
      <c r="CK1295" s="2">
        <v>21</v>
      </c>
      <c r="CL1295" s="2" t="s">
        <v>86</v>
      </c>
      <c r="CM1295" s="2"/>
    </row>
    <row r="1296" spans="1:91">
      <c r="A1296" s="2" t="s">
        <v>71</v>
      </c>
      <c r="B1296" s="2" t="s">
        <v>72</v>
      </c>
      <c r="C1296" s="2" t="s">
        <v>73</v>
      </c>
      <c r="D1296" s="2"/>
      <c r="E1296" s="2" t="str">
        <f>"FES1162542062"</f>
        <v>FES1162542062</v>
      </c>
      <c r="F1296" s="3">
        <v>42832</v>
      </c>
      <c r="G1296" s="2">
        <v>201710</v>
      </c>
      <c r="H1296" s="2" t="s">
        <v>74</v>
      </c>
      <c r="I1296" s="2" t="s">
        <v>75</v>
      </c>
      <c r="J1296" s="2" t="s">
        <v>76</v>
      </c>
      <c r="K1296" s="2" t="s">
        <v>77</v>
      </c>
      <c r="L1296" s="2" t="s">
        <v>119</v>
      </c>
      <c r="M1296" s="2" t="s">
        <v>120</v>
      </c>
      <c r="N1296" s="2" t="s">
        <v>725</v>
      </c>
      <c r="O1296" s="2" t="s">
        <v>115</v>
      </c>
      <c r="P1296" s="2" t="str">
        <f>"2170557325                    "</f>
        <v xml:space="preserve">2170557325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3.35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4.8</v>
      </c>
      <c r="BJ1296" s="2">
        <v>1.1000000000000001</v>
      </c>
      <c r="BK1296" s="2">
        <v>5</v>
      </c>
      <c r="BL1296" s="2">
        <v>32.6</v>
      </c>
      <c r="BM1296" s="2">
        <v>4.5599999999999996</v>
      </c>
      <c r="BN1296" s="2">
        <v>37.159999999999997</v>
      </c>
      <c r="BO1296" s="2">
        <v>37.159999999999997</v>
      </c>
      <c r="BP1296" s="2"/>
      <c r="BQ1296" s="2" t="s">
        <v>726</v>
      </c>
      <c r="BR1296" s="2" t="s">
        <v>123</v>
      </c>
      <c r="BS1296" s="3">
        <v>42835</v>
      </c>
      <c r="BT1296" s="4">
        <v>0.375</v>
      </c>
      <c r="BU1296" s="2" t="s">
        <v>1866</v>
      </c>
      <c r="BV1296" s="2" t="s">
        <v>111</v>
      </c>
      <c r="BW1296" s="2"/>
      <c r="BX1296" s="2"/>
      <c r="BY1296" s="2">
        <v>5544.4</v>
      </c>
      <c r="BZ1296" s="2" t="s">
        <v>27</v>
      </c>
      <c r="CA1296" s="2" t="s">
        <v>125</v>
      </c>
      <c r="CB1296" s="2"/>
      <c r="CC1296" s="2" t="s">
        <v>120</v>
      </c>
      <c r="CD1296" s="2">
        <v>2162</v>
      </c>
      <c r="CE1296" s="2" t="s">
        <v>775</v>
      </c>
      <c r="CF1296" s="5">
        <v>42835</v>
      </c>
      <c r="CG1296" s="2"/>
      <c r="CH1296" s="2"/>
      <c r="CI1296" s="2">
        <v>1</v>
      </c>
      <c r="CJ1296" s="2">
        <v>1</v>
      </c>
      <c r="CK1296" s="2">
        <v>22</v>
      </c>
      <c r="CL1296" s="2" t="s">
        <v>86</v>
      </c>
      <c r="CM1296" s="2"/>
    </row>
    <row r="1297" spans="1:91">
      <c r="A1297" s="2" t="s">
        <v>71</v>
      </c>
      <c r="B1297" s="2" t="s">
        <v>72</v>
      </c>
      <c r="C1297" s="2" t="s">
        <v>73</v>
      </c>
      <c r="D1297" s="2"/>
      <c r="E1297" s="2" t="str">
        <f>"FES1162541115"</f>
        <v>FES1162541115</v>
      </c>
      <c r="F1297" s="3">
        <v>42828</v>
      </c>
      <c r="G1297" s="2">
        <v>201710</v>
      </c>
      <c r="H1297" s="2" t="s">
        <v>74</v>
      </c>
      <c r="I1297" s="2" t="s">
        <v>75</v>
      </c>
      <c r="J1297" s="2" t="s">
        <v>76</v>
      </c>
      <c r="K1297" s="2" t="s">
        <v>77</v>
      </c>
      <c r="L1297" s="2" t="s">
        <v>180</v>
      </c>
      <c r="M1297" s="2" t="s">
        <v>181</v>
      </c>
      <c r="N1297" s="2" t="s">
        <v>320</v>
      </c>
      <c r="O1297" s="2" t="s">
        <v>115</v>
      </c>
      <c r="P1297" s="2" t="str">
        <f>"2170560196                    "</f>
        <v xml:space="preserve">2170560196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4.42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1</v>
      </c>
      <c r="BJ1297" s="2">
        <v>0.2</v>
      </c>
      <c r="BK1297" s="2">
        <v>1</v>
      </c>
      <c r="BL1297" s="2">
        <v>41.86</v>
      </c>
      <c r="BM1297" s="2">
        <v>5.86</v>
      </c>
      <c r="BN1297" s="2">
        <v>47.72</v>
      </c>
      <c r="BO1297" s="2">
        <v>47.72</v>
      </c>
      <c r="BP1297" s="2"/>
      <c r="BQ1297" s="2" t="s">
        <v>129</v>
      </c>
      <c r="BR1297" s="2" t="s">
        <v>123</v>
      </c>
      <c r="BS1297" s="3">
        <v>42829</v>
      </c>
      <c r="BT1297" s="4">
        <v>0.4375</v>
      </c>
      <c r="BU1297" s="2" t="s">
        <v>1763</v>
      </c>
      <c r="BV1297" s="2" t="s">
        <v>111</v>
      </c>
      <c r="BW1297" s="2"/>
      <c r="BX1297" s="2"/>
      <c r="BY1297" s="2">
        <v>1200</v>
      </c>
      <c r="BZ1297" s="2" t="s">
        <v>27</v>
      </c>
      <c r="CA1297" s="2"/>
      <c r="CB1297" s="2"/>
      <c r="CC1297" s="2" t="s">
        <v>181</v>
      </c>
      <c r="CD1297" s="2">
        <v>4051</v>
      </c>
      <c r="CE1297" s="2" t="s">
        <v>144</v>
      </c>
      <c r="CF1297" s="5">
        <v>42831</v>
      </c>
      <c r="CG1297" s="2"/>
      <c r="CH1297" s="2"/>
      <c r="CI1297" s="2">
        <v>1</v>
      </c>
      <c r="CJ1297" s="2">
        <v>1</v>
      </c>
      <c r="CK1297" s="2">
        <v>21</v>
      </c>
      <c r="CL1297" s="2" t="s">
        <v>86</v>
      </c>
      <c r="CM1297" s="2"/>
    </row>
    <row r="1298" spans="1:91">
      <c r="A1298" s="2" t="s">
        <v>71</v>
      </c>
      <c r="B1298" s="2" t="s">
        <v>72</v>
      </c>
      <c r="C1298" s="2" t="s">
        <v>73</v>
      </c>
      <c r="D1298" s="2"/>
      <c r="E1298" s="2" t="str">
        <f>"FES1162542538"</f>
        <v>FES1162542538</v>
      </c>
      <c r="F1298" s="3">
        <v>42835</v>
      </c>
      <c r="G1298" s="2">
        <v>201710</v>
      </c>
      <c r="H1298" s="2" t="s">
        <v>74</v>
      </c>
      <c r="I1298" s="2" t="s">
        <v>75</v>
      </c>
      <c r="J1298" s="2" t="s">
        <v>76</v>
      </c>
      <c r="K1298" s="2" t="s">
        <v>77</v>
      </c>
      <c r="L1298" s="2" t="s">
        <v>131</v>
      </c>
      <c r="M1298" s="2" t="s">
        <v>132</v>
      </c>
      <c r="N1298" s="2" t="s">
        <v>1867</v>
      </c>
      <c r="O1298" s="2" t="s">
        <v>115</v>
      </c>
      <c r="P1298" s="2" t="str">
        <f>"2170561400                    "</f>
        <v xml:space="preserve">2170561400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4.29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1</v>
      </c>
      <c r="BJ1298" s="2">
        <v>0.2</v>
      </c>
      <c r="BK1298" s="2">
        <v>1</v>
      </c>
      <c r="BL1298" s="2">
        <v>41.73</v>
      </c>
      <c r="BM1298" s="2">
        <v>5.84</v>
      </c>
      <c r="BN1298" s="2">
        <v>47.57</v>
      </c>
      <c r="BO1298" s="2">
        <v>47.57</v>
      </c>
      <c r="BP1298" s="2"/>
      <c r="BQ1298" s="2" t="s">
        <v>1868</v>
      </c>
      <c r="BR1298" s="2" t="s">
        <v>123</v>
      </c>
      <c r="BS1298" s="3">
        <v>42836</v>
      </c>
      <c r="BT1298" s="4">
        <v>0.43402777777777773</v>
      </c>
      <c r="BU1298" s="2" t="s">
        <v>1869</v>
      </c>
      <c r="BV1298" s="2" t="s">
        <v>111</v>
      </c>
      <c r="BW1298" s="2"/>
      <c r="BX1298" s="2"/>
      <c r="BY1298" s="2">
        <v>1200</v>
      </c>
      <c r="BZ1298" s="2" t="s">
        <v>27</v>
      </c>
      <c r="CA1298" s="2"/>
      <c r="CB1298" s="2"/>
      <c r="CC1298" s="2" t="s">
        <v>132</v>
      </c>
      <c r="CD1298" s="2">
        <v>7405</v>
      </c>
      <c r="CE1298" s="2" t="s">
        <v>144</v>
      </c>
      <c r="CF1298" s="5">
        <v>42837</v>
      </c>
      <c r="CG1298" s="2"/>
      <c r="CH1298" s="2"/>
      <c r="CI1298" s="2">
        <v>1</v>
      </c>
      <c r="CJ1298" s="2">
        <v>1</v>
      </c>
      <c r="CK1298" s="2">
        <v>21</v>
      </c>
      <c r="CL1298" s="2" t="s">
        <v>86</v>
      </c>
      <c r="CM1298" s="2"/>
    </row>
    <row r="1299" spans="1:91">
      <c r="A1299" s="2" t="s">
        <v>71</v>
      </c>
      <c r="B1299" s="2" t="s">
        <v>72</v>
      </c>
      <c r="C1299" s="2" t="s">
        <v>73</v>
      </c>
      <c r="D1299" s="2"/>
      <c r="E1299" s="2" t="str">
        <f>"FES1162540985"</f>
        <v>FES1162540985</v>
      </c>
      <c r="F1299" s="3">
        <v>42828</v>
      </c>
      <c r="G1299" s="2">
        <v>201710</v>
      </c>
      <c r="H1299" s="2" t="s">
        <v>74</v>
      </c>
      <c r="I1299" s="2" t="s">
        <v>75</v>
      </c>
      <c r="J1299" s="2" t="s">
        <v>76</v>
      </c>
      <c r="K1299" s="2" t="s">
        <v>77</v>
      </c>
      <c r="L1299" s="2" t="s">
        <v>180</v>
      </c>
      <c r="M1299" s="2" t="s">
        <v>181</v>
      </c>
      <c r="N1299" s="2" t="s">
        <v>855</v>
      </c>
      <c r="O1299" s="2" t="s">
        <v>115</v>
      </c>
      <c r="P1299" s="2" t="str">
        <f>"2170560006                    "</f>
        <v xml:space="preserve">2170560006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4.42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1.6</v>
      </c>
      <c r="BJ1299" s="2">
        <v>2</v>
      </c>
      <c r="BK1299" s="2">
        <v>2</v>
      </c>
      <c r="BL1299" s="2">
        <v>41.86</v>
      </c>
      <c r="BM1299" s="2">
        <v>5.86</v>
      </c>
      <c r="BN1299" s="2">
        <v>47.72</v>
      </c>
      <c r="BO1299" s="2">
        <v>47.72</v>
      </c>
      <c r="BP1299" s="2"/>
      <c r="BQ1299" s="2" t="s">
        <v>122</v>
      </c>
      <c r="BR1299" s="2" t="s">
        <v>123</v>
      </c>
      <c r="BS1299" s="3">
        <v>42829</v>
      </c>
      <c r="BT1299" s="4">
        <v>0.30555555555555552</v>
      </c>
      <c r="BU1299" s="2" t="s">
        <v>1870</v>
      </c>
      <c r="BV1299" s="2" t="s">
        <v>111</v>
      </c>
      <c r="BW1299" s="2"/>
      <c r="BX1299" s="2"/>
      <c r="BY1299" s="2">
        <v>9856.73</v>
      </c>
      <c r="BZ1299" s="2" t="s">
        <v>27</v>
      </c>
      <c r="CA1299" s="2" t="s">
        <v>159</v>
      </c>
      <c r="CB1299" s="2"/>
      <c r="CC1299" s="2" t="s">
        <v>181</v>
      </c>
      <c r="CD1299" s="2">
        <v>4093</v>
      </c>
      <c r="CE1299" s="2" t="s">
        <v>135</v>
      </c>
      <c r="CF1299" s="5">
        <v>42831</v>
      </c>
      <c r="CG1299" s="2"/>
      <c r="CH1299" s="2"/>
      <c r="CI1299" s="2">
        <v>1</v>
      </c>
      <c r="CJ1299" s="2">
        <v>1</v>
      </c>
      <c r="CK1299" s="2">
        <v>21</v>
      </c>
      <c r="CL1299" s="2" t="s">
        <v>86</v>
      </c>
      <c r="CM1299" s="2"/>
    </row>
    <row r="1300" spans="1:91">
      <c r="A1300" s="2" t="s">
        <v>71</v>
      </c>
      <c r="B1300" s="2" t="s">
        <v>72</v>
      </c>
      <c r="C1300" s="2" t="s">
        <v>73</v>
      </c>
      <c r="D1300" s="2"/>
      <c r="E1300" s="2" t="str">
        <f>"FES1162542246"</f>
        <v>FES1162542246</v>
      </c>
      <c r="F1300" s="3">
        <v>42832</v>
      </c>
      <c r="G1300" s="2">
        <v>201710</v>
      </c>
      <c r="H1300" s="2" t="s">
        <v>74</v>
      </c>
      <c r="I1300" s="2" t="s">
        <v>75</v>
      </c>
      <c r="J1300" s="2" t="s">
        <v>76</v>
      </c>
      <c r="K1300" s="2" t="s">
        <v>77</v>
      </c>
      <c r="L1300" s="2" t="s">
        <v>131</v>
      </c>
      <c r="M1300" s="2" t="s">
        <v>132</v>
      </c>
      <c r="N1300" s="2" t="s">
        <v>1084</v>
      </c>
      <c r="O1300" s="2" t="s">
        <v>115</v>
      </c>
      <c r="P1300" s="2" t="str">
        <f>"2170560990                    "</f>
        <v xml:space="preserve">2170560990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7.5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3.2</v>
      </c>
      <c r="BJ1300" s="2">
        <v>1.6</v>
      </c>
      <c r="BK1300" s="2">
        <v>3.5</v>
      </c>
      <c r="BL1300" s="2">
        <v>73.02</v>
      </c>
      <c r="BM1300" s="2">
        <v>10.220000000000001</v>
      </c>
      <c r="BN1300" s="2">
        <v>83.24</v>
      </c>
      <c r="BO1300" s="2">
        <v>83.24</v>
      </c>
      <c r="BP1300" s="2"/>
      <c r="BQ1300" s="2" t="s">
        <v>1085</v>
      </c>
      <c r="BR1300" s="2" t="s">
        <v>123</v>
      </c>
      <c r="BS1300" s="3">
        <v>42835</v>
      </c>
      <c r="BT1300" s="4">
        <v>0.41666666666666669</v>
      </c>
      <c r="BU1300" s="2" t="s">
        <v>1871</v>
      </c>
      <c r="BV1300" s="2" t="s">
        <v>111</v>
      </c>
      <c r="BW1300" s="2"/>
      <c r="BX1300" s="2"/>
      <c r="BY1300" s="2">
        <v>7775.91</v>
      </c>
      <c r="BZ1300" s="2" t="s">
        <v>27</v>
      </c>
      <c r="CA1300" s="2"/>
      <c r="CB1300" s="2"/>
      <c r="CC1300" s="2" t="s">
        <v>132</v>
      </c>
      <c r="CD1300" s="2">
        <v>7441</v>
      </c>
      <c r="CE1300" s="2" t="s">
        <v>1838</v>
      </c>
      <c r="CF1300" s="5">
        <v>42836</v>
      </c>
      <c r="CG1300" s="2"/>
      <c r="CH1300" s="2"/>
      <c r="CI1300" s="2">
        <v>1</v>
      </c>
      <c r="CJ1300" s="2">
        <v>1</v>
      </c>
      <c r="CK1300" s="2">
        <v>21</v>
      </c>
      <c r="CL1300" s="2" t="s">
        <v>86</v>
      </c>
      <c r="CM1300" s="2"/>
    </row>
    <row r="1301" spans="1:91">
      <c r="A1301" s="2" t="s">
        <v>71</v>
      </c>
      <c r="B1301" s="2" t="s">
        <v>72</v>
      </c>
      <c r="C1301" s="2" t="s">
        <v>73</v>
      </c>
      <c r="D1301" s="2"/>
      <c r="E1301" s="2" t="str">
        <f>"FES1162540946"</f>
        <v>FES1162540946</v>
      </c>
      <c r="F1301" s="3">
        <v>42828</v>
      </c>
      <c r="G1301" s="2">
        <v>201710</v>
      </c>
      <c r="H1301" s="2" t="s">
        <v>74</v>
      </c>
      <c r="I1301" s="2" t="s">
        <v>75</v>
      </c>
      <c r="J1301" s="2" t="s">
        <v>76</v>
      </c>
      <c r="K1301" s="2" t="s">
        <v>77</v>
      </c>
      <c r="L1301" s="2" t="s">
        <v>99</v>
      </c>
      <c r="M1301" s="2" t="s">
        <v>100</v>
      </c>
      <c r="N1301" s="2" t="s">
        <v>583</v>
      </c>
      <c r="O1301" s="2" t="s">
        <v>115</v>
      </c>
      <c r="P1301" s="2" t="str">
        <f>"2170560032                    "</f>
        <v xml:space="preserve">2170560032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21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9.3000000000000007</v>
      </c>
      <c r="BJ1301" s="2">
        <v>4</v>
      </c>
      <c r="BK1301" s="2">
        <v>9.5</v>
      </c>
      <c r="BL1301" s="2">
        <v>198.84</v>
      </c>
      <c r="BM1301" s="2">
        <v>27.84</v>
      </c>
      <c r="BN1301" s="2">
        <v>226.68</v>
      </c>
      <c r="BO1301" s="2">
        <v>226.68</v>
      </c>
      <c r="BP1301" s="2"/>
      <c r="BQ1301" s="2" t="s">
        <v>584</v>
      </c>
      <c r="BR1301" s="2" t="s">
        <v>123</v>
      </c>
      <c r="BS1301" s="3">
        <v>42829</v>
      </c>
      <c r="BT1301" s="4">
        <v>0.29166666666666669</v>
      </c>
      <c r="BU1301" s="2" t="s">
        <v>1080</v>
      </c>
      <c r="BV1301" s="2" t="s">
        <v>111</v>
      </c>
      <c r="BW1301" s="2"/>
      <c r="BX1301" s="2"/>
      <c r="BY1301" s="2">
        <v>20175.75</v>
      </c>
      <c r="BZ1301" s="2" t="s">
        <v>27</v>
      </c>
      <c r="CA1301" s="2" t="s">
        <v>154</v>
      </c>
      <c r="CB1301" s="2"/>
      <c r="CC1301" s="2" t="s">
        <v>100</v>
      </c>
      <c r="CD1301" s="2">
        <v>6001</v>
      </c>
      <c r="CE1301" s="2" t="s">
        <v>287</v>
      </c>
      <c r="CF1301" s="5">
        <v>42829</v>
      </c>
      <c r="CG1301" s="2"/>
      <c r="CH1301" s="2"/>
      <c r="CI1301" s="2">
        <v>1</v>
      </c>
      <c r="CJ1301" s="2">
        <v>1</v>
      </c>
      <c r="CK1301" s="2">
        <v>21</v>
      </c>
      <c r="CL1301" s="2" t="s">
        <v>86</v>
      </c>
      <c r="CM1301" s="2"/>
    </row>
    <row r="1302" spans="1:91">
      <c r="A1302" s="2" t="s">
        <v>71</v>
      </c>
      <c r="B1302" s="2" t="s">
        <v>72</v>
      </c>
      <c r="C1302" s="2" t="s">
        <v>73</v>
      </c>
      <c r="D1302" s="2"/>
      <c r="E1302" s="2" t="str">
        <f>"FES1162542651"</f>
        <v>FES1162542651</v>
      </c>
      <c r="F1302" s="3">
        <v>42835</v>
      </c>
      <c r="G1302" s="2">
        <v>201710</v>
      </c>
      <c r="H1302" s="2" t="s">
        <v>74</v>
      </c>
      <c r="I1302" s="2" t="s">
        <v>75</v>
      </c>
      <c r="J1302" s="2" t="s">
        <v>76</v>
      </c>
      <c r="K1302" s="2" t="s">
        <v>77</v>
      </c>
      <c r="L1302" s="2" t="s">
        <v>99</v>
      </c>
      <c r="M1302" s="2" t="s">
        <v>100</v>
      </c>
      <c r="N1302" s="2" t="s">
        <v>583</v>
      </c>
      <c r="O1302" s="2" t="s">
        <v>115</v>
      </c>
      <c r="P1302" s="2" t="str">
        <f>"2170561507                    "</f>
        <v xml:space="preserve">2170561507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4.29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1.1000000000000001</v>
      </c>
      <c r="BJ1302" s="2">
        <v>1.8</v>
      </c>
      <c r="BK1302" s="2">
        <v>2</v>
      </c>
      <c r="BL1302" s="2">
        <v>41.73</v>
      </c>
      <c r="BM1302" s="2">
        <v>5.84</v>
      </c>
      <c r="BN1302" s="2">
        <v>47.57</v>
      </c>
      <c r="BO1302" s="2">
        <v>47.57</v>
      </c>
      <c r="BP1302" s="2"/>
      <c r="BQ1302" s="2" t="s">
        <v>1494</v>
      </c>
      <c r="BR1302" s="2" t="s">
        <v>123</v>
      </c>
      <c r="BS1302" s="3">
        <v>42836</v>
      </c>
      <c r="BT1302" s="4">
        <v>0.30277777777777776</v>
      </c>
      <c r="BU1302" s="2" t="s">
        <v>585</v>
      </c>
      <c r="BV1302" s="2" t="s">
        <v>111</v>
      </c>
      <c r="BW1302" s="2"/>
      <c r="BX1302" s="2"/>
      <c r="BY1302" s="2">
        <v>8817.98</v>
      </c>
      <c r="BZ1302" s="2" t="s">
        <v>27</v>
      </c>
      <c r="CA1302" s="2" t="s">
        <v>154</v>
      </c>
      <c r="CB1302" s="2"/>
      <c r="CC1302" s="2" t="s">
        <v>100</v>
      </c>
      <c r="CD1302" s="2">
        <v>6001</v>
      </c>
      <c r="CE1302" s="2" t="s">
        <v>135</v>
      </c>
      <c r="CF1302" s="5">
        <v>42836</v>
      </c>
      <c r="CG1302" s="2"/>
      <c r="CH1302" s="2"/>
      <c r="CI1302" s="2">
        <v>1</v>
      </c>
      <c r="CJ1302" s="2">
        <v>1</v>
      </c>
      <c r="CK1302" s="2">
        <v>21</v>
      </c>
      <c r="CL1302" s="2" t="s">
        <v>86</v>
      </c>
      <c r="CM1302" s="2"/>
    </row>
    <row r="1303" spans="1:91">
      <c r="A1303" s="2" t="s">
        <v>71</v>
      </c>
      <c r="B1303" s="2" t="s">
        <v>72</v>
      </c>
      <c r="C1303" s="2" t="s">
        <v>73</v>
      </c>
      <c r="D1303" s="2"/>
      <c r="E1303" s="2" t="str">
        <f>"FES1162542143"</f>
        <v>FES1162542143</v>
      </c>
      <c r="F1303" s="3">
        <v>42832</v>
      </c>
      <c r="G1303" s="2">
        <v>201710</v>
      </c>
      <c r="H1303" s="2" t="s">
        <v>74</v>
      </c>
      <c r="I1303" s="2" t="s">
        <v>75</v>
      </c>
      <c r="J1303" s="2" t="s">
        <v>76</v>
      </c>
      <c r="K1303" s="2" t="s">
        <v>77</v>
      </c>
      <c r="L1303" s="2" t="s">
        <v>131</v>
      </c>
      <c r="M1303" s="2" t="s">
        <v>132</v>
      </c>
      <c r="N1303" s="2" t="s">
        <v>1302</v>
      </c>
      <c r="O1303" s="2" t="s">
        <v>115</v>
      </c>
      <c r="P1303" s="2" t="str">
        <f>"2170560591                    "</f>
        <v xml:space="preserve">2170560591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17.149999999999999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8</v>
      </c>
      <c r="BJ1303" s="2">
        <v>2.2000000000000002</v>
      </c>
      <c r="BK1303" s="2">
        <v>8</v>
      </c>
      <c r="BL1303" s="2">
        <v>166.91</v>
      </c>
      <c r="BM1303" s="2">
        <v>23.37</v>
      </c>
      <c r="BN1303" s="2">
        <v>190.28</v>
      </c>
      <c r="BO1303" s="2">
        <v>190.28</v>
      </c>
      <c r="BP1303" s="2"/>
      <c r="BQ1303" s="2" t="s">
        <v>1303</v>
      </c>
      <c r="BR1303" s="2" t="s">
        <v>123</v>
      </c>
      <c r="BS1303" s="3">
        <v>42835</v>
      </c>
      <c r="BT1303" s="4">
        <v>0.39583333333333331</v>
      </c>
      <c r="BU1303" s="2" t="s">
        <v>245</v>
      </c>
      <c r="BV1303" s="2" t="s">
        <v>111</v>
      </c>
      <c r="BW1303" s="2"/>
      <c r="BX1303" s="2"/>
      <c r="BY1303" s="2">
        <v>11094</v>
      </c>
      <c r="BZ1303" s="2" t="s">
        <v>27</v>
      </c>
      <c r="CA1303" s="2"/>
      <c r="CB1303" s="2"/>
      <c r="CC1303" s="2" t="s">
        <v>132</v>
      </c>
      <c r="CD1303" s="2">
        <v>7500</v>
      </c>
      <c r="CE1303" s="2" t="s">
        <v>1838</v>
      </c>
      <c r="CF1303" s="5">
        <v>42836</v>
      </c>
      <c r="CG1303" s="2"/>
      <c r="CH1303" s="2"/>
      <c r="CI1303" s="2">
        <v>1</v>
      </c>
      <c r="CJ1303" s="2">
        <v>1</v>
      </c>
      <c r="CK1303" s="2">
        <v>21</v>
      </c>
      <c r="CL1303" s="2" t="s">
        <v>86</v>
      </c>
      <c r="CM1303" s="2"/>
    </row>
    <row r="1304" spans="1:91">
      <c r="A1304" s="2" t="s">
        <v>71</v>
      </c>
      <c r="B1304" s="2" t="s">
        <v>72</v>
      </c>
      <c r="C1304" s="2" t="s">
        <v>73</v>
      </c>
      <c r="D1304" s="2"/>
      <c r="E1304" s="2" t="str">
        <f>"FES1162542632"</f>
        <v>FES1162542632</v>
      </c>
      <c r="F1304" s="3">
        <v>42835</v>
      </c>
      <c r="G1304" s="2">
        <v>201710</v>
      </c>
      <c r="H1304" s="2" t="s">
        <v>74</v>
      </c>
      <c r="I1304" s="2" t="s">
        <v>75</v>
      </c>
      <c r="J1304" s="2" t="s">
        <v>76</v>
      </c>
      <c r="K1304" s="2" t="s">
        <v>77</v>
      </c>
      <c r="L1304" s="2" t="s">
        <v>267</v>
      </c>
      <c r="M1304" s="2" t="s">
        <v>268</v>
      </c>
      <c r="N1304" s="2" t="s">
        <v>1872</v>
      </c>
      <c r="O1304" s="2" t="s">
        <v>115</v>
      </c>
      <c r="P1304" s="2" t="str">
        <f>"2170561492                    "</f>
        <v xml:space="preserve">2170561492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3.35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1</v>
      </c>
      <c r="BJ1304" s="2">
        <v>0.2</v>
      </c>
      <c r="BK1304" s="2">
        <v>1</v>
      </c>
      <c r="BL1304" s="2">
        <v>32.6</v>
      </c>
      <c r="BM1304" s="2">
        <v>4.5599999999999996</v>
      </c>
      <c r="BN1304" s="2">
        <v>37.159999999999997</v>
      </c>
      <c r="BO1304" s="2">
        <v>37.159999999999997</v>
      </c>
      <c r="BP1304" s="2"/>
      <c r="BQ1304" s="2" t="s">
        <v>1873</v>
      </c>
      <c r="BR1304" s="2" t="s">
        <v>123</v>
      </c>
      <c r="BS1304" s="3">
        <v>42836</v>
      </c>
      <c r="BT1304" s="4">
        <v>0.30208333333333331</v>
      </c>
      <c r="BU1304" s="2" t="s">
        <v>1874</v>
      </c>
      <c r="BV1304" s="2" t="s">
        <v>111</v>
      </c>
      <c r="BW1304" s="2"/>
      <c r="BX1304" s="2"/>
      <c r="BY1304" s="2">
        <v>1200</v>
      </c>
      <c r="BZ1304" s="2" t="s">
        <v>27</v>
      </c>
      <c r="CA1304" s="2"/>
      <c r="CB1304" s="2"/>
      <c r="CC1304" s="2" t="s">
        <v>268</v>
      </c>
      <c r="CD1304" s="2">
        <v>1709</v>
      </c>
      <c r="CE1304" s="2" t="s">
        <v>118</v>
      </c>
      <c r="CF1304" s="5">
        <v>42838</v>
      </c>
      <c r="CG1304" s="2"/>
      <c r="CH1304" s="2"/>
      <c r="CI1304" s="2">
        <v>1</v>
      </c>
      <c r="CJ1304" s="2">
        <v>1</v>
      </c>
      <c r="CK1304" s="2">
        <v>22</v>
      </c>
      <c r="CL1304" s="2" t="s">
        <v>86</v>
      </c>
      <c r="CM1304" s="2"/>
    </row>
    <row r="1305" spans="1:91">
      <c r="A1305" s="2" t="s">
        <v>71</v>
      </c>
      <c r="B1305" s="2" t="s">
        <v>72</v>
      </c>
      <c r="C1305" s="2" t="s">
        <v>73</v>
      </c>
      <c r="D1305" s="2"/>
      <c r="E1305" s="2" t="str">
        <f>"FES1162540993"</f>
        <v>FES1162540993</v>
      </c>
      <c r="F1305" s="3">
        <v>42828</v>
      </c>
      <c r="G1305" s="2">
        <v>201710</v>
      </c>
      <c r="H1305" s="2" t="s">
        <v>74</v>
      </c>
      <c r="I1305" s="2" t="s">
        <v>75</v>
      </c>
      <c r="J1305" s="2" t="s">
        <v>76</v>
      </c>
      <c r="K1305" s="2" t="s">
        <v>77</v>
      </c>
      <c r="L1305" s="2" t="s">
        <v>187</v>
      </c>
      <c r="M1305" s="2" t="s">
        <v>146</v>
      </c>
      <c r="N1305" s="2" t="s">
        <v>427</v>
      </c>
      <c r="O1305" s="2" t="s">
        <v>115</v>
      </c>
      <c r="P1305" s="2" t="str">
        <f>"2170556305                    "</f>
        <v xml:space="preserve">2170556305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4.42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1.8</v>
      </c>
      <c r="BJ1305" s="2">
        <v>0.9</v>
      </c>
      <c r="BK1305" s="2">
        <v>2</v>
      </c>
      <c r="BL1305" s="2">
        <v>41.86</v>
      </c>
      <c r="BM1305" s="2">
        <v>5.86</v>
      </c>
      <c r="BN1305" s="2">
        <v>47.72</v>
      </c>
      <c r="BO1305" s="2">
        <v>47.72</v>
      </c>
      <c r="BP1305" s="2"/>
      <c r="BQ1305" s="2" t="s">
        <v>428</v>
      </c>
      <c r="BR1305" s="2" t="s">
        <v>123</v>
      </c>
      <c r="BS1305" s="3">
        <v>42829</v>
      </c>
      <c r="BT1305" s="4">
        <v>0.36458333333333331</v>
      </c>
      <c r="BU1305" s="2" t="s">
        <v>1875</v>
      </c>
      <c r="BV1305" s="2" t="s">
        <v>111</v>
      </c>
      <c r="BW1305" s="2"/>
      <c r="BX1305" s="2"/>
      <c r="BY1305" s="2">
        <v>4521.1499999999996</v>
      </c>
      <c r="BZ1305" s="2" t="s">
        <v>27</v>
      </c>
      <c r="CA1305" s="2"/>
      <c r="CB1305" s="2"/>
      <c r="CC1305" s="2" t="s">
        <v>146</v>
      </c>
      <c r="CD1305" s="2">
        <v>184</v>
      </c>
      <c r="CE1305" s="2" t="s">
        <v>287</v>
      </c>
      <c r="CF1305" s="5">
        <v>42832</v>
      </c>
      <c r="CG1305" s="2"/>
      <c r="CH1305" s="2"/>
      <c r="CI1305" s="2">
        <v>0</v>
      </c>
      <c r="CJ1305" s="2">
        <v>0</v>
      </c>
      <c r="CK1305" s="2">
        <v>21</v>
      </c>
      <c r="CL1305" s="2" t="s">
        <v>86</v>
      </c>
      <c r="CM1305" s="2"/>
    </row>
    <row r="1306" spans="1:91">
      <c r="A1306" s="2" t="s">
        <v>71</v>
      </c>
      <c r="B1306" s="2" t="s">
        <v>72</v>
      </c>
      <c r="C1306" s="2" t="s">
        <v>73</v>
      </c>
      <c r="D1306" s="2"/>
      <c r="E1306" s="2" t="str">
        <f>"FES1162542349"</f>
        <v>FES1162542349</v>
      </c>
      <c r="F1306" s="3">
        <v>42832</v>
      </c>
      <c r="G1306" s="2">
        <v>201710</v>
      </c>
      <c r="H1306" s="2" t="s">
        <v>74</v>
      </c>
      <c r="I1306" s="2" t="s">
        <v>75</v>
      </c>
      <c r="J1306" s="2" t="s">
        <v>76</v>
      </c>
      <c r="K1306" s="2" t="s">
        <v>77</v>
      </c>
      <c r="L1306" s="2" t="s">
        <v>74</v>
      </c>
      <c r="M1306" s="2" t="s">
        <v>75</v>
      </c>
      <c r="N1306" s="2" t="s">
        <v>1876</v>
      </c>
      <c r="O1306" s="2" t="s">
        <v>115</v>
      </c>
      <c r="P1306" s="2" t="str">
        <f>"2170561235                    "</f>
        <v xml:space="preserve">2170561235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3.35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</v>
      </c>
      <c r="BJ1306" s="2">
        <v>0.2</v>
      </c>
      <c r="BK1306" s="2">
        <v>1</v>
      </c>
      <c r="BL1306" s="2">
        <v>32.6</v>
      </c>
      <c r="BM1306" s="2">
        <v>4.5599999999999996</v>
      </c>
      <c r="BN1306" s="2">
        <v>37.159999999999997</v>
      </c>
      <c r="BO1306" s="2">
        <v>37.159999999999997</v>
      </c>
      <c r="BP1306" s="2"/>
      <c r="BQ1306" s="2" t="s">
        <v>1877</v>
      </c>
      <c r="BR1306" s="2" t="s">
        <v>123</v>
      </c>
      <c r="BS1306" s="3">
        <v>42835</v>
      </c>
      <c r="BT1306" s="4">
        <v>0.41666666666666669</v>
      </c>
      <c r="BU1306" s="2" t="s">
        <v>1878</v>
      </c>
      <c r="BV1306" s="2" t="s">
        <v>111</v>
      </c>
      <c r="BW1306" s="2"/>
      <c r="BX1306" s="2"/>
      <c r="BY1306" s="2">
        <v>1200</v>
      </c>
      <c r="BZ1306" s="2" t="s">
        <v>27</v>
      </c>
      <c r="CA1306" s="2"/>
      <c r="CB1306" s="2"/>
      <c r="CC1306" s="2" t="s">
        <v>75</v>
      </c>
      <c r="CD1306" s="2">
        <v>1600</v>
      </c>
      <c r="CE1306" s="2" t="s">
        <v>118</v>
      </c>
      <c r="CF1306" s="5">
        <v>42835</v>
      </c>
      <c r="CG1306" s="2"/>
      <c r="CH1306" s="2"/>
      <c r="CI1306" s="2">
        <v>1</v>
      </c>
      <c r="CJ1306" s="2">
        <v>1</v>
      </c>
      <c r="CK1306" s="2">
        <v>22</v>
      </c>
      <c r="CL1306" s="2" t="s">
        <v>86</v>
      </c>
      <c r="CM1306" s="2"/>
    </row>
    <row r="1307" spans="1:91">
      <c r="A1307" s="2" t="s">
        <v>71</v>
      </c>
      <c r="B1307" s="2" t="s">
        <v>72</v>
      </c>
      <c r="C1307" s="2" t="s">
        <v>73</v>
      </c>
      <c r="D1307" s="2"/>
      <c r="E1307" s="2" t="str">
        <f>"FES1162540927"</f>
        <v>FES1162540927</v>
      </c>
      <c r="F1307" s="3">
        <v>42828</v>
      </c>
      <c r="G1307" s="2">
        <v>201710</v>
      </c>
      <c r="H1307" s="2" t="s">
        <v>74</v>
      </c>
      <c r="I1307" s="2" t="s">
        <v>75</v>
      </c>
      <c r="J1307" s="2" t="s">
        <v>76</v>
      </c>
      <c r="K1307" s="2" t="s">
        <v>77</v>
      </c>
      <c r="L1307" s="2" t="s">
        <v>160</v>
      </c>
      <c r="M1307" s="2" t="s">
        <v>161</v>
      </c>
      <c r="N1307" s="2" t="s">
        <v>623</v>
      </c>
      <c r="O1307" s="2" t="s">
        <v>115</v>
      </c>
      <c r="P1307" s="2" t="str">
        <f>"2170560005                    "</f>
        <v xml:space="preserve">2170560005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4.42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1</v>
      </c>
      <c r="BJ1307" s="2">
        <v>0.2</v>
      </c>
      <c r="BK1307" s="2">
        <v>1</v>
      </c>
      <c r="BL1307" s="2">
        <v>41.86</v>
      </c>
      <c r="BM1307" s="2">
        <v>5.86</v>
      </c>
      <c r="BN1307" s="2">
        <v>47.72</v>
      </c>
      <c r="BO1307" s="2">
        <v>47.72</v>
      </c>
      <c r="BP1307" s="2"/>
      <c r="BQ1307" s="2" t="s">
        <v>116</v>
      </c>
      <c r="BR1307" s="2" t="s">
        <v>123</v>
      </c>
      <c r="BS1307" s="3">
        <v>42829</v>
      </c>
      <c r="BT1307" s="4">
        <v>0.41666666666666669</v>
      </c>
      <c r="BU1307" s="2" t="s">
        <v>1879</v>
      </c>
      <c r="BV1307" s="2" t="s">
        <v>111</v>
      </c>
      <c r="BW1307" s="2"/>
      <c r="BX1307" s="2"/>
      <c r="BY1307" s="2">
        <v>1200</v>
      </c>
      <c r="BZ1307" s="2" t="s">
        <v>27</v>
      </c>
      <c r="CA1307" s="2"/>
      <c r="CB1307" s="2"/>
      <c r="CC1307" s="2" t="s">
        <v>161</v>
      </c>
      <c r="CD1307" s="2">
        <v>5201</v>
      </c>
      <c r="CE1307" s="2" t="s">
        <v>144</v>
      </c>
      <c r="CF1307" s="5">
        <v>42831</v>
      </c>
      <c r="CG1307" s="2"/>
      <c r="CH1307" s="2"/>
      <c r="CI1307" s="2">
        <v>1</v>
      </c>
      <c r="CJ1307" s="2">
        <v>1</v>
      </c>
      <c r="CK1307" s="2">
        <v>21</v>
      </c>
      <c r="CL1307" s="2" t="s">
        <v>86</v>
      </c>
      <c r="CM1307" s="2"/>
    </row>
    <row r="1308" spans="1:91">
      <c r="A1308" s="2" t="s">
        <v>71</v>
      </c>
      <c r="B1308" s="2" t="s">
        <v>72</v>
      </c>
      <c r="C1308" s="2" t="s">
        <v>73</v>
      </c>
      <c r="D1308" s="2"/>
      <c r="E1308" s="2" t="str">
        <f>"FES1162542597"</f>
        <v>FES1162542597</v>
      </c>
      <c r="F1308" s="3">
        <v>42835</v>
      </c>
      <c r="G1308" s="2">
        <v>201710</v>
      </c>
      <c r="H1308" s="2" t="s">
        <v>74</v>
      </c>
      <c r="I1308" s="2" t="s">
        <v>75</v>
      </c>
      <c r="J1308" s="2" t="s">
        <v>76</v>
      </c>
      <c r="K1308" s="2" t="s">
        <v>77</v>
      </c>
      <c r="L1308" s="2" t="s">
        <v>91</v>
      </c>
      <c r="M1308" s="2" t="s">
        <v>92</v>
      </c>
      <c r="N1308" s="2" t="s">
        <v>1880</v>
      </c>
      <c r="O1308" s="2" t="s">
        <v>115</v>
      </c>
      <c r="P1308" s="2" t="str">
        <f>"2170561450                    "</f>
        <v xml:space="preserve">2170561450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3.35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3.7</v>
      </c>
      <c r="BJ1308" s="2">
        <v>1.7</v>
      </c>
      <c r="BK1308" s="2">
        <v>4</v>
      </c>
      <c r="BL1308" s="2">
        <v>32.6</v>
      </c>
      <c r="BM1308" s="2">
        <v>4.5599999999999996</v>
      </c>
      <c r="BN1308" s="2">
        <v>37.159999999999997</v>
      </c>
      <c r="BO1308" s="2">
        <v>37.159999999999997</v>
      </c>
      <c r="BP1308" s="2"/>
      <c r="BQ1308" s="2" t="s">
        <v>1881</v>
      </c>
      <c r="BR1308" s="2" t="s">
        <v>123</v>
      </c>
      <c r="BS1308" s="3">
        <v>42836</v>
      </c>
      <c r="BT1308" s="4">
        <v>0.41666666666666669</v>
      </c>
      <c r="BU1308" s="2" t="s">
        <v>1882</v>
      </c>
      <c r="BV1308" s="2" t="s">
        <v>111</v>
      </c>
      <c r="BW1308" s="2"/>
      <c r="BX1308" s="2"/>
      <c r="BY1308" s="2">
        <v>8704.8799999999992</v>
      </c>
      <c r="BZ1308" s="2" t="s">
        <v>27</v>
      </c>
      <c r="CA1308" s="2"/>
      <c r="CB1308" s="2"/>
      <c r="CC1308" s="2" t="s">
        <v>92</v>
      </c>
      <c r="CD1308" s="2">
        <v>1401</v>
      </c>
      <c r="CE1308" s="2" t="s">
        <v>89</v>
      </c>
      <c r="CF1308" s="5">
        <v>42838</v>
      </c>
      <c r="CG1308" s="2"/>
      <c r="CH1308" s="2"/>
      <c r="CI1308" s="2">
        <v>1</v>
      </c>
      <c r="CJ1308" s="2">
        <v>1</v>
      </c>
      <c r="CK1308" s="2">
        <v>22</v>
      </c>
      <c r="CL1308" s="2" t="s">
        <v>86</v>
      </c>
      <c r="CM1308" s="2"/>
    </row>
    <row r="1309" spans="1:91">
      <c r="A1309" s="2" t="s">
        <v>71</v>
      </c>
      <c r="B1309" s="2" t="s">
        <v>72</v>
      </c>
      <c r="C1309" s="2" t="s">
        <v>73</v>
      </c>
      <c r="D1309" s="2"/>
      <c r="E1309" s="2" t="str">
        <f>"FES1162541052"</f>
        <v>FES1162541052</v>
      </c>
      <c r="F1309" s="3">
        <v>42828</v>
      </c>
      <c r="G1309" s="2">
        <v>201710</v>
      </c>
      <c r="H1309" s="2" t="s">
        <v>74</v>
      </c>
      <c r="I1309" s="2" t="s">
        <v>75</v>
      </c>
      <c r="J1309" s="2" t="s">
        <v>76</v>
      </c>
      <c r="K1309" s="2" t="s">
        <v>77</v>
      </c>
      <c r="L1309" s="2" t="s">
        <v>131</v>
      </c>
      <c r="M1309" s="2" t="s">
        <v>132</v>
      </c>
      <c r="N1309" s="2" t="s">
        <v>1197</v>
      </c>
      <c r="O1309" s="2" t="s">
        <v>115</v>
      </c>
      <c r="P1309" s="2" t="str">
        <f>"2170560125                    "</f>
        <v xml:space="preserve">2170560125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4.42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1</v>
      </c>
      <c r="BJ1309" s="2">
        <v>0.2</v>
      </c>
      <c r="BK1309" s="2">
        <v>1</v>
      </c>
      <c r="BL1309" s="2">
        <v>41.86</v>
      </c>
      <c r="BM1309" s="2">
        <v>5.86</v>
      </c>
      <c r="BN1309" s="2">
        <v>47.72</v>
      </c>
      <c r="BO1309" s="2">
        <v>47.72</v>
      </c>
      <c r="BP1309" s="2"/>
      <c r="BQ1309" s="2" t="s">
        <v>1883</v>
      </c>
      <c r="BR1309" s="2" t="s">
        <v>123</v>
      </c>
      <c r="BS1309" s="3">
        <v>42829</v>
      </c>
      <c r="BT1309" s="4">
        <v>0.35416666666666669</v>
      </c>
      <c r="BU1309" s="2" t="s">
        <v>1884</v>
      </c>
      <c r="BV1309" s="2" t="s">
        <v>111</v>
      </c>
      <c r="BW1309" s="2"/>
      <c r="BX1309" s="2"/>
      <c r="BY1309" s="2">
        <v>1200</v>
      </c>
      <c r="BZ1309" s="2" t="s">
        <v>27</v>
      </c>
      <c r="CA1309" s="2"/>
      <c r="CB1309" s="2"/>
      <c r="CC1309" s="2" t="s">
        <v>132</v>
      </c>
      <c r="CD1309" s="2">
        <v>7500</v>
      </c>
      <c r="CE1309" s="2" t="s">
        <v>144</v>
      </c>
      <c r="CF1309" s="5">
        <v>42830</v>
      </c>
      <c r="CG1309" s="2"/>
      <c r="CH1309" s="2"/>
      <c r="CI1309" s="2">
        <v>1</v>
      </c>
      <c r="CJ1309" s="2">
        <v>1</v>
      </c>
      <c r="CK1309" s="2">
        <v>21</v>
      </c>
      <c r="CL1309" s="2" t="s">
        <v>86</v>
      </c>
      <c r="CM1309" s="2"/>
    </row>
    <row r="1310" spans="1:91">
      <c r="A1310" s="2" t="s">
        <v>71</v>
      </c>
      <c r="B1310" s="2" t="s">
        <v>72</v>
      </c>
      <c r="C1310" s="2" t="s">
        <v>73</v>
      </c>
      <c r="D1310" s="2"/>
      <c r="E1310" s="2" t="str">
        <f>"FES1162540967"</f>
        <v>FES1162540967</v>
      </c>
      <c r="F1310" s="3">
        <v>42828</v>
      </c>
      <c r="G1310" s="2">
        <v>201710</v>
      </c>
      <c r="H1310" s="2" t="s">
        <v>74</v>
      </c>
      <c r="I1310" s="2" t="s">
        <v>75</v>
      </c>
      <c r="J1310" s="2" t="s">
        <v>76</v>
      </c>
      <c r="K1310" s="2" t="s">
        <v>77</v>
      </c>
      <c r="L1310" s="2" t="s">
        <v>166</v>
      </c>
      <c r="M1310" s="2" t="s">
        <v>167</v>
      </c>
      <c r="N1310" s="2" t="s">
        <v>329</v>
      </c>
      <c r="O1310" s="2" t="s">
        <v>115</v>
      </c>
      <c r="P1310" s="2" t="str">
        <f>"2170558083                    "</f>
        <v xml:space="preserve">2170558083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3.45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1</v>
      </c>
      <c r="BJ1310" s="2">
        <v>0.2</v>
      </c>
      <c r="BK1310" s="2">
        <v>1</v>
      </c>
      <c r="BL1310" s="2">
        <v>32.700000000000003</v>
      </c>
      <c r="BM1310" s="2">
        <v>4.58</v>
      </c>
      <c r="BN1310" s="2">
        <v>37.28</v>
      </c>
      <c r="BO1310" s="2">
        <v>37.28</v>
      </c>
      <c r="BP1310" s="2"/>
      <c r="BQ1310" s="2" t="s">
        <v>330</v>
      </c>
      <c r="BR1310" s="2" t="s">
        <v>123</v>
      </c>
      <c r="BS1310" s="3">
        <v>42829</v>
      </c>
      <c r="BT1310" s="4">
        <v>0.3611111111111111</v>
      </c>
      <c r="BU1310" s="2" t="s">
        <v>1508</v>
      </c>
      <c r="BV1310" s="2" t="s">
        <v>111</v>
      </c>
      <c r="BW1310" s="2"/>
      <c r="BX1310" s="2"/>
      <c r="BY1310" s="2">
        <v>1200</v>
      </c>
      <c r="BZ1310" s="2" t="s">
        <v>27</v>
      </c>
      <c r="CA1310" s="2"/>
      <c r="CB1310" s="2"/>
      <c r="CC1310" s="2" t="s">
        <v>167</v>
      </c>
      <c r="CD1310" s="2">
        <v>2090</v>
      </c>
      <c r="CE1310" s="2" t="s">
        <v>118</v>
      </c>
      <c r="CF1310" s="5">
        <v>42831</v>
      </c>
      <c r="CG1310" s="2"/>
      <c r="CH1310" s="2"/>
      <c r="CI1310" s="2">
        <v>1</v>
      </c>
      <c r="CJ1310" s="2">
        <v>1</v>
      </c>
      <c r="CK1310" s="2">
        <v>22</v>
      </c>
      <c r="CL1310" s="2" t="s">
        <v>86</v>
      </c>
      <c r="CM1310" s="2"/>
    </row>
    <row r="1311" spans="1:91">
      <c r="A1311" s="2" t="s">
        <v>71</v>
      </c>
      <c r="B1311" s="2" t="s">
        <v>72</v>
      </c>
      <c r="C1311" s="2" t="s">
        <v>73</v>
      </c>
      <c r="D1311" s="2"/>
      <c r="E1311" s="2" t="str">
        <f>"FES1162542649"</f>
        <v>FES1162542649</v>
      </c>
      <c r="F1311" s="3">
        <v>42835</v>
      </c>
      <c r="G1311" s="2">
        <v>201710</v>
      </c>
      <c r="H1311" s="2" t="s">
        <v>74</v>
      </c>
      <c r="I1311" s="2" t="s">
        <v>75</v>
      </c>
      <c r="J1311" s="2" t="s">
        <v>76</v>
      </c>
      <c r="K1311" s="2" t="s">
        <v>77</v>
      </c>
      <c r="L1311" s="2" t="s">
        <v>99</v>
      </c>
      <c r="M1311" s="2" t="s">
        <v>100</v>
      </c>
      <c r="N1311" s="2" t="s">
        <v>108</v>
      </c>
      <c r="O1311" s="2" t="s">
        <v>115</v>
      </c>
      <c r="P1311" s="2" t="str">
        <f>"2170556194                    "</f>
        <v xml:space="preserve">2170556194 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7.5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3.1</v>
      </c>
      <c r="BJ1311" s="2">
        <v>1.7</v>
      </c>
      <c r="BK1311" s="2">
        <v>3.5</v>
      </c>
      <c r="BL1311" s="2">
        <v>73.02</v>
      </c>
      <c r="BM1311" s="2">
        <v>10.220000000000001</v>
      </c>
      <c r="BN1311" s="2">
        <v>83.24</v>
      </c>
      <c r="BO1311" s="2">
        <v>83.24</v>
      </c>
      <c r="BP1311" s="2"/>
      <c r="BQ1311" s="2" t="s">
        <v>109</v>
      </c>
      <c r="BR1311" s="2" t="s">
        <v>123</v>
      </c>
      <c r="BS1311" s="3">
        <v>42836</v>
      </c>
      <c r="BT1311" s="4">
        <v>0.375</v>
      </c>
      <c r="BU1311" s="2" t="s">
        <v>1885</v>
      </c>
      <c r="BV1311" s="2" t="s">
        <v>111</v>
      </c>
      <c r="BW1311" s="2"/>
      <c r="BX1311" s="2"/>
      <c r="BY1311" s="2">
        <v>8339.1</v>
      </c>
      <c r="BZ1311" s="2" t="s">
        <v>27</v>
      </c>
      <c r="CA1311" s="2" t="s">
        <v>106</v>
      </c>
      <c r="CB1311" s="2"/>
      <c r="CC1311" s="2" t="s">
        <v>100</v>
      </c>
      <c r="CD1311" s="2">
        <v>6001</v>
      </c>
      <c r="CE1311" s="2" t="s">
        <v>135</v>
      </c>
      <c r="CF1311" s="5">
        <v>42836</v>
      </c>
      <c r="CG1311" s="2"/>
      <c r="CH1311" s="2"/>
      <c r="CI1311" s="2">
        <v>1</v>
      </c>
      <c r="CJ1311" s="2">
        <v>1</v>
      </c>
      <c r="CK1311" s="2">
        <v>21</v>
      </c>
      <c r="CL1311" s="2" t="s">
        <v>86</v>
      </c>
      <c r="CM1311" s="2"/>
    </row>
    <row r="1312" spans="1:91">
      <c r="A1312" s="2" t="s">
        <v>71</v>
      </c>
      <c r="B1312" s="2" t="s">
        <v>72</v>
      </c>
      <c r="C1312" s="2" t="s">
        <v>73</v>
      </c>
      <c r="D1312" s="2"/>
      <c r="E1312" s="2" t="str">
        <f>"FES1162540982"</f>
        <v>FES1162540982</v>
      </c>
      <c r="F1312" s="3">
        <v>42828</v>
      </c>
      <c r="G1312" s="2">
        <v>201710</v>
      </c>
      <c r="H1312" s="2" t="s">
        <v>74</v>
      </c>
      <c r="I1312" s="2" t="s">
        <v>75</v>
      </c>
      <c r="J1312" s="2" t="s">
        <v>76</v>
      </c>
      <c r="K1312" s="2" t="s">
        <v>77</v>
      </c>
      <c r="L1312" s="2" t="s">
        <v>516</v>
      </c>
      <c r="M1312" s="2" t="s">
        <v>517</v>
      </c>
      <c r="N1312" s="2" t="s">
        <v>755</v>
      </c>
      <c r="O1312" s="2" t="s">
        <v>115</v>
      </c>
      <c r="P1312" s="2" t="str">
        <f>"2170560061                    "</f>
        <v xml:space="preserve">2170560061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3.45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1.4</v>
      </c>
      <c r="BJ1312" s="2">
        <v>0.2</v>
      </c>
      <c r="BK1312" s="2">
        <v>2</v>
      </c>
      <c r="BL1312" s="2">
        <v>32.700000000000003</v>
      </c>
      <c r="BM1312" s="2">
        <v>4.58</v>
      </c>
      <c r="BN1312" s="2">
        <v>37.28</v>
      </c>
      <c r="BO1312" s="2">
        <v>37.28</v>
      </c>
      <c r="BP1312" s="2"/>
      <c r="BQ1312" s="2" t="s">
        <v>122</v>
      </c>
      <c r="BR1312" s="2" t="s">
        <v>123</v>
      </c>
      <c r="BS1312" s="3">
        <v>42829</v>
      </c>
      <c r="BT1312" s="4">
        <v>0.41666666666666669</v>
      </c>
      <c r="BU1312" s="2" t="s">
        <v>290</v>
      </c>
      <c r="BV1312" s="2" t="s">
        <v>111</v>
      </c>
      <c r="BW1312" s="2"/>
      <c r="BX1312" s="2"/>
      <c r="BY1312" s="2">
        <v>1200</v>
      </c>
      <c r="BZ1312" s="2" t="s">
        <v>27</v>
      </c>
      <c r="CA1312" s="2"/>
      <c r="CB1312" s="2"/>
      <c r="CC1312" s="2" t="s">
        <v>517</v>
      </c>
      <c r="CD1312" s="2">
        <v>1459</v>
      </c>
      <c r="CE1312" s="2" t="s">
        <v>118</v>
      </c>
      <c r="CF1312" s="5">
        <v>42831</v>
      </c>
      <c r="CG1312" s="2"/>
      <c r="CH1312" s="2"/>
      <c r="CI1312" s="2">
        <v>1</v>
      </c>
      <c r="CJ1312" s="2">
        <v>1</v>
      </c>
      <c r="CK1312" s="2">
        <v>22</v>
      </c>
      <c r="CL1312" s="2" t="s">
        <v>86</v>
      </c>
      <c r="CM1312" s="2"/>
    </row>
    <row r="1313" spans="1:91">
      <c r="A1313" s="2" t="s">
        <v>71</v>
      </c>
      <c r="B1313" s="2" t="s">
        <v>72</v>
      </c>
      <c r="C1313" s="2" t="s">
        <v>73</v>
      </c>
      <c r="D1313" s="2"/>
      <c r="E1313" s="2" t="str">
        <f>"FES1162540991"</f>
        <v>FES1162540991</v>
      </c>
      <c r="F1313" s="3">
        <v>42828</v>
      </c>
      <c r="G1313" s="2">
        <v>201710</v>
      </c>
      <c r="H1313" s="2" t="s">
        <v>74</v>
      </c>
      <c r="I1313" s="2" t="s">
        <v>75</v>
      </c>
      <c r="J1313" s="2" t="s">
        <v>76</v>
      </c>
      <c r="K1313" s="2" t="s">
        <v>77</v>
      </c>
      <c r="L1313" s="2" t="s">
        <v>99</v>
      </c>
      <c r="M1313" s="2" t="s">
        <v>100</v>
      </c>
      <c r="N1313" s="2" t="s">
        <v>1057</v>
      </c>
      <c r="O1313" s="2" t="s">
        <v>115</v>
      </c>
      <c r="P1313" s="2" t="str">
        <f>"2170559179                    "</f>
        <v xml:space="preserve">2170559179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4.42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0.2</v>
      </c>
      <c r="BK1313" s="2">
        <v>1</v>
      </c>
      <c r="BL1313" s="2">
        <v>41.86</v>
      </c>
      <c r="BM1313" s="2">
        <v>5.86</v>
      </c>
      <c r="BN1313" s="2">
        <v>47.72</v>
      </c>
      <c r="BO1313" s="2">
        <v>47.72</v>
      </c>
      <c r="BP1313" s="2"/>
      <c r="BQ1313" s="2" t="s">
        <v>1058</v>
      </c>
      <c r="BR1313" s="2" t="s">
        <v>123</v>
      </c>
      <c r="BS1313" s="3">
        <v>42829</v>
      </c>
      <c r="BT1313" s="4">
        <v>0.30555555555555552</v>
      </c>
      <c r="BU1313" s="2" t="s">
        <v>1886</v>
      </c>
      <c r="BV1313" s="2" t="s">
        <v>111</v>
      </c>
      <c r="BW1313" s="2"/>
      <c r="BX1313" s="2"/>
      <c r="BY1313" s="2">
        <v>1200</v>
      </c>
      <c r="BZ1313" s="2" t="s">
        <v>27</v>
      </c>
      <c r="CA1313" s="2" t="s">
        <v>154</v>
      </c>
      <c r="CB1313" s="2"/>
      <c r="CC1313" s="2" t="s">
        <v>100</v>
      </c>
      <c r="CD1313" s="2">
        <v>6001</v>
      </c>
      <c r="CE1313" s="2" t="s">
        <v>144</v>
      </c>
      <c r="CF1313" s="5">
        <v>42829</v>
      </c>
      <c r="CG1313" s="2"/>
      <c r="CH1313" s="2"/>
      <c r="CI1313" s="2">
        <v>1</v>
      </c>
      <c r="CJ1313" s="2">
        <v>1</v>
      </c>
      <c r="CK1313" s="2">
        <v>21</v>
      </c>
      <c r="CL1313" s="2" t="s">
        <v>86</v>
      </c>
      <c r="CM1313" s="2"/>
    </row>
    <row r="1314" spans="1:91">
      <c r="A1314" s="2" t="s">
        <v>71</v>
      </c>
      <c r="B1314" s="2" t="s">
        <v>72</v>
      </c>
      <c r="C1314" s="2" t="s">
        <v>73</v>
      </c>
      <c r="D1314" s="2"/>
      <c r="E1314" s="2" t="str">
        <f>"FES1162542593"</f>
        <v>FES1162542593</v>
      </c>
      <c r="F1314" s="3">
        <v>42835</v>
      </c>
      <c r="G1314" s="2">
        <v>201710</v>
      </c>
      <c r="H1314" s="2" t="s">
        <v>74</v>
      </c>
      <c r="I1314" s="2" t="s">
        <v>75</v>
      </c>
      <c r="J1314" s="2" t="s">
        <v>76</v>
      </c>
      <c r="K1314" s="2" t="s">
        <v>77</v>
      </c>
      <c r="L1314" s="2" t="s">
        <v>91</v>
      </c>
      <c r="M1314" s="2" t="s">
        <v>92</v>
      </c>
      <c r="N1314" s="2" t="s">
        <v>1880</v>
      </c>
      <c r="O1314" s="2" t="s">
        <v>115</v>
      </c>
      <c r="P1314" s="2" t="str">
        <f>"2170561446                    "</f>
        <v xml:space="preserve">2170561446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3.35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1.4</v>
      </c>
      <c r="BJ1314" s="2">
        <v>0.2</v>
      </c>
      <c r="BK1314" s="2">
        <v>2</v>
      </c>
      <c r="BL1314" s="2">
        <v>32.6</v>
      </c>
      <c r="BM1314" s="2">
        <v>4.5599999999999996</v>
      </c>
      <c r="BN1314" s="2">
        <v>37.159999999999997</v>
      </c>
      <c r="BO1314" s="2">
        <v>37.159999999999997</v>
      </c>
      <c r="BP1314" s="2"/>
      <c r="BQ1314" s="2" t="s">
        <v>1881</v>
      </c>
      <c r="BR1314" s="2" t="s">
        <v>123</v>
      </c>
      <c r="BS1314" s="3">
        <v>42836</v>
      </c>
      <c r="BT1314" s="4">
        <v>0.41666666666666669</v>
      </c>
      <c r="BU1314" s="2" t="s">
        <v>1882</v>
      </c>
      <c r="BV1314" s="2" t="s">
        <v>111</v>
      </c>
      <c r="BW1314" s="2"/>
      <c r="BX1314" s="2"/>
      <c r="BY1314" s="2">
        <v>1200</v>
      </c>
      <c r="BZ1314" s="2" t="s">
        <v>27</v>
      </c>
      <c r="CA1314" s="2"/>
      <c r="CB1314" s="2"/>
      <c r="CC1314" s="2" t="s">
        <v>92</v>
      </c>
      <c r="CD1314" s="2">
        <v>1401</v>
      </c>
      <c r="CE1314" s="2" t="s">
        <v>118</v>
      </c>
      <c r="CF1314" s="5">
        <v>42838</v>
      </c>
      <c r="CG1314" s="2"/>
      <c r="CH1314" s="2"/>
      <c r="CI1314" s="2">
        <v>1</v>
      </c>
      <c r="CJ1314" s="2">
        <v>1</v>
      </c>
      <c r="CK1314" s="2">
        <v>22</v>
      </c>
      <c r="CL1314" s="2" t="s">
        <v>86</v>
      </c>
      <c r="CM1314" s="2"/>
    </row>
    <row r="1315" spans="1:91">
      <c r="A1315" s="2" t="s">
        <v>71</v>
      </c>
      <c r="B1315" s="2" t="s">
        <v>72</v>
      </c>
      <c r="C1315" s="2" t="s">
        <v>73</v>
      </c>
      <c r="D1315" s="2"/>
      <c r="E1315" s="2" t="str">
        <f>"FES1162540989"</f>
        <v>FES1162540989</v>
      </c>
      <c r="F1315" s="3">
        <v>42828</v>
      </c>
      <c r="G1315" s="2">
        <v>201710</v>
      </c>
      <c r="H1315" s="2" t="s">
        <v>74</v>
      </c>
      <c r="I1315" s="2" t="s">
        <v>75</v>
      </c>
      <c r="J1315" s="2" t="s">
        <v>76</v>
      </c>
      <c r="K1315" s="2" t="s">
        <v>77</v>
      </c>
      <c r="L1315" s="2" t="s">
        <v>99</v>
      </c>
      <c r="M1315" s="2" t="s">
        <v>100</v>
      </c>
      <c r="N1315" s="2" t="s">
        <v>1057</v>
      </c>
      <c r="O1315" s="2" t="s">
        <v>115</v>
      </c>
      <c r="P1315" s="2" t="str">
        <f>"2170558849                    "</f>
        <v xml:space="preserve">2170558849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7.74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3.4</v>
      </c>
      <c r="BJ1315" s="2">
        <v>1.6</v>
      </c>
      <c r="BK1315" s="2">
        <v>3.5</v>
      </c>
      <c r="BL1315" s="2">
        <v>73.260000000000005</v>
      </c>
      <c r="BM1315" s="2">
        <v>10.26</v>
      </c>
      <c r="BN1315" s="2">
        <v>83.52</v>
      </c>
      <c r="BO1315" s="2">
        <v>83.52</v>
      </c>
      <c r="BP1315" s="2"/>
      <c r="BQ1315" s="2" t="s">
        <v>1058</v>
      </c>
      <c r="BR1315" s="2" t="s">
        <v>123</v>
      </c>
      <c r="BS1315" s="3">
        <v>42829</v>
      </c>
      <c r="BT1315" s="4">
        <v>0.30555555555555552</v>
      </c>
      <c r="BU1315" s="2" t="s">
        <v>1886</v>
      </c>
      <c r="BV1315" s="2" t="s">
        <v>111</v>
      </c>
      <c r="BW1315" s="2"/>
      <c r="BX1315" s="2"/>
      <c r="BY1315" s="2">
        <v>8229.89</v>
      </c>
      <c r="BZ1315" s="2" t="s">
        <v>27</v>
      </c>
      <c r="CA1315" s="2" t="s">
        <v>154</v>
      </c>
      <c r="CB1315" s="2"/>
      <c r="CC1315" s="2" t="s">
        <v>100</v>
      </c>
      <c r="CD1315" s="2">
        <v>6001</v>
      </c>
      <c r="CE1315" s="2" t="s">
        <v>135</v>
      </c>
      <c r="CF1315" s="5">
        <v>42829</v>
      </c>
      <c r="CG1315" s="2"/>
      <c r="CH1315" s="2"/>
      <c r="CI1315" s="2">
        <v>1</v>
      </c>
      <c r="CJ1315" s="2">
        <v>1</v>
      </c>
      <c r="CK1315" s="2">
        <v>21</v>
      </c>
      <c r="CL1315" s="2" t="s">
        <v>86</v>
      </c>
      <c r="CM1315" s="2"/>
    </row>
    <row r="1316" spans="1:91">
      <c r="A1316" s="2" t="s">
        <v>71</v>
      </c>
      <c r="B1316" s="2" t="s">
        <v>72</v>
      </c>
      <c r="C1316" s="2" t="s">
        <v>73</v>
      </c>
      <c r="D1316" s="2"/>
      <c r="E1316" s="2" t="str">
        <f>"FES1162542206"</f>
        <v>FES1162542206</v>
      </c>
      <c r="F1316" s="3">
        <v>42832</v>
      </c>
      <c r="G1316" s="2">
        <v>201710</v>
      </c>
      <c r="H1316" s="2" t="s">
        <v>74</v>
      </c>
      <c r="I1316" s="2" t="s">
        <v>75</v>
      </c>
      <c r="J1316" s="2" t="s">
        <v>76</v>
      </c>
      <c r="K1316" s="2" t="s">
        <v>77</v>
      </c>
      <c r="L1316" s="2" t="s">
        <v>74</v>
      </c>
      <c r="M1316" s="2" t="s">
        <v>75</v>
      </c>
      <c r="N1316" s="2" t="s">
        <v>488</v>
      </c>
      <c r="O1316" s="2" t="s">
        <v>115</v>
      </c>
      <c r="P1316" s="2" t="str">
        <f>"2170560665                    "</f>
        <v xml:space="preserve">2170560665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3.35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7</v>
      </c>
      <c r="BJ1316" s="2">
        <v>1.8</v>
      </c>
      <c r="BK1316" s="2">
        <v>7</v>
      </c>
      <c r="BL1316" s="2">
        <v>32.6</v>
      </c>
      <c r="BM1316" s="2">
        <v>4.5599999999999996</v>
      </c>
      <c r="BN1316" s="2">
        <v>37.159999999999997</v>
      </c>
      <c r="BO1316" s="2">
        <v>37.159999999999997</v>
      </c>
      <c r="BP1316" s="2"/>
      <c r="BQ1316" s="2" t="s">
        <v>489</v>
      </c>
      <c r="BR1316" s="2" t="s">
        <v>123</v>
      </c>
      <c r="BS1316" s="3">
        <v>42835</v>
      </c>
      <c r="BT1316" s="4">
        <v>0.35069444444444442</v>
      </c>
      <c r="BU1316" s="2" t="s">
        <v>1750</v>
      </c>
      <c r="BV1316" s="2" t="s">
        <v>111</v>
      </c>
      <c r="BW1316" s="2"/>
      <c r="BX1316" s="2"/>
      <c r="BY1316" s="2">
        <v>9200.01</v>
      </c>
      <c r="BZ1316" s="2" t="s">
        <v>27</v>
      </c>
      <c r="CA1316" s="2"/>
      <c r="CB1316" s="2"/>
      <c r="CC1316" s="2" t="s">
        <v>75</v>
      </c>
      <c r="CD1316" s="2">
        <v>1645</v>
      </c>
      <c r="CE1316" s="2" t="s">
        <v>775</v>
      </c>
      <c r="CF1316" s="5">
        <v>42836</v>
      </c>
      <c r="CG1316" s="2"/>
      <c r="CH1316" s="2"/>
      <c r="CI1316" s="2">
        <v>1</v>
      </c>
      <c r="CJ1316" s="2">
        <v>1</v>
      </c>
      <c r="CK1316" s="2">
        <v>22</v>
      </c>
      <c r="CL1316" s="2" t="s">
        <v>86</v>
      </c>
      <c r="CM1316" s="2"/>
    </row>
    <row r="1317" spans="1:91">
      <c r="A1317" s="2" t="s">
        <v>71</v>
      </c>
      <c r="B1317" s="2" t="s">
        <v>72</v>
      </c>
      <c r="C1317" s="2" t="s">
        <v>73</v>
      </c>
      <c r="D1317" s="2"/>
      <c r="E1317" s="2" t="str">
        <f>"FES1162542522"</f>
        <v>FES1162542522</v>
      </c>
      <c r="F1317" s="3">
        <v>42835</v>
      </c>
      <c r="G1317" s="2">
        <v>201710</v>
      </c>
      <c r="H1317" s="2" t="s">
        <v>74</v>
      </c>
      <c r="I1317" s="2" t="s">
        <v>75</v>
      </c>
      <c r="J1317" s="2" t="s">
        <v>76</v>
      </c>
      <c r="K1317" s="2" t="s">
        <v>77</v>
      </c>
      <c r="L1317" s="2" t="s">
        <v>131</v>
      </c>
      <c r="M1317" s="2" t="s">
        <v>132</v>
      </c>
      <c r="N1317" s="2" t="s">
        <v>1851</v>
      </c>
      <c r="O1317" s="2" t="s">
        <v>115</v>
      </c>
      <c r="P1317" s="2" t="str">
        <f>"2170561390                    "</f>
        <v xml:space="preserve">2170561390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12.86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4.3</v>
      </c>
      <c r="BJ1317" s="2">
        <v>6</v>
      </c>
      <c r="BK1317" s="2">
        <v>6</v>
      </c>
      <c r="BL1317" s="2">
        <v>125.18</v>
      </c>
      <c r="BM1317" s="2">
        <v>17.53</v>
      </c>
      <c r="BN1317" s="2">
        <v>142.71</v>
      </c>
      <c r="BO1317" s="2">
        <v>142.71</v>
      </c>
      <c r="BP1317" s="2"/>
      <c r="BQ1317" s="2" t="s">
        <v>129</v>
      </c>
      <c r="BR1317" s="2" t="s">
        <v>123</v>
      </c>
      <c r="BS1317" s="3">
        <v>42836</v>
      </c>
      <c r="BT1317" s="4">
        <v>0.4201388888888889</v>
      </c>
      <c r="BU1317" s="2" t="s">
        <v>1852</v>
      </c>
      <c r="BV1317" s="2" t="s">
        <v>111</v>
      </c>
      <c r="BW1317" s="2"/>
      <c r="BX1317" s="2"/>
      <c r="BY1317" s="2">
        <v>29929.279999999999</v>
      </c>
      <c r="BZ1317" s="2" t="s">
        <v>27</v>
      </c>
      <c r="CA1317" s="2"/>
      <c r="CB1317" s="2"/>
      <c r="CC1317" s="2" t="s">
        <v>132</v>
      </c>
      <c r="CD1317" s="2">
        <v>7405</v>
      </c>
      <c r="CE1317" s="2" t="s">
        <v>1838</v>
      </c>
      <c r="CF1317" s="5">
        <v>42837</v>
      </c>
      <c r="CG1317" s="2"/>
      <c r="CH1317" s="2"/>
      <c r="CI1317" s="2">
        <v>1</v>
      </c>
      <c r="CJ1317" s="2">
        <v>1</v>
      </c>
      <c r="CK1317" s="2">
        <v>21</v>
      </c>
      <c r="CL1317" s="2" t="s">
        <v>86</v>
      </c>
      <c r="CM1317" s="2"/>
    </row>
    <row r="1318" spans="1:91">
      <c r="A1318" s="2" t="s">
        <v>71</v>
      </c>
      <c r="B1318" s="2" t="s">
        <v>72</v>
      </c>
      <c r="C1318" s="2" t="s">
        <v>73</v>
      </c>
      <c r="D1318" s="2"/>
      <c r="E1318" s="2" t="str">
        <f>"FES1162540997"</f>
        <v>FES1162540997</v>
      </c>
      <c r="F1318" s="3">
        <v>42828</v>
      </c>
      <c r="G1318" s="2">
        <v>201710</v>
      </c>
      <c r="H1318" s="2" t="s">
        <v>74</v>
      </c>
      <c r="I1318" s="2" t="s">
        <v>75</v>
      </c>
      <c r="J1318" s="2" t="s">
        <v>76</v>
      </c>
      <c r="K1318" s="2" t="s">
        <v>77</v>
      </c>
      <c r="L1318" s="2" t="s">
        <v>112</v>
      </c>
      <c r="M1318" s="2" t="s">
        <v>113</v>
      </c>
      <c r="N1318" s="2" t="s">
        <v>386</v>
      </c>
      <c r="O1318" s="2" t="s">
        <v>115</v>
      </c>
      <c r="P1318" s="2" t="str">
        <f>"2170560076                    "</f>
        <v xml:space="preserve">2170560076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4.42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2</v>
      </c>
      <c r="BJ1318" s="2">
        <v>0.9</v>
      </c>
      <c r="BK1318" s="2">
        <v>2</v>
      </c>
      <c r="BL1318" s="2">
        <v>41.86</v>
      </c>
      <c r="BM1318" s="2">
        <v>5.86</v>
      </c>
      <c r="BN1318" s="2">
        <v>47.72</v>
      </c>
      <c r="BO1318" s="2">
        <v>47.72</v>
      </c>
      <c r="BP1318" s="2"/>
      <c r="BQ1318" s="2" t="s">
        <v>122</v>
      </c>
      <c r="BR1318" s="2" t="s">
        <v>123</v>
      </c>
      <c r="BS1318" s="3">
        <v>42829</v>
      </c>
      <c r="BT1318" s="4">
        <v>0.39583333333333331</v>
      </c>
      <c r="BU1318" s="2" t="s">
        <v>387</v>
      </c>
      <c r="BV1318" s="2" t="s">
        <v>111</v>
      </c>
      <c r="BW1318" s="2"/>
      <c r="BX1318" s="2"/>
      <c r="BY1318" s="2">
        <v>4275</v>
      </c>
      <c r="BZ1318" s="2" t="s">
        <v>27</v>
      </c>
      <c r="CA1318" s="2" t="s">
        <v>159</v>
      </c>
      <c r="CB1318" s="2"/>
      <c r="CC1318" s="2" t="s">
        <v>113</v>
      </c>
      <c r="CD1318" s="2">
        <v>3200</v>
      </c>
      <c r="CE1318" s="2" t="s">
        <v>135</v>
      </c>
      <c r="CF1318" s="5">
        <v>42831</v>
      </c>
      <c r="CG1318" s="2"/>
      <c r="CH1318" s="2"/>
      <c r="CI1318" s="2">
        <v>1</v>
      </c>
      <c r="CJ1318" s="2">
        <v>1</v>
      </c>
      <c r="CK1318" s="2">
        <v>21</v>
      </c>
      <c r="CL1318" s="2" t="s">
        <v>86</v>
      </c>
      <c r="CM1318" s="2"/>
    </row>
    <row r="1319" spans="1:91">
      <c r="A1319" s="2" t="s">
        <v>71</v>
      </c>
      <c r="B1319" s="2" t="s">
        <v>72</v>
      </c>
      <c r="C1319" s="2" t="s">
        <v>73</v>
      </c>
      <c r="D1319" s="2"/>
      <c r="E1319" s="2" t="str">
        <f>"FES1162542040"</f>
        <v>FES1162542040</v>
      </c>
      <c r="F1319" s="3">
        <v>42832</v>
      </c>
      <c r="G1319" s="2">
        <v>201710</v>
      </c>
      <c r="H1319" s="2" t="s">
        <v>74</v>
      </c>
      <c r="I1319" s="2" t="s">
        <v>75</v>
      </c>
      <c r="J1319" s="2" t="s">
        <v>76</v>
      </c>
      <c r="K1319" s="2" t="s">
        <v>77</v>
      </c>
      <c r="L1319" s="2" t="s">
        <v>166</v>
      </c>
      <c r="M1319" s="2" t="s">
        <v>167</v>
      </c>
      <c r="N1319" s="2" t="s">
        <v>168</v>
      </c>
      <c r="O1319" s="2" t="s">
        <v>1014</v>
      </c>
      <c r="P1319" s="2" t="str">
        <f>"2170557039                    "</f>
        <v xml:space="preserve">2170557039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6.35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16</v>
      </c>
      <c r="BJ1319" s="2">
        <v>6.1</v>
      </c>
      <c r="BK1319" s="2">
        <v>16</v>
      </c>
      <c r="BL1319" s="2">
        <v>61.84</v>
      </c>
      <c r="BM1319" s="2">
        <v>8.66</v>
      </c>
      <c r="BN1319" s="2">
        <v>70.5</v>
      </c>
      <c r="BO1319" s="2">
        <v>70.5</v>
      </c>
      <c r="BP1319" s="2"/>
      <c r="BQ1319" s="2" t="s">
        <v>169</v>
      </c>
      <c r="BR1319" s="2" t="s">
        <v>123</v>
      </c>
      <c r="BS1319" s="3">
        <v>42835</v>
      </c>
      <c r="BT1319" s="4">
        <v>0.33333333333333331</v>
      </c>
      <c r="BU1319" s="2" t="s">
        <v>170</v>
      </c>
      <c r="BV1319" s="2" t="s">
        <v>111</v>
      </c>
      <c r="BW1319" s="2"/>
      <c r="BX1319" s="2"/>
      <c r="BY1319" s="2">
        <v>30375</v>
      </c>
      <c r="BZ1319" s="2" t="s">
        <v>27</v>
      </c>
      <c r="CA1319" s="2"/>
      <c r="CB1319" s="2"/>
      <c r="CC1319" s="2" t="s">
        <v>167</v>
      </c>
      <c r="CD1319" s="2">
        <v>2094</v>
      </c>
      <c r="CE1319" s="2" t="s">
        <v>89</v>
      </c>
      <c r="CF1319" s="5">
        <v>42836</v>
      </c>
      <c r="CG1319" s="2"/>
      <c r="CH1319" s="2"/>
      <c r="CI1319" s="2">
        <v>1</v>
      </c>
      <c r="CJ1319" s="2">
        <v>1</v>
      </c>
      <c r="CK1319" s="2">
        <v>32</v>
      </c>
      <c r="CL1319" s="2" t="s">
        <v>86</v>
      </c>
      <c r="CM1319" s="2"/>
    </row>
    <row r="1320" spans="1:91">
      <c r="A1320" s="2" t="s">
        <v>71</v>
      </c>
      <c r="B1320" s="2" t="s">
        <v>72</v>
      </c>
      <c r="C1320" s="2" t="s">
        <v>73</v>
      </c>
      <c r="D1320" s="2"/>
      <c r="E1320" s="2" t="str">
        <f>"FES1162540992"</f>
        <v>FES1162540992</v>
      </c>
      <c r="F1320" s="3">
        <v>42828</v>
      </c>
      <c r="G1320" s="2">
        <v>201710</v>
      </c>
      <c r="H1320" s="2" t="s">
        <v>74</v>
      </c>
      <c r="I1320" s="2" t="s">
        <v>75</v>
      </c>
      <c r="J1320" s="2" t="s">
        <v>76</v>
      </c>
      <c r="K1320" s="2" t="s">
        <v>77</v>
      </c>
      <c r="L1320" s="2" t="s">
        <v>187</v>
      </c>
      <c r="M1320" s="2" t="s">
        <v>146</v>
      </c>
      <c r="N1320" s="2" t="s">
        <v>427</v>
      </c>
      <c r="O1320" s="2" t="s">
        <v>115</v>
      </c>
      <c r="P1320" s="2" t="str">
        <f>"2170556333                    "</f>
        <v xml:space="preserve">2170556333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4.42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1</v>
      </c>
      <c r="BJ1320" s="2">
        <v>0.2</v>
      </c>
      <c r="BK1320" s="2">
        <v>1</v>
      </c>
      <c r="BL1320" s="2">
        <v>41.86</v>
      </c>
      <c r="BM1320" s="2">
        <v>5.86</v>
      </c>
      <c r="BN1320" s="2">
        <v>47.72</v>
      </c>
      <c r="BO1320" s="2">
        <v>47.72</v>
      </c>
      <c r="BP1320" s="2"/>
      <c r="BQ1320" s="2" t="s">
        <v>428</v>
      </c>
      <c r="BR1320" s="2" t="s">
        <v>123</v>
      </c>
      <c r="BS1320" s="3">
        <v>42829</v>
      </c>
      <c r="BT1320" s="4">
        <v>0.36458333333333331</v>
      </c>
      <c r="BU1320" s="2" t="s">
        <v>1875</v>
      </c>
      <c r="BV1320" s="2" t="s">
        <v>111</v>
      </c>
      <c r="BW1320" s="2"/>
      <c r="BX1320" s="2"/>
      <c r="BY1320" s="2">
        <v>1200</v>
      </c>
      <c r="BZ1320" s="2" t="s">
        <v>27</v>
      </c>
      <c r="CA1320" s="2"/>
      <c r="CB1320" s="2"/>
      <c r="CC1320" s="2" t="s">
        <v>146</v>
      </c>
      <c r="CD1320" s="2">
        <v>184</v>
      </c>
      <c r="CE1320" s="2" t="s">
        <v>144</v>
      </c>
      <c r="CF1320" s="5">
        <v>42832</v>
      </c>
      <c r="CG1320" s="2"/>
      <c r="CH1320" s="2"/>
      <c r="CI1320" s="2">
        <v>0</v>
      </c>
      <c r="CJ1320" s="2">
        <v>0</v>
      </c>
      <c r="CK1320" s="2">
        <v>21</v>
      </c>
      <c r="CL1320" s="2" t="s">
        <v>86</v>
      </c>
      <c r="CM1320" s="2"/>
    </row>
    <row r="1321" spans="1:91">
      <c r="A1321" s="2" t="s">
        <v>71</v>
      </c>
      <c r="B1321" s="2" t="s">
        <v>72</v>
      </c>
      <c r="C1321" s="2" t="s">
        <v>73</v>
      </c>
      <c r="D1321" s="2"/>
      <c r="E1321" s="2" t="str">
        <f>"FES1162542549"</f>
        <v>FES1162542549</v>
      </c>
      <c r="F1321" s="3">
        <v>42835</v>
      </c>
      <c r="G1321" s="2">
        <v>201710</v>
      </c>
      <c r="H1321" s="2" t="s">
        <v>74</v>
      </c>
      <c r="I1321" s="2" t="s">
        <v>75</v>
      </c>
      <c r="J1321" s="2" t="s">
        <v>76</v>
      </c>
      <c r="K1321" s="2" t="s">
        <v>77</v>
      </c>
      <c r="L1321" s="2" t="s">
        <v>176</v>
      </c>
      <c r="M1321" s="2" t="s">
        <v>176</v>
      </c>
      <c r="N1321" s="2" t="s">
        <v>339</v>
      </c>
      <c r="O1321" s="2" t="s">
        <v>115</v>
      </c>
      <c r="P1321" s="2" t="str">
        <f>"2170561220                    "</f>
        <v xml:space="preserve">2170561220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22.51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10.199999999999999</v>
      </c>
      <c r="BJ1321" s="2">
        <v>6.5</v>
      </c>
      <c r="BK1321" s="2">
        <v>10.5</v>
      </c>
      <c r="BL1321" s="2">
        <v>219.07</v>
      </c>
      <c r="BM1321" s="2">
        <v>30.67</v>
      </c>
      <c r="BN1321" s="2">
        <v>249.74</v>
      </c>
      <c r="BO1321" s="2">
        <v>249.74</v>
      </c>
      <c r="BP1321" s="2"/>
      <c r="BQ1321" s="2" t="s">
        <v>340</v>
      </c>
      <c r="BR1321" s="2" t="s">
        <v>123</v>
      </c>
      <c r="BS1321" s="3">
        <v>42836</v>
      </c>
      <c r="BT1321" s="4">
        <v>0.51388888888888895</v>
      </c>
      <c r="BU1321" s="2" t="s">
        <v>899</v>
      </c>
      <c r="BV1321" s="2" t="s">
        <v>111</v>
      </c>
      <c r="BW1321" s="2"/>
      <c r="BX1321" s="2"/>
      <c r="BY1321" s="2">
        <v>32277.16</v>
      </c>
      <c r="BZ1321" s="2" t="s">
        <v>27</v>
      </c>
      <c r="CA1321" s="2"/>
      <c r="CB1321" s="2"/>
      <c r="CC1321" s="2" t="s">
        <v>176</v>
      </c>
      <c r="CD1321" s="2">
        <v>7646</v>
      </c>
      <c r="CE1321" s="2" t="s">
        <v>135</v>
      </c>
      <c r="CF1321" s="5">
        <v>42837</v>
      </c>
      <c r="CG1321" s="2"/>
      <c r="CH1321" s="2"/>
      <c r="CI1321" s="2">
        <v>1</v>
      </c>
      <c r="CJ1321" s="2">
        <v>1</v>
      </c>
      <c r="CK1321" s="2">
        <v>21</v>
      </c>
      <c r="CL1321" s="2" t="s">
        <v>86</v>
      </c>
      <c r="CM1321" s="2"/>
    </row>
    <row r="1322" spans="1:91">
      <c r="A1322" s="2" t="s">
        <v>71</v>
      </c>
      <c r="B1322" s="2" t="s">
        <v>72</v>
      </c>
      <c r="C1322" s="2" t="s">
        <v>73</v>
      </c>
      <c r="D1322" s="2"/>
      <c r="E1322" s="2" t="str">
        <f>"FES1162542239"</f>
        <v>FES1162542239</v>
      </c>
      <c r="F1322" s="3">
        <v>42832</v>
      </c>
      <c r="G1322" s="2">
        <v>201710</v>
      </c>
      <c r="H1322" s="2" t="s">
        <v>74</v>
      </c>
      <c r="I1322" s="2" t="s">
        <v>75</v>
      </c>
      <c r="J1322" s="2" t="s">
        <v>76</v>
      </c>
      <c r="K1322" s="2" t="s">
        <v>77</v>
      </c>
      <c r="L1322" s="2" t="s">
        <v>131</v>
      </c>
      <c r="M1322" s="2" t="s">
        <v>132</v>
      </c>
      <c r="N1322" s="2" t="s">
        <v>1887</v>
      </c>
      <c r="O1322" s="2" t="s">
        <v>115</v>
      </c>
      <c r="P1322" s="2" t="str">
        <f>"2170561136                    "</f>
        <v xml:space="preserve">2170561136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4.29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1</v>
      </c>
      <c r="BJ1322" s="2">
        <v>0.2</v>
      </c>
      <c r="BK1322" s="2">
        <v>1</v>
      </c>
      <c r="BL1322" s="2">
        <v>41.73</v>
      </c>
      <c r="BM1322" s="2">
        <v>5.84</v>
      </c>
      <c r="BN1322" s="2">
        <v>47.57</v>
      </c>
      <c r="BO1322" s="2">
        <v>47.57</v>
      </c>
      <c r="BP1322" s="2"/>
      <c r="BQ1322" s="2"/>
      <c r="BR1322" s="2" t="s">
        <v>123</v>
      </c>
      <c r="BS1322" s="3">
        <v>42835</v>
      </c>
      <c r="BT1322" s="4">
        <v>0.40763888888888888</v>
      </c>
      <c r="BU1322" s="2" t="s">
        <v>1888</v>
      </c>
      <c r="BV1322" s="2" t="s">
        <v>111</v>
      </c>
      <c r="BW1322" s="2"/>
      <c r="BX1322" s="2"/>
      <c r="BY1322" s="2">
        <v>1200</v>
      </c>
      <c r="BZ1322" s="2" t="s">
        <v>27</v>
      </c>
      <c r="CA1322" s="2"/>
      <c r="CB1322" s="2"/>
      <c r="CC1322" s="2" t="s">
        <v>132</v>
      </c>
      <c r="CD1322" s="2">
        <v>7530</v>
      </c>
      <c r="CE1322" s="2" t="s">
        <v>144</v>
      </c>
      <c r="CF1322" s="5">
        <v>42836</v>
      </c>
      <c r="CG1322" s="2"/>
      <c r="CH1322" s="2"/>
      <c r="CI1322" s="2">
        <v>1</v>
      </c>
      <c r="CJ1322" s="2">
        <v>1</v>
      </c>
      <c r="CK1322" s="2">
        <v>21</v>
      </c>
      <c r="CL1322" s="2" t="s">
        <v>86</v>
      </c>
      <c r="CM1322" s="2"/>
    </row>
    <row r="1323" spans="1:91">
      <c r="A1323" s="2" t="s">
        <v>71</v>
      </c>
      <c r="B1323" s="2" t="s">
        <v>72</v>
      </c>
      <c r="C1323" s="2" t="s">
        <v>73</v>
      </c>
      <c r="D1323" s="2"/>
      <c r="E1323" s="2" t="str">
        <f>"FES1162541128"</f>
        <v>FES1162541128</v>
      </c>
      <c r="F1323" s="3">
        <v>42828</v>
      </c>
      <c r="G1323" s="2">
        <v>201710</v>
      </c>
      <c r="H1323" s="2" t="s">
        <v>74</v>
      </c>
      <c r="I1323" s="2" t="s">
        <v>75</v>
      </c>
      <c r="J1323" s="2" t="s">
        <v>76</v>
      </c>
      <c r="K1323" s="2" t="s">
        <v>77</v>
      </c>
      <c r="L1323" s="2" t="s">
        <v>131</v>
      </c>
      <c r="M1323" s="2" t="s">
        <v>132</v>
      </c>
      <c r="N1323" s="2" t="s">
        <v>1468</v>
      </c>
      <c r="O1323" s="2" t="s">
        <v>115</v>
      </c>
      <c r="P1323" s="2" t="str">
        <f>"2170559917                    "</f>
        <v xml:space="preserve">2170559917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4.42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1</v>
      </c>
      <c r="BJ1323" s="2">
        <v>0.2</v>
      </c>
      <c r="BK1323" s="2">
        <v>1</v>
      </c>
      <c r="BL1323" s="2">
        <v>41.86</v>
      </c>
      <c r="BM1323" s="2">
        <v>5.86</v>
      </c>
      <c r="BN1323" s="2">
        <v>47.72</v>
      </c>
      <c r="BO1323" s="2">
        <v>47.72</v>
      </c>
      <c r="BP1323" s="2"/>
      <c r="BQ1323" s="2" t="s">
        <v>1469</v>
      </c>
      <c r="BR1323" s="2" t="s">
        <v>123</v>
      </c>
      <c r="BS1323" s="3">
        <v>42829</v>
      </c>
      <c r="BT1323" s="4">
        <v>0.36458333333333331</v>
      </c>
      <c r="BU1323" s="2" t="s">
        <v>1889</v>
      </c>
      <c r="BV1323" s="2" t="s">
        <v>111</v>
      </c>
      <c r="BW1323" s="2"/>
      <c r="BX1323" s="2"/>
      <c r="BY1323" s="2">
        <v>1200</v>
      </c>
      <c r="BZ1323" s="2" t="s">
        <v>27</v>
      </c>
      <c r="CA1323" s="2"/>
      <c r="CB1323" s="2"/>
      <c r="CC1323" s="2" t="s">
        <v>132</v>
      </c>
      <c r="CD1323" s="2">
        <v>7493</v>
      </c>
      <c r="CE1323" s="2" t="s">
        <v>144</v>
      </c>
      <c r="CF1323" s="5">
        <v>42830</v>
      </c>
      <c r="CG1323" s="2"/>
      <c r="CH1323" s="2"/>
      <c r="CI1323" s="2">
        <v>1</v>
      </c>
      <c r="CJ1323" s="2">
        <v>1</v>
      </c>
      <c r="CK1323" s="2">
        <v>21</v>
      </c>
      <c r="CL1323" s="2" t="s">
        <v>86</v>
      </c>
      <c r="CM1323" s="2"/>
    </row>
    <row r="1324" spans="1:91">
      <c r="A1324" s="2" t="s">
        <v>71</v>
      </c>
      <c r="B1324" s="2" t="s">
        <v>72</v>
      </c>
      <c r="C1324" s="2" t="s">
        <v>73</v>
      </c>
      <c r="D1324" s="2"/>
      <c r="E1324" s="2" t="str">
        <f>"FES1162542518"</f>
        <v>FES1162542518</v>
      </c>
      <c r="F1324" s="3">
        <v>42835</v>
      </c>
      <c r="G1324" s="2">
        <v>201710</v>
      </c>
      <c r="H1324" s="2" t="s">
        <v>74</v>
      </c>
      <c r="I1324" s="2" t="s">
        <v>75</v>
      </c>
      <c r="J1324" s="2" t="s">
        <v>76</v>
      </c>
      <c r="K1324" s="2" t="s">
        <v>77</v>
      </c>
      <c r="L1324" s="2" t="s">
        <v>234</v>
      </c>
      <c r="M1324" s="2" t="s">
        <v>235</v>
      </c>
      <c r="N1324" s="2" t="s">
        <v>236</v>
      </c>
      <c r="O1324" s="2" t="s">
        <v>115</v>
      </c>
      <c r="P1324" s="2" t="str">
        <f>"2170561386                    "</f>
        <v xml:space="preserve">2170561386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22.51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10.4</v>
      </c>
      <c r="BJ1324" s="2">
        <v>4.2</v>
      </c>
      <c r="BK1324" s="2">
        <v>10.5</v>
      </c>
      <c r="BL1324" s="2">
        <v>219.07</v>
      </c>
      <c r="BM1324" s="2">
        <v>30.67</v>
      </c>
      <c r="BN1324" s="2">
        <v>249.74</v>
      </c>
      <c r="BO1324" s="2">
        <v>249.74</v>
      </c>
      <c r="BP1324" s="2"/>
      <c r="BQ1324" s="2" t="s">
        <v>285</v>
      </c>
      <c r="BR1324" s="2" t="s">
        <v>123</v>
      </c>
      <c r="BS1324" s="3">
        <v>42836</v>
      </c>
      <c r="BT1324" s="4">
        <v>0.30555555555555552</v>
      </c>
      <c r="BU1324" s="2" t="s">
        <v>904</v>
      </c>
      <c r="BV1324" s="2" t="s">
        <v>111</v>
      </c>
      <c r="BW1324" s="2"/>
      <c r="BX1324" s="2"/>
      <c r="BY1324" s="2">
        <v>20772.12</v>
      </c>
      <c r="BZ1324" s="2" t="s">
        <v>27</v>
      </c>
      <c r="CA1324" s="2" t="s">
        <v>159</v>
      </c>
      <c r="CB1324" s="2"/>
      <c r="CC1324" s="2" t="s">
        <v>235</v>
      </c>
      <c r="CD1324" s="2">
        <v>6220</v>
      </c>
      <c r="CE1324" s="2" t="s">
        <v>135</v>
      </c>
      <c r="CF1324" s="5">
        <v>42837</v>
      </c>
      <c r="CG1324" s="2"/>
      <c r="CH1324" s="2"/>
      <c r="CI1324" s="2">
        <v>1</v>
      </c>
      <c r="CJ1324" s="2">
        <v>1</v>
      </c>
      <c r="CK1324" s="2">
        <v>21</v>
      </c>
      <c r="CL1324" s="2" t="s">
        <v>86</v>
      </c>
      <c r="CM1324" s="2"/>
    </row>
    <row r="1325" spans="1:91">
      <c r="A1325" s="2" t="s">
        <v>71</v>
      </c>
      <c r="B1325" s="2" t="s">
        <v>72</v>
      </c>
      <c r="C1325" s="2" t="s">
        <v>73</v>
      </c>
      <c r="D1325" s="2"/>
      <c r="E1325" s="2" t="str">
        <f>"FES1162541109"</f>
        <v>FES1162541109</v>
      </c>
      <c r="F1325" s="3">
        <v>42828</v>
      </c>
      <c r="G1325" s="2">
        <v>201710</v>
      </c>
      <c r="H1325" s="2" t="s">
        <v>74</v>
      </c>
      <c r="I1325" s="2" t="s">
        <v>75</v>
      </c>
      <c r="J1325" s="2" t="s">
        <v>76</v>
      </c>
      <c r="K1325" s="2" t="s">
        <v>77</v>
      </c>
      <c r="L1325" s="2" t="s">
        <v>260</v>
      </c>
      <c r="M1325" s="2" t="s">
        <v>261</v>
      </c>
      <c r="N1325" s="2" t="s">
        <v>1371</v>
      </c>
      <c r="O1325" s="2" t="s">
        <v>115</v>
      </c>
      <c r="P1325" s="2" t="str">
        <f>"2170560191                    "</f>
        <v xml:space="preserve">2170560191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3.45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1</v>
      </c>
      <c r="BJ1325" s="2">
        <v>0.2</v>
      </c>
      <c r="BK1325" s="2">
        <v>1</v>
      </c>
      <c r="BL1325" s="2">
        <v>32.700000000000003</v>
      </c>
      <c r="BM1325" s="2">
        <v>4.58</v>
      </c>
      <c r="BN1325" s="2">
        <v>37.28</v>
      </c>
      <c r="BO1325" s="2">
        <v>37.28</v>
      </c>
      <c r="BP1325" s="2"/>
      <c r="BQ1325" s="2" t="s">
        <v>1372</v>
      </c>
      <c r="BR1325" s="2" t="s">
        <v>123</v>
      </c>
      <c r="BS1325" s="3">
        <v>42829</v>
      </c>
      <c r="BT1325" s="4">
        <v>0.36805555555555558</v>
      </c>
      <c r="BU1325" s="2" t="s">
        <v>1890</v>
      </c>
      <c r="BV1325" s="2" t="s">
        <v>111</v>
      </c>
      <c r="BW1325" s="2"/>
      <c r="BX1325" s="2"/>
      <c r="BY1325" s="2">
        <v>1200</v>
      </c>
      <c r="BZ1325" s="2" t="s">
        <v>27</v>
      </c>
      <c r="CA1325" s="2"/>
      <c r="CB1325" s="2"/>
      <c r="CC1325" s="2" t="s">
        <v>261</v>
      </c>
      <c r="CD1325" s="2">
        <v>1451</v>
      </c>
      <c r="CE1325" s="2" t="s">
        <v>118</v>
      </c>
      <c r="CF1325" s="5">
        <v>42831</v>
      </c>
      <c r="CG1325" s="2"/>
      <c r="CH1325" s="2"/>
      <c r="CI1325" s="2">
        <v>1</v>
      </c>
      <c r="CJ1325" s="2">
        <v>1</v>
      </c>
      <c r="CK1325" s="2">
        <v>22</v>
      </c>
      <c r="CL1325" s="2" t="s">
        <v>86</v>
      </c>
      <c r="CM1325" s="2"/>
    </row>
    <row r="1326" spans="1:91">
      <c r="A1326" s="2" t="s">
        <v>71</v>
      </c>
      <c r="B1326" s="2" t="s">
        <v>72</v>
      </c>
      <c r="C1326" s="2" t="s">
        <v>73</v>
      </c>
      <c r="D1326" s="2"/>
      <c r="E1326" s="2" t="str">
        <f>"FES1162542233"</f>
        <v>FES1162542233</v>
      </c>
      <c r="F1326" s="3">
        <v>42832</v>
      </c>
      <c r="G1326" s="2">
        <v>201710</v>
      </c>
      <c r="H1326" s="2" t="s">
        <v>74</v>
      </c>
      <c r="I1326" s="2" t="s">
        <v>75</v>
      </c>
      <c r="J1326" s="2" t="s">
        <v>76</v>
      </c>
      <c r="K1326" s="2" t="s">
        <v>77</v>
      </c>
      <c r="L1326" s="2" t="s">
        <v>176</v>
      </c>
      <c r="M1326" s="2" t="s">
        <v>176</v>
      </c>
      <c r="N1326" s="2" t="s">
        <v>177</v>
      </c>
      <c r="O1326" s="2" t="s">
        <v>115</v>
      </c>
      <c r="P1326" s="2" t="str">
        <f>"2170561135                    "</f>
        <v xml:space="preserve">2170561135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4.29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1</v>
      </c>
      <c r="BJ1326" s="2">
        <v>0.2</v>
      </c>
      <c r="BK1326" s="2">
        <v>1</v>
      </c>
      <c r="BL1326" s="2">
        <v>41.73</v>
      </c>
      <c r="BM1326" s="2">
        <v>5.84</v>
      </c>
      <c r="BN1326" s="2">
        <v>47.57</v>
      </c>
      <c r="BO1326" s="2">
        <v>47.57</v>
      </c>
      <c r="BP1326" s="2"/>
      <c r="BQ1326" s="2" t="s">
        <v>178</v>
      </c>
      <c r="BR1326" s="2" t="s">
        <v>123</v>
      </c>
      <c r="BS1326" s="3">
        <v>42835</v>
      </c>
      <c r="BT1326" s="4">
        <v>0.46875</v>
      </c>
      <c r="BU1326" s="2" t="s">
        <v>1891</v>
      </c>
      <c r="BV1326" s="2" t="s">
        <v>111</v>
      </c>
      <c r="BW1326" s="2"/>
      <c r="BX1326" s="2"/>
      <c r="BY1326" s="2">
        <v>1200</v>
      </c>
      <c r="BZ1326" s="2" t="s">
        <v>27</v>
      </c>
      <c r="CA1326" s="2"/>
      <c r="CB1326" s="2"/>
      <c r="CC1326" s="2" t="s">
        <v>176</v>
      </c>
      <c r="CD1326" s="2">
        <v>7646</v>
      </c>
      <c r="CE1326" s="2" t="s">
        <v>144</v>
      </c>
      <c r="CF1326" s="5">
        <v>42836</v>
      </c>
      <c r="CG1326" s="2"/>
      <c r="CH1326" s="2"/>
      <c r="CI1326" s="2">
        <v>1</v>
      </c>
      <c r="CJ1326" s="2">
        <v>1</v>
      </c>
      <c r="CK1326" s="2">
        <v>21</v>
      </c>
      <c r="CL1326" s="2" t="s">
        <v>86</v>
      </c>
      <c r="CM1326" s="2"/>
    </row>
    <row r="1327" spans="1:91">
      <c r="A1327" s="2" t="s">
        <v>71</v>
      </c>
      <c r="B1327" s="2" t="s">
        <v>72</v>
      </c>
      <c r="C1327" s="2" t="s">
        <v>73</v>
      </c>
      <c r="D1327" s="2"/>
      <c r="E1327" s="2" t="str">
        <f>"FES1162541106"</f>
        <v>FES1162541106</v>
      </c>
      <c r="F1327" s="3">
        <v>42828</v>
      </c>
      <c r="G1327" s="2">
        <v>201710</v>
      </c>
      <c r="H1327" s="2" t="s">
        <v>74</v>
      </c>
      <c r="I1327" s="2" t="s">
        <v>75</v>
      </c>
      <c r="J1327" s="2" t="s">
        <v>76</v>
      </c>
      <c r="K1327" s="2" t="s">
        <v>77</v>
      </c>
      <c r="L1327" s="2" t="s">
        <v>190</v>
      </c>
      <c r="M1327" s="2" t="s">
        <v>191</v>
      </c>
      <c r="N1327" s="2" t="s">
        <v>192</v>
      </c>
      <c r="O1327" s="2" t="s">
        <v>115</v>
      </c>
      <c r="P1327" s="2" t="str">
        <f>"2170560174                    "</f>
        <v xml:space="preserve">2170560174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6.22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58.87</v>
      </c>
      <c r="BM1327" s="2">
        <v>8.24</v>
      </c>
      <c r="BN1327" s="2">
        <v>67.11</v>
      </c>
      <c r="BO1327" s="2">
        <v>67.11</v>
      </c>
      <c r="BP1327" s="2"/>
      <c r="BQ1327" s="2" t="s">
        <v>193</v>
      </c>
      <c r="BR1327" s="2" t="s">
        <v>123</v>
      </c>
      <c r="BS1327" s="3">
        <v>42829</v>
      </c>
      <c r="BT1327" s="4">
        <v>0.38194444444444442</v>
      </c>
      <c r="BU1327" s="2" t="s">
        <v>1892</v>
      </c>
      <c r="BV1327" s="2" t="s">
        <v>111</v>
      </c>
      <c r="BW1327" s="2"/>
      <c r="BX1327" s="2"/>
      <c r="BY1327" s="2">
        <v>1200</v>
      </c>
      <c r="BZ1327" s="2" t="s">
        <v>27</v>
      </c>
      <c r="CA1327" s="2"/>
      <c r="CB1327" s="2"/>
      <c r="CC1327" s="2" t="s">
        <v>191</v>
      </c>
      <c r="CD1327" s="2">
        <v>1739</v>
      </c>
      <c r="CE1327" s="2" t="s">
        <v>118</v>
      </c>
      <c r="CF1327" s="5">
        <v>42831</v>
      </c>
      <c r="CG1327" s="2"/>
      <c r="CH1327" s="2"/>
      <c r="CI1327" s="2">
        <v>1</v>
      </c>
      <c r="CJ1327" s="2">
        <v>1</v>
      </c>
      <c r="CK1327" s="2">
        <v>24</v>
      </c>
      <c r="CL1327" s="2" t="s">
        <v>86</v>
      </c>
      <c r="CM1327" s="2"/>
    </row>
    <row r="1328" spans="1:91">
      <c r="A1328" s="2" t="s">
        <v>71</v>
      </c>
      <c r="B1328" s="2" t="s">
        <v>72</v>
      </c>
      <c r="C1328" s="2" t="s">
        <v>73</v>
      </c>
      <c r="D1328" s="2"/>
      <c r="E1328" s="2" t="str">
        <f>"FES1162542666"</f>
        <v>FES1162542666</v>
      </c>
      <c r="F1328" s="3">
        <v>42835</v>
      </c>
      <c r="G1328" s="2">
        <v>201710</v>
      </c>
      <c r="H1328" s="2" t="s">
        <v>74</v>
      </c>
      <c r="I1328" s="2" t="s">
        <v>75</v>
      </c>
      <c r="J1328" s="2" t="s">
        <v>76</v>
      </c>
      <c r="K1328" s="2" t="s">
        <v>77</v>
      </c>
      <c r="L1328" s="2" t="s">
        <v>99</v>
      </c>
      <c r="M1328" s="2" t="s">
        <v>100</v>
      </c>
      <c r="N1328" s="2" t="s">
        <v>671</v>
      </c>
      <c r="O1328" s="2" t="s">
        <v>115</v>
      </c>
      <c r="P1328" s="2" t="str">
        <f>"2170561532                    "</f>
        <v xml:space="preserve">2170561532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9.65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3</v>
      </c>
      <c r="BJ1328" s="2">
        <v>4.4000000000000004</v>
      </c>
      <c r="BK1328" s="2">
        <v>4.5</v>
      </c>
      <c r="BL1328" s="2">
        <v>93.89</v>
      </c>
      <c r="BM1328" s="2">
        <v>13.14</v>
      </c>
      <c r="BN1328" s="2">
        <v>107.03</v>
      </c>
      <c r="BO1328" s="2">
        <v>107.03</v>
      </c>
      <c r="BP1328" s="2"/>
      <c r="BQ1328" s="2" t="s">
        <v>672</v>
      </c>
      <c r="BR1328" s="2" t="s">
        <v>123</v>
      </c>
      <c r="BS1328" s="3">
        <v>42836</v>
      </c>
      <c r="BT1328" s="4">
        <v>0.33402777777777781</v>
      </c>
      <c r="BU1328" s="2" t="s">
        <v>672</v>
      </c>
      <c r="BV1328" s="2" t="s">
        <v>111</v>
      </c>
      <c r="BW1328" s="2"/>
      <c r="BX1328" s="2"/>
      <c r="BY1328" s="2">
        <v>21760</v>
      </c>
      <c r="BZ1328" s="2" t="s">
        <v>27</v>
      </c>
      <c r="CA1328" s="2" t="s">
        <v>106</v>
      </c>
      <c r="CB1328" s="2"/>
      <c r="CC1328" s="2" t="s">
        <v>100</v>
      </c>
      <c r="CD1328" s="2">
        <v>6001</v>
      </c>
      <c r="CE1328" s="2" t="s">
        <v>287</v>
      </c>
      <c r="CF1328" s="5">
        <v>42836</v>
      </c>
      <c r="CG1328" s="2"/>
      <c r="CH1328" s="2"/>
      <c r="CI1328" s="2">
        <v>1</v>
      </c>
      <c r="CJ1328" s="2">
        <v>1</v>
      </c>
      <c r="CK1328" s="2">
        <v>21</v>
      </c>
      <c r="CL1328" s="2" t="s">
        <v>86</v>
      </c>
      <c r="CM1328" s="2"/>
    </row>
    <row r="1329" spans="1:91">
      <c r="A1329" s="2" t="s">
        <v>71</v>
      </c>
      <c r="B1329" s="2" t="s">
        <v>72</v>
      </c>
      <c r="C1329" s="2" t="s">
        <v>73</v>
      </c>
      <c r="D1329" s="2"/>
      <c r="E1329" s="2" t="str">
        <f>"FES1162541059"</f>
        <v>FES1162541059</v>
      </c>
      <c r="F1329" s="3">
        <v>42828</v>
      </c>
      <c r="G1329" s="2">
        <v>201710</v>
      </c>
      <c r="H1329" s="2" t="s">
        <v>74</v>
      </c>
      <c r="I1329" s="2" t="s">
        <v>75</v>
      </c>
      <c r="J1329" s="2" t="s">
        <v>76</v>
      </c>
      <c r="K1329" s="2" t="s">
        <v>77</v>
      </c>
      <c r="L1329" s="2" t="s">
        <v>358</v>
      </c>
      <c r="M1329" s="2" t="s">
        <v>359</v>
      </c>
      <c r="N1329" s="2" t="s">
        <v>360</v>
      </c>
      <c r="O1329" s="2" t="s">
        <v>115</v>
      </c>
      <c r="P1329" s="2" t="str">
        <f>"2170560135                    "</f>
        <v xml:space="preserve">2170560135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4.42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41.86</v>
      </c>
      <c r="BM1329" s="2">
        <v>5.86</v>
      </c>
      <c r="BN1329" s="2">
        <v>47.72</v>
      </c>
      <c r="BO1329" s="2">
        <v>47.72</v>
      </c>
      <c r="BP1329" s="2"/>
      <c r="BQ1329" s="2" t="s">
        <v>361</v>
      </c>
      <c r="BR1329" s="2" t="s">
        <v>123</v>
      </c>
      <c r="BS1329" s="3">
        <v>42829</v>
      </c>
      <c r="BT1329" s="4">
        <v>0.32291666666666669</v>
      </c>
      <c r="BU1329" s="2" t="s">
        <v>1861</v>
      </c>
      <c r="BV1329" s="2" t="s">
        <v>111</v>
      </c>
      <c r="BW1329" s="2"/>
      <c r="BX1329" s="2"/>
      <c r="BY1329" s="2">
        <v>1200</v>
      </c>
      <c r="BZ1329" s="2" t="s">
        <v>27</v>
      </c>
      <c r="CA1329" s="2" t="s">
        <v>1754</v>
      </c>
      <c r="CB1329" s="2"/>
      <c r="CC1329" s="2" t="s">
        <v>359</v>
      </c>
      <c r="CD1329" s="2">
        <v>6229</v>
      </c>
      <c r="CE1329" s="2" t="s">
        <v>144</v>
      </c>
      <c r="CF1329" s="5">
        <v>42831</v>
      </c>
      <c r="CG1329" s="2"/>
      <c r="CH1329" s="2"/>
      <c r="CI1329" s="2">
        <v>1</v>
      </c>
      <c r="CJ1329" s="2">
        <v>1</v>
      </c>
      <c r="CK1329" s="2">
        <v>21</v>
      </c>
      <c r="CL1329" s="2" t="s">
        <v>86</v>
      </c>
      <c r="CM1329" s="2"/>
    </row>
    <row r="1330" spans="1:91">
      <c r="A1330" s="2" t="s">
        <v>71</v>
      </c>
      <c r="B1330" s="2" t="s">
        <v>72</v>
      </c>
      <c r="C1330" s="2" t="s">
        <v>73</v>
      </c>
      <c r="D1330" s="2"/>
      <c r="E1330" s="2" t="str">
        <f>"FES1162542212"</f>
        <v>FES1162542212</v>
      </c>
      <c r="F1330" s="3">
        <v>42832</v>
      </c>
      <c r="G1330" s="2">
        <v>201710</v>
      </c>
      <c r="H1330" s="2" t="s">
        <v>74</v>
      </c>
      <c r="I1330" s="2" t="s">
        <v>75</v>
      </c>
      <c r="J1330" s="2" t="s">
        <v>76</v>
      </c>
      <c r="K1330" s="2" t="s">
        <v>77</v>
      </c>
      <c r="L1330" s="2" t="s">
        <v>322</v>
      </c>
      <c r="M1330" s="2" t="s">
        <v>323</v>
      </c>
      <c r="N1330" s="2" t="s">
        <v>1893</v>
      </c>
      <c r="O1330" s="2" t="s">
        <v>115</v>
      </c>
      <c r="P1330" s="2" t="str">
        <f>"2170561107                    "</f>
        <v xml:space="preserve">2170561107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3.35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1</v>
      </c>
      <c r="BJ1330" s="2">
        <v>0.2</v>
      </c>
      <c r="BK1330" s="2">
        <v>1</v>
      </c>
      <c r="BL1330" s="2">
        <v>32.6</v>
      </c>
      <c r="BM1330" s="2">
        <v>4.5599999999999996</v>
      </c>
      <c r="BN1330" s="2">
        <v>37.159999999999997</v>
      </c>
      <c r="BO1330" s="2">
        <v>37.159999999999997</v>
      </c>
      <c r="BP1330" s="2"/>
      <c r="BQ1330" s="2"/>
      <c r="BR1330" s="2" t="s">
        <v>123</v>
      </c>
      <c r="BS1330" s="3">
        <v>42835</v>
      </c>
      <c r="BT1330" s="4">
        <v>0.42152777777777778</v>
      </c>
      <c r="BU1330" s="2" t="s">
        <v>1894</v>
      </c>
      <c r="BV1330" s="2" t="s">
        <v>111</v>
      </c>
      <c r="BW1330" s="2"/>
      <c r="BX1330" s="2"/>
      <c r="BY1330" s="2">
        <v>1200</v>
      </c>
      <c r="BZ1330" s="2" t="s">
        <v>27</v>
      </c>
      <c r="CA1330" s="2"/>
      <c r="CB1330" s="2"/>
      <c r="CC1330" s="2" t="s">
        <v>323</v>
      </c>
      <c r="CD1330" s="2">
        <v>1682</v>
      </c>
      <c r="CE1330" s="2" t="s">
        <v>118</v>
      </c>
      <c r="CF1330" s="5">
        <v>42836</v>
      </c>
      <c r="CG1330" s="2"/>
      <c r="CH1330" s="2"/>
      <c r="CI1330" s="2">
        <v>1</v>
      </c>
      <c r="CJ1330" s="2">
        <v>1</v>
      </c>
      <c r="CK1330" s="2">
        <v>22</v>
      </c>
      <c r="CL1330" s="2" t="s">
        <v>86</v>
      </c>
      <c r="CM1330" s="2"/>
    </row>
    <row r="1331" spans="1:91">
      <c r="A1331" s="2" t="s">
        <v>71</v>
      </c>
      <c r="B1331" s="2" t="s">
        <v>72</v>
      </c>
      <c r="C1331" s="2" t="s">
        <v>73</v>
      </c>
      <c r="D1331" s="2"/>
      <c r="E1331" s="2" t="str">
        <f>"FES1162541103"</f>
        <v>FES1162541103</v>
      </c>
      <c r="F1331" s="3">
        <v>42828</v>
      </c>
      <c r="G1331" s="2">
        <v>201710</v>
      </c>
      <c r="H1331" s="2" t="s">
        <v>74</v>
      </c>
      <c r="I1331" s="2" t="s">
        <v>75</v>
      </c>
      <c r="J1331" s="2" t="s">
        <v>76</v>
      </c>
      <c r="K1331" s="2" t="s">
        <v>77</v>
      </c>
      <c r="L1331" s="2" t="s">
        <v>294</v>
      </c>
      <c r="M1331" s="2" t="s">
        <v>295</v>
      </c>
      <c r="N1331" s="2" t="s">
        <v>1071</v>
      </c>
      <c r="O1331" s="2" t="s">
        <v>115</v>
      </c>
      <c r="P1331" s="2" t="str">
        <f>"2170560182                    "</f>
        <v xml:space="preserve">2170560182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4.42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1</v>
      </c>
      <c r="BJ1331" s="2">
        <v>0.2</v>
      </c>
      <c r="BK1331" s="2">
        <v>1</v>
      </c>
      <c r="BL1331" s="2">
        <v>41.86</v>
      </c>
      <c r="BM1331" s="2">
        <v>5.86</v>
      </c>
      <c r="BN1331" s="2">
        <v>47.72</v>
      </c>
      <c r="BO1331" s="2">
        <v>47.72</v>
      </c>
      <c r="BP1331" s="2"/>
      <c r="BQ1331" s="2" t="s">
        <v>129</v>
      </c>
      <c r="BR1331" s="2" t="s">
        <v>123</v>
      </c>
      <c r="BS1331" s="3">
        <v>42829</v>
      </c>
      <c r="BT1331" s="4">
        <v>0.4375</v>
      </c>
      <c r="BU1331" s="2" t="s">
        <v>1072</v>
      </c>
      <c r="BV1331" s="2" t="s">
        <v>111</v>
      </c>
      <c r="BW1331" s="2"/>
      <c r="BX1331" s="2"/>
      <c r="BY1331" s="2">
        <v>1200</v>
      </c>
      <c r="BZ1331" s="2" t="s">
        <v>27</v>
      </c>
      <c r="CA1331" s="2"/>
      <c r="CB1331" s="2"/>
      <c r="CC1331" s="2" t="s">
        <v>295</v>
      </c>
      <c r="CD1331" s="2">
        <v>3610</v>
      </c>
      <c r="CE1331" s="2" t="s">
        <v>144</v>
      </c>
      <c r="CF1331" s="5">
        <v>42831</v>
      </c>
      <c r="CG1331" s="2"/>
      <c r="CH1331" s="2"/>
      <c r="CI1331" s="2">
        <v>1</v>
      </c>
      <c r="CJ1331" s="2">
        <v>1</v>
      </c>
      <c r="CK1331" s="2">
        <v>21</v>
      </c>
      <c r="CL1331" s="2" t="s">
        <v>86</v>
      </c>
      <c r="CM1331" s="2"/>
    </row>
    <row r="1332" spans="1:91">
      <c r="A1332" s="2" t="s">
        <v>71</v>
      </c>
      <c r="B1332" s="2" t="s">
        <v>72</v>
      </c>
      <c r="C1332" s="2" t="s">
        <v>73</v>
      </c>
      <c r="D1332" s="2"/>
      <c r="E1332" s="2" t="str">
        <f>"FES1162542534"</f>
        <v>FES1162542534</v>
      </c>
      <c r="F1332" s="3">
        <v>42835</v>
      </c>
      <c r="G1332" s="2">
        <v>201710</v>
      </c>
      <c r="H1332" s="2" t="s">
        <v>74</v>
      </c>
      <c r="I1332" s="2" t="s">
        <v>75</v>
      </c>
      <c r="J1332" s="2" t="s">
        <v>76</v>
      </c>
      <c r="K1332" s="2" t="s">
        <v>77</v>
      </c>
      <c r="L1332" s="2" t="s">
        <v>1895</v>
      </c>
      <c r="M1332" s="2" t="s">
        <v>1896</v>
      </c>
      <c r="N1332" s="2" t="s">
        <v>1897</v>
      </c>
      <c r="O1332" s="2" t="s">
        <v>115</v>
      </c>
      <c r="P1332" s="2" t="str">
        <f>"2170561395                    "</f>
        <v xml:space="preserve">2170561395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6.03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1</v>
      </c>
      <c r="BJ1332" s="2">
        <v>0.2</v>
      </c>
      <c r="BK1332" s="2">
        <v>1</v>
      </c>
      <c r="BL1332" s="2">
        <v>58.68</v>
      </c>
      <c r="BM1332" s="2">
        <v>8.2200000000000006</v>
      </c>
      <c r="BN1332" s="2">
        <v>66.900000000000006</v>
      </c>
      <c r="BO1332" s="2">
        <v>66.900000000000006</v>
      </c>
      <c r="BP1332" s="2"/>
      <c r="BQ1332" s="2"/>
      <c r="BR1332" s="2" t="s">
        <v>123</v>
      </c>
      <c r="BS1332" s="3">
        <v>42836</v>
      </c>
      <c r="BT1332" s="4">
        <v>0.41666666666666669</v>
      </c>
      <c r="BU1332" s="2" t="s">
        <v>1898</v>
      </c>
      <c r="BV1332" s="2" t="s">
        <v>111</v>
      </c>
      <c r="BW1332" s="2"/>
      <c r="BX1332" s="2"/>
      <c r="BY1332" s="2">
        <v>1200</v>
      </c>
      <c r="BZ1332" s="2" t="s">
        <v>27</v>
      </c>
      <c r="CA1332" s="2"/>
      <c r="CB1332" s="2"/>
      <c r="CC1332" s="2" t="s">
        <v>1896</v>
      </c>
      <c r="CD1332" s="2">
        <v>2351</v>
      </c>
      <c r="CE1332" s="2" t="s">
        <v>144</v>
      </c>
      <c r="CF1332" s="5">
        <v>42837</v>
      </c>
      <c r="CG1332" s="2"/>
      <c r="CH1332" s="2"/>
      <c r="CI1332" s="2">
        <v>1</v>
      </c>
      <c r="CJ1332" s="2">
        <v>1</v>
      </c>
      <c r="CK1332" s="2">
        <v>24</v>
      </c>
      <c r="CL1332" s="2" t="s">
        <v>86</v>
      </c>
      <c r="CM1332" s="2"/>
    </row>
    <row r="1333" spans="1:91">
      <c r="A1333" s="2" t="s">
        <v>71</v>
      </c>
      <c r="B1333" s="2" t="s">
        <v>72</v>
      </c>
      <c r="C1333" s="2" t="s">
        <v>73</v>
      </c>
      <c r="D1333" s="2"/>
      <c r="E1333" s="2" t="str">
        <f>"FES1162540968"</f>
        <v>FES1162540968</v>
      </c>
      <c r="F1333" s="3">
        <v>42828</v>
      </c>
      <c r="G1333" s="2">
        <v>201710</v>
      </c>
      <c r="H1333" s="2" t="s">
        <v>74</v>
      </c>
      <c r="I1333" s="2" t="s">
        <v>75</v>
      </c>
      <c r="J1333" s="2" t="s">
        <v>76</v>
      </c>
      <c r="K1333" s="2" t="s">
        <v>77</v>
      </c>
      <c r="L1333" s="2" t="s">
        <v>212</v>
      </c>
      <c r="M1333" s="2" t="s">
        <v>213</v>
      </c>
      <c r="N1333" s="2" t="s">
        <v>509</v>
      </c>
      <c r="O1333" s="2" t="s">
        <v>115</v>
      </c>
      <c r="P1333" s="2" t="str">
        <f>"2170559661                    "</f>
        <v xml:space="preserve">2170559661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6.22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2</v>
      </c>
      <c r="BJ1333" s="2">
        <v>0.2</v>
      </c>
      <c r="BK1333" s="2">
        <v>2</v>
      </c>
      <c r="BL1333" s="2">
        <v>58.87</v>
      </c>
      <c r="BM1333" s="2">
        <v>8.24</v>
      </c>
      <c r="BN1333" s="2">
        <v>67.11</v>
      </c>
      <c r="BO1333" s="2">
        <v>67.11</v>
      </c>
      <c r="BP1333" s="2"/>
      <c r="BQ1333" s="2" t="s">
        <v>510</v>
      </c>
      <c r="BR1333" s="2" t="s">
        <v>123</v>
      </c>
      <c r="BS1333" s="3">
        <v>42829</v>
      </c>
      <c r="BT1333" s="4">
        <v>0.48958333333333331</v>
      </c>
      <c r="BU1333" s="2" t="s">
        <v>1899</v>
      </c>
      <c r="BV1333" s="2" t="s">
        <v>111</v>
      </c>
      <c r="BW1333" s="2"/>
      <c r="BX1333" s="2"/>
      <c r="BY1333" s="2">
        <v>1200</v>
      </c>
      <c r="BZ1333" s="2" t="s">
        <v>27</v>
      </c>
      <c r="CA1333" s="2"/>
      <c r="CB1333" s="2"/>
      <c r="CC1333" s="2" t="s">
        <v>213</v>
      </c>
      <c r="CD1333" s="2">
        <v>1001</v>
      </c>
      <c r="CE1333" s="2" t="s">
        <v>144</v>
      </c>
      <c r="CF1333" s="5">
        <v>42832</v>
      </c>
      <c r="CG1333" s="2"/>
      <c r="CH1333" s="2"/>
      <c r="CI1333" s="2">
        <v>0</v>
      </c>
      <c r="CJ1333" s="2">
        <v>0</v>
      </c>
      <c r="CK1333" s="2">
        <v>24</v>
      </c>
      <c r="CL1333" s="2" t="s">
        <v>86</v>
      </c>
      <c r="CM1333" s="2"/>
    </row>
    <row r="1334" spans="1:91">
      <c r="A1334" s="2" t="s">
        <v>71</v>
      </c>
      <c r="B1334" s="2" t="s">
        <v>72</v>
      </c>
      <c r="C1334" s="2" t="s">
        <v>73</v>
      </c>
      <c r="D1334" s="2"/>
      <c r="E1334" s="2" t="str">
        <f>"FES1162542289"</f>
        <v>FES1162542289</v>
      </c>
      <c r="F1334" s="3">
        <v>42832</v>
      </c>
      <c r="G1334" s="2">
        <v>201710</v>
      </c>
      <c r="H1334" s="2" t="s">
        <v>74</v>
      </c>
      <c r="I1334" s="2" t="s">
        <v>75</v>
      </c>
      <c r="J1334" s="2" t="s">
        <v>76</v>
      </c>
      <c r="K1334" s="2" t="s">
        <v>77</v>
      </c>
      <c r="L1334" s="2" t="s">
        <v>74</v>
      </c>
      <c r="M1334" s="2" t="s">
        <v>75</v>
      </c>
      <c r="N1334" s="2" t="s">
        <v>1900</v>
      </c>
      <c r="O1334" s="2" t="s">
        <v>115</v>
      </c>
      <c r="P1334" s="2" t="str">
        <f>"2170559827                    "</f>
        <v xml:space="preserve">2170559827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3.35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1.3</v>
      </c>
      <c r="BJ1334" s="2">
        <v>1.6</v>
      </c>
      <c r="BK1334" s="2">
        <v>2</v>
      </c>
      <c r="BL1334" s="2">
        <v>32.6</v>
      </c>
      <c r="BM1334" s="2">
        <v>4.5599999999999996</v>
      </c>
      <c r="BN1334" s="2">
        <v>37.159999999999997</v>
      </c>
      <c r="BO1334" s="2">
        <v>37.159999999999997</v>
      </c>
      <c r="BP1334" s="2"/>
      <c r="BQ1334" s="2"/>
      <c r="BR1334" s="2" t="s">
        <v>123</v>
      </c>
      <c r="BS1334" s="3">
        <v>42835</v>
      </c>
      <c r="BT1334" s="4">
        <v>0.41666666666666669</v>
      </c>
      <c r="BU1334" s="2" t="s">
        <v>1901</v>
      </c>
      <c r="BV1334" s="2" t="s">
        <v>111</v>
      </c>
      <c r="BW1334" s="2"/>
      <c r="BX1334" s="2"/>
      <c r="BY1334" s="2">
        <v>8015.03</v>
      </c>
      <c r="BZ1334" s="2" t="s">
        <v>27</v>
      </c>
      <c r="CA1334" s="2"/>
      <c r="CB1334" s="2"/>
      <c r="CC1334" s="2" t="s">
        <v>75</v>
      </c>
      <c r="CD1334" s="2">
        <v>1614</v>
      </c>
      <c r="CE1334" s="2" t="s">
        <v>89</v>
      </c>
      <c r="CF1334" s="5">
        <v>42836</v>
      </c>
      <c r="CG1334" s="2"/>
      <c r="CH1334" s="2"/>
      <c r="CI1334" s="2">
        <v>1</v>
      </c>
      <c r="CJ1334" s="2">
        <v>1</v>
      </c>
      <c r="CK1334" s="2">
        <v>22</v>
      </c>
      <c r="CL1334" s="2" t="s">
        <v>86</v>
      </c>
      <c r="CM1334" s="2"/>
    </row>
    <row r="1335" spans="1:91">
      <c r="A1335" s="2" t="s">
        <v>71</v>
      </c>
      <c r="B1335" s="2" t="s">
        <v>72</v>
      </c>
      <c r="C1335" s="2" t="s">
        <v>73</v>
      </c>
      <c r="D1335" s="2"/>
      <c r="E1335" s="2" t="str">
        <f>"FES1162541002"</f>
        <v>FES1162541002</v>
      </c>
      <c r="F1335" s="3">
        <v>42828</v>
      </c>
      <c r="G1335" s="2">
        <v>201710</v>
      </c>
      <c r="H1335" s="2" t="s">
        <v>74</v>
      </c>
      <c r="I1335" s="2" t="s">
        <v>75</v>
      </c>
      <c r="J1335" s="2" t="s">
        <v>76</v>
      </c>
      <c r="K1335" s="2" t="s">
        <v>77</v>
      </c>
      <c r="L1335" s="2" t="s">
        <v>91</v>
      </c>
      <c r="M1335" s="2" t="s">
        <v>92</v>
      </c>
      <c r="N1335" s="2" t="s">
        <v>1902</v>
      </c>
      <c r="O1335" s="2" t="s">
        <v>1014</v>
      </c>
      <c r="P1335" s="2" t="str">
        <f>"+                             "</f>
        <v xml:space="preserve">+         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6.94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2</v>
      </c>
      <c r="BI1335" s="2">
        <v>16.2</v>
      </c>
      <c r="BJ1335" s="2">
        <v>5.8</v>
      </c>
      <c r="BK1335" s="2">
        <v>17</v>
      </c>
      <c r="BL1335" s="2">
        <v>65.709999999999994</v>
      </c>
      <c r="BM1335" s="2">
        <v>9.1999999999999993</v>
      </c>
      <c r="BN1335" s="2">
        <v>74.91</v>
      </c>
      <c r="BO1335" s="2">
        <v>74.91</v>
      </c>
      <c r="BP1335" s="2"/>
      <c r="BQ1335" s="2"/>
      <c r="BR1335" s="2" t="s">
        <v>123</v>
      </c>
      <c r="BS1335" s="3">
        <v>42829</v>
      </c>
      <c r="BT1335" s="4">
        <v>0.3354166666666667</v>
      </c>
      <c r="BU1335" s="2" t="s">
        <v>1903</v>
      </c>
      <c r="BV1335" s="2" t="s">
        <v>111</v>
      </c>
      <c r="BW1335" s="2"/>
      <c r="BX1335" s="2"/>
      <c r="BY1335" s="2">
        <v>28925.98</v>
      </c>
      <c r="BZ1335" s="2" t="s">
        <v>27</v>
      </c>
      <c r="CA1335" s="2" t="s">
        <v>1904</v>
      </c>
      <c r="CB1335" s="2"/>
      <c r="CC1335" s="2" t="s">
        <v>92</v>
      </c>
      <c r="CD1335" s="2">
        <v>1400</v>
      </c>
      <c r="CE1335" s="2" t="s">
        <v>1905</v>
      </c>
      <c r="CF1335" s="5">
        <v>42829</v>
      </c>
      <c r="CG1335" s="2"/>
      <c r="CH1335" s="2"/>
      <c r="CI1335" s="2">
        <v>1</v>
      </c>
      <c r="CJ1335" s="2">
        <v>1</v>
      </c>
      <c r="CK1335" s="2">
        <v>32</v>
      </c>
      <c r="CL1335" s="2" t="s">
        <v>86</v>
      </c>
      <c r="CM1335" s="2"/>
    </row>
    <row r="1336" spans="1:91">
      <c r="A1336" s="2" t="s">
        <v>71</v>
      </c>
      <c r="B1336" s="2" t="s">
        <v>72</v>
      </c>
      <c r="C1336" s="2" t="s">
        <v>73</v>
      </c>
      <c r="D1336" s="2"/>
      <c r="E1336" s="2" t="str">
        <f>"FES1162542566"</f>
        <v>FES1162542566</v>
      </c>
      <c r="F1336" s="3">
        <v>42835</v>
      </c>
      <c r="G1336" s="2">
        <v>201710</v>
      </c>
      <c r="H1336" s="2" t="s">
        <v>74</v>
      </c>
      <c r="I1336" s="2" t="s">
        <v>75</v>
      </c>
      <c r="J1336" s="2" t="s">
        <v>76</v>
      </c>
      <c r="K1336" s="2" t="s">
        <v>77</v>
      </c>
      <c r="L1336" s="2" t="s">
        <v>131</v>
      </c>
      <c r="M1336" s="2" t="s">
        <v>132</v>
      </c>
      <c r="N1336" s="2" t="s">
        <v>677</v>
      </c>
      <c r="O1336" s="2" t="s">
        <v>115</v>
      </c>
      <c r="P1336" s="2" t="str">
        <f>"2170557810                    "</f>
        <v xml:space="preserve">2170557810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47.16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9</v>
      </c>
      <c r="BJ1336" s="2">
        <v>22</v>
      </c>
      <c r="BK1336" s="2">
        <v>22</v>
      </c>
      <c r="BL1336" s="2">
        <v>459</v>
      </c>
      <c r="BM1336" s="2">
        <v>64.260000000000005</v>
      </c>
      <c r="BN1336" s="2">
        <v>523.26</v>
      </c>
      <c r="BO1336" s="2">
        <v>523.26</v>
      </c>
      <c r="BP1336" s="2"/>
      <c r="BQ1336" s="2" t="s">
        <v>678</v>
      </c>
      <c r="BR1336" s="2" t="s">
        <v>123</v>
      </c>
      <c r="BS1336" s="3">
        <v>42836</v>
      </c>
      <c r="BT1336" s="4">
        <v>0.43402777777777773</v>
      </c>
      <c r="BU1336" s="2" t="s">
        <v>679</v>
      </c>
      <c r="BV1336" s="2" t="s">
        <v>111</v>
      </c>
      <c r="BW1336" s="2"/>
      <c r="BX1336" s="2"/>
      <c r="BY1336" s="2">
        <v>110136.95</v>
      </c>
      <c r="BZ1336" s="2" t="s">
        <v>27</v>
      </c>
      <c r="CA1336" s="2"/>
      <c r="CB1336" s="2"/>
      <c r="CC1336" s="2" t="s">
        <v>132</v>
      </c>
      <c r="CD1336" s="2">
        <v>7800</v>
      </c>
      <c r="CE1336" s="2" t="s">
        <v>1838</v>
      </c>
      <c r="CF1336" s="5">
        <v>42837</v>
      </c>
      <c r="CG1336" s="2"/>
      <c r="CH1336" s="2"/>
      <c r="CI1336" s="2">
        <v>1</v>
      </c>
      <c r="CJ1336" s="2">
        <v>1</v>
      </c>
      <c r="CK1336" s="2">
        <v>21</v>
      </c>
      <c r="CL1336" s="2" t="s">
        <v>86</v>
      </c>
      <c r="CM1336" s="2"/>
    </row>
    <row r="1337" spans="1:91">
      <c r="A1337" s="2" t="s">
        <v>71</v>
      </c>
      <c r="B1337" s="2" t="s">
        <v>72</v>
      </c>
      <c r="C1337" s="2" t="s">
        <v>73</v>
      </c>
      <c r="D1337" s="2"/>
      <c r="E1337" s="2" t="str">
        <f>"FES1162541117"</f>
        <v>FES1162541117</v>
      </c>
      <c r="F1337" s="3">
        <v>42828</v>
      </c>
      <c r="G1337" s="2">
        <v>201710</v>
      </c>
      <c r="H1337" s="2" t="s">
        <v>74</v>
      </c>
      <c r="I1337" s="2" t="s">
        <v>75</v>
      </c>
      <c r="J1337" s="2" t="s">
        <v>76</v>
      </c>
      <c r="K1337" s="2" t="s">
        <v>77</v>
      </c>
      <c r="L1337" s="2" t="s">
        <v>180</v>
      </c>
      <c r="M1337" s="2" t="s">
        <v>181</v>
      </c>
      <c r="N1337" s="2" t="s">
        <v>855</v>
      </c>
      <c r="O1337" s="2" t="s">
        <v>115</v>
      </c>
      <c r="P1337" s="2" t="str">
        <f>"2170560199                    "</f>
        <v xml:space="preserve">2170560199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4.42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1</v>
      </c>
      <c r="BJ1337" s="2">
        <v>0.2</v>
      </c>
      <c r="BK1337" s="2">
        <v>1</v>
      </c>
      <c r="BL1337" s="2">
        <v>41.86</v>
      </c>
      <c r="BM1337" s="2">
        <v>5.86</v>
      </c>
      <c r="BN1337" s="2">
        <v>47.72</v>
      </c>
      <c r="BO1337" s="2">
        <v>47.72</v>
      </c>
      <c r="BP1337" s="2"/>
      <c r="BQ1337" s="2" t="s">
        <v>122</v>
      </c>
      <c r="BR1337" s="2" t="s">
        <v>123</v>
      </c>
      <c r="BS1337" s="3">
        <v>42829</v>
      </c>
      <c r="BT1337" s="4">
        <v>0.30555555555555552</v>
      </c>
      <c r="BU1337" s="2" t="s">
        <v>1906</v>
      </c>
      <c r="BV1337" s="2" t="s">
        <v>111</v>
      </c>
      <c r="BW1337" s="2"/>
      <c r="BX1337" s="2"/>
      <c r="BY1337" s="2">
        <v>1200</v>
      </c>
      <c r="BZ1337" s="2" t="s">
        <v>27</v>
      </c>
      <c r="CA1337" s="2" t="s">
        <v>159</v>
      </c>
      <c r="CB1337" s="2"/>
      <c r="CC1337" s="2" t="s">
        <v>181</v>
      </c>
      <c r="CD1337" s="2">
        <v>4093</v>
      </c>
      <c r="CE1337" s="2" t="s">
        <v>144</v>
      </c>
      <c r="CF1337" s="5">
        <v>42831</v>
      </c>
      <c r="CG1337" s="2"/>
      <c r="CH1337" s="2"/>
      <c r="CI1337" s="2">
        <v>1</v>
      </c>
      <c r="CJ1337" s="2">
        <v>1</v>
      </c>
      <c r="CK1337" s="2">
        <v>21</v>
      </c>
      <c r="CL1337" s="2" t="s">
        <v>86</v>
      </c>
      <c r="CM1337" s="2"/>
    </row>
    <row r="1338" spans="1:91">
      <c r="A1338" s="2" t="s">
        <v>71</v>
      </c>
      <c r="B1338" s="2" t="s">
        <v>72</v>
      </c>
      <c r="C1338" s="2" t="s">
        <v>73</v>
      </c>
      <c r="D1338" s="2"/>
      <c r="E1338" s="2" t="str">
        <f>"FES1162542165"</f>
        <v>FES1162542165</v>
      </c>
      <c r="F1338" s="3">
        <v>42832</v>
      </c>
      <c r="G1338" s="2">
        <v>201710</v>
      </c>
      <c r="H1338" s="2" t="s">
        <v>74</v>
      </c>
      <c r="I1338" s="2" t="s">
        <v>75</v>
      </c>
      <c r="J1338" s="2" t="s">
        <v>76</v>
      </c>
      <c r="K1338" s="2" t="s">
        <v>77</v>
      </c>
      <c r="L1338" s="2" t="s">
        <v>516</v>
      </c>
      <c r="M1338" s="2" t="s">
        <v>517</v>
      </c>
      <c r="N1338" s="2" t="s">
        <v>1907</v>
      </c>
      <c r="O1338" s="2" t="s">
        <v>115</v>
      </c>
      <c r="P1338" s="2" t="str">
        <f>"2170561604                    "</f>
        <v xml:space="preserve">2170561604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3.35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1.2</v>
      </c>
      <c r="BJ1338" s="2">
        <v>0.2</v>
      </c>
      <c r="BK1338" s="2">
        <v>2</v>
      </c>
      <c r="BL1338" s="2">
        <v>32.6</v>
      </c>
      <c r="BM1338" s="2">
        <v>4.5599999999999996</v>
      </c>
      <c r="BN1338" s="2">
        <v>37.159999999999997</v>
      </c>
      <c r="BO1338" s="2">
        <v>37.159999999999997</v>
      </c>
      <c r="BP1338" s="2"/>
      <c r="BQ1338" s="2"/>
      <c r="BR1338" s="2" t="s">
        <v>123</v>
      </c>
      <c r="BS1338" s="3">
        <v>42835</v>
      </c>
      <c r="BT1338" s="4">
        <v>0.29166666666666669</v>
      </c>
      <c r="BU1338" s="2" t="s">
        <v>290</v>
      </c>
      <c r="BV1338" s="2" t="s">
        <v>111</v>
      </c>
      <c r="BW1338" s="2"/>
      <c r="BX1338" s="2"/>
      <c r="BY1338" s="2">
        <v>1200</v>
      </c>
      <c r="BZ1338" s="2" t="s">
        <v>27</v>
      </c>
      <c r="CA1338" s="2"/>
      <c r="CB1338" s="2"/>
      <c r="CC1338" s="2" t="s">
        <v>517</v>
      </c>
      <c r="CD1338" s="2">
        <v>1459</v>
      </c>
      <c r="CE1338" s="2" t="s">
        <v>118</v>
      </c>
      <c r="CF1338" s="5">
        <v>42836</v>
      </c>
      <c r="CG1338" s="2"/>
      <c r="CH1338" s="2"/>
      <c r="CI1338" s="2">
        <v>1</v>
      </c>
      <c r="CJ1338" s="2">
        <v>1</v>
      </c>
      <c r="CK1338" s="2">
        <v>22</v>
      </c>
      <c r="CL1338" s="2" t="s">
        <v>86</v>
      </c>
      <c r="CM1338" s="2"/>
    </row>
    <row r="1339" spans="1:91">
      <c r="A1339" s="2" t="s">
        <v>71</v>
      </c>
      <c r="B1339" s="2" t="s">
        <v>72</v>
      </c>
      <c r="C1339" s="2" t="s">
        <v>73</v>
      </c>
      <c r="D1339" s="2"/>
      <c r="E1339" s="2" t="str">
        <f>"FES1162540926"</f>
        <v>FES1162540926</v>
      </c>
      <c r="F1339" s="3">
        <v>42828</v>
      </c>
      <c r="G1339" s="2">
        <v>201710</v>
      </c>
      <c r="H1339" s="2" t="s">
        <v>74</v>
      </c>
      <c r="I1339" s="2" t="s">
        <v>75</v>
      </c>
      <c r="J1339" s="2" t="s">
        <v>76</v>
      </c>
      <c r="K1339" s="2" t="s">
        <v>77</v>
      </c>
      <c r="L1339" s="2" t="s">
        <v>131</v>
      </c>
      <c r="M1339" s="2" t="s">
        <v>132</v>
      </c>
      <c r="N1339" s="2" t="s">
        <v>1908</v>
      </c>
      <c r="O1339" s="2" t="s">
        <v>115</v>
      </c>
      <c r="P1339" s="2" t="str">
        <f>"2170555444                    "</f>
        <v xml:space="preserve">2170555444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4.42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1</v>
      </c>
      <c r="BJ1339" s="2">
        <v>0.2</v>
      </c>
      <c r="BK1339" s="2">
        <v>1</v>
      </c>
      <c r="BL1339" s="2">
        <v>41.86</v>
      </c>
      <c r="BM1339" s="2">
        <v>5.86</v>
      </c>
      <c r="BN1339" s="2">
        <v>47.72</v>
      </c>
      <c r="BO1339" s="2">
        <v>47.72</v>
      </c>
      <c r="BP1339" s="2"/>
      <c r="BQ1339" s="2" t="s">
        <v>1909</v>
      </c>
      <c r="BR1339" s="2" t="s">
        <v>123</v>
      </c>
      <c r="BS1339" s="3">
        <v>42829</v>
      </c>
      <c r="BT1339" s="4">
        <v>0.41666666666666669</v>
      </c>
      <c r="BU1339" s="2" t="s">
        <v>1910</v>
      </c>
      <c r="BV1339" s="2" t="s">
        <v>111</v>
      </c>
      <c r="BW1339" s="2"/>
      <c r="BX1339" s="2"/>
      <c r="BY1339" s="2">
        <v>1200</v>
      </c>
      <c r="BZ1339" s="2" t="s">
        <v>27</v>
      </c>
      <c r="CA1339" s="2"/>
      <c r="CB1339" s="2"/>
      <c r="CC1339" s="2" t="s">
        <v>132</v>
      </c>
      <c r="CD1339" s="2">
        <v>7945</v>
      </c>
      <c r="CE1339" s="2" t="s">
        <v>144</v>
      </c>
      <c r="CF1339" s="5">
        <v>42830</v>
      </c>
      <c r="CG1339" s="2"/>
      <c r="CH1339" s="2"/>
      <c r="CI1339" s="2">
        <v>1</v>
      </c>
      <c r="CJ1339" s="2">
        <v>1</v>
      </c>
      <c r="CK1339" s="2">
        <v>21</v>
      </c>
      <c r="CL1339" s="2" t="s">
        <v>86</v>
      </c>
      <c r="CM1339" s="2"/>
    </row>
    <row r="1340" spans="1:91">
      <c r="A1340" s="2" t="s">
        <v>71</v>
      </c>
      <c r="B1340" s="2" t="s">
        <v>72</v>
      </c>
      <c r="C1340" s="2" t="s">
        <v>73</v>
      </c>
      <c r="D1340" s="2"/>
      <c r="E1340" s="2" t="str">
        <f>"FES1162542663"</f>
        <v>FES1162542663</v>
      </c>
      <c r="F1340" s="3">
        <v>42835</v>
      </c>
      <c r="G1340" s="2">
        <v>201710</v>
      </c>
      <c r="H1340" s="2" t="s">
        <v>74</v>
      </c>
      <c r="I1340" s="2" t="s">
        <v>75</v>
      </c>
      <c r="J1340" s="2" t="s">
        <v>76</v>
      </c>
      <c r="K1340" s="2" t="s">
        <v>77</v>
      </c>
      <c r="L1340" s="2" t="s">
        <v>641</v>
      </c>
      <c r="M1340" s="2" t="s">
        <v>642</v>
      </c>
      <c r="N1340" s="2" t="s">
        <v>643</v>
      </c>
      <c r="O1340" s="2" t="s">
        <v>115</v>
      </c>
      <c r="P1340" s="2" t="str">
        <f>"2170561434                    "</f>
        <v xml:space="preserve">2170561434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8.31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1</v>
      </c>
      <c r="BJ1340" s="2">
        <v>0.2</v>
      </c>
      <c r="BK1340" s="2">
        <v>1</v>
      </c>
      <c r="BL1340" s="2">
        <v>80.849999999999994</v>
      </c>
      <c r="BM1340" s="2">
        <v>11.32</v>
      </c>
      <c r="BN1340" s="2">
        <v>92.17</v>
      </c>
      <c r="BO1340" s="2">
        <v>92.17</v>
      </c>
      <c r="BP1340" s="2"/>
      <c r="BQ1340" s="2" t="s">
        <v>83</v>
      </c>
      <c r="BR1340" s="2" t="s">
        <v>123</v>
      </c>
      <c r="BS1340" s="3">
        <v>42836</v>
      </c>
      <c r="BT1340" s="4">
        <v>0.60902777777777783</v>
      </c>
      <c r="BU1340" s="2" t="s">
        <v>1859</v>
      </c>
      <c r="BV1340" s="2" t="s">
        <v>111</v>
      </c>
      <c r="BW1340" s="2"/>
      <c r="BX1340" s="2"/>
      <c r="BY1340" s="2">
        <v>1200</v>
      </c>
      <c r="BZ1340" s="2" t="s">
        <v>27</v>
      </c>
      <c r="CA1340" s="2" t="s">
        <v>159</v>
      </c>
      <c r="CB1340" s="2"/>
      <c r="CC1340" s="2" t="s">
        <v>642</v>
      </c>
      <c r="CD1340" s="2">
        <v>6300</v>
      </c>
      <c r="CE1340" s="2" t="s">
        <v>144</v>
      </c>
      <c r="CF1340" s="5">
        <v>42837</v>
      </c>
      <c r="CG1340" s="2"/>
      <c r="CH1340" s="2"/>
      <c r="CI1340" s="2">
        <v>3</v>
      </c>
      <c r="CJ1340" s="2">
        <v>1</v>
      </c>
      <c r="CK1340" s="2">
        <v>23</v>
      </c>
      <c r="CL1340" s="2" t="s">
        <v>86</v>
      </c>
      <c r="CM1340" s="2"/>
    </row>
    <row r="1341" spans="1:91">
      <c r="A1341" s="2" t="s">
        <v>71</v>
      </c>
      <c r="B1341" s="2" t="s">
        <v>72</v>
      </c>
      <c r="C1341" s="2" t="s">
        <v>73</v>
      </c>
      <c r="D1341" s="2"/>
      <c r="E1341" s="2" t="str">
        <f>"FES1162540961"</f>
        <v>FES1162540961</v>
      </c>
      <c r="F1341" s="3">
        <v>42828</v>
      </c>
      <c r="G1341" s="2">
        <v>201710</v>
      </c>
      <c r="H1341" s="2" t="s">
        <v>74</v>
      </c>
      <c r="I1341" s="2" t="s">
        <v>75</v>
      </c>
      <c r="J1341" s="2" t="s">
        <v>76</v>
      </c>
      <c r="K1341" s="2" t="s">
        <v>77</v>
      </c>
      <c r="L1341" s="2" t="s">
        <v>516</v>
      </c>
      <c r="M1341" s="2" t="s">
        <v>517</v>
      </c>
      <c r="N1341" s="2" t="s">
        <v>1911</v>
      </c>
      <c r="O1341" s="2" t="s">
        <v>115</v>
      </c>
      <c r="P1341" s="2" t="str">
        <f>"2170557804                    "</f>
        <v xml:space="preserve">2170557804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3.45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4.7</v>
      </c>
      <c r="BJ1341" s="2">
        <v>1.8</v>
      </c>
      <c r="BK1341" s="2">
        <v>5</v>
      </c>
      <c r="BL1341" s="2">
        <v>32.700000000000003</v>
      </c>
      <c r="BM1341" s="2">
        <v>4.58</v>
      </c>
      <c r="BN1341" s="2">
        <v>37.28</v>
      </c>
      <c r="BO1341" s="2">
        <v>37.28</v>
      </c>
      <c r="BP1341" s="2"/>
      <c r="BQ1341" s="2" t="s">
        <v>1912</v>
      </c>
      <c r="BR1341" s="2" t="s">
        <v>123</v>
      </c>
      <c r="BS1341" s="3">
        <v>42829</v>
      </c>
      <c r="BT1341" s="4">
        <v>0.51736111111111105</v>
      </c>
      <c r="BU1341" s="2" t="s">
        <v>290</v>
      </c>
      <c r="BV1341" s="2" t="s">
        <v>86</v>
      </c>
      <c r="BW1341" s="2" t="s">
        <v>157</v>
      </c>
      <c r="BX1341" s="2" t="s">
        <v>309</v>
      </c>
      <c r="BY1341" s="2">
        <v>8885.42</v>
      </c>
      <c r="BZ1341" s="2" t="s">
        <v>27</v>
      </c>
      <c r="CA1341" s="2"/>
      <c r="CB1341" s="2"/>
      <c r="CC1341" s="2" t="s">
        <v>517</v>
      </c>
      <c r="CD1341" s="2">
        <v>1459</v>
      </c>
      <c r="CE1341" s="2" t="s">
        <v>172</v>
      </c>
      <c r="CF1341" s="5">
        <v>42831</v>
      </c>
      <c r="CG1341" s="2"/>
      <c r="CH1341" s="2"/>
      <c r="CI1341" s="2">
        <v>1</v>
      </c>
      <c r="CJ1341" s="2">
        <v>1</v>
      </c>
      <c r="CK1341" s="2">
        <v>22</v>
      </c>
      <c r="CL1341" s="2" t="s">
        <v>86</v>
      </c>
      <c r="CM1341" s="2"/>
    </row>
    <row r="1342" spans="1:91">
      <c r="A1342" s="2" t="s">
        <v>71</v>
      </c>
      <c r="B1342" s="2" t="s">
        <v>72</v>
      </c>
      <c r="C1342" s="2" t="s">
        <v>73</v>
      </c>
      <c r="D1342" s="2"/>
      <c r="E1342" s="2" t="str">
        <f>"FES1162542171"</f>
        <v>FES1162542171</v>
      </c>
      <c r="F1342" s="3">
        <v>42832</v>
      </c>
      <c r="G1342" s="2">
        <v>201710</v>
      </c>
      <c r="H1342" s="2" t="s">
        <v>74</v>
      </c>
      <c r="I1342" s="2" t="s">
        <v>75</v>
      </c>
      <c r="J1342" s="2" t="s">
        <v>76</v>
      </c>
      <c r="K1342" s="2" t="s">
        <v>77</v>
      </c>
      <c r="L1342" s="2" t="s">
        <v>91</v>
      </c>
      <c r="M1342" s="2" t="s">
        <v>92</v>
      </c>
      <c r="N1342" s="2" t="s">
        <v>1475</v>
      </c>
      <c r="O1342" s="2" t="s">
        <v>115</v>
      </c>
      <c r="P1342" s="2" t="str">
        <f>"2170561076                    "</f>
        <v xml:space="preserve">2170561076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3.35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1</v>
      </c>
      <c r="BJ1342" s="2">
        <v>0.2</v>
      </c>
      <c r="BK1342" s="2">
        <v>1</v>
      </c>
      <c r="BL1342" s="2">
        <v>32.6</v>
      </c>
      <c r="BM1342" s="2">
        <v>4.5599999999999996</v>
      </c>
      <c r="BN1342" s="2">
        <v>37.159999999999997</v>
      </c>
      <c r="BO1342" s="2">
        <v>37.159999999999997</v>
      </c>
      <c r="BP1342" s="2"/>
      <c r="BQ1342" s="2" t="s">
        <v>1476</v>
      </c>
      <c r="BR1342" s="2" t="s">
        <v>123</v>
      </c>
      <c r="BS1342" s="3">
        <v>42835</v>
      </c>
      <c r="BT1342" s="4">
        <v>0.41666666666666669</v>
      </c>
      <c r="BU1342" s="2" t="s">
        <v>1913</v>
      </c>
      <c r="BV1342" s="2" t="s">
        <v>111</v>
      </c>
      <c r="BW1342" s="2"/>
      <c r="BX1342" s="2"/>
      <c r="BY1342" s="2">
        <v>1200</v>
      </c>
      <c r="BZ1342" s="2" t="s">
        <v>27</v>
      </c>
      <c r="CA1342" s="2"/>
      <c r="CB1342" s="2"/>
      <c r="CC1342" s="2" t="s">
        <v>92</v>
      </c>
      <c r="CD1342" s="2">
        <v>1422</v>
      </c>
      <c r="CE1342" s="2" t="s">
        <v>118</v>
      </c>
      <c r="CF1342" s="5">
        <v>42836</v>
      </c>
      <c r="CG1342" s="2"/>
      <c r="CH1342" s="2"/>
      <c r="CI1342" s="2">
        <v>1</v>
      </c>
      <c r="CJ1342" s="2">
        <v>1</v>
      </c>
      <c r="CK1342" s="2">
        <v>22</v>
      </c>
      <c r="CL1342" s="2" t="s">
        <v>86</v>
      </c>
      <c r="CM1342" s="2"/>
    </row>
    <row r="1343" spans="1:91">
      <c r="A1343" s="2" t="s">
        <v>71</v>
      </c>
      <c r="B1343" s="2" t="s">
        <v>72</v>
      </c>
      <c r="C1343" s="2" t="s">
        <v>73</v>
      </c>
      <c r="D1343" s="2"/>
      <c r="E1343" s="2" t="str">
        <f>"FES1162541099"</f>
        <v>FES1162541099</v>
      </c>
      <c r="F1343" s="3">
        <v>42828</v>
      </c>
      <c r="G1343" s="2">
        <v>201710</v>
      </c>
      <c r="H1343" s="2" t="s">
        <v>74</v>
      </c>
      <c r="I1343" s="2" t="s">
        <v>75</v>
      </c>
      <c r="J1343" s="2" t="s">
        <v>76</v>
      </c>
      <c r="K1343" s="2" t="s">
        <v>77</v>
      </c>
      <c r="L1343" s="2" t="s">
        <v>516</v>
      </c>
      <c r="M1343" s="2" t="s">
        <v>517</v>
      </c>
      <c r="N1343" s="2" t="s">
        <v>1914</v>
      </c>
      <c r="O1343" s="2" t="s">
        <v>115</v>
      </c>
      <c r="P1343" s="2" t="str">
        <f>"2170560186                    "</f>
        <v xml:space="preserve">2170560186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3.45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1</v>
      </c>
      <c r="BJ1343" s="2">
        <v>0.2</v>
      </c>
      <c r="BK1343" s="2">
        <v>1</v>
      </c>
      <c r="BL1343" s="2">
        <v>32.700000000000003</v>
      </c>
      <c r="BM1343" s="2">
        <v>4.58</v>
      </c>
      <c r="BN1343" s="2">
        <v>37.28</v>
      </c>
      <c r="BO1343" s="2">
        <v>37.28</v>
      </c>
      <c r="BP1343" s="2"/>
      <c r="BQ1343" s="2" t="s">
        <v>1915</v>
      </c>
      <c r="BR1343" s="2" t="s">
        <v>123</v>
      </c>
      <c r="BS1343" s="3">
        <v>42829</v>
      </c>
      <c r="BT1343" s="4">
        <v>0.49444444444444446</v>
      </c>
      <c r="BU1343" s="2" t="s">
        <v>290</v>
      </c>
      <c r="BV1343" s="2" t="s">
        <v>86</v>
      </c>
      <c r="BW1343" s="2" t="s">
        <v>157</v>
      </c>
      <c r="BX1343" s="2" t="s">
        <v>309</v>
      </c>
      <c r="BY1343" s="2">
        <v>1200</v>
      </c>
      <c r="BZ1343" s="2" t="s">
        <v>27</v>
      </c>
      <c r="CA1343" s="2"/>
      <c r="CB1343" s="2"/>
      <c r="CC1343" s="2" t="s">
        <v>517</v>
      </c>
      <c r="CD1343" s="2">
        <v>1459</v>
      </c>
      <c r="CE1343" s="2" t="s">
        <v>118</v>
      </c>
      <c r="CF1343" s="5">
        <v>42831</v>
      </c>
      <c r="CG1343" s="2"/>
      <c r="CH1343" s="2"/>
      <c r="CI1343" s="2">
        <v>1</v>
      </c>
      <c r="CJ1343" s="2">
        <v>1</v>
      </c>
      <c r="CK1343" s="2">
        <v>22</v>
      </c>
      <c r="CL1343" s="2" t="s">
        <v>86</v>
      </c>
      <c r="CM1343" s="2"/>
    </row>
    <row r="1344" spans="1:91">
      <c r="A1344" s="2" t="s">
        <v>71</v>
      </c>
      <c r="B1344" s="2" t="s">
        <v>72</v>
      </c>
      <c r="C1344" s="2" t="s">
        <v>73</v>
      </c>
      <c r="D1344" s="2"/>
      <c r="E1344" s="2" t="str">
        <f>"FES1162542602"</f>
        <v>FES1162542602</v>
      </c>
      <c r="F1344" s="3">
        <v>42835</v>
      </c>
      <c r="G1344" s="2">
        <v>201710</v>
      </c>
      <c r="H1344" s="2" t="s">
        <v>74</v>
      </c>
      <c r="I1344" s="2" t="s">
        <v>75</v>
      </c>
      <c r="J1344" s="2" t="s">
        <v>76</v>
      </c>
      <c r="K1344" s="2" t="s">
        <v>77</v>
      </c>
      <c r="L1344" s="2" t="s">
        <v>231</v>
      </c>
      <c r="M1344" s="2" t="s">
        <v>232</v>
      </c>
      <c r="N1344" s="2" t="s">
        <v>316</v>
      </c>
      <c r="O1344" s="2" t="s">
        <v>115</v>
      </c>
      <c r="P1344" s="2" t="str">
        <f>"2170561458                    "</f>
        <v xml:space="preserve">2170561458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6.03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1</v>
      </c>
      <c r="BJ1344" s="2">
        <v>0.2</v>
      </c>
      <c r="BK1344" s="2">
        <v>1</v>
      </c>
      <c r="BL1344" s="2">
        <v>58.68</v>
      </c>
      <c r="BM1344" s="2">
        <v>8.2200000000000006</v>
      </c>
      <c r="BN1344" s="2">
        <v>66.900000000000006</v>
      </c>
      <c r="BO1344" s="2">
        <v>66.900000000000006</v>
      </c>
      <c r="BP1344" s="2"/>
      <c r="BQ1344" s="2" t="s">
        <v>317</v>
      </c>
      <c r="BR1344" s="2" t="s">
        <v>123</v>
      </c>
      <c r="BS1344" s="3">
        <v>42836</v>
      </c>
      <c r="BT1344" s="4">
        <v>0.48958333333333331</v>
      </c>
      <c r="BU1344" s="2" t="s">
        <v>318</v>
      </c>
      <c r="BV1344" s="2" t="s">
        <v>111</v>
      </c>
      <c r="BW1344" s="2"/>
      <c r="BX1344" s="2"/>
      <c r="BY1344" s="2">
        <v>1200</v>
      </c>
      <c r="BZ1344" s="2" t="s">
        <v>27</v>
      </c>
      <c r="CA1344" s="2"/>
      <c r="CB1344" s="2"/>
      <c r="CC1344" s="2" t="s">
        <v>232</v>
      </c>
      <c r="CD1344" s="2">
        <v>250</v>
      </c>
      <c r="CE1344" s="2" t="s">
        <v>144</v>
      </c>
      <c r="CF1344" s="5">
        <v>42843</v>
      </c>
      <c r="CG1344" s="2"/>
      <c r="CH1344" s="2"/>
      <c r="CI1344" s="2">
        <v>1</v>
      </c>
      <c r="CJ1344" s="2">
        <v>1</v>
      </c>
      <c r="CK1344" s="2">
        <v>24</v>
      </c>
      <c r="CL1344" s="2" t="s">
        <v>86</v>
      </c>
      <c r="CM1344" s="2"/>
    </row>
    <row r="1345" spans="1:91">
      <c r="A1345" s="2" t="s">
        <v>71</v>
      </c>
      <c r="B1345" s="2" t="s">
        <v>72</v>
      </c>
      <c r="C1345" s="2" t="s">
        <v>73</v>
      </c>
      <c r="D1345" s="2"/>
      <c r="E1345" s="2" t="str">
        <f>"FES1162541113"</f>
        <v>FES1162541113</v>
      </c>
      <c r="F1345" s="3">
        <v>42828</v>
      </c>
      <c r="G1345" s="2">
        <v>201710</v>
      </c>
      <c r="H1345" s="2" t="s">
        <v>74</v>
      </c>
      <c r="I1345" s="2" t="s">
        <v>75</v>
      </c>
      <c r="J1345" s="2" t="s">
        <v>76</v>
      </c>
      <c r="K1345" s="2" t="s">
        <v>77</v>
      </c>
      <c r="L1345" s="2" t="s">
        <v>91</v>
      </c>
      <c r="M1345" s="2" t="s">
        <v>92</v>
      </c>
      <c r="N1345" s="2" t="s">
        <v>1916</v>
      </c>
      <c r="O1345" s="2" t="s">
        <v>115</v>
      </c>
      <c r="P1345" s="2" t="str">
        <f>"2170560202                    "</f>
        <v xml:space="preserve">2170560202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3.45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1</v>
      </c>
      <c r="BJ1345" s="2">
        <v>0.2</v>
      </c>
      <c r="BK1345" s="2">
        <v>1</v>
      </c>
      <c r="BL1345" s="2">
        <v>32.700000000000003</v>
      </c>
      <c r="BM1345" s="2">
        <v>4.58</v>
      </c>
      <c r="BN1345" s="2">
        <v>37.28</v>
      </c>
      <c r="BO1345" s="2">
        <v>37.28</v>
      </c>
      <c r="BP1345" s="2"/>
      <c r="BQ1345" s="2" t="s">
        <v>143</v>
      </c>
      <c r="BR1345" s="2" t="s">
        <v>123</v>
      </c>
      <c r="BS1345" s="3">
        <v>42829</v>
      </c>
      <c r="BT1345" s="4">
        <v>0.37013888888888885</v>
      </c>
      <c r="BU1345" s="2" t="s">
        <v>1917</v>
      </c>
      <c r="BV1345" s="2" t="s">
        <v>111</v>
      </c>
      <c r="BW1345" s="2"/>
      <c r="BX1345" s="2"/>
      <c r="BY1345" s="2">
        <v>1200</v>
      </c>
      <c r="BZ1345" s="2" t="s">
        <v>27</v>
      </c>
      <c r="CA1345" s="2" t="s">
        <v>1815</v>
      </c>
      <c r="CB1345" s="2"/>
      <c r="CC1345" s="2" t="s">
        <v>92</v>
      </c>
      <c r="CD1345" s="2">
        <v>1428</v>
      </c>
      <c r="CE1345" s="2" t="s">
        <v>118</v>
      </c>
      <c r="CF1345" s="5">
        <v>42829</v>
      </c>
      <c r="CG1345" s="2"/>
      <c r="CH1345" s="2"/>
      <c r="CI1345" s="2">
        <v>1</v>
      </c>
      <c r="CJ1345" s="2">
        <v>1</v>
      </c>
      <c r="CK1345" s="2">
        <v>22</v>
      </c>
      <c r="CL1345" s="2" t="s">
        <v>86</v>
      </c>
      <c r="CM1345" s="2"/>
    </row>
    <row r="1346" spans="1:91">
      <c r="A1346" s="2" t="s">
        <v>71</v>
      </c>
      <c r="B1346" s="2" t="s">
        <v>72</v>
      </c>
      <c r="C1346" s="2" t="s">
        <v>73</v>
      </c>
      <c r="D1346" s="2"/>
      <c r="E1346" s="2" t="str">
        <f>"FES1162542101"</f>
        <v>FES1162542101</v>
      </c>
      <c r="F1346" s="3">
        <v>42832</v>
      </c>
      <c r="G1346" s="2">
        <v>201710</v>
      </c>
      <c r="H1346" s="2" t="s">
        <v>74</v>
      </c>
      <c r="I1346" s="2" t="s">
        <v>75</v>
      </c>
      <c r="J1346" s="2" t="s">
        <v>76</v>
      </c>
      <c r="K1346" s="2" t="s">
        <v>77</v>
      </c>
      <c r="L1346" s="2" t="s">
        <v>190</v>
      </c>
      <c r="M1346" s="2" t="s">
        <v>191</v>
      </c>
      <c r="N1346" s="2" t="s">
        <v>192</v>
      </c>
      <c r="O1346" s="2" t="s">
        <v>115</v>
      </c>
      <c r="P1346" s="2" t="str">
        <f>"2170560071                    "</f>
        <v xml:space="preserve">2170560071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6.03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1</v>
      </c>
      <c r="BJ1346" s="2">
        <v>0.2</v>
      </c>
      <c r="BK1346" s="2">
        <v>1</v>
      </c>
      <c r="BL1346" s="2">
        <v>58.68</v>
      </c>
      <c r="BM1346" s="2">
        <v>8.2200000000000006</v>
      </c>
      <c r="BN1346" s="2">
        <v>66.900000000000006</v>
      </c>
      <c r="BO1346" s="2">
        <v>66.900000000000006</v>
      </c>
      <c r="BP1346" s="2"/>
      <c r="BQ1346" s="2" t="s">
        <v>193</v>
      </c>
      <c r="BR1346" s="2" t="s">
        <v>123</v>
      </c>
      <c r="BS1346" s="3">
        <v>42835</v>
      </c>
      <c r="BT1346" s="4">
        <v>0.41666666666666669</v>
      </c>
      <c r="BU1346" s="2" t="s">
        <v>290</v>
      </c>
      <c r="BV1346" s="2" t="s">
        <v>111</v>
      </c>
      <c r="BW1346" s="2"/>
      <c r="BX1346" s="2"/>
      <c r="BY1346" s="2">
        <v>1200</v>
      </c>
      <c r="BZ1346" s="2" t="s">
        <v>27</v>
      </c>
      <c r="CA1346" s="2"/>
      <c r="CB1346" s="2"/>
      <c r="CC1346" s="2" t="s">
        <v>191</v>
      </c>
      <c r="CD1346" s="2">
        <v>1739</v>
      </c>
      <c r="CE1346" s="2" t="s">
        <v>118</v>
      </c>
      <c r="CF1346" s="5">
        <v>42836</v>
      </c>
      <c r="CG1346" s="2"/>
      <c r="CH1346" s="2"/>
      <c r="CI1346" s="2">
        <v>1</v>
      </c>
      <c r="CJ1346" s="2">
        <v>1</v>
      </c>
      <c r="CK1346" s="2">
        <v>24</v>
      </c>
      <c r="CL1346" s="2" t="s">
        <v>86</v>
      </c>
      <c r="CM1346" s="2"/>
    </row>
    <row r="1347" spans="1:91">
      <c r="A1347" s="2" t="s">
        <v>71</v>
      </c>
      <c r="B1347" s="2" t="s">
        <v>72</v>
      </c>
      <c r="C1347" s="2" t="s">
        <v>73</v>
      </c>
      <c r="D1347" s="2"/>
      <c r="E1347" s="2" t="str">
        <f>"FES1162541010"</f>
        <v>FES1162541010</v>
      </c>
      <c r="F1347" s="3">
        <v>42828</v>
      </c>
      <c r="G1347" s="2">
        <v>201710</v>
      </c>
      <c r="H1347" s="2" t="s">
        <v>74</v>
      </c>
      <c r="I1347" s="2" t="s">
        <v>75</v>
      </c>
      <c r="J1347" s="2" t="s">
        <v>76</v>
      </c>
      <c r="K1347" s="2" t="s">
        <v>77</v>
      </c>
      <c r="L1347" s="2" t="s">
        <v>131</v>
      </c>
      <c r="M1347" s="2" t="s">
        <v>132</v>
      </c>
      <c r="N1347" s="2" t="s">
        <v>1439</v>
      </c>
      <c r="O1347" s="2" t="s">
        <v>115</v>
      </c>
      <c r="P1347" s="2" t="str">
        <f>"2170550336                    "</f>
        <v xml:space="preserve">2170550336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19.899999999999999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9</v>
      </c>
      <c r="BJ1347" s="2">
        <v>2</v>
      </c>
      <c r="BK1347" s="2">
        <v>9</v>
      </c>
      <c r="BL1347" s="2">
        <v>188.38</v>
      </c>
      <c r="BM1347" s="2">
        <v>26.37</v>
      </c>
      <c r="BN1347" s="2">
        <v>214.75</v>
      </c>
      <c r="BO1347" s="2">
        <v>214.75</v>
      </c>
      <c r="BP1347" s="2"/>
      <c r="BQ1347" s="2" t="s">
        <v>1440</v>
      </c>
      <c r="BR1347" s="2" t="s">
        <v>123</v>
      </c>
      <c r="BS1347" s="3">
        <v>42829</v>
      </c>
      <c r="BT1347" s="4">
        <v>0.35416666666666669</v>
      </c>
      <c r="BU1347" s="2" t="s">
        <v>1918</v>
      </c>
      <c r="BV1347" s="2" t="s">
        <v>111</v>
      </c>
      <c r="BW1347" s="2"/>
      <c r="BX1347" s="2"/>
      <c r="BY1347" s="2">
        <v>10244.75</v>
      </c>
      <c r="BZ1347" s="2" t="s">
        <v>27</v>
      </c>
      <c r="CA1347" s="2"/>
      <c r="CB1347" s="2"/>
      <c r="CC1347" s="2" t="s">
        <v>132</v>
      </c>
      <c r="CD1347" s="2">
        <v>7490</v>
      </c>
      <c r="CE1347" s="2" t="s">
        <v>89</v>
      </c>
      <c r="CF1347" s="5">
        <v>42830</v>
      </c>
      <c r="CG1347" s="2"/>
      <c r="CH1347" s="2"/>
      <c r="CI1347" s="2">
        <v>1</v>
      </c>
      <c r="CJ1347" s="2">
        <v>1</v>
      </c>
      <c r="CK1347" s="2">
        <v>21</v>
      </c>
      <c r="CL1347" s="2" t="s">
        <v>86</v>
      </c>
      <c r="CM1347" s="2"/>
    </row>
    <row r="1348" spans="1:91">
      <c r="A1348" s="2" t="s">
        <v>71</v>
      </c>
      <c r="B1348" s="2" t="s">
        <v>72</v>
      </c>
      <c r="C1348" s="2" t="s">
        <v>73</v>
      </c>
      <c r="D1348" s="2"/>
      <c r="E1348" s="2" t="str">
        <f>"FES1162542497"</f>
        <v>FES1162542497</v>
      </c>
      <c r="F1348" s="3">
        <v>42835</v>
      </c>
      <c r="G1348" s="2">
        <v>201710</v>
      </c>
      <c r="H1348" s="2" t="s">
        <v>74</v>
      </c>
      <c r="I1348" s="2" t="s">
        <v>75</v>
      </c>
      <c r="J1348" s="2" t="s">
        <v>76</v>
      </c>
      <c r="K1348" s="2" t="s">
        <v>77</v>
      </c>
      <c r="L1348" s="2" t="s">
        <v>74</v>
      </c>
      <c r="M1348" s="2" t="s">
        <v>75</v>
      </c>
      <c r="N1348" s="2" t="s">
        <v>1475</v>
      </c>
      <c r="O1348" s="2" t="s">
        <v>115</v>
      </c>
      <c r="P1348" s="2" t="str">
        <f>"2170560323                    "</f>
        <v xml:space="preserve">2170560323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3.35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32.6</v>
      </c>
      <c r="BM1348" s="2">
        <v>4.5599999999999996</v>
      </c>
      <c r="BN1348" s="2">
        <v>37.159999999999997</v>
      </c>
      <c r="BO1348" s="2">
        <v>37.159999999999997</v>
      </c>
      <c r="BP1348" s="2"/>
      <c r="BQ1348" s="2" t="s">
        <v>1476</v>
      </c>
      <c r="BR1348" s="2" t="s">
        <v>123</v>
      </c>
      <c r="BS1348" s="3">
        <v>42836</v>
      </c>
      <c r="BT1348" s="4">
        <v>0.31597222222222221</v>
      </c>
      <c r="BU1348" s="2" t="s">
        <v>175</v>
      </c>
      <c r="BV1348" s="2" t="s">
        <v>111</v>
      </c>
      <c r="BW1348" s="2"/>
      <c r="BX1348" s="2"/>
      <c r="BY1348" s="2">
        <v>1200</v>
      </c>
      <c r="BZ1348" s="2" t="s">
        <v>27</v>
      </c>
      <c r="CA1348" s="2"/>
      <c r="CB1348" s="2"/>
      <c r="CC1348" s="2" t="s">
        <v>75</v>
      </c>
      <c r="CD1348" s="2">
        <v>1665</v>
      </c>
      <c r="CE1348" s="2" t="s">
        <v>118</v>
      </c>
      <c r="CF1348" s="5">
        <v>42838</v>
      </c>
      <c r="CG1348" s="2"/>
      <c r="CH1348" s="2"/>
      <c r="CI1348" s="2">
        <v>1</v>
      </c>
      <c r="CJ1348" s="2">
        <v>1</v>
      </c>
      <c r="CK1348" s="2">
        <v>22</v>
      </c>
      <c r="CL1348" s="2" t="s">
        <v>86</v>
      </c>
      <c r="CM1348" s="2"/>
    </row>
    <row r="1349" spans="1:91">
      <c r="A1349" s="2" t="s">
        <v>71</v>
      </c>
      <c r="B1349" s="2" t="s">
        <v>72</v>
      </c>
      <c r="C1349" s="2" t="s">
        <v>73</v>
      </c>
      <c r="D1349" s="2"/>
      <c r="E1349" s="2" t="str">
        <f>"FES1162541019"</f>
        <v>FES1162541019</v>
      </c>
      <c r="F1349" s="3">
        <v>42828</v>
      </c>
      <c r="G1349" s="2">
        <v>201710</v>
      </c>
      <c r="H1349" s="2" t="s">
        <v>74</v>
      </c>
      <c r="I1349" s="2" t="s">
        <v>75</v>
      </c>
      <c r="J1349" s="2" t="s">
        <v>76</v>
      </c>
      <c r="K1349" s="2" t="s">
        <v>77</v>
      </c>
      <c r="L1349" s="2" t="s">
        <v>443</v>
      </c>
      <c r="M1349" s="2" t="s">
        <v>444</v>
      </c>
      <c r="N1349" s="2" t="s">
        <v>627</v>
      </c>
      <c r="O1349" s="2" t="s">
        <v>115</v>
      </c>
      <c r="P1349" s="2" t="str">
        <f>"2170560088                    "</f>
        <v xml:space="preserve">2170560088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26.53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12</v>
      </c>
      <c r="BJ1349" s="2">
        <v>4.0999999999999996</v>
      </c>
      <c r="BK1349" s="2">
        <v>12</v>
      </c>
      <c r="BL1349" s="2">
        <v>251.17</v>
      </c>
      <c r="BM1349" s="2">
        <v>35.159999999999997</v>
      </c>
      <c r="BN1349" s="2">
        <v>286.33</v>
      </c>
      <c r="BO1349" s="2">
        <v>286.33</v>
      </c>
      <c r="BP1349" s="2"/>
      <c r="BQ1349" s="2" t="s">
        <v>628</v>
      </c>
      <c r="BR1349" s="2" t="s">
        <v>123</v>
      </c>
      <c r="BS1349" s="3">
        <v>42829</v>
      </c>
      <c r="BT1349" s="4">
        <v>0.41666666666666669</v>
      </c>
      <c r="BU1349" s="2" t="s">
        <v>1761</v>
      </c>
      <c r="BV1349" s="2" t="s">
        <v>111</v>
      </c>
      <c r="BW1349" s="2"/>
      <c r="BX1349" s="2"/>
      <c r="BY1349" s="2">
        <v>20358</v>
      </c>
      <c r="BZ1349" s="2" t="s">
        <v>27</v>
      </c>
      <c r="CA1349" s="2"/>
      <c r="CB1349" s="2"/>
      <c r="CC1349" s="2" t="s">
        <v>444</v>
      </c>
      <c r="CD1349" s="2">
        <v>7130</v>
      </c>
      <c r="CE1349" s="2" t="s">
        <v>89</v>
      </c>
      <c r="CF1349" s="5">
        <v>42830</v>
      </c>
      <c r="CG1349" s="2"/>
      <c r="CH1349" s="2"/>
      <c r="CI1349" s="2">
        <v>1</v>
      </c>
      <c r="CJ1349" s="2">
        <v>1</v>
      </c>
      <c r="CK1349" s="2">
        <v>21</v>
      </c>
      <c r="CL1349" s="2" t="s">
        <v>86</v>
      </c>
      <c r="CM1349" s="2"/>
    </row>
    <row r="1350" spans="1:91">
      <c r="A1350" s="2" t="s">
        <v>71</v>
      </c>
      <c r="B1350" s="2" t="s">
        <v>72</v>
      </c>
      <c r="C1350" s="2" t="s">
        <v>73</v>
      </c>
      <c r="D1350" s="2"/>
      <c r="E1350" s="2" t="str">
        <f>"FES1162542250"</f>
        <v>FES1162542250</v>
      </c>
      <c r="F1350" s="3">
        <v>42832</v>
      </c>
      <c r="G1350" s="2">
        <v>201710</v>
      </c>
      <c r="H1350" s="2" t="s">
        <v>74</v>
      </c>
      <c r="I1350" s="2" t="s">
        <v>75</v>
      </c>
      <c r="J1350" s="2" t="s">
        <v>76</v>
      </c>
      <c r="K1350" s="2" t="s">
        <v>77</v>
      </c>
      <c r="L1350" s="2" t="s">
        <v>139</v>
      </c>
      <c r="M1350" s="2" t="s">
        <v>140</v>
      </c>
      <c r="N1350" s="2" t="s">
        <v>645</v>
      </c>
      <c r="O1350" s="2" t="s">
        <v>115</v>
      </c>
      <c r="P1350" s="2" t="str">
        <f>"2170561154                    "</f>
        <v xml:space="preserve">2170561154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5.36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2.4</v>
      </c>
      <c r="BJ1350" s="2">
        <v>0.2</v>
      </c>
      <c r="BK1350" s="2">
        <v>2.5</v>
      </c>
      <c r="BL1350" s="2">
        <v>52.16</v>
      </c>
      <c r="BM1350" s="2">
        <v>7.3</v>
      </c>
      <c r="BN1350" s="2">
        <v>59.46</v>
      </c>
      <c r="BO1350" s="2">
        <v>59.46</v>
      </c>
      <c r="BP1350" s="2"/>
      <c r="BQ1350" s="2" t="s">
        <v>646</v>
      </c>
      <c r="BR1350" s="2" t="s">
        <v>123</v>
      </c>
      <c r="BS1350" s="3">
        <v>42835</v>
      </c>
      <c r="BT1350" s="4">
        <v>0.37638888888888888</v>
      </c>
      <c r="BU1350" s="2" t="s">
        <v>647</v>
      </c>
      <c r="BV1350" s="2" t="s">
        <v>111</v>
      </c>
      <c r="BW1350" s="2"/>
      <c r="BX1350" s="2"/>
      <c r="BY1350" s="2">
        <v>1200</v>
      </c>
      <c r="BZ1350" s="2" t="s">
        <v>27</v>
      </c>
      <c r="CA1350" s="2"/>
      <c r="CB1350" s="2"/>
      <c r="CC1350" s="2" t="s">
        <v>140</v>
      </c>
      <c r="CD1350" s="2">
        <v>157</v>
      </c>
      <c r="CE1350" s="2" t="s">
        <v>144</v>
      </c>
      <c r="CF1350" s="5">
        <v>42836</v>
      </c>
      <c r="CG1350" s="2"/>
      <c r="CH1350" s="2"/>
      <c r="CI1350" s="2">
        <v>0</v>
      </c>
      <c r="CJ1350" s="2">
        <v>0</v>
      </c>
      <c r="CK1350" s="2">
        <v>21</v>
      </c>
      <c r="CL1350" s="2" t="s">
        <v>86</v>
      </c>
      <c r="CM1350" s="2"/>
    </row>
    <row r="1351" spans="1:91">
      <c r="A1351" s="2" t="s">
        <v>71</v>
      </c>
      <c r="B1351" s="2" t="s">
        <v>72</v>
      </c>
      <c r="C1351" s="2" t="s">
        <v>73</v>
      </c>
      <c r="D1351" s="2"/>
      <c r="E1351" s="2" t="str">
        <f>"FES1162541094"</f>
        <v>FES1162541094</v>
      </c>
      <c r="F1351" s="3">
        <v>42828</v>
      </c>
      <c r="G1351" s="2">
        <v>201710</v>
      </c>
      <c r="H1351" s="2" t="s">
        <v>74</v>
      </c>
      <c r="I1351" s="2" t="s">
        <v>75</v>
      </c>
      <c r="J1351" s="2" t="s">
        <v>76</v>
      </c>
      <c r="K1351" s="2" t="s">
        <v>77</v>
      </c>
      <c r="L1351" s="2" t="s">
        <v>131</v>
      </c>
      <c r="M1351" s="2" t="s">
        <v>132</v>
      </c>
      <c r="N1351" s="2" t="s">
        <v>1220</v>
      </c>
      <c r="O1351" s="2" t="s">
        <v>115</v>
      </c>
      <c r="P1351" s="2" t="str">
        <f>"2170560171                    "</f>
        <v xml:space="preserve">2170560171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4.42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1</v>
      </c>
      <c r="BJ1351" s="2">
        <v>0.2</v>
      </c>
      <c r="BK1351" s="2">
        <v>1</v>
      </c>
      <c r="BL1351" s="2">
        <v>41.86</v>
      </c>
      <c r="BM1351" s="2">
        <v>5.86</v>
      </c>
      <c r="BN1351" s="2">
        <v>47.72</v>
      </c>
      <c r="BO1351" s="2">
        <v>47.72</v>
      </c>
      <c r="BP1351" s="2"/>
      <c r="BQ1351" s="2" t="s">
        <v>122</v>
      </c>
      <c r="BR1351" s="2" t="s">
        <v>123</v>
      </c>
      <c r="BS1351" s="3">
        <v>42829</v>
      </c>
      <c r="BT1351" s="4">
        <v>0.47916666666666669</v>
      </c>
      <c r="BU1351" s="2" t="s">
        <v>1262</v>
      </c>
      <c r="BV1351" s="2" t="s">
        <v>86</v>
      </c>
      <c r="BW1351" s="2"/>
      <c r="BX1351" s="2"/>
      <c r="BY1351" s="2">
        <v>1200</v>
      </c>
      <c r="BZ1351" s="2" t="s">
        <v>27</v>
      </c>
      <c r="CA1351" s="2"/>
      <c r="CB1351" s="2"/>
      <c r="CC1351" s="2" t="s">
        <v>132</v>
      </c>
      <c r="CD1351" s="2">
        <v>7500</v>
      </c>
      <c r="CE1351" s="2" t="s">
        <v>118</v>
      </c>
      <c r="CF1351" s="5">
        <v>42830</v>
      </c>
      <c r="CG1351" s="2"/>
      <c r="CH1351" s="2"/>
      <c r="CI1351" s="2">
        <v>1</v>
      </c>
      <c r="CJ1351" s="2">
        <v>1</v>
      </c>
      <c r="CK1351" s="2">
        <v>21</v>
      </c>
      <c r="CL1351" s="2" t="s">
        <v>86</v>
      </c>
      <c r="CM1351" s="2"/>
    </row>
    <row r="1352" spans="1:91">
      <c r="A1352" s="2" t="s">
        <v>71</v>
      </c>
      <c r="B1352" s="2" t="s">
        <v>72</v>
      </c>
      <c r="C1352" s="2" t="s">
        <v>73</v>
      </c>
      <c r="D1352" s="2"/>
      <c r="E1352" s="2" t="str">
        <f>"FES1162542466"</f>
        <v>FES1162542466</v>
      </c>
      <c r="F1352" s="3">
        <v>42835</v>
      </c>
      <c r="G1352" s="2">
        <v>201710</v>
      </c>
      <c r="H1352" s="2" t="s">
        <v>74</v>
      </c>
      <c r="I1352" s="2" t="s">
        <v>75</v>
      </c>
      <c r="J1352" s="2" t="s">
        <v>76</v>
      </c>
      <c r="K1352" s="2" t="s">
        <v>77</v>
      </c>
      <c r="L1352" s="2" t="s">
        <v>74</v>
      </c>
      <c r="M1352" s="2" t="s">
        <v>75</v>
      </c>
      <c r="N1352" s="2" t="s">
        <v>1383</v>
      </c>
      <c r="O1352" s="2" t="s">
        <v>115</v>
      </c>
      <c r="P1352" s="2" t="str">
        <f>"2170561362                    "</f>
        <v xml:space="preserve">2170561362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3.35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1</v>
      </c>
      <c r="BJ1352" s="2">
        <v>0.2</v>
      </c>
      <c r="BK1352" s="2">
        <v>1</v>
      </c>
      <c r="BL1352" s="2">
        <v>32.6</v>
      </c>
      <c r="BM1352" s="2">
        <v>4.5599999999999996</v>
      </c>
      <c r="BN1352" s="2">
        <v>37.159999999999997</v>
      </c>
      <c r="BO1352" s="2">
        <v>37.159999999999997</v>
      </c>
      <c r="BP1352" s="2"/>
      <c r="BQ1352" s="2" t="s">
        <v>1384</v>
      </c>
      <c r="BR1352" s="2" t="s">
        <v>123</v>
      </c>
      <c r="BS1352" s="3">
        <v>42836</v>
      </c>
      <c r="BT1352" s="4">
        <v>0.32569444444444445</v>
      </c>
      <c r="BU1352" s="2" t="s">
        <v>1919</v>
      </c>
      <c r="BV1352" s="2" t="s">
        <v>111</v>
      </c>
      <c r="BW1352" s="2"/>
      <c r="BX1352" s="2"/>
      <c r="BY1352" s="2">
        <v>1200</v>
      </c>
      <c r="BZ1352" s="2" t="s">
        <v>27</v>
      </c>
      <c r="CA1352" s="2"/>
      <c r="CB1352" s="2"/>
      <c r="CC1352" s="2" t="s">
        <v>75</v>
      </c>
      <c r="CD1352" s="2">
        <v>1600</v>
      </c>
      <c r="CE1352" s="2" t="s">
        <v>118</v>
      </c>
      <c r="CF1352" s="5">
        <v>42838</v>
      </c>
      <c r="CG1352" s="2"/>
      <c r="CH1352" s="2"/>
      <c r="CI1352" s="2">
        <v>1</v>
      </c>
      <c r="CJ1352" s="2">
        <v>1</v>
      </c>
      <c r="CK1352" s="2">
        <v>22</v>
      </c>
      <c r="CL1352" s="2" t="s">
        <v>86</v>
      </c>
      <c r="CM1352" s="2"/>
    </row>
    <row r="1353" spans="1:91">
      <c r="A1353" s="2" t="s">
        <v>71</v>
      </c>
      <c r="B1353" s="2" t="s">
        <v>72</v>
      </c>
      <c r="C1353" s="2" t="s">
        <v>73</v>
      </c>
      <c r="D1353" s="2"/>
      <c r="E1353" s="2" t="str">
        <f>"FES1162541132"</f>
        <v>FES1162541132</v>
      </c>
      <c r="F1353" s="3">
        <v>42828</v>
      </c>
      <c r="G1353" s="2">
        <v>201710</v>
      </c>
      <c r="H1353" s="2" t="s">
        <v>74</v>
      </c>
      <c r="I1353" s="2" t="s">
        <v>75</v>
      </c>
      <c r="J1353" s="2" t="s">
        <v>76</v>
      </c>
      <c r="K1353" s="2" t="s">
        <v>77</v>
      </c>
      <c r="L1353" s="2" t="s">
        <v>131</v>
      </c>
      <c r="M1353" s="2" t="s">
        <v>132</v>
      </c>
      <c r="N1353" s="2" t="s">
        <v>744</v>
      </c>
      <c r="O1353" s="2" t="s">
        <v>115</v>
      </c>
      <c r="P1353" s="2" t="str">
        <f>"2170560218                    "</f>
        <v xml:space="preserve">2170560218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4.42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1</v>
      </c>
      <c r="BJ1353" s="2">
        <v>0.2</v>
      </c>
      <c r="BK1353" s="2">
        <v>1</v>
      </c>
      <c r="BL1353" s="2">
        <v>41.86</v>
      </c>
      <c r="BM1353" s="2">
        <v>5.86</v>
      </c>
      <c r="BN1353" s="2">
        <v>47.72</v>
      </c>
      <c r="BO1353" s="2">
        <v>47.72</v>
      </c>
      <c r="BP1353" s="2"/>
      <c r="BQ1353" s="2" t="s">
        <v>138</v>
      </c>
      <c r="BR1353" s="2" t="s">
        <v>123</v>
      </c>
      <c r="BS1353" s="3">
        <v>42829</v>
      </c>
      <c r="BT1353" s="4">
        <v>0.62222222222222223</v>
      </c>
      <c r="BU1353" s="2" t="s">
        <v>1762</v>
      </c>
      <c r="BV1353" s="2" t="s">
        <v>86</v>
      </c>
      <c r="BW1353" s="2" t="s">
        <v>157</v>
      </c>
      <c r="BX1353" s="2" t="s">
        <v>158</v>
      </c>
      <c r="BY1353" s="2">
        <v>1200</v>
      </c>
      <c r="BZ1353" s="2" t="s">
        <v>27</v>
      </c>
      <c r="CA1353" s="2"/>
      <c r="CB1353" s="2"/>
      <c r="CC1353" s="2" t="s">
        <v>132</v>
      </c>
      <c r="CD1353" s="2">
        <v>7405</v>
      </c>
      <c r="CE1353" s="2" t="s">
        <v>118</v>
      </c>
      <c r="CF1353" s="5">
        <v>42830</v>
      </c>
      <c r="CG1353" s="2"/>
      <c r="CH1353" s="2"/>
      <c r="CI1353" s="2">
        <v>1</v>
      </c>
      <c r="CJ1353" s="2">
        <v>1</v>
      </c>
      <c r="CK1353" s="2">
        <v>21</v>
      </c>
      <c r="CL1353" s="2" t="s">
        <v>86</v>
      </c>
      <c r="CM1353" s="2"/>
    </row>
    <row r="1354" spans="1:91">
      <c r="A1354" s="2" t="s">
        <v>71</v>
      </c>
      <c r="B1354" s="2" t="s">
        <v>72</v>
      </c>
      <c r="C1354" s="2" t="s">
        <v>73</v>
      </c>
      <c r="D1354" s="2"/>
      <c r="E1354" s="2" t="str">
        <f>"FES1162542295"</f>
        <v>FES1162542295</v>
      </c>
      <c r="F1354" s="3">
        <v>42832</v>
      </c>
      <c r="G1354" s="2">
        <v>201710</v>
      </c>
      <c r="H1354" s="2" t="s">
        <v>74</v>
      </c>
      <c r="I1354" s="2" t="s">
        <v>75</v>
      </c>
      <c r="J1354" s="2" t="s">
        <v>76</v>
      </c>
      <c r="K1354" s="2" t="s">
        <v>77</v>
      </c>
      <c r="L1354" s="2" t="s">
        <v>714</v>
      </c>
      <c r="M1354" s="2" t="s">
        <v>715</v>
      </c>
      <c r="N1354" s="2" t="s">
        <v>1920</v>
      </c>
      <c r="O1354" s="2" t="s">
        <v>115</v>
      </c>
      <c r="P1354" s="2" t="str">
        <f>"2170560891                    "</f>
        <v xml:space="preserve">2170560891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3.35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0.2</v>
      </c>
      <c r="BK1354" s="2">
        <v>1</v>
      </c>
      <c r="BL1354" s="2">
        <v>32.6</v>
      </c>
      <c r="BM1354" s="2">
        <v>4.5599999999999996</v>
      </c>
      <c r="BN1354" s="2">
        <v>37.159999999999997</v>
      </c>
      <c r="BO1354" s="2">
        <v>37.159999999999997</v>
      </c>
      <c r="BP1354" s="2"/>
      <c r="BQ1354" s="2"/>
      <c r="BR1354" s="2" t="s">
        <v>123</v>
      </c>
      <c r="BS1354" s="3">
        <v>42835</v>
      </c>
      <c r="BT1354" s="4">
        <v>0.41666666666666669</v>
      </c>
      <c r="BU1354" s="2" t="s">
        <v>1921</v>
      </c>
      <c r="BV1354" s="2" t="s">
        <v>111</v>
      </c>
      <c r="BW1354" s="2"/>
      <c r="BX1354" s="2"/>
      <c r="BY1354" s="2">
        <v>1200</v>
      </c>
      <c r="BZ1354" s="2" t="s">
        <v>27</v>
      </c>
      <c r="CA1354" s="2"/>
      <c r="CB1354" s="2"/>
      <c r="CC1354" s="2" t="s">
        <v>715</v>
      </c>
      <c r="CD1354" s="2">
        <v>1554</v>
      </c>
      <c r="CE1354" s="2" t="s">
        <v>144</v>
      </c>
      <c r="CF1354" s="5">
        <v>42836</v>
      </c>
      <c r="CG1354" s="2"/>
      <c r="CH1354" s="2"/>
      <c r="CI1354" s="2">
        <v>1</v>
      </c>
      <c r="CJ1354" s="2">
        <v>1</v>
      </c>
      <c r="CK1354" s="2">
        <v>22</v>
      </c>
      <c r="CL1354" s="2" t="s">
        <v>86</v>
      </c>
      <c r="CM1354" s="2"/>
    </row>
    <row r="1355" spans="1:91">
      <c r="A1355" s="2" t="s">
        <v>71</v>
      </c>
      <c r="B1355" s="2" t="s">
        <v>72</v>
      </c>
      <c r="C1355" s="2" t="s">
        <v>73</v>
      </c>
      <c r="D1355" s="2"/>
      <c r="E1355" s="2" t="str">
        <f>"FES1162541083"</f>
        <v>FES1162541083</v>
      </c>
      <c r="F1355" s="3">
        <v>42828</v>
      </c>
      <c r="G1355" s="2">
        <v>201710</v>
      </c>
      <c r="H1355" s="2" t="s">
        <v>74</v>
      </c>
      <c r="I1355" s="2" t="s">
        <v>75</v>
      </c>
      <c r="J1355" s="2" t="s">
        <v>76</v>
      </c>
      <c r="K1355" s="2" t="s">
        <v>77</v>
      </c>
      <c r="L1355" s="2" t="s">
        <v>609</v>
      </c>
      <c r="M1355" s="2" t="s">
        <v>610</v>
      </c>
      <c r="N1355" s="2" t="s">
        <v>982</v>
      </c>
      <c r="O1355" s="2" t="s">
        <v>115</v>
      </c>
      <c r="P1355" s="2" t="str">
        <f>"2170560161                    "</f>
        <v xml:space="preserve">2170560161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4.42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1</v>
      </c>
      <c r="BJ1355" s="2">
        <v>0.2</v>
      </c>
      <c r="BK1355" s="2">
        <v>1</v>
      </c>
      <c r="BL1355" s="2">
        <v>41.86</v>
      </c>
      <c r="BM1355" s="2">
        <v>5.86</v>
      </c>
      <c r="BN1355" s="2">
        <v>47.72</v>
      </c>
      <c r="BO1355" s="2">
        <v>47.72</v>
      </c>
      <c r="BP1355" s="2"/>
      <c r="BQ1355" s="2" t="s">
        <v>129</v>
      </c>
      <c r="BR1355" s="2" t="s">
        <v>123</v>
      </c>
      <c r="BS1355" s="3">
        <v>42829</v>
      </c>
      <c r="BT1355" s="4">
        <v>0.47222222222222227</v>
      </c>
      <c r="BU1355" s="2" t="s">
        <v>1922</v>
      </c>
      <c r="BV1355" s="2" t="s">
        <v>86</v>
      </c>
      <c r="BW1355" s="2"/>
      <c r="BX1355" s="2"/>
      <c r="BY1355" s="2">
        <v>1200</v>
      </c>
      <c r="BZ1355" s="2" t="s">
        <v>27</v>
      </c>
      <c r="CA1355" s="2"/>
      <c r="CB1355" s="2"/>
      <c r="CC1355" s="2" t="s">
        <v>610</v>
      </c>
      <c r="CD1355" s="2">
        <v>1911</v>
      </c>
      <c r="CE1355" s="2" t="s">
        <v>118</v>
      </c>
      <c r="CF1355" s="5">
        <v>42831</v>
      </c>
      <c r="CG1355" s="2"/>
      <c r="CH1355" s="2"/>
      <c r="CI1355" s="2">
        <v>1</v>
      </c>
      <c r="CJ1355" s="2">
        <v>1</v>
      </c>
      <c r="CK1355" s="2">
        <v>21</v>
      </c>
      <c r="CL1355" s="2" t="s">
        <v>86</v>
      </c>
      <c r="CM1355" s="2"/>
    </row>
    <row r="1356" spans="1:91">
      <c r="A1356" s="2" t="s">
        <v>71</v>
      </c>
      <c r="B1356" s="2" t="s">
        <v>72</v>
      </c>
      <c r="C1356" s="2" t="s">
        <v>73</v>
      </c>
      <c r="D1356" s="2"/>
      <c r="E1356" s="2" t="str">
        <f>"FES1162542529"</f>
        <v>FES1162542529</v>
      </c>
      <c r="F1356" s="3">
        <v>42835</v>
      </c>
      <c r="G1356" s="2">
        <v>201710</v>
      </c>
      <c r="H1356" s="2" t="s">
        <v>74</v>
      </c>
      <c r="I1356" s="2" t="s">
        <v>75</v>
      </c>
      <c r="J1356" s="2" t="s">
        <v>76</v>
      </c>
      <c r="K1356" s="2" t="s">
        <v>77</v>
      </c>
      <c r="L1356" s="2" t="s">
        <v>609</v>
      </c>
      <c r="M1356" s="2" t="s">
        <v>610</v>
      </c>
      <c r="N1356" s="2" t="s">
        <v>982</v>
      </c>
      <c r="O1356" s="2" t="s">
        <v>115</v>
      </c>
      <c r="P1356" s="2" t="str">
        <f>"2170561065                    "</f>
        <v xml:space="preserve">2170561065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7.5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3.2</v>
      </c>
      <c r="BJ1356" s="2">
        <v>2.6</v>
      </c>
      <c r="BK1356" s="2">
        <v>3.5</v>
      </c>
      <c r="BL1356" s="2">
        <v>73.02</v>
      </c>
      <c r="BM1356" s="2">
        <v>10.220000000000001</v>
      </c>
      <c r="BN1356" s="2">
        <v>83.24</v>
      </c>
      <c r="BO1356" s="2">
        <v>83.24</v>
      </c>
      <c r="BP1356" s="2"/>
      <c r="BQ1356" s="2" t="s">
        <v>129</v>
      </c>
      <c r="BR1356" s="2" t="s">
        <v>123</v>
      </c>
      <c r="BS1356" s="3">
        <v>42836</v>
      </c>
      <c r="BT1356" s="4">
        <v>0.50694444444444442</v>
      </c>
      <c r="BU1356" s="2" t="s">
        <v>414</v>
      </c>
      <c r="BV1356" s="2" t="s">
        <v>86</v>
      </c>
      <c r="BW1356" s="2"/>
      <c r="BX1356" s="2"/>
      <c r="BY1356" s="2">
        <v>12945.41</v>
      </c>
      <c r="BZ1356" s="2" t="s">
        <v>27</v>
      </c>
      <c r="CA1356" s="2"/>
      <c r="CB1356" s="2"/>
      <c r="CC1356" s="2" t="s">
        <v>610</v>
      </c>
      <c r="CD1356" s="2">
        <v>1911</v>
      </c>
      <c r="CE1356" s="2" t="s">
        <v>1923</v>
      </c>
      <c r="CF1356" s="5">
        <v>42837</v>
      </c>
      <c r="CG1356" s="2"/>
      <c r="CH1356" s="2"/>
      <c r="CI1356" s="2">
        <v>1</v>
      </c>
      <c r="CJ1356" s="2">
        <v>1</v>
      </c>
      <c r="CK1356" s="2">
        <v>21</v>
      </c>
      <c r="CL1356" s="2" t="s">
        <v>86</v>
      </c>
      <c r="CM1356" s="2"/>
    </row>
    <row r="1357" spans="1:91">
      <c r="A1357" s="2" t="s">
        <v>71</v>
      </c>
      <c r="B1357" s="2" t="s">
        <v>72</v>
      </c>
      <c r="C1357" s="2" t="s">
        <v>73</v>
      </c>
      <c r="D1357" s="2"/>
      <c r="E1357" s="2" t="str">
        <f>"FES1162541085"</f>
        <v>FES1162541085</v>
      </c>
      <c r="F1357" s="3">
        <v>42828</v>
      </c>
      <c r="G1357" s="2">
        <v>201710</v>
      </c>
      <c r="H1357" s="2" t="s">
        <v>74</v>
      </c>
      <c r="I1357" s="2" t="s">
        <v>75</v>
      </c>
      <c r="J1357" s="2" t="s">
        <v>76</v>
      </c>
      <c r="K1357" s="2" t="s">
        <v>77</v>
      </c>
      <c r="L1357" s="2" t="s">
        <v>131</v>
      </c>
      <c r="M1357" s="2" t="s">
        <v>132</v>
      </c>
      <c r="N1357" s="2" t="s">
        <v>1534</v>
      </c>
      <c r="O1357" s="2" t="s">
        <v>115</v>
      </c>
      <c r="P1357" s="2" t="str">
        <f>"2170560163                    "</f>
        <v xml:space="preserve">2170560163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4.42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1</v>
      </c>
      <c r="BJ1357" s="2">
        <v>0.2</v>
      </c>
      <c r="BK1357" s="2">
        <v>1</v>
      </c>
      <c r="BL1357" s="2">
        <v>41.86</v>
      </c>
      <c r="BM1357" s="2">
        <v>5.86</v>
      </c>
      <c r="BN1357" s="2">
        <v>47.72</v>
      </c>
      <c r="BO1357" s="2">
        <v>47.72</v>
      </c>
      <c r="BP1357" s="2"/>
      <c r="BQ1357" s="2" t="s">
        <v>116</v>
      </c>
      <c r="BR1357" s="2" t="s">
        <v>123</v>
      </c>
      <c r="BS1357" s="3">
        <v>42829</v>
      </c>
      <c r="BT1357" s="4">
        <v>0.37152777777777773</v>
      </c>
      <c r="BU1357" s="2" t="s">
        <v>1924</v>
      </c>
      <c r="BV1357" s="2" t="s">
        <v>111</v>
      </c>
      <c r="BW1357" s="2"/>
      <c r="BX1357" s="2"/>
      <c r="BY1357" s="2">
        <v>1200</v>
      </c>
      <c r="BZ1357" s="2" t="s">
        <v>27</v>
      </c>
      <c r="CA1357" s="2"/>
      <c r="CB1357" s="2"/>
      <c r="CC1357" s="2" t="s">
        <v>132</v>
      </c>
      <c r="CD1357" s="2">
        <v>7493</v>
      </c>
      <c r="CE1357" s="2" t="s">
        <v>118</v>
      </c>
      <c r="CF1357" s="5">
        <v>42830</v>
      </c>
      <c r="CG1357" s="2"/>
      <c r="CH1357" s="2"/>
      <c r="CI1357" s="2">
        <v>1</v>
      </c>
      <c r="CJ1357" s="2">
        <v>1</v>
      </c>
      <c r="CK1357" s="2">
        <v>21</v>
      </c>
      <c r="CL1357" s="2" t="s">
        <v>86</v>
      </c>
      <c r="CM1357" s="2"/>
    </row>
    <row r="1358" spans="1:91">
      <c r="A1358" s="2" t="s">
        <v>71</v>
      </c>
      <c r="B1358" s="2" t="s">
        <v>72</v>
      </c>
      <c r="C1358" s="2" t="s">
        <v>73</v>
      </c>
      <c r="D1358" s="2"/>
      <c r="E1358" s="2" t="str">
        <f>"FES1162542147"</f>
        <v>FES1162542147</v>
      </c>
      <c r="F1358" s="3">
        <v>42832</v>
      </c>
      <c r="G1358" s="2">
        <v>201710</v>
      </c>
      <c r="H1358" s="2" t="s">
        <v>74</v>
      </c>
      <c r="I1358" s="2" t="s">
        <v>75</v>
      </c>
      <c r="J1358" s="2" t="s">
        <v>76</v>
      </c>
      <c r="K1358" s="2" t="s">
        <v>77</v>
      </c>
      <c r="L1358" s="2" t="s">
        <v>91</v>
      </c>
      <c r="M1358" s="2" t="s">
        <v>92</v>
      </c>
      <c r="N1358" s="2" t="s">
        <v>1459</v>
      </c>
      <c r="O1358" s="2" t="s">
        <v>115</v>
      </c>
      <c r="P1358" s="2" t="str">
        <f>"2170561027                    "</f>
        <v xml:space="preserve">2170561027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3.35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2.1</v>
      </c>
      <c r="BJ1358" s="2">
        <v>0.2</v>
      </c>
      <c r="BK1358" s="2">
        <v>3</v>
      </c>
      <c r="BL1358" s="2">
        <v>32.6</v>
      </c>
      <c r="BM1358" s="2">
        <v>4.5599999999999996</v>
      </c>
      <c r="BN1358" s="2">
        <v>37.159999999999997</v>
      </c>
      <c r="BO1358" s="2">
        <v>37.159999999999997</v>
      </c>
      <c r="BP1358" s="2"/>
      <c r="BQ1358" s="2" t="s">
        <v>1460</v>
      </c>
      <c r="BR1358" s="2" t="s">
        <v>123</v>
      </c>
      <c r="BS1358" s="3">
        <v>42835</v>
      </c>
      <c r="BT1358" s="4">
        <v>0.35416666666666669</v>
      </c>
      <c r="BU1358" s="2" t="s">
        <v>1298</v>
      </c>
      <c r="BV1358" s="2" t="s">
        <v>111</v>
      </c>
      <c r="BW1358" s="2"/>
      <c r="BX1358" s="2"/>
      <c r="BY1358" s="2">
        <v>1200</v>
      </c>
      <c r="BZ1358" s="2" t="s">
        <v>27</v>
      </c>
      <c r="CA1358" s="2"/>
      <c r="CB1358" s="2"/>
      <c r="CC1358" s="2" t="s">
        <v>92</v>
      </c>
      <c r="CD1358" s="2">
        <v>1401</v>
      </c>
      <c r="CE1358" s="2" t="s">
        <v>118</v>
      </c>
      <c r="CF1358" s="5">
        <v>42836</v>
      </c>
      <c r="CG1358" s="2"/>
      <c r="CH1358" s="2"/>
      <c r="CI1358" s="2">
        <v>1</v>
      </c>
      <c r="CJ1358" s="2">
        <v>1</v>
      </c>
      <c r="CK1358" s="2">
        <v>22</v>
      </c>
      <c r="CL1358" s="2" t="s">
        <v>86</v>
      </c>
      <c r="CM1358" s="2"/>
    </row>
    <row r="1359" spans="1:91">
      <c r="A1359" s="2" t="s">
        <v>71</v>
      </c>
      <c r="B1359" s="2" t="s">
        <v>72</v>
      </c>
      <c r="C1359" s="2" t="s">
        <v>73</v>
      </c>
      <c r="D1359" s="2"/>
      <c r="E1359" s="2" t="str">
        <f>"FES1162541122"</f>
        <v>FES1162541122</v>
      </c>
      <c r="F1359" s="3">
        <v>42828</v>
      </c>
      <c r="G1359" s="2">
        <v>201710</v>
      </c>
      <c r="H1359" s="2" t="s">
        <v>74</v>
      </c>
      <c r="I1359" s="2" t="s">
        <v>75</v>
      </c>
      <c r="J1359" s="2" t="s">
        <v>76</v>
      </c>
      <c r="K1359" s="2" t="s">
        <v>77</v>
      </c>
      <c r="L1359" s="2" t="s">
        <v>131</v>
      </c>
      <c r="M1359" s="2" t="s">
        <v>132</v>
      </c>
      <c r="N1359" s="2" t="s">
        <v>1925</v>
      </c>
      <c r="O1359" s="2" t="s">
        <v>115</v>
      </c>
      <c r="P1359" s="2" t="str">
        <f>"2170560205                    "</f>
        <v xml:space="preserve">2170560205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4.42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1.5</v>
      </c>
      <c r="BJ1359" s="2">
        <v>0.2</v>
      </c>
      <c r="BK1359" s="2">
        <v>1.5</v>
      </c>
      <c r="BL1359" s="2">
        <v>41.86</v>
      </c>
      <c r="BM1359" s="2">
        <v>5.86</v>
      </c>
      <c r="BN1359" s="2">
        <v>47.72</v>
      </c>
      <c r="BO1359" s="2">
        <v>47.72</v>
      </c>
      <c r="BP1359" s="2"/>
      <c r="BQ1359" s="2" t="s">
        <v>1926</v>
      </c>
      <c r="BR1359" s="2" t="s">
        <v>123</v>
      </c>
      <c r="BS1359" s="3">
        <v>42829</v>
      </c>
      <c r="BT1359" s="4">
        <v>0.39583333333333331</v>
      </c>
      <c r="BU1359" s="2" t="s">
        <v>1927</v>
      </c>
      <c r="BV1359" s="2" t="s">
        <v>111</v>
      </c>
      <c r="BW1359" s="2"/>
      <c r="BX1359" s="2"/>
      <c r="BY1359" s="2">
        <v>1200</v>
      </c>
      <c r="BZ1359" s="2" t="s">
        <v>27</v>
      </c>
      <c r="CA1359" s="2"/>
      <c r="CB1359" s="2"/>
      <c r="CC1359" s="2" t="s">
        <v>132</v>
      </c>
      <c r="CD1359" s="2">
        <v>7530</v>
      </c>
      <c r="CE1359" s="2" t="s">
        <v>118</v>
      </c>
      <c r="CF1359" s="5">
        <v>42830</v>
      </c>
      <c r="CG1359" s="2"/>
      <c r="CH1359" s="2"/>
      <c r="CI1359" s="2">
        <v>1</v>
      </c>
      <c r="CJ1359" s="2">
        <v>1</v>
      </c>
      <c r="CK1359" s="2">
        <v>21</v>
      </c>
      <c r="CL1359" s="2" t="s">
        <v>86</v>
      </c>
      <c r="CM1359" s="2"/>
    </row>
    <row r="1360" spans="1:91">
      <c r="A1360" s="2" t="s">
        <v>71</v>
      </c>
      <c r="B1360" s="2" t="s">
        <v>72</v>
      </c>
      <c r="C1360" s="2" t="s">
        <v>73</v>
      </c>
      <c r="D1360" s="2"/>
      <c r="E1360" s="2" t="str">
        <f>"FES1162542618"</f>
        <v>FES1162542618</v>
      </c>
      <c r="F1360" s="3">
        <v>42835</v>
      </c>
      <c r="G1360" s="2">
        <v>201710</v>
      </c>
      <c r="H1360" s="2" t="s">
        <v>74</v>
      </c>
      <c r="I1360" s="2" t="s">
        <v>75</v>
      </c>
      <c r="J1360" s="2" t="s">
        <v>76</v>
      </c>
      <c r="K1360" s="2" t="s">
        <v>77</v>
      </c>
      <c r="L1360" s="2" t="s">
        <v>131</v>
      </c>
      <c r="M1360" s="2" t="s">
        <v>132</v>
      </c>
      <c r="N1360" s="2" t="s">
        <v>731</v>
      </c>
      <c r="O1360" s="2" t="s">
        <v>115</v>
      </c>
      <c r="P1360" s="2" t="str">
        <f>"2170559358                    "</f>
        <v xml:space="preserve">2170559358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4.29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</v>
      </c>
      <c r="BJ1360" s="2">
        <v>0.2</v>
      </c>
      <c r="BK1360" s="2">
        <v>1</v>
      </c>
      <c r="BL1360" s="2">
        <v>41.73</v>
      </c>
      <c r="BM1360" s="2">
        <v>5.84</v>
      </c>
      <c r="BN1360" s="2">
        <v>47.57</v>
      </c>
      <c r="BO1360" s="2">
        <v>47.57</v>
      </c>
      <c r="BP1360" s="2"/>
      <c r="BQ1360" s="2" t="s">
        <v>732</v>
      </c>
      <c r="BR1360" s="2" t="s">
        <v>123</v>
      </c>
      <c r="BS1360" s="3">
        <v>42836</v>
      </c>
      <c r="BT1360" s="4">
        <v>0.50763888888888886</v>
      </c>
      <c r="BU1360" s="2" t="s">
        <v>1418</v>
      </c>
      <c r="BV1360" s="2" t="s">
        <v>111</v>
      </c>
      <c r="BW1360" s="2"/>
      <c r="BX1360" s="2"/>
      <c r="BY1360" s="2">
        <v>1200</v>
      </c>
      <c r="BZ1360" s="2" t="s">
        <v>27</v>
      </c>
      <c r="CA1360" s="2"/>
      <c r="CB1360" s="2"/>
      <c r="CC1360" s="2" t="s">
        <v>132</v>
      </c>
      <c r="CD1360" s="2">
        <v>7945</v>
      </c>
      <c r="CE1360" s="2" t="s">
        <v>144</v>
      </c>
      <c r="CF1360" s="2"/>
      <c r="CG1360" s="2"/>
      <c r="CH1360" s="2"/>
      <c r="CI1360" s="2">
        <v>1</v>
      </c>
      <c r="CJ1360" s="2">
        <v>1</v>
      </c>
      <c r="CK1360" s="2">
        <v>21</v>
      </c>
      <c r="CL1360" s="2" t="s">
        <v>86</v>
      </c>
      <c r="CM1360" s="2"/>
    </row>
    <row r="1361" spans="1:91">
      <c r="A1361" s="2" t="s">
        <v>71</v>
      </c>
      <c r="B1361" s="2" t="s">
        <v>72</v>
      </c>
      <c r="C1361" s="2" t="s">
        <v>73</v>
      </c>
      <c r="D1361" s="2"/>
      <c r="E1361" s="2" t="str">
        <f>"FES1162541126"</f>
        <v>FES1162541126</v>
      </c>
      <c r="F1361" s="3">
        <v>42828</v>
      </c>
      <c r="G1361" s="2">
        <v>201710</v>
      </c>
      <c r="H1361" s="2" t="s">
        <v>74</v>
      </c>
      <c r="I1361" s="2" t="s">
        <v>75</v>
      </c>
      <c r="J1361" s="2" t="s">
        <v>76</v>
      </c>
      <c r="K1361" s="2" t="s">
        <v>77</v>
      </c>
      <c r="L1361" s="2" t="s">
        <v>91</v>
      </c>
      <c r="M1361" s="2" t="s">
        <v>92</v>
      </c>
      <c r="N1361" s="2" t="s">
        <v>195</v>
      </c>
      <c r="O1361" s="2" t="s">
        <v>115</v>
      </c>
      <c r="P1361" s="2" t="str">
        <f>"2170560212                    "</f>
        <v xml:space="preserve">2170560212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3.45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1</v>
      </c>
      <c r="BJ1361" s="2">
        <v>0.2</v>
      </c>
      <c r="BK1361" s="2">
        <v>1</v>
      </c>
      <c r="BL1361" s="2">
        <v>32.700000000000003</v>
      </c>
      <c r="BM1361" s="2">
        <v>4.58</v>
      </c>
      <c r="BN1361" s="2">
        <v>37.28</v>
      </c>
      <c r="BO1361" s="2">
        <v>37.28</v>
      </c>
      <c r="BP1361" s="2"/>
      <c r="BQ1361" s="2"/>
      <c r="BR1361" s="2" t="s">
        <v>123</v>
      </c>
      <c r="BS1361" s="3">
        <v>42829</v>
      </c>
      <c r="BT1361" s="4">
        <v>0.36527777777777781</v>
      </c>
      <c r="BU1361" s="2" t="s">
        <v>1928</v>
      </c>
      <c r="BV1361" s="2" t="s">
        <v>111</v>
      </c>
      <c r="BW1361" s="2"/>
      <c r="BX1361" s="2"/>
      <c r="BY1361" s="2">
        <v>1200</v>
      </c>
      <c r="BZ1361" s="2" t="s">
        <v>27</v>
      </c>
      <c r="CA1361" s="2" t="s">
        <v>1904</v>
      </c>
      <c r="CB1361" s="2"/>
      <c r="CC1361" s="2" t="s">
        <v>92</v>
      </c>
      <c r="CD1361" s="2">
        <v>1401</v>
      </c>
      <c r="CE1361" s="2" t="s">
        <v>118</v>
      </c>
      <c r="CF1361" s="5">
        <v>42829</v>
      </c>
      <c r="CG1361" s="2"/>
      <c r="CH1361" s="2"/>
      <c r="CI1361" s="2">
        <v>1</v>
      </c>
      <c r="CJ1361" s="2">
        <v>1</v>
      </c>
      <c r="CK1361" s="2">
        <v>22</v>
      </c>
      <c r="CL1361" s="2" t="s">
        <v>86</v>
      </c>
      <c r="CM1361" s="2"/>
    </row>
    <row r="1362" spans="1:91">
      <c r="A1362" s="2" t="s">
        <v>71</v>
      </c>
      <c r="B1362" s="2" t="s">
        <v>72</v>
      </c>
      <c r="C1362" s="2" t="s">
        <v>73</v>
      </c>
      <c r="D1362" s="2"/>
      <c r="E1362" s="2" t="str">
        <f>"FES1162542301"</f>
        <v>FES1162542301</v>
      </c>
      <c r="F1362" s="3">
        <v>42832</v>
      </c>
      <c r="G1362" s="2">
        <v>201710</v>
      </c>
      <c r="H1362" s="2" t="s">
        <v>74</v>
      </c>
      <c r="I1362" s="2" t="s">
        <v>75</v>
      </c>
      <c r="J1362" s="2" t="s">
        <v>76</v>
      </c>
      <c r="K1362" s="2" t="s">
        <v>77</v>
      </c>
      <c r="L1362" s="2" t="s">
        <v>260</v>
      </c>
      <c r="M1362" s="2" t="s">
        <v>261</v>
      </c>
      <c r="N1362" s="2" t="s">
        <v>262</v>
      </c>
      <c r="O1362" s="2" t="s">
        <v>115</v>
      </c>
      <c r="P1362" s="2" t="str">
        <f>"2170561190                    "</f>
        <v xml:space="preserve">2170561190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3.35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1</v>
      </c>
      <c r="BJ1362" s="2">
        <v>0.2</v>
      </c>
      <c r="BK1362" s="2">
        <v>1</v>
      </c>
      <c r="BL1362" s="2">
        <v>32.6</v>
      </c>
      <c r="BM1362" s="2">
        <v>4.5599999999999996</v>
      </c>
      <c r="BN1362" s="2">
        <v>37.159999999999997</v>
      </c>
      <c r="BO1362" s="2">
        <v>37.159999999999997</v>
      </c>
      <c r="BP1362" s="2"/>
      <c r="BQ1362" s="2" t="s">
        <v>638</v>
      </c>
      <c r="BR1362" s="2" t="s">
        <v>123</v>
      </c>
      <c r="BS1362" s="3">
        <v>42835</v>
      </c>
      <c r="BT1362" s="4">
        <v>0.4375</v>
      </c>
      <c r="BU1362" s="2" t="s">
        <v>1929</v>
      </c>
      <c r="BV1362" s="2" t="s">
        <v>111</v>
      </c>
      <c r="BW1362" s="2"/>
      <c r="BX1362" s="2"/>
      <c r="BY1362" s="2">
        <v>1200</v>
      </c>
      <c r="BZ1362" s="2" t="s">
        <v>27</v>
      </c>
      <c r="CA1362" s="2"/>
      <c r="CB1362" s="2"/>
      <c r="CC1362" s="2" t="s">
        <v>261</v>
      </c>
      <c r="CD1362" s="2">
        <v>1451</v>
      </c>
      <c r="CE1362" s="2" t="s">
        <v>118</v>
      </c>
      <c r="CF1362" s="5">
        <v>42836</v>
      </c>
      <c r="CG1362" s="2"/>
      <c r="CH1362" s="2"/>
      <c r="CI1362" s="2">
        <v>1</v>
      </c>
      <c r="CJ1362" s="2">
        <v>1</v>
      </c>
      <c r="CK1362" s="2">
        <v>22</v>
      </c>
      <c r="CL1362" s="2" t="s">
        <v>86</v>
      </c>
      <c r="CM1362" s="2"/>
    </row>
    <row r="1363" spans="1:91">
      <c r="A1363" s="2" t="s">
        <v>71</v>
      </c>
      <c r="B1363" s="2" t="s">
        <v>72</v>
      </c>
      <c r="C1363" s="2" t="s">
        <v>73</v>
      </c>
      <c r="D1363" s="2"/>
      <c r="E1363" s="2" t="str">
        <f>"FES1162541143"</f>
        <v>FES1162541143</v>
      </c>
      <c r="F1363" s="3">
        <v>42828</v>
      </c>
      <c r="G1363" s="2">
        <v>201710</v>
      </c>
      <c r="H1363" s="2" t="s">
        <v>74</v>
      </c>
      <c r="I1363" s="2" t="s">
        <v>75</v>
      </c>
      <c r="J1363" s="2" t="s">
        <v>76</v>
      </c>
      <c r="K1363" s="2" t="s">
        <v>77</v>
      </c>
      <c r="L1363" s="2" t="s">
        <v>180</v>
      </c>
      <c r="M1363" s="2" t="s">
        <v>181</v>
      </c>
      <c r="N1363" s="2" t="s">
        <v>1930</v>
      </c>
      <c r="O1363" s="2" t="s">
        <v>115</v>
      </c>
      <c r="P1363" s="2" t="str">
        <f>"2170560224                    "</f>
        <v xml:space="preserve">2170560224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4.42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1</v>
      </c>
      <c r="BJ1363" s="2">
        <v>0.2</v>
      </c>
      <c r="BK1363" s="2">
        <v>1</v>
      </c>
      <c r="BL1363" s="2">
        <v>41.86</v>
      </c>
      <c r="BM1363" s="2">
        <v>5.86</v>
      </c>
      <c r="BN1363" s="2">
        <v>47.72</v>
      </c>
      <c r="BO1363" s="2">
        <v>47.72</v>
      </c>
      <c r="BP1363" s="2"/>
      <c r="BQ1363" s="2" t="s">
        <v>1931</v>
      </c>
      <c r="BR1363" s="2" t="s">
        <v>123</v>
      </c>
      <c r="BS1363" s="3">
        <v>42829</v>
      </c>
      <c r="BT1363" s="4">
        <v>0.4375</v>
      </c>
      <c r="BU1363" s="2" t="s">
        <v>1932</v>
      </c>
      <c r="BV1363" s="2" t="s">
        <v>111</v>
      </c>
      <c r="BW1363" s="2"/>
      <c r="BX1363" s="2"/>
      <c r="BY1363" s="2">
        <v>1200</v>
      </c>
      <c r="BZ1363" s="2" t="s">
        <v>27</v>
      </c>
      <c r="CA1363" s="2"/>
      <c r="CB1363" s="2"/>
      <c r="CC1363" s="2" t="s">
        <v>181</v>
      </c>
      <c r="CD1363" s="2">
        <v>4068</v>
      </c>
      <c r="CE1363" s="2" t="s">
        <v>118</v>
      </c>
      <c r="CF1363" s="2"/>
      <c r="CG1363" s="2"/>
      <c r="CH1363" s="2"/>
      <c r="CI1363" s="2">
        <v>1</v>
      </c>
      <c r="CJ1363" s="2">
        <v>1</v>
      </c>
      <c r="CK1363" s="2">
        <v>21</v>
      </c>
      <c r="CL1363" s="2" t="s">
        <v>86</v>
      </c>
      <c r="CM1363" s="2"/>
    </row>
    <row r="1364" spans="1:91">
      <c r="A1364" s="2" t="s">
        <v>71</v>
      </c>
      <c r="B1364" s="2" t="s">
        <v>72</v>
      </c>
      <c r="C1364" s="2" t="s">
        <v>73</v>
      </c>
      <c r="D1364" s="2"/>
      <c r="E1364" s="2" t="str">
        <f>"FES1162542587"</f>
        <v>FES1162542587</v>
      </c>
      <c r="F1364" s="3">
        <v>42835</v>
      </c>
      <c r="G1364" s="2">
        <v>201710</v>
      </c>
      <c r="H1364" s="2" t="s">
        <v>74</v>
      </c>
      <c r="I1364" s="2" t="s">
        <v>75</v>
      </c>
      <c r="J1364" s="2" t="s">
        <v>76</v>
      </c>
      <c r="K1364" s="2" t="s">
        <v>77</v>
      </c>
      <c r="L1364" s="2" t="s">
        <v>176</v>
      </c>
      <c r="M1364" s="2" t="s">
        <v>176</v>
      </c>
      <c r="N1364" s="2" t="s">
        <v>177</v>
      </c>
      <c r="O1364" s="2" t="s">
        <v>115</v>
      </c>
      <c r="P1364" s="2" t="str">
        <f>"2170561441                    "</f>
        <v xml:space="preserve">2170561441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4.29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1</v>
      </c>
      <c r="BJ1364" s="2">
        <v>0.2</v>
      </c>
      <c r="BK1364" s="2">
        <v>1</v>
      </c>
      <c r="BL1364" s="2">
        <v>41.73</v>
      </c>
      <c r="BM1364" s="2">
        <v>5.84</v>
      </c>
      <c r="BN1364" s="2">
        <v>47.57</v>
      </c>
      <c r="BO1364" s="2">
        <v>47.57</v>
      </c>
      <c r="BP1364" s="2"/>
      <c r="BQ1364" s="2" t="s">
        <v>178</v>
      </c>
      <c r="BR1364" s="2" t="s">
        <v>123</v>
      </c>
      <c r="BS1364" s="3">
        <v>42836</v>
      </c>
      <c r="BT1364" s="4">
        <v>0.5</v>
      </c>
      <c r="BU1364" s="2" t="s">
        <v>179</v>
      </c>
      <c r="BV1364" s="2" t="s">
        <v>111</v>
      </c>
      <c r="BW1364" s="2"/>
      <c r="BX1364" s="2"/>
      <c r="BY1364" s="2">
        <v>1200</v>
      </c>
      <c r="BZ1364" s="2" t="s">
        <v>27</v>
      </c>
      <c r="CA1364" s="2"/>
      <c r="CB1364" s="2"/>
      <c r="CC1364" s="2" t="s">
        <v>176</v>
      </c>
      <c r="CD1364" s="2">
        <v>7646</v>
      </c>
      <c r="CE1364" s="2" t="s">
        <v>144</v>
      </c>
      <c r="CF1364" s="5">
        <v>42837</v>
      </c>
      <c r="CG1364" s="2"/>
      <c r="CH1364" s="2"/>
      <c r="CI1364" s="2">
        <v>1</v>
      </c>
      <c r="CJ1364" s="2">
        <v>1</v>
      </c>
      <c r="CK1364" s="2">
        <v>21</v>
      </c>
      <c r="CL1364" s="2" t="s">
        <v>86</v>
      </c>
      <c r="CM1364" s="2"/>
    </row>
    <row r="1365" spans="1:91">
      <c r="A1365" s="2" t="s">
        <v>71</v>
      </c>
      <c r="B1365" s="2" t="s">
        <v>72</v>
      </c>
      <c r="C1365" s="2" t="s">
        <v>73</v>
      </c>
      <c r="D1365" s="2"/>
      <c r="E1365" s="2" t="str">
        <f>"FES1162541125"</f>
        <v>FES1162541125</v>
      </c>
      <c r="F1365" s="3">
        <v>42828</v>
      </c>
      <c r="G1365" s="2">
        <v>201710</v>
      </c>
      <c r="H1365" s="2" t="s">
        <v>74</v>
      </c>
      <c r="I1365" s="2" t="s">
        <v>75</v>
      </c>
      <c r="J1365" s="2" t="s">
        <v>76</v>
      </c>
      <c r="K1365" s="2" t="s">
        <v>77</v>
      </c>
      <c r="L1365" s="2" t="s">
        <v>598</v>
      </c>
      <c r="M1365" s="2" t="s">
        <v>599</v>
      </c>
      <c r="N1365" s="2" t="s">
        <v>600</v>
      </c>
      <c r="O1365" s="2" t="s">
        <v>115</v>
      </c>
      <c r="P1365" s="2" t="str">
        <f>"2170560209                    "</f>
        <v xml:space="preserve">2170560209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8.57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1</v>
      </c>
      <c r="BJ1365" s="2">
        <v>0.2</v>
      </c>
      <c r="BK1365" s="2">
        <v>1</v>
      </c>
      <c r="BL1365" s="2">
        <v>81.11</v>
      </c>
      <c r="BM1365" s="2">
        <v>11.36</v>
      </c>
      <c r="BN1365" s="2">
        <v>92.47</v>
      </c>
      <c r="BO1365" s="2">
        <v>92.47</v>
      </c>
      <c r="BP1365" s="2"/>
      <c r="BQ1365" s="2" t="s">
        <v>601</v>
      </c>
      <c r="BR1365" s="2" t="s">
        <v>123</v>
      </c>
      <c r="BS1365" s="3">
        <v>42829</v>
      </c>
      <c r="BT1365" s="4">
        <v>0.61944444444444446</v>
      </c>
      <c r="BU1365" s="2" t="s">
        <v>602</v>
      </c>
      <c r="BV1365" s="2" t="s">
        <v>111</v>
      </c>
      <c r="BW1365" s="2"/>
      <c r="BX1365" s="2"/>
      <c r="BY1365" s="2">
        <v>1200</v>
      </c>
      <c r="BZ1365" s="2" t="s">
        <v>27</v>
      </c>
      <c r="CA1365" s="2"/>
      <c r="CB1365" s="2"/>
      <c r="CC1365" s="2" t="s">
        <v>599</v>
      </c>
      <c r="CD1365" s="2">
        <v>3370</v>
      </c>
      <c r="CE1365" s="2" t="s">
        <v>118</v>
      </c>
      <c r="CF1365" s="5">
        <v>42832</v>
      </c>
      <c r="CG1365" s="2"/>
      <c r="CH1365" s="2"/>
      <c r="CI1365" s="2">
        <v>3</v>
      </c>
      <c r="CJ1365" s="2">
        <v>1</v>
      </c>
      <c r="CK1365" s="2">
        <v>23</v>
      </c>
      <c r="CL1365" s="2" t="s">
        <v>86</v>
      </c>
      <c r="CM1365" s="2"/>
    </row>
    <row r="1366" spans="1:91">
      <c r="A1366" s="2" t="s">
        <v>71</v>
      </c>
      <c r="B1366" s="2" t="s">
        <v>72</v>
      </c>
      <c r="C1366" s="2" t="s">
        <v>73</v>
      </c>
      <c r="D1366" s="2"/>
      <c r="E1366" s="2" t="str">
        <f>"FES1162542183"</f>
        <v>FES1162542183</v>
      </c>
      <c r="F1366" s="3">
        <v>42832</v>
      </c>
      <c r="G1366" s="2">
        <v>201710</v>
      </c>
      <c r="H1366" s="2" t="s">
        <v>74</v>
      </c>
      <c r="I1366" s="2" t="s">
        <v>75</v>
      </c>
      <c r="J1366" s="2" t="s">
        <v>76</v>
      </c>
      <c r="K1366" s="2" t="s">
        <v>77</v>
      </c>
      <c r="L1366" s="2" t="s">
        <v>503</v>
      </c>
      <c r="M1366" s="2" t="s">
        <v>504</v>
      </c>
      <c r="N1366" s="2" t="s">
        <v>1933</v>
      </c>
      <c r="O1366" s="2" t="s">
        <v>115</v>
      </c>
      <c r="P1366" s="2" t="str">
        <f>"2170561086                    "</f>
        <v xml:space="preserve">2170561086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3.35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1</v>
      </c>
      <c r="BJ1366" s="2">
        <v>0.2</v>
      </c>
      <c r="BK1366" s="2">
        <v>1</v>
      </c>
      <c r="BL1366" s="2">
        <v>32.6</v>
      </c>
      <c r="BM1366" s="2">
        <v>4.5599999999999996</v>
      </c>
      <c r="BN1366" s="2">
        <v>37.159999999999997</v>
      </c>
      <c r="BO1366" s="2">
        <v>37.159999999999997</v>
      </c>
      <c r="BP1366" s="2"/>
      <c r="BQ1366" s="2" t="s">
        <v>122</v>
      </c>
      <c r="BR1366" s="2" t="s">
        <v>123</v>
      </c>
      <c r="BS1366" s="3">
        <v>42835</v>
      </c>
      <c r="BT1366" s="4">
        <v>0.37708333333333338</v>
      </c>
      <c r="BU1366" s="2" t="s">
        <v>293</v>
      </c>
      <c r="BV1366" s="2" t="s">
        <v>111</v>
      </c>
      <c r="BW1366" s="2"/>
      <c r="BX1366" s="2"/>
      <c r="BY1366" s="2">
        <v>1200</v>
      </c>
      <c r="BZ1366" s="2" t="s">
        <v>27</v>
      </c>
      <c r="CA1366" s="2"/>
      <c r="CB1366" s="2"/>
      <c r="CC1366" s="2" t="s">
        <v>504</v>
      </c>
      <c r="CD1366" s="2">
        <v>1501</v>
      </c>
      <c r="CE1366" s="2" t="s">
        <v>118</v>
      </c>
      <c r="CF1366" s="5">
        <v>42836</v>
      </c>
      <c r="CG1366" s="2"/>
      <c r="CH1366" s="2"/>
      <c r="CI1366" s="2">
        <v>1</v>
      </c>
      <c r="CJ1366" s="2">
        <v>1</v>
      </c>
      <c r="CK1366" s="2">
        <v>22</v>
      </c>
      <c r="CL1366" s="2" t="s">
        <v>86</v>
      </c>
      <c r="CM1366" s="2"/>
    </row>
    <row r="1367" spans="1:91">
      <c r="A1367" s="2" t="s">
        <v>71</v>
      </c>
      <c r="B1367" s="2" t="s">
        <v>72</v>
      </c>
      <c r="C1367" s="2" t="s">
        <v>73</v>
      </c>
      <c r="D1367" s="2"/>
      <c r="E1367" s="2" t="str">
        <f>"FES1162541166"</f>
        <v>FES1162541166</v>
      </c>
      <c r="F1367" s="3">
        <v>42828</v>
      </c>
      <c r="G1367" s="2">
        <v>201710</v>
      </c>
      <c r="H1367" s="2" t="s">
        <v>74</v>
      </c>
      <c r="I1367" s="2" t="s">
        <v>75</v>
      </c>
      <c r="J1367" s="2" t="s">
        <v>76</v>
      </c>
      <c r="K1367" s="2" t="s">
        <v>77</v>
      </c>
      <c r="L1367" s="2" t="s">
        <v>131</v>
      </c>
      <c r="M1367" s="2" t="s">
        <v>132</v>
      </c>
      <c r="N1367" s="2" t="s">
        <v>363</v>
      </c>
      <c r="O1367" s="2" t="s">
        <v>115</v>
      </c>
      <c r="P1367" s="2" t="str">
        <f>"2170560263                    "</f>
        <v xml:space="preserve">2170560263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4.42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2</v>
      </c>
      <c r="BJ1367" s="2">
        <v>1</v>
      </c>
      <c r="BK1367" s="2">
        <v>2</v>
      </c>
      <c r="BL1367" s="2">
        <v>41.86</v>
      </c>
      <c r="BM1367" s="2">
        <v>5.86</v>
      </c>
      <c r="BN1367" s="2">
        <v>47.72</v>
      </c>
      <c r="BO1367" s="2">
        <v>47.72</v>
      </c>
      <c r="BP1367" s="2"/>
      <c r="BQ1367" s="2" t="s">
        <v>170</v>
      </c>
      <c r="BR1367" s="2" t="s">
        <v>123</v>
      </c>
      <c r="BS1367" s="3">
        <v>42829</v>
      </c>
      <c r="BT1367" s="4">
        <v>0.41666666666666669</v>
      </c>
      <c r="BU1367" s="2" t="s">
        <v>1934</v>
      </c>
      <c r="BV1367" s="2" t="s">
        <v>111</v>
      </c>
      <c r="BW1367" s="2"/>
      <c r="BX1367" s="2"/>
      <c r="BY1367" s="2">
        <v>4816.1000000000004</v>
      </c>
      <c r="BZ1367" s="2" t="s">
        <v>27</v>
      </c>
      <c r="CA1367" s="2"/>
      <c r="CB1367" s="2"/>
      <c r="CC1367" s="2" t="s">
        <v>132</v>
      </c>
      <c r="CD1367" s="2">
        <v>7441</v>
      </c>
      <c r="CE1367" s="2" t="s">
        <v>89</v>
      </c>
      <c r="CF1367" s="5">
        <v>42830</v>
      </c>
      <c r="CG1367" s="2"/>
      <c r="CH1367" s="2"/>
      <c r="CI1367" s="2">
        <v>1</v>
      </c>
      <c r="CJ1367" s="2">
        <v>1</v>
      </c>
      <c r="CK1367" s="2">
        <v>21</v>
      </c>
      <c r="CL1367" s="2" t="s">
        <v>86</v>
      </c>
      <c r="CM1367" s="2"/>
    </row>
    <row r="1368" spans="1:91">
      <c r="A1368" s="2" t="s">
        <v>71</v>
      </c>
      <c r="B1368" s="2" t="s">
        <v>72</v>
      </c>
      <c r="C1368" s="2" t="s">
        <v>73</v>
      </c>
      <c r="D1368" s="2"/>
      <c r="E1368" s="2" t="str">
        <f>"FES1162542596"</f>
        <v>FES1162542596</v>
      </c>
      <c r="F1368" s="3">
        <v>42835</v>
      </c>
      <c r="G1368" s="2">
        <v>201710</v>
      </c>
      <c r="H1368" s="2" t="s">
        <v>74</v>
      </c>
      <c r="I1368" s="2" t="s">
        <v>75</v>
      </c>
      <c r="J1368" s="2" t="s">
        <v>76</v>
      </c>
      <c r="K1368" s="2" t="s">
        <v>77</v>
      </c>
      <c r="L1368" s="2" t="s">
        <v>131</v>
      </c>
      <c r="M1368" s="2" t="s">
        <v>132</v>
      </c>
      <c r="N1368" s="2" t="s">
        <v>133</v>
      </c>
      <c r="O1368" s="2" t="s">
        <v>115</v>
      </c>
      <c r="P1368" s="2" t="str">
        <f>"2170561449                    "</f>
        <v xml:space="preserve">2170561449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4.29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1</v>
      </c>
      <c r="BJ1368" s="2">
        <v>0.2</v>
      </c>
      <c r="BK1368" s="2">
        <v>1</v>
      </c>
      <c r="BL1368" s="2">
        <v>41.73</v>
      </c>
      <c r="BM1368" s="2">
        <v>5.84</v>
      </c>
      <c r="BN1368" s="2">
        <v>47.57</v>
      </c>
      <c r="BO1368" s="2">
        <v>47.57</v>
      </c>
      <c r="BP1368" s="2"/>
      <c r="BQ1368" s="2"/>
      <c r="BR1368" s="2" t="s">
        <v>123</v>
      </c>
      <c r="BS1368" s="1" t="s">
        <v>1744</v>
      </c>
      <c r="BT1368" s="2"/>
      <c r="BU1368" s="2"/>
      <c r="BV1368" s="2"/>
      <c r="BW1368" s="2"/>
      <c r="BX1368" s="2"/>
      <c r="BY1368" s="2">
        <v>1200</v>
      </c>
      <c r="BZ1368" s="2" t="s">
        <v>27</v>
      </c>
      <c r="CA1368" s="2"/>
      <c r="CB1368" s="2"/>
      <c r="CC1368" s="2" t="s">
        <v>132</v>
      </c>
      <c r="CD1368" s="2">
        <v>7530</v>
      </c>
      <c r="CE1368" s="2" t="s">
        <v>118</v>
      </c>
      <c r="CF1368" s="2"/>
      <c r="CG1368" s="2"/>
      <c r="CH1368" s="2"/>
      <c r="CI1368" s="2">
        <v>1</v>
      </c>
      <c r="CJ1368" s="2" t="s">
        <v>1744</v>
      </c>
      <c r="CK1368" s="2">
        <v>21</v>
      </c>
      <c r="CL1368" s="2" t="s">
        <v>86</v>
      </c>
      <c r="CM1368" s="2"/>
    </row>
    <row r="1369" spans="1:91">
      <c r="A1369" s="2" t="s">
        <v>71</v>
      </c>
      <c r="B1369" s="2" t="s">
        <v>72</v>
      </c>
      <c r="C1369" s="2" t="s">
        <v>73</v>
      </c>
      <c r="D1369" s="2"/>
      <c r="E1369" s="2" t="str">
        <f>"FES1162541124"</f>
        <v>FES1162541124</v>
      </c>
      <c r="F1369" s="3">
        <v>42828</v>
      </c>
      <c r="G1369" s="2">
        <v>201710</v>
      </c>
      <c r="H1369" s="2" t="s">
        <v>74</v>
      </c>
      <c r="I1369" s="2" t="s">
        <v>75</v>
      </c>
      <c r="J1369" s="2" t="s">
        <v>76</v>
      </c>
      <c r="K1369" s="2" t="s">
        <v>77</v>
      </c>
      <c r="L1369" s="2" t="s">
        <v>131</v>
      </c>
      <c r="M1369" s="2" t="s">
        <v>132</v>
      </c>
      <c r="N1369" s="2" t="s">
        <v>961</v>
      </c>
      <c r="O1369" s="2" t="s">
        <v>115</v>
      </c>
      <c r="P1369" s="2" t="str">
        <f>"2170560208                    "</f>
        <v xml:space="preserve">2170560208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4.42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1</v>
      </c>
      <c r="BJ1369" s="2">
        <v>0.2</v>
      </c>
      <c r="BK1369" s="2">
        <v>1</v>
      </c>
      <c r="BL1369" s="2">
        <v>41.86</v>
      </c>
      <c r="BM1369" s="2">
        <v>5.86</v>
      </c>
      <c r="BN1369" s="2">
        <v>47.72</v>
      </c>
      <c r="BO1369" s="2">
        <v>47.72</v>
      </c>
      <c r="BP1369" s="2"/>
      <c r="BQ1369" s="2" t="s">
        <v>962</v>
      </c>
      <c r="BR1369" s="2" t="s">
        <v>123</v>
      </c>
      <c r="BS1369" s="3">
        <v>42829</v>
      </c>
      <c r="BT1369" s="4">
        <v>0.33333333333333331</v>
      </c>
      <c r="BU1369" s="2" t="s">
        <v>1935</v>
      </c>
      <c r="BV1369" s="2" t="s">
        <v>111</v>
      </c>
      <c r="BW1369" s="2"/>
      <c r="BX1369" s="2"/>
      <c r="BY1369" s="2">
        <v>1200</v>
      </c>
      <c r="BZ1369" s="2" t="s">
        <v>27</v>
      </c>
      <c r="CA1369" s="2"/>
      <c r="CB1369" s="2"/>
      <c r="CC1369" s="2" t="s">
        <v>132</v>
      </c>
      <c r="CD1369" s="2">
        <v>7945</v>
      </c>
      <c r="CE1369" s="2" t="s">
        <v>118</v>
      </c>
      <c r="CF1369" s="5">
        <v>42830</v>
      </c>
      <c r="CG1369" s="2"/>
      <c r="CH1369" s="2"/>
      <c r="CI1369" s="2">
        <v>1</v>
      </c>
      <c r="CJ1369" s="2">
        <v>1</v>
      </c>
      <c r="CK1369" s="2">
        <v>21</v>
      </c>
      <c r="CL1369" s="2" t="s">
        <v>86</v>
      </c>
      <c r="CM1369" s="2"/>
    </row>
    <row r="1370" spans="1:91">
      <c r="A1370" s="2" t="s">
        <v>71</v>
      </c>
      <c r="B1370" s="2" t="s">
        <v>72</v>
      </c>
      <c r="C1370" s="2" t="s">
        <v>73</v>
      </c>
      <c r="D1370" s="2"/>
      <c r="E1370" s="2" t="str">
        <f>"FES1162541162"</f>
        <v>FES1162541162</v>
      </c>
      <c r="F1370" s="3">
        <v>42832</v>
      </c>
      <c r="G1370" s="2">
        <v>201710</v>
      </c>
      <c r="H1370" s="2" t="s">
        <v>74</v>
      </c>
      <c r="I1370" s="2" t="s">
        <v>75</v>
      </c>
      <c r="J1370" s="2" t="s">
        <v>76</v>
      </c>
      <c r="K1370" s="2" t="s">
        <v>77</v>
      </c>
      <c r="L1370" s="2" t="s">
        <v>91</v>
      </c>
      <c r="M1370" s="2" t="s">
        <v>92</v>
      </c>
      <c r="N1370" s="2" t="s">
        <v>577</v>
      </c>
      <c r="O1370" s="2" t="s">
        <v>115</v>
      </c>
      <c r="P1370" s="2" t="str">
        <f>"2170560257                    "</f>
        <v xml:space="preserve">2170560257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3.35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1</v>
      </c>
      <c r="BJ1370" s="2">
        <v>0.2</v>
      </c>
      <c r="BK1370" s="2">
        <v>1</v>
      </c>
      <c r="BL1370" s="2">
        <v>32.6</v>
      </c>
      <c r="BM1370" s="2">
        <v>4.5599999999999996</v>
      </c>
      <c r="BN1370" s="2">
        <v>37.159999999999997</v>
      </c>
      <c r="BO1370" s="2">
        <v>37.159999999999997</v>
      </c>
      <c r="BP1370" s="2"/>
      <c r="BQ1370" s="2" t="s">
        <v>578</v>
      </c>
      <c r="BR1370" s="2" t="s">
        <v>123</v>
      </c>
      <c r="BS1370" s="3">
        <v>42835</v>
      </c>
      <c r="BT1370" s="4">
        <v>0.41666666666666669</v>
      </c>
      <c r="BU1370" s="2" t="s">
        <v>290</v>
      </c>
      <c r="BV1370" s="2" t="s">
        <v>111</v>
      </c>
      <c r="BW1370" s="2"/>
      <c r="BX1370" s="2"/>
      <c r="BY1370" s="2">
        <v>1200</v>
      </c>
      <c r="BZ1370" s="2" t="s">
        <v>27</v>
      </c>
      <c r="CA1370" s="2"/>
      <c r="CB1370" s="2"/>
      <c r="CC1370" s="2" t="s">
        <v>92</v>
      </c>
      <c r="CD1370" s="2">
        <v>1428</v>
      </c>
      <c r="CE1370" s="2" t="s">
        <v>118</v>
      </c>
      <c r="CF1370" s="5">
        <v>42836</v>
      </c>
      <c r="CG1370" s="2"/>
      <c r="CH1370" s="2"/>
      <c r="CI1370" s="2">
        <v>1</v>
      </c>
      <c r="CJ1370" s="2">
        <v>1</v>
      </c>
      <c r="CK1370" s="2">
        <v>22</v>
      </c>
      <c r="CL1370" s="2" t="s">
        <v>86</v>
      </c>
      <c r="CM1370" s="2"/>
    </row>
    <row r="1371" spans="1:91">
      <c r="A1371" s="2" t="s">
        <v>71</v>
      </c>
      <c r="B1371" s="2" t="s">
        <v>72</v>
      </c>
      <c r="C1371" s="2" t="s">
        <v>73</v>
      </c>
      <c r="D1371" s="2"/>
      <c r="E1371" s="2" t="str">
        <f>"FES1162541089"</f>
        <v>FES1162541089</v>
      </c>
      <c r="F1371" s="3">
        <v>42828</v>
      </c>
      <c r="G1371" s="2">
        <v>201710</v>
      </c>
      <c r="H1371" s="2" t="s">
        <v>74</v>
      </c>
      <c r="I1371" s="2" t="s">
        <v>75</v>
      </c>
      <c r="J1371" s="2" t="s">
        <v>76</v>
      </c>
      <c r="K1371" s="2" t="s">
        <v>77</v>
      </c>
      <c r="L1371" s="2" t="s">
        <v>180</v>
      </c>
      <c r="M1371" s="2" t="s">
        <v>181</v>
      </c>
      <c r="N1371" s="2" t="s">
        <v>320</v>
      </c>
      <c r="O1371" s="2" t="s">
        <v>115</v>
      </c>
      <c r="P1371" s="2" t="str">
        <f>"2170559261                    "</f>
        <v xml:space="preserve">2170559261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47.53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2</v>
      </c>
      <c r="BI1371" s="2">
        <v>21.1</v>
      </c>
      <c r="BJ1371" s="2">
        <v>8</v>
      </c>
      <c r="BK1371" s="2">
        <v>21.5</v>
      </c>
      <c r="BL1371" s="2">
        <v>450.01</v>
      </c>
      <c r="BM1371" s="2">
        <v>63</v>
      </c>
      <c r="BN1371" s="2">
        <v>513.01</v>
      </c>
      <c r="BO1371" s="2">
        <v>513.01</v>
      </c>
      <c r="BP1371" s="2"/>
      <c r="BQ1371" s="2" t="s">
        <v>129</v>
      </c>
      <c r="BR1371" s="2" t="s">
        <v>123</v>
      </c>
      <c r="BS1371" s="3">
        <v>42829</v>
      </c>
      <c r="BT1371" s="4">
        <v>0.4375</v>
      </c>
      <c r="BU1371" s="2" t="s">
        <v>1763</v>
      </c>
      <c r="BV1371" s="2" t="s">
        <v>111</v>
      </c>
      <c r="BW1371" s="2"/>
      <c r="BX1371" s="2"/>
      <c r="BY1371" s="2">
        <v>39794.11</v>
      </c>
      <c r="BZ1371" s="2" t="s">
        <v>27</v>
      </c>
      <c r="CA1371" s="2"/>
      <c r="CB1371" s="2"/>
      <c r="CC1371" s="2" t="s">
        <v>181</v>
      </c>
      <c r="CD1371" s="2">
        <v>4051</v>
      </c>
      <c r="CE1371" s="2" t="s">
        <v>1905</v>
      </c>
      <c r="CF1371" s="5">
        <v>42831</v>
      </c>
      <c r="CG1371" s="2"/>
      <c r="CH1371" s="2"/>
      <c r="CI1371" s="2">
        <v>1</v>
      </c>
      <c r="CJ1371" s="2">
        <v>1</v>
      </c>
      <c r="CK1371" s="2">
        <v>21</v>
      </c>
      <c r="CL1371" s="2" t="s">
        <v>86</v>
      </c>
      <c r="CM1371" s="2"/>
    </row>
    <row r="1372" spans="1:91">
      <c r="A1372" s="2" t="s">
        <v>71</v>
      </c>
      <c r="B1372" s="2" t="s">
        <v>72</v>
      </c>
      <c r="C1372" s="2" t="s">
        <v>73</v>
      </c>
      <c r="D1372" s="2"/>
      <c r="E1372" s="2" t="str">
        <f>"FES1162542606"</f>
        <v>FES1162542606</v>
      </c>
      <c r="F1372" s="3">
        <v>42835</v>
      </c>
      <c r="G1372" s="2">
        <v>201710</v>
      </c>
      <c r="H1372" s="2" t="s">
        <v>74</v>
      </c>
      <c r="I1372" s="2" t="s">
        <v>75</v>
      </c>
      <c r="J1372" s="2" t="s">
        <v>76</v>
      </c>
      <c r="K1372" s="2" t="s">
        <v>77</v>
      </c>
      <c r="L1372" s="2" t="s">
        <v>139</v>
      </c>
      <c r="M1372" s="2" t="s">
        <v>140</v>
      </c>
      <c r="N1372" s="2" t="s">
        <v>1835</v>
      </c>
      <c r="O1372" s="2" t="s">
        <v>115</v>
      </c>
      <c r="P1372" s="2" t="str">
        <f>"2170561463                    "</f>
        <v xml:space="preserve">2170561463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4.29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1</v>
      </c>
      <c r="BJ1372" s="2">
        <v>0.2</v>
      </c>
      <c r="BK1372" s="2">
        <v>1</v>
      </c>
      <c r="BL1372" s="2">
        <v>41.73</v>
      </c>
      <c r="BM1372" s="2">
        <v>5.84</v>
      </c>
      <c r="BN1372" s="2">
        <v>47.57</v>
      </c>
      <c r="BO1372" s="2">
        <v>47.57</v>
      </c>
      <c r="BP1372" s="2"/>
      <c r="BQ1372" s="2" t="s">
        <v>1836</v>
      </c>
      <c r="BR1372" s="2" t="s">
        <v>123</v>
      </c>
      <c r="BS1372" s="3">
        <v>42836</v>
      </c>
      <c r="BT1372" s="4">
        <v>0.35902777777777778</v>
      </c>
      <c r="BU1372" s="2" t="s">
        <v>1936</v>
      </c>
      <c r="BV1372" s="2" t="s">
        <v>111</v>
      </c>
      <c r="BW1372" s="2"/>
      <c r="BX1372" s="2"/>
      <c r="BY1372" s="2">
        <v>1200</v>
      </c>
      <c r="BZ1372" s="2" t="s">
        <v>27</v>
      </c>
      <c r="CA1372" s="2"/>
      <c r="CB1372" s="2"/>
      <c r="CC1372" s="2" t="s">
        <v>140</v>
      </c>
      <c r="CD1372" s="2">
        <v>157</v>
      </c>
      <c r="CE1372" s="2" t="s">
        <v>144</v>
      </c>
      <c r="CF1372" s="5">
        <v>42838</v>
      </c>
      <c r="CG1372" s="2"/>
      <c r="CH1372" s="2"/>
      <c r="CI1372" s="2">
        <v>0</v>
      </c>
      <c r="CJ1372" s="2">
        <v>0</v>
      </c>
      <c r="CK1372" s="2">
        <v>21</v>
      </c>
      <c r="CL1372" s="2" t="s">
        <v>86</v>
      </c>
      <c r="CM1372" s="2"/>
    </row>
    <row r="1373" spans="1:91">
      <c r="A1373" s="2" t="s">
        <v>71</v>
      </c>
      <c r="B1373" s="2" t="s">
        <v>72</v>
      </c>
      <c r="C1373" s="2" t="s">
        <v>73</v>
      </c>
      <c r="D1373" s="2"/>
      <c r="E1373" s="2" t="str">
        <f>"FES1162541165"</f>
        <v>FES1162541165</v>
      </c>
      <c r="F1373" s="3">
        <v>42828</v>
      </c>
      <c r="G1373" s="2">
        <v>201710</v>
      </c>
      <c r="H1373" s="2" t="s">
        <v>74</v>
      </c>
      <c r="I1373" s="2" t="s">
        <v>75</v>
      </c>
      <c r="J1373" s="2" t="s">
        <v>76</v>
      </c>
      <c r="K1373" s="2" t="s">
        <v>77</v>
      </c>
      <c r="L1373" s="2" t="s">
        <v>112</v>
      </c>
      <c r="M1373" s="2" t="s">
        <v>113</v>
      </c>
      <c r="N1373" s="2" t="s">
        <v>386</v>
      </c>
      <c r="O1373" s="2" t="s">
        <v>115</v>
      </c>
      <c r="P1373" s="2" t="str">
        <f>"2170560261                    "</f>
        <v xml:space="preserve">2170560261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26.53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11.7</v>
      </c>
      <c r="BJ1373" s="2">
        <v>3.3</v>
      </c>
      <c r="BK1373" s="2">
        <v>12</v>
      </c>
      <c r="BL1373" s="2">
        <v>251.17</v>
      </c>
      <c r="BM1373" s="2">
        <v>35.159999999999997</v>
      </c>
      <c r="BN1373" s="2">
        <v>286.33</v>
      </c>
      <c r="BO1373" s="2">
        <v>286.33</v>
      </c>
      <c r="BP1373" s="2"/>
      <c r="BQ1373" s="2" t="s">
        <v>122</v>
      </c>
      <c r="BR1373" s="2" t="s">
        <v>123</v>
      </c>
      <c r="BS1373" s="3">
        <v>42829</v>
      </c>
      <c r="BT1373" s="4">
        <v>0.39583333333333331</v>
      </c>
      <c r="BU1373" s="2" t="s">
        <v>387</v>
      </c>
      <c r="BV1373" s="2" t="s">
        <v>111</v>
      </c>
      <c r="BW1373" s="2"/>
      <c r="BX1373" s="2"/>
      <c r="BY1373" s="2">
        <v>16378.23</v>
      </c>
      <c r="BZ1373" s="2" t="s">
        <v>27</v>
      </c>
      <c r="CA1373" s="2" t="s">
        <v>159</v>
      </c>
      <c r="CB1373" s="2"/>
      <c r="CC1373" s="2" t="s">
        <v>113</v>
      </c>
      <c r="CD1373" s="2">
        <v>3200</v>
      </c>
      <c r="CE1373" s="2" t="s">
        <v>89</v>
      </c>
      <c r="CF1373" s="5">
        <v>42831</v>
      </c>
      <c r="CG1373" s="2"/>
      <c r="CH1373" s="2"/>
      <c r="CI1373" s="2">
        <v>1</v>
      </c>
      <c r="CJ1373" s="2">
        <v>1</v>
      </c>
      <c r="CK1373" s="2">
        <v>21</v>
      </c>
      <c r="CL1373" s="2" t="s">
        <v>86</v>
      </c>
      <c r="CM1373" s="2"/>
    </row>
    <row r="1374" spans="1:91">
      <c r="A1374" s="2" t="s">
        <v>71</v>
      </c>
      <c r="B1374" s="2" t="s">
        <v>72</v>
      </c>
      <c r="C1374" s="2" t="s">
        <v>73</v>
      </c>
      <c r="D1374" s="2"/>
      <c r="E1374" s="2" t="str">
        <f>"FES1162542281"</f>
        <v>FES1162542281</v>
      </c>
      <c r="F1374" s="3">
        <v>42832</v>
      </c>
      <c r="G1374" s="2">
        <v>201710</v>
      </c>
      <c r="H1374" s="2" t="s">
        <v>74</v>
      </c>
      <c r="I1374" s="2" t="s">
        <v>75</v>
      </c>
      <c r="J1374" s="2" t="s">
        <v>76</v>
      </c>
      <c r="K1374" s="2" t="s">
        <v>77</v>
      </c>
      <c r="L1374" s="2" t="s">
        <v>166</v>
      </c>
      <c r="M1374" s="2" t="s">
        <v>167</v>
      </c>
      <c r="N1374" s="2" t="s">
        <v>579</v>
      </c>
      <c r="O1374" s="2" t="s">
        <v>115</v>
      </c>
      <c r="P1374" s="2" t="str">
        <f>"2170558988                    "</f>
        <v xml:space="preserve">2170558988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3.35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1</v>
      </c>
      <c r="BJ1374" s="2">
        <v>0.2</v>
      </c>
      <c r="BK1374" s="2">
        <v>1</v>
      </c>
      <c r="BL1374" s="2">
        <v>32.6</v>
      </c>
      <c r="BM1374" s="2">
        <v>4.5599999999999996</v>
      </c>
      <c r="BN1374" s="2">
        <v>37.159999999999997</v>
      </c>
      <c r="BO1374" s="2">
        <v>37.159999999999997</v>
      </c>
      <c r="BP1374" s="2"/>
      <c r="BQ1374" s="2" t="s">
        <v>122</v>
      </c>
      <c r="BR1374" s="2" t="s">
        <v>123</v>
      </c>
      <c r="BS1374" s="3">
        <v>42835</v>
      </c>
      <c r="BT1374" s="4">
        <v>0.43194444444444446</v>
      </c>
      <c r="BU1374" s="2" t="s">
        <v>198</v>
      </c>
      <c r="BV1374" s="2" t="s">
        <v>111</v>
      </c>
      <c r="BW1374" s="2"/>
      <c r="BX1374" s="2"/>
      <c r="BY1374" s="2">
        <v>1200</v>
      </c>
      <c r="BZ1374" s="2" t="s">
        <v>27</v>
      </c>
      <c r="CA1374" s="2"/>
      <c r="CB1374" s="2"/>
      <c r="CC1374" s="2" t="s">
        <v>167</v>
      </c>
      <c r="CD1374" s="2">
        <v>2022</v>
      </c>
      <c r="CE1374" s="2" t="s">
        <v>118</v>
      </c>
      <c r="CF1374" s="5">
        <v>42836</v>
      </c>
      <c r="CG1374" s="2"/>
      <c r="CH1374" s="2"/>
      <c r="CI1374" s="2">
        <v>1</v>
      </c>
      <c r="CJ1374" s="2">
        <v>1</v>
      </c>
      <c r="CK1374" s="2">
        <v>22</v>
      </c>
      <c r="CL1374" s="2" t="s">
        <v>86</v>
      </c>
      <c r="CM1374" s="2"/>
    </row>
    <row r="1375" spans="1:91">
      <c r="A1375" s="2" t="s">
        <v>71</v>
      </c>
      <c r="B1375" s="2" t="s">
        <v>72</v>
      </c>
      <c r="C1375" s="2" t="s">
        <v>73</v>
      </c>
      <c r="D1375" s="2"/>
      <c r="E1375" s="2" t="str">
        <f>"FES1162541188"</f>
        <v>FES1162541188</v>
      </c>
      <c r="F1375" s="3">
        <v>42828</v>
      </c>
      <c r="G1375" s="2">
        <v>201710</v>
      </c>
      <c r="H1375" s="2" t="s">
        <v>74</v>
      </c>
      <c r="I1375" s="2" t="s">
        <v>75</v>
      </c>
      <c r="J1375" s="2" t="s">
        <v>76</v>
      </c>
      <c r="K1375" s="2" t="s">
        <v>77</v>
      </c>
      <c r="L1375" s="2" t="s">
        <v>99</v>
      </c>
      <c r="M1375" s="2" t="s">
        <v>100</v>
      </c>
      <c r="N1375" s="2" t="s">
        <v>914</v>
      </c>
      <c r="O1375" s="2" t="s">
        <v>115</v>
      </c>
      <c r="P1375" s="2" t="str">
        <f>"2170557894                    "</f>
        <v xml:space="preserve">2170557894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4.42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1</v>
      </c>
      <c r="BJ1375" s="2">
        <v>0.2</v>
      </c>
      <c r="BK1375" s="2">
        <v>1</v>
      </c>
      <c r="BL1375" s="2">
        <v>41.86</v>
      </c>
      <c r="BM1375" s="2">
        <v>5.86</v>
      </c>
      <c r="BN1375" s="2">
        <v>47.72</v>
      </c>
      <c r="BO1375" s="2">
        <v>47.72</v>
      </c>
      <c r="BP1375" s="2"/>
      <c r="BQ1375" s="2" t="s">
        <v>915</v>
      </c>
      <c r="BR1375" s="2" t="s">
        <v>123</v>
      </c>
      <c r="BS1375" s="3">
        <v>42829</v>
      </c>
      <c r="BT1375" s="4">
        <v>0.34722222222222227</v>
      </c>
      <c r="BU1375" s="2" t="s">
        <v>170</v>
      </c>
      <c r="BV1375" s="2" t="s">
        <v>111</v>
      </c>
      <c r="BW1375" s="2"/>
      <c r="BX1375" s="2"/>
      <c r="BY1375" s="2">
        <v>1200</v>
      </c>
      <c r="BZ1375" s="2" t="s">
        <v>27</v>
      </c>
      <c r="CA1375" s="2" t="s">
        <v>106</v>
      </c>
      <c r="CB1375" s="2"/>
      <c r="CC1375" s="2" t="s">
        <v>100</v>
      </c>
      <c r="CD1375" s="2">
        <v>6001</v>
      </c>
      <c r="CE1375" s="2" t="s">
        <v>118</v>
      </c>
      <c r="CF1375" s="5">
        <v>42829</v>
      </c>
      <c r="CG1375" s="2"/>
      <c r="CH1375" s="2"/>
      <c r="CI1375" s="2">
        <v>1</v>
      </c>
      <c r="CJ1375" s="2">
        <v>1</v>
      </c>
      <c r="CK1375" s="2">
        <v>21</v>
      </c>
      <c r="CL1375" s="2" t="s">
        <v>86</v>
      </c>
      <c r="CM1375" s="2"/>
    </row>
    <row r="1376" spans="1:91">
      <c r="A1376" s="2" t="s">
        <v>71</v>
      </c>
      <c r="B1376" s="2" t="s">
        <v>72</v>
      </c>
      <c r="C1376" s="2" t="s">
        <v>73</v>
      </c>
      <c r="D1376" s="2"/>
      <c r="E1376" s="2" t="str">
        <f>"FES1162542492"</f>
        <v>FES1162542492</v>
      </c>
      <c r="F1376" s="3">
        <v>42835</v>
      </c>
      <c r="G1376" s="2">
        <v>201710</v>
      </c>
      <c r="H1376" s="2" t="s">
        <v>74</v>
      </c>
      <c r="I1376" s="2" t="s">
        <v>75</v>
      </c>
      <c r="J1376" s="2" t="s">
        <v>76</v>
      </c>
      <c r="K1376" s="2" t="s">
        <v>77</v>
      </c>
      <c r="L1376" s="2" t="s">
        <v>166</v>
      </c>
      <c r="M1376" s="2" t="s">
        <v>167</v>
      </c>
      <c r="N1376" s="2" t="s">
        <v>168</v>
      </c>
      <c r="O1376" s="2" t="s">
        <v>115</v>
      </c>
      <c r="P1376" s="2" t="str">
        <f>"2170559707                    "</f>
        <v xml:space="preserve">2170559707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3.35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1</v>
      </c>
      <c r="BJ1376" s="2">
        <v>0.2</v>
      </c>
      <c r="BK1376" s="2">
        <v>1</v>
      </c>
      <c r="BL1376" s="2">
        <v>32.6</v>
      </c>
      <c r="BM1376" s="2">
        <v>4.5599999999999996</v>
      </c>
      <c r="BN1376" s="2">
        <v>37.159999999999997</v>
      </c>
      <c r="BO1376" s="2">
        <v>37.159999999999997</v>
      </c>
      <c r="BP1376" s="2"/>
      <c r="BQ1376" s="2" t="s">
        <v>169</v>
      </c>
      <c r="BR1376" s="2" t="s">
        <v>123</v>
      </c>
      <c r="BS1376" s="3">
        <v>42836</v>
      </c>
      <c r="BT1376" s="4">
        <v>0.40763888888888888</v>
      </c>
      <c r="BU1376" s="2" t="s">
        <v>170</v>
      </c>
      <c r="BV1376" s="2" t="s">
        <v>111</v>
      </c>
      <c r="BW1376" s="2"/>
      <c r="BX1376" s="2"/>
      <c r="BY1376" s="2">
        <v>1200</v>
      </c>
      <c r="BZ1376" s="2" t="s">
        <v>27</v>
      </c>
      <c r="CA1376" s="2" t="s">
        <v>171</v>
      </c>
      <c r="CB1376" s="2"/>
      <c r="CC1376" s="2" t="s">
        <v>167</v>
      </c>
      <c r="CD1376" s="2">
        <v>2094</v>
      </c>
      <c r="CE1376" s="2" t="s">
        <v>118</v>
      </c>
      <c r="CF1376" s="5">
        <v>42836</v>
      </c>
      <c r="CG1376" s="2"/>
      <c r="CH1376" s="2"/>
      <c r="CI1376" s="2">
        <v>1</v>
      </c>
      <c r="CJ1376" s="2">
        <v>1</v>
      </c>
      <c r="CK1376" s="2">
        <v>22</v>
      </c>
      <c r="CL1376" s="2" t="s">
        <v>86</v>
      </c>
      <c r="CM1376" s="2"/>
    </row>
    <row r="1377" spans="1:91">
      <c r="A1377" s="2" t="s">
        <v>71</v>
      </c>
      <c r="B1377" s="2" t="s">
        <v>72</v>
      </c>
      <c r="C1377" s="2" t="s">
        <v>73</v>
      </c>
      <c r="D1377" s="2"/>
      <c r="E1377" s="2" t="str">
        <f>"FES1162541194"</f>
        <v>FES1162541194</v>
      </c>
      <c r="F1377" s="3">
        <v>42828</v>
      </c>
      <c r="G1377" s="2">
        <v>201710</v>
      </c>
      <c r="H1377" s="2" t="s">
        <v>74</v>
      </c>
      <c r="I1377" s="2" t="s">
        <v>75</v>
      </c>
      <c r="J1377" s="2" t="s">
        <v>76</v>
      </c>
      <c r="K1377" s="2" t="s">
        <v>77</v>
      </c>
      <c r="L1377" s="2" t="s">
        <v>591</v>
      </c>
      <c r="M1377" s="2" t="s">
        <v>592</v>
      </c>
      <c r="N1377" s="2" t="s">
        <v>675</v>
      </c>
      <c r="O1377" s="2" t="s">
        <v>115</v>
      </c>
      <c r="P1377" s="2" t="str">
        <f>"2170560292                    "</f>
        <v xml:space="preserve">2170560292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4.42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1</v>
      </c>
      <c r="BJ1377" s="2">
        <v>0.2</v>
      </c>
      <c r="BK1377" s="2">
        <v>1</v>
      </c>
      <c r="BL1377" s="2">
        <v>41.86</v>
      </c>
      <c r="BM1377" s="2">
        <v>5.86</v>
      </c>
      <c r="BN1377" s="2">
        <v>47.72</v>
      </c>
      <c r="BO1377" s="2">
        <v>47.72</v>
      </c>
      <c r="BP1377" s="2"/>
      <c r="BQ1377" s="2" t="s">
        <v>129</v>
      </c>
      <c r="BR1377" s="2" t="s">
        <v>123</v>
      </c>
      <c r="BS1377" s="3">
        <v>42829</v>
      </c>
      <c r="BT1377" s="4">
        <v>0.43055555555555558</v>
      </c>
      <c r="BU1377" s="2" t="s">
        <v>1748</v>
      </c>
      <c r="BV1377" s="2" t="s">
        <v>111</v>
      </c>
      <c r="BW1377" s="2"/>
      <c r="BX1377" s="2"/>
      <c r="BY1377" s="2">
        <v>1200</v>
      </c>
      <c r="BZ1377" s="2" t="s">
        <v>27</v>
      </c>
      <c r="CA1377" s="2" t="s">
        <v>159</v>
      </c>
      <c r="CB1377" s="2"/>
      <c r="CC1377" s="2" t="s">
        <v>592</v>
      </c>
      <c r="CD1377" s="2">
        <v>7600</v>
      </c>
      <c r="CE1377" s="2" t="s">
        <v>118</v>
      </c>
      <c r="CF1377" s="5">
        <v>42830</v>
      </c>
      <c r="CG1377" s="2"/>
      <c r="CH1377" s="2"/>
      <c r="CI1377" s="2">
        <v>1</v>
      </c>
      <c r="CJ1377" s="2">
        <v>1</v>
      </c>
      <c r="CK1377" s="2">
        <v>21</v>
      </c>
      <c r="CL1377" s="2" t="s">
        <v>86</v>
      </c>
      <c r="CM1377" s="2"/>
    </row>
    <row r="1378" spans="1:91">
      <c r="A1378" s="2" t="s">
        <v>71</v>
      </c>
      <c r="B1378" s="2" t="s">
        <v>72</v>
      </c>
      <c r="C1378" s="2" t="s">
        <v>73</v>
      </c>
      <c r="D1378" s="2"/>
      <c r="E1378" s="2" t="str">
        <f>"FES1162542008"</f>
        <v>FES1162542008</v>
      </c>
      <c r="F1378" s="3">
        <v>42832</v>
      </c>
      <c r="G1378" s="2">
        <v>201710</v>
      </c>
      <c r="H1378" s="2" t="s">
        <v>74</v>
      </c>
      <c r="I1378" s="2" t="s">
        <v>75</v>
      </c>
      <c r="J1378" s="2" t="s">
        <v>76</v>
      </c>
      <c r="K1378" s="2" t="s">
        <v>77</v>
      </c>
      <c r="L1378" s="2" t="s">
        <v>166</v>
      </c>
      <c r="M1378" s="2" t="s">
        <v>167</v>
      </c>
      <c r="N1378" s="2" t="s">
        <v>1937</v>
      </c>
      <c r="O1378" s="2" t="s">
        <v>115</v>
      </c>
      <c r="P1378" s="2" t="str">
        <f>"2170558713                    "</f>
        <v xml:space="preserve">2170558713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3.35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1</v>
      </c>
      <c r="BJ1378" s="2">
        <v>0.2</v>
      </c>
      <c r="BK1378" s="2">
        <v>1</v>
      </c>
      <c r="BL1378" s="2">
        <v>32.6</v>
      </c>
      <c r="BM1378" s="2">
        <v>4.5599999999999996</v>
      </c>
      <c r="BN1378" s="2">
        <v>37.159999999999997</v>
      </c>
      <c r="BO1378" s="2">
        <v>37.159999999999997</v>
      </c>
      <c r="BP1378" s="2"/>
      <c r="BQ1378" s="2"/>
      <c r="BR1378" s="2" t="s">
        <v>123</v>
      </c>
      <c r="BS1378" s="3">
        <v>42835</v>
      </c>
      <c r="BT1378" s="4">
        <v>0.4375</v>
      </c>
      <c r="BU1378" s="2" t="s">
        <v>1938</v>
      </c>
      <c r="BV1378" s="2" t="s">
        <v>111</v>
      </c>
      <c r="BW1378" s="2"/>
      <c r="BX1378" s="2"/>
      <c r="BY1378" s="2">
        <v>1200</v>
      </c>
      <c r="BZ1378" s="2" t="s">
        <v>27</v>
      </c>
      <c r="CA1378" s="2"/>
      <c r="CB1378" s="2"/>
      <c r="CC1378" s="2" t="s">
        <v>167</v>
      </c>
      <c r="CD1378" s="2">
        <v>2066</v>
      </c>
      <c r="CE1378" s="2" t="s">
        <v>144</v>
      </c>
      <c r="CF1378" s="5">
        <v>42836</v>
      </c>
      <c r="CG1378" s="2"/>
      <c r="CH1378" s="2"/>
      <c r="CI1378" s="2">
        <v>1</v>
      </c>
      <c r="CJ1378" s="2">
        <v>1</v>
      </c>
      <c r="CK1378" s="2">
        <v>22</v>
      </c>
      <c r="CL1378" s="2" t="s">
        <v>86</v>
      </c>
      <c r="CM1378" s="2"/>
    </row>
    <row r="1379" spans="1:91">
      <c r="A1379" s="2" t="s">
        <v>71</v>
      </c>
      <c r="B1379" s="2" t="s">
        <v>72</v>
      </c>
      <c r="C1379" s="2" t="s">
        <v>73</v>
      </c>
      <c r="D1379" s="2"/>
      <c r="E1379" s="2" t="str">
        <f>"FES1162541170"</f>
        <v>FES1162541170</v>
      </c>
      <c r="F1379" s="3">
        <v>42828</v>
      </c>
      <c r="G1379" s="2">
        <v>201710</v>
      </c>
      <c r="H1379" s="2" t="s">
        <v>74</v>
      </c>
      <c r="I1379" s="2" t="s">
        <v>75</v>
      </c>
      <c r="J1379" s="2" t="s">
        <v>76</v>
      </c>
      <c r="K1379" s="2" t="s">
        <v>77</v>
      </c>
      <c r="L1379" s="2" t="s">
        <v>99</v>
      </c>
      <c r="M1379" s="2" t="s">
        <v>100</v>
      </c>
      <c r="N1379" s="2" t="s">
        <v>108</v>
      </c>
      <c r="O1379" s="2" t="s">
        <v>115</v>
      </c>
      <c r="P1379" s="2" t="str">
        <f>"2170556357                    "</f>
        <v xml:space="preserve">2170556357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6.63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3</v>
      </c>
      <c r="BJ1379" s="2">
        <v>2</v>
      </c>
      <c r="BK1379" s="2">
        <v>3</v>
      </c>
      <c r="BL1379" s="2">
        <v>62.79</v>
      </c>
      <c r="BM1379" s="2">
        <v>8.7899999999999991</v>
      </c>
      <c r="BN1379" s="2">
        <v>71.58</v>
      </c>
      <c r="BO1379" s="2">
        <v>71.58</v>
      </c>
      <c r="BP1379" s="2"/>
      <c r="BQ1379" s="2" t="s">
        <v>109</v>
      </c>
      <c r="BR1379" s="2" t="s">
        <v>123</v>
      </c>
      <c r="BS1379" s="3">
        <v>42829</v>
      </c>
      <c r="BT1379" s="4">
        <v>0.375</v>
      </c>
      <c r="BU1379" s="2" t="s">
        <v>110</v>
      </c>
      <c r="BV1379" s="2" t="s">
        <v>111</v>
      </c>
      <c r="BW1379" s="2"/>
      <c r="BX1379" s="2"/>
      <c r="BY1379" s="2">
        <v>9918</v>
      </c>
      <c r="BZ1379" s="2" t="s">
        <v>27</v>
      </c>
      <c r="CA1379" s="2" t="s">
        <v>106</v>
      </c>
      <c r="CB1379" s="2"/>
      <c r="CC1379" s="2" t="s">
        <v>100</v>
      </c>
      <c r="CD1379" s="2">
        <v>6001</v>
      </c>
      <c r="CE1379" s="2" t="s">
        <v>89</v>
      </c>
      <c r="CF1379" s="5">
        <v>42829</v>
      </c>
      <c r="CG1379" s="2"/>
      <c r="CH1379" s="2"/>
      <c r="CI1379" s="2">
        <v>1</v>
      </c>
      <c r="CJ1379" s="2">
        <v>1</v>
      </c>
      <c r="CK1379" s="2">
        <v>21</v>
      </c>
      <c r="CL1379" s="2" t="s">
        <v>86</v>
      </c>
      <c r="CM1379" s="2"/>
    </row>
    <row r="1380" spans="1:91">
      <c r="A1380" s="2" t="s">
        <v>71</v>
      </c>
      <c r="B1380" s="2" t="s">
        <v>72</v>
      </c>
      <c r="C1380" s="2" t="s">
        <v>73</v>
      </c>
      <c r="D1380" s="2"/>
      <c r="E1380" s="2" t="str">
        <f>"FES1162542557"</f>
        <v>FES1162542557</v>
      </c>
      <c r="F1380" s="3">
        <v>42835</v>
      </c>
      <c r="G1380" s="2">
        <v>201710</v>
      </c>
      <c r="H1380" s="2" t="s">
        <v>74</v>
      </c>
      <c r="I1380" s="2" t="s">
        <v>75</v>
      </c>
      <c r="J1380" s="2" t="s">
        <v>76</v>
      </c>
      <c r="K1380" s="2" t="s">
        <v>77</v>
      </c>
      <c r="L1380" s="2" t="s">
        <v>131</v>
      </c>
      <c r="M1380" s="2" t="s">
        <v>132</v>
      </c>
      <c r="N1380" s="2" t="s">
        <v>1534</v>
      </c>
      <c r="O1380" s="2" t="s">
        <v>115</v>
      </c>
      <c r="P1380" s="2" t="str">
        <f>"2170561422                    "</f>
        <v xml:space="preserve">2170561422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4.29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1</v>
      </c>
      <c r="BJ1380" s="2">
        <v>0.2</v>
      </c>
      <c r="BK1380" s="2">
        <v>1</v>
      </c>
      <c r="BL1380" s="2">
        <v>41.73</v>
      </c>
      <c r="BM1380" s="2">
        <v>5.84</v>
      </c>
      <c r="BN1380" s="2">
        <v>47.57</v>
      </c>
      <c r="BO1380" s="2">
        <v>47.57</v>
      </c>
      <c r="BP1380" s="2"/>
      <c r="BQ1380" s="2" t="s">
        <v>116</v>
      </c>
      <c r="BR1380" s="2" t="s">
        <v>123</v>
      </c>
      <c r="BS1380" s="3">
        <v>42836</v>
      </c>
      <c r="BT1380" s="4">
        <v>0.43055555555555558</v>
      </c>
      <c r="BU1380" s="2" t="s">
        <v>1939</v>
      </c>
      <c r="BV1380" s="2" t="s">
        <v>111</v>
      </c>
      <c r="BW1380" s="2"/>
      <c r="BX1380" s="2"/>
      <c r="BY1380" s="2">
        <v>1200</v>
      </c>
      <c r="BZ1380" s="2" t="s">
        <v>27</v>
      </c>
      <c r="CA1380" s="2"/>
      <c r="CB1380" s="2"/>
      <c r="CC1380" s="2" t="s">
        <v>132</v>
      </c>
      <c r="CD1380" s="2">
        <v>7493</v>
      </c>
      <c r="CE1380" s="2" t="s">
        <v>144</v>
      </c>
      <c r="CF1380" s="5">
        <v>42837</v>
      </c>
      <c r="CG1380" s="2"/>
      <c r="CH1380" s="2"/>
      <c r="CI1380" s="2">
        <v>1</v>
      </c>
      <c r="CJ1380" s="2">
        <v>1</v>
      </c>
      <c r="CK1380" s="2">
        <v>21</v>
      </c>
      <c r="CL1380" s="2" t="s">
        <v>86</v>
      </c>
      <c r="CM1380" s="2"/>
    </row>
    <row r="1381" spans="1:91">
      <c r="A1381" s="2" t="s">
        <v>71</v>
      </c>
      <c r="B1381" s="2" t="s">
        <v>72</v>
      </c>
      <c r="C1381" s="2" t="s">
        <v>73</v>
      </c>
      <c r="D1381" s="2"/>
      <c r="E1381" s="2" t="str">
        <f>"FES1162541097"</f>
        <v>FES1162541097</v>
      </c>
      <c r="F1381" s="3">
        <v>42828</v>
      </c>
      <c r="G1381" s="2">
        <v>201710</v>
      </c>
      <c r="H1381" s="2" t="s">
        <v>74</v>
      </c>
      <c r="I1381" s="2" t="s">
        <v>75</v>
      </c>
      <c r="J1381" s="2" t="s">
        <v>76</v>
      </c>
      <c r="K1381" s="2" t="s">
        <v>77</v>
      </c>
      <c r="L1381" s="2" t="s">
        <v>139</v>
      </c>
      <c r="M1381" s="2" t="s">
        <v>140</v>
      </c>
      <c r="N1381" s="2" t="s">
        <v>141</v>
      </c>
      <c r="O1381" s="2" t="s">
        <v>115</v>
      </c>
      <c r="P1381" s="2" t="str">
        <f>"2170560175                    "</f>
        <v xml:space="preserve">2170560175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4.42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1</v>
      </c>
      <c r="BJ1381" s="2">
        <v>0.2</v>
      </c>
      <c r="BK1381" s="2">
        <v>1</v>
      </c>
      <c r="BL1381" s="2">
        <v>41.86</v>
      </c>
      <c r="BM1381" s="2">
        <v>5.86</v>
      </c>
      <c r="BN1381" s="2">
        <v>47.72</v>
      </c>
      <c r="BO1381" s="2">
        <v>47.72</v>
      </c>
      <c r="BP1381" s="2"/>
      <c r="BQ1381" s="2" t="s">
        <v>142</v>
      </c>
      <c r="BR1381" s="2" t="s">
        <v>123</v>
      </c>
      <c r="BS1381" s="3">
        <v>42829</v>
      </c>
      <c r="BT1381" s="4">
        <v>0.40069444444444446</v>
      </c>
      <c r="BU1381" s="2" t="s">
        <v>1940</v>
      </c>
      <c r="BV1381" s="2" t="s">
        <v>111</v>
      </c>
      <c r="BW1381" s="2"/>
      <c r="BX1381" s="2"/>
      <c r="BY1381" s="2">
        <v>1200</v>
      </c>
      <c r="BZ1381" s="2" t="s">
        <v>27</v>
      </c>
      <c r="CA1381" s="2" t="s">
        <v>159</v>
      </c>
      <c r="CB1381" s="2"/>
      <c r="CC1381" s="2" t="s">
        <v>140</v>
      </c>
      <c r="CD1381" s="2">
        <v>157</v>
      </c>
      <c r="CE1381" s="2" t="s">
        <v>118</v>
      </c>
      <c r="CF1381" s="5">
        <v>42831</v>
      </c>
      <c r="CG1381" s="2"/>
      <c r="CH1381" s="2"/>
      <c r="CI1381" s="2">
        <v>0</v>
      </c>
      <c r="CJ1381" s="2">
        <v>0</v>
      </c>
      <c r="CK1381" s="2">
        <v>21</v>
      </c>
      <c r="CL1381" s="2" t="s">
        <v>86</v>
      </c>
      <c r="CM1381" s="2"/>
    </row>
    <row r="1382" spans="1:91">
      <c r="A1382" s="2" t="s">
        <v>71</v>
      </c>
      <c r="B1382" s="2" t="s">
        <v>72</v>
      </c>
      <c r="C1382" s="2" t="s">
        <v>73</v>
      </c>
      <c r="D1382" s="2"/>
      <c r="E1382" s="2" t="str">
        <f>"FES1162542403"</f>
        <v>FES1162542403</v>
      </c>
      <c r="F1382" s="3">
        <v>42832</v>
      </c>
      <c r="G1382" s="2">
        <v>201710</v>
      </c>
      <c r="H1382" s="2" t="s">
        <v>74</v>
      </c>
      <c r="I1382" s="2" t="s">
        <v>75</v>
      </c>
      <c r="J1382" s="2" t="s">
        <v>76</v>
      </c>
      <c r="K1382" s="2" t="s">
        <v>77</v>
      </c>
      <c r="L1382" s="2" t="s">
        <v>91</v>
      </c>
      <c r="M1382" s="2" t="s">
        <v>92</v>
      </c>
      <c r="N1382" s="2" t="s">
        <v>1941</v>
      </c>
      <c r="O1382" s="2" t="s">
        <v>115</v>
      </c>
      <c r="P1382" s="2" t="str">
        <f>"2170561297                    "</f>
        <v xml:space="preserve">2170561297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3.35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1</v>
      </c>
      <c r="BJ1382" s="2">
        <v>0.2</v>
      </c>
      <c r="BK1382" s="2">
        <v>1</v>
      </c>
      <c r="BL1382" s="2">
        <v>32.6</v>
      </c>
      <c r="BM1382" s="2">
        <v>4.5599999999999996</v>
      </c>
      <c r="BN1382" s="2">
        <v>37.159999999999997</v>
      </c>
      <c r="BO1382" s="2">
        <v>37.159999999999997</v>
      </c>
      <c r="BP1382" s="2"/>
      <c r="BQ1382" s="2" t="s">
        <v>1942</v>
      </c>
      <c r="BR1382" s="2" t="s">
        <v>123</v>
      </c>
      <c r="BS1382" s="3">
        <v>42835</v>
      </c>
      <c r="BT1382" s="4">
        <v>0.41666666666666669</v>
      </c>
      <c r="BU1382" s="2" t="s">
        <v>290</v>
      </c>
      <c r="BV1382" s="2" t="s">
        <v>111</v>
      </c>
      <c r="BW1382" s="2"/>
      <c r="BX1382" s="2"/>
      <c r="BY1382" s="2">
        <v>1200</v>
      </c>
      <c r="BZ1382" s="2" t="s">
        <v>27</v>
      </c>
      <c r="CA1382" s="2"/>
      <c r="CB1382" s="2"/>
      <c r="CC1382" s="2" t="s">
        <v>92</v>
      </c>
      <c r="CD1382" s="2">
        <v>1428</v>
      </c>
      <c r="CE1382" s="2" t="s">
        <v>118</v>
      </c>
      <c r="CF1382" s="5">
        <v>42836</v>
      </c>
      <c r="CG1382" s="2"/>
      <c r="CH1382" s="2"/>
      <c r="CI1382" s="2">
        <v>1</v>
      </c>
      <c r="CJ1382" s="2">
        <v>1</v>
      </c>
      <c r="CK1382" s="2">
        <v>22</v>
      </c>
      <c r="CL1382" s="2" t="s">
        <v>86</v>
      </c>
      <c r="CM1382" s="2"/>
    </row>
    <row r="1383" spans="1:91">
      <c r="A1383" s="2" t="s">
        <v>71</v>
      </c>
      <c r="B1383" s="2" t="s">
        <v>72</v>
      </c>
      <c r="C1383" s="2" t="s">
        <v>73</v>
      </c>
      <c r="D1383" s="2"/>
      <c r="E1383" s="2" t="str">
        <f>"FES1162541185"</f>
        <v>FES1162541185</v>
      </c>
      <c r="F1383" s="3">
        <v>42828</v>
      </c>
      <c r="G1383" s="2">
        <v>201710</v>
      </c>
      <c r="H1383" s="2" t="s">
        <v>74</v>
      </c>
      <c r="I1383" s="2" t="s">
        <v>75</v>
      </c>
      <c r="J1383" s="2" t="s">
        <v>76</v>
      </c>
      <c r="K1383" s="2" t="s">
        <v>77</v>
      </c>
      <c r="L1383" s="2" t="s">
        <v>180</v>
      </c>
      <c r="M1383" s="2" t="s">
        <v>181</v>
      </c>
      <c r="N1383" s="2" t="s">
        <v>982</v>
      </c>
      <c r="O1383" s="2" t="s">
        <v>115</v>
      </c>
      <c r="P1383" s="2" t="str">
        <f>"2170560262                    "</f>
        <v xml:space="preserve">2170560262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4.42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</v>
      </c>
      <c r="BJ1383" s="2">
        <v>0.2</v>
      </c>
      <c r="BK1383" s="2">
        <v>1</v>
      </c>
      <c r="BL1383" s="2">
        <v>41.86</v>
      </c>
      <c r="BM1383" s="2">
        <v>5.86</v>
      </c>
      <c r="BN1383" s="2">
        <v>47.72</v>
      </c>
      <c r="BO1383" s="2">
        <v>47.72</v>
      </c>
      <c r="BP1383" s="2"/>
      <c r="BQ1383" s="2" t="s">
        <v>1168</v>
      </c>
      <c r="BR1383" s="2" t="s">
        <v>123</v>
      </c>
      <c r="BS1383" s="3">
        <v>42829</v>
      </c>
      <c r="BT1383" s="4">
        <v>0.4375</v>
      </c>
      <c r="BU1383" s="2" t="s">
        <v>1943</v>
      </c>
      <c r="BV1383" s="2" t="s">
        <v>111</v>
      </c>
      <c r="BW1383" s="2"/>
      <c r="BX1383" s="2"/>
      <c r="BY1383" s="2">
        <v>1200</v>
      </c>
      <c r="BZ1383" s="2" t="s">
        <v>27</v>
      </c>
      <c r="CA1383" s="2"/>
      <c r="CB1383" s="2"/>
      <c r="CC1383" s="2" t="s">
        <v>181</v>
      </c>
      <c r="CD1383" s="2">
        <v>4052</v>
      </c>
      <c r="CE1383" s="2" t="s">
        <v>118</v>
      </c>
      <c r="CF1383" s="5">
        <v>42831</v>
      </c>
      <c r="CG1383" s="2"/>
      <c r="CH1383" s="2"/>
      <c r="CI1383" s="2">
        <v>1</v>
      </c>
      <c r="CJ1383" s="2">
        <v>1</v>
      </c>
      <c r="CK1383" s="2">
        <v>21</v>
      </c>
      <c r="CL1383" s="2" t="s">
        <v>86</v>
      </c>
      <c r="CM1383" s="2"/>
    </row>
    <row r="1384" spans="1:91">
      <c r="A1384" s="2" t="s">
        <v>71</v>
      </c>
      <c r="B1384" s="2" t="s">
        <v>72</v>
      </c>
      <c r="C1384" s="2" t="s">
        <v>73</v>
      </c>
      <c r="D1384" s="2"/>
      <c r="E1384" s="2" t="str">
        <f>"FES1162542603"</f>
        <v>FES1162542603</v>
      </c>
      <c r="F1384" s="3">
        <v>42835</v>
      </c>
      <c r="G1384" s="2">
        <v>201710</v>
      </c>
      <c r="H1384" s="2" t="s">
        <v>74</v>
      </c>
      <c r="I1384" s="2" t="s">
        <v>75</v>
      </c>
      <c r="J1384" s="2" t="s">
        <v>76</v>
      </c>
      <c r="K1384" s="2" t="s">
        <v>77</v>
      </c>
      <c r="L1384" s="2" t="s">
        <v>176</v>
      </c>
      <c r="M1384" s="2" t="s">
        <v>176</v>
      </c>
      <c r="N1384" s="2" t="s">
        <v>460</v>
      </c>
      <c r="O1384" s="2" t="s">
        <v>115</v>
      </c>
      <c r="P1384" s="2" t="str">
        <f>"2170561460                    "</f>
        <v xml:space="preserve">2170561460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4.29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1</v>
      </c>
      <c r="BJ1384" s="2">
        <v>0.2</v>
      </c>
      <c r="BK1384" s="2">
        <v>1</v>
      </c>
      <c r="BL1384" s="2">
        <v>41.73</v>
      </c>
      <c r="BM1384" s="2">
        <v>5.84</v>
      </c>
      <c r="BN1384" s="2">
        <v>47.57</v>
      </c>
      <c r="BO1384" s="2">
        <v>47.57</v>
      </c>
      <c r="BP1384" s="2"/>
      <c r="BQ1384" s="2" t="s">
        <v>461</v>
      </c>
      <c r="BR1384" s="2" t="s">
        <v>123</v>
      </c>
      <c r="BS1384" s="3">
        <v>42836</v>
      </c>
      <c r="BT1384" s="4">
        <v>0.50347222222222221</v>
      </c>
      <c r="BU1384" s="2" t="s">
        <v>1944</v>
      </c>
      <c r="BV1384" s="2" t="s">
        <v>111</v>
      </c>
      <c r="BW1384" s="2"/>
      <c r="BX1384" s="2"/>
      <c r="BY1384" s="2">
        <v>1200</v>
      </c>
      <c r="BZ1384" s="2" t="s">
        <v>27</v>
      </c>
      <c r="CA1384" s="2"/>
      <c r="CB1384" s="2"/>
      <c r="CC1384" s="2" t="s">
        <v>176</v>
      </c>
      <c r="CD1384" s="2">
        <v>7646</v>
      </c>
      <c r="CE1384" s="2" t="s">
        <v>144</v>
      </c>
      <c r="CF1384" s="5">
        <v>42837</v>
      </c>
      <c r="CG1384" s="2"/>
      <c r="CH1384" s="2"/>
      <c r="CI1384" s="2">
        <v>1</v>
      </c>
      <c r="CJ1384" s="2">
        <v>1</v>
      </c>
      <c r="CK1384" s="2">
        <v>21</v>
      </c>
      <c r="CL1384" s="2" t="s">
        <v>86</v>
      </c>
      <c r="CM1384" s="2"/>
    </row>
    <row r="1385" spans="1:91">
      <c r="A1385" s="2" t="s">
        <v>71</v>
      </c>
      <c r="B1385" s="2" t="s">
        <v>72</v>
      </c>
      <c r="C1385" s="2" t="s">
        <v>73</v>
      </c>
      <c r="D1385" s="2"/>
      <c r="E1385" s="2" t="str">
        <f>"FES1162541095"</f>
        <v>FES1162541095</v>
      </c>
      <c r="F1385" s="3">
        <v>42828</v>
      </c>
      <c r="G1385" s="2">
        <v>201710</v>
      </c>
      <c r="H1385" s="2" t="s">
        <v>74</v>
      </c>
      <c r="I1385" s="2" t="s">
        <v>75</v>
      </c>
      <c r="J1385" s="2" t="s">
        <v>76</v>
      </c>
      <c r="K1385" s="2" t="s">
        <v>77</v>
      </c>
      <c r="L1385" s="2" t="s">
        <v>91</v>
      </c>
      <c r="M1385" s="2" t="s">
        <v>92</v>
      </c>
      <c r="N1385" s="2" t="s">
        <v>1617</v>
      </c>
      <c r="O1385" s="2" t="s">
        <v>115</v>
      </c>
      <c r="P1385" s="2" t="str">
        <f>"217506172                     "</f>
        <v xml:space="preserve">217506172 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3.45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</v>
      </c>
      <c r="BJ1385" s="2">
        <v>0.2</v>
      </c>
      <c r="BK1385" s="2">
        <v>1</v>
      </c>
      <c r="BL1385" s="2">
        <v>32.700000000000003</v>
      </c>
      <c r="BM1385" s="2">
        <v>4.58</v>
      </c>
      <c r="BN1385" s="2">
        <v>37.28</v>
      </c>
      <c r="BO1385" s="2">
        <v>37.28</v>
      </c>
      <c r="BP1385" s="2"/>
      <c r="BQ1385" s="2" t="s">
        <v>1618</v>
      </c>
      <c r="BR1385" s="2" t="s">
        <v>123</v>
      </c>
      <c r="BS1385" s="3">
        <v>42829</v>
      </c>
      <c r="BT1385" s="4">
        <v>0.42777777777777781</v>
      </c>
      <c r="BU1385" s="2" t="s">
        <v>1945</v>
      </c>
      <c r="BV1385" s="2" t="s">
        <v>111</v>
      </c>
      <c r="BW1385" s="2"/>
      <c r="BX1385" s="2"/>
      <c r="BY1385" s="2">
        <v>1200</v>
      </c>
      <c r="BZ1385" s="2" t="s">
        <v>27</v>
      </c>
      <c r="CA1385" s="2" t="s">
        <v>1815</v>
      </c>
      <c r="CB1385" s="2"/>
      <c r="CC1385" s="2" t="s">
        <v>92</v>
      </c>
      <c r="CD1385" s="2">
        <v>1422</v>
      </c>
      <c r="CE1385" s="2" t="s">
        <v>118</v>
      </c>
      <c r="CF1385" s="5">
        <v>42829</v>
      </c>
      <c r="CG1385" s="2"/>
      <c r="CH1385" s="2"/>
      <c r="CI1385" s="2">
        <v>1</v>
      </c>
      <c r="CJ1385" s="2">
        <v>1</v>
      </c>
      <c r="CK1385" s="2">
        <v>22</v>
      </c>
      <c r="CL1385" s="2" t="s">
        <v>86</v>
      </c>
      <c r="CM1385" s="2"/>
    </row>
    <row r="1386" spans="1:91">
      <c r="A1386" s="2" t="s">
        <v>71</v>
      </c>
      <c r="B1386" s="2" t="s">
        <v>72</v>
      </c>
      <c r="C1386" s="2" t="s">
        <v>73</v>
      </c>
      <c r="D1386" s="2"/>
      <c r="E1386" s="2" t="str">
        <f>"FES1162542358"</f>
        <v>FES1162542358</v>
      </c>
      <c r="F1386" s="3">
        <v>42832</v>
      </c>
      <c r="G1386" s="2">
        <v>201710</v>
      </c>
      <c r="H1386" s="2" t="s">
        <v>74</v>
      </c>
      <c r="I1386" s="2" t="s">
        <v>75</v>
      </c>
      <c r="J1386" s="2" t="s">
        <v>76</v>
      </c>
      <c r="K1386" s="2" t="s">
        <v>77</v>
      </c>
      <c r="L1386" s="2" t="s">
        <v>267</v>
      </c>
      <c r="M1386" s="2" t="s">
        <v>268</v>
      </c>
      <c r="N1386" s="2" t="s">
        <v>1946</v>
      </c>
      <c r="O1386" s="2" t="s">
        <v>115</v>
      </c>
      <c r="P1386" s="2" t="str">
        <f>"2170561241                    "</f>
        <v xml:space="preserve">2170561241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3.35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1</v>
      </c>
      <c r="BJ1386" s="2">
        <v>0.2</v>
      </c>
      <c r="BK1386" s="2">
        <v>1</v>
      </c>
      <c r="BL1386" s="2">
        <v>32.6</v>
      </c>
      <c r="BM1386" s="2">
        <v>4.5599999999999996</v>
      </c>
      <c r="BN1386" s="2">
        <v>37.159999999999997</v>
      </c>
      <c r="BO1386" s="2">
        <v>37.159999999999997</v>
      </c>
      <c r="BP1386" s="2"/>
      <c r="BQ1386" s="2"/>
      <c r="BR1386" s="2" t="s">
        <v>123</v>
      </c>
      <c r="BS1386" s="3">
        <v>42835</v>
      </c>
      <c r="BT1386" s="4">
        <v>0.41666666666666669</v>
      </c>
      <c r="BU1386" s="2" t="s">
        <v>1947</v>
      </c>
      <c r="BV1386" s="2" t="s">
        <v>111</v>
      </c>
      <c r="BW1386" s="2"/>
      <c r="BX1386" s="2"/>
      <c r="BY1386" s="2">
        <v>1200</v>
      </c>
      <c r="BZ1386" s="2" t="s">
        <v>27</v>
      </c>
      <c r="CA1386" s="2"/>
      <c r="CB1386" s="2"/>
      <c r="CC1386" s="2" t="s">
        <v>268</v>
      </c>
      <c r="CD1386" s="2">
        <v>1709</v>
      </c>
      <c r="CE1386" s="2" t="s">
        <v>118</v>
      </c>
      <c r="CF1386" s="5">
        <v>42836</v>
      </c>
      <c r="CG1386" s="2"/>
      <c r="CH1386" s="2"/>
      <c r="CI1386" s="2">
        <v>1</v>
      </c>
      <c r="CJ1386" s="2">
        <v>1</v>
      </c>
      <c r="CK1386" s="2">
        <v>22</v>
      </c>
      <c r="CL1386" s="2" t="s">
        <v>86</v>
      </c>
      <c r="CM1386" s="2"/>
    </row>
    <row r="1387" spans="1:91">
      <c r="A1387" s="2" t="s">
        <v>71</v>
      </c>
      <c r="B1387" s="2" t="s">
        <v>72</v>
      </c>
      <c r="C1387" s="2" t="s">
        <v>73</v>
      </c>
      <c r="D1387" s="2"/>
      <c r="E1387" s="2" t="str">
        <f>"FES1162541116"</f>
        <v>FES1162541116</v>
      </c>
      <c r="F1387" s="3">
        <v>42828</v>
      </c>
      <c r="G1387" s="2">
        <v>201710</v>
      </c>
      <c r="H1387" s="2" t="s">
        <v>74</v>
      </c>
      <c r="I1387" s="2" t="s">
        <v>75</v>
      </c>
      <c r="J1387" s="2" t="s">
        <v>76</v>
      </c>
      <c r="K1387" s="2" t="s">
        <v>77</v>
      </c>
      <c r="L1387" s="2" t="s">
        <v>260</v>
      </c>
      <c r="M1387" s="2" t="s">
        <v>261</v>
      </c>
      <c r="N1387" s="2" t="s">
        <v>470</v>
      </c>
      <c r="O1387" s="2" t="s">
        <v>115</v>
      </c>
      <c r="P1387" s="2" t="str">
        <f>"2170560198                    "</f>
        <v xml:space="preserve">2170560198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3.45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1</v>
      </c>
      <c r="BI1387" s="2">
        <v>1</v>
      </c>
      <c r="BJ1387" s="2">
        <v>0.2</v>
      </c>
      <c r="BK1387" s="2">
        <v>1</v>
      </c>
      <c r="BL1387" s="2">
        <v>32.700000000000003</v>
      </c>
      <c r="BM1387" s="2">
        <v>4.58</v>
      </c>
      <c r="BN1387" s="2">
        <v>37.28</v>
      </c>
      <c r="BO1387" s="2">
        <v>37.28</v>
      </c>
      <c r="BP1387" s="2"/>
      <c r="BQ1387" s="2" t="s">
        <v>471</v>
      </c>
      <c r="BR1387" s="2" t="s">
        <v>123</v>
      </c>
      <c r="BS1387" s="3">
        <v>42829</v>
      </c>
      <c r="BT1387" s="4">
        <v>0.30902777777777779</v>
      </c>
      <c r="BU1387" s="2" t="s">
        <v>471</v>
      </c>
      <c r="BV1387" s="2" t="s">
        <v>111</v>
      </c>
      <c r="BW1387" s="2"/>
      <c r="BX1387" s="2"/>
      <c r="BY1387" s="2">
        <v>1200</v>
      </c>
      <c r="BZ1387" s="2" t="s">
        <v>27</v>
      </c>
      <c r="CA1387" s="2"/>
      <c r="CB1387" s="2"/>
      <c r="CC1387" s="2" t="s">
        <v>261</v>
      </c>
      <c r="CD1387" s="2">
        <v>1449</v>
      </c>
      <c r="CE1387" s="2" t="s">
        <v>118</v>
      </c>
      <c r="CF1387" s="5">
        <v>42831</v>
      </c>
      <c r="CG1387" s="2"/>
      <c r="CH1387" s="2"/>
      <c r="CI1387" s="2">
        <v>1</v>
      </c>
      <c r="CJ1387" s="2">
        <v>1</v>
      </c>
      <c r="CK1387" s="2">
        <v>22</v>
      </c>
      <c r="CL1387" s="2" t="s">
        <v>86</v>
      </c>
      <c r="CM1387" s="2"/>
    </row>
    <row r="1388" spans="1:91">
      <c r="A1388" s="2" t="s">
        <v>71</v>
      </c>
      <c r="B1388" s="2" t="s">
        <v>72</v>
      </c>
      <c r="C1388" s="2" t="s">
        <v>73</v>
      </c>
      <c r="D1388" s="2"/>
      <c r="E1388" s="2" t="str">
        <f>"FES1162542493"</f>
        <v>FES1162542493</v>
      </c>
      <c r="F1388" s="3">
        <v>42835</v>
      </c>
      <c r="G1388" s="2">
        <v>201710</v>
      </c>
      <c r="H1388" s="2" t="s">
        <v>74</v>
      </c>
      <c r="I1388" s="2" t="s">
        <v>75</v>
      </c>
      <c r="J1388" s="2" t="s">
        <v>76</v>
      </c>
      <c r="K1388" s="2" t="s">
        <v>77</v>
      </c>
      <c r="L1388" s="2" t="s">
        <v>176</v>
      </c>
      <c r="M1388" s="2" t="s">
        <v>176</v>
      </c>
      <c r="N1388" s="2" t="s">
        <v>339</v>
      </c>
      <c r="O1388" s="2" t="s">
        <v>115</v>
      </c>
      <c r="P1388" s="2" t="str">
        <f>"2170559775                    "</f>
        <v xml:space="preserve">2170559775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4.29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1</v>
      </c>
      <c r="BJ1388" s="2">
        <v>0.2</v>
      </c>
      <c r="BK1388" s="2">
        <v>1</v>
      </c>
      <c r="BL1388" s="2">
        <v>41.73</v>
      </c>
      <c r="BM1388" s="2">
        <v>5.84</v>
      </c>
      <c r="BN1388" s="2">
        <v>47.57</v>
      </c>
      <c r="BO1388" s="2">
        <v>47.57</v>
      </c>
      <c r="BP1388" s="2"/>
      <c r="BQ1388" s="2" t="s">
        <v>340</v>
      </c>
      <c r="BR1388" s="2" t="s">
        <v>123</v>
      </c>
      <c r="BS1388" s="3">
        <v>42836</v>
      </c>
      <c r="BT1388" s="4">
        <v>0.51388888888888895</v>
      </c>
      <c r="BU1388" s="2" t="s">
        <v>899</v>
      </c>
      <c r="BV1388" s="2" t="s">
        <v>111</v>
      </c>
      <c r="BW1388" s="2"/>
      <c r="BX1388" s="2"/>
      <c r="BY1388" s="2">
        <v>1200</v>
      </c>
      <c r="BZ1388" s="2" t="s">
        <v>27</v>
      </c>
      <c r="CA1388" s="2"/>
      <c r="CB1388" s="2"/>
      <c r="CC1388" s="2" t="s">
        <v>176</v>
      </c>
      <c r="CD1388" s="2">
        <v>7646</v>
      </c>
      <c r="CE1388" s="2" t="s">
        <v>144</v>
      </c>
      <c r="CF1388" s="5">
        <v>42837</v>
      </c>
      <c r="CG1388" s="2"/>
      <c r="CH1388" s="2"/>
      <c r="CI1388" s="2">
        <v>1</v>
      </c>
      <c r="CJ1388" s="2">
        <v>1</v>
      </c>
      <c r="CK1388" s="2">
        <v>21</v>
      </c>
      <c r="CL1388" s="2" t="s">
        <v>86</v>
      </c>
      <c r="CM1388" s="2"/>
    </row>
    <row r="1389" spans="1:91">
      <c r="A1389" s="2" t="s">
        <v>71</v>
      </c>
      <c r="B1389" s="2" t="s">
        <v>72</v>
      </c>
      <c r="C1389" s="2" t="s">
        <v>73</v>
      </c>
      <c r="D1389" s="2"/>
      <c r="E1389" s="2" t="str">
        <f>"FES1162541192"</f>
        <v>FES1162541192</v>
      </c>
      <c r="F1389" s="3">
        <v>42828</v>
      </c>
      <c r="G1389" s="2">
        <v>201710</v>
      </c>
      <c r="H1389" s="2" t="s">
        <v>74</v>
      </c>
      <c r="I1389" s="2" t="s">
        <v>75</v>
      </c>
      <c r="J1389" s="2" t="s">
        <v>76</v>
      </c>
      <c r="K1389" s="2" t="s">
        <v>77</v>
      </c>
      <c r="L1389" s="2" t="s">
        <v>180</v>
      </c>
      <c r="M1389" s="2" t="s">
        <v>181</v>
      </c>
      <c r="N1389" s="2" t="s">
        <v>931</v>
      </c>
      <c r="O1389" s="2" t="s">
        <v>115</v>
      </c>
      <c r="P1389" s="2" t="str">
        <f>"2170560105                    "</f>
        <v xml:space="preserve">2170560105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9.9499999999999993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4.0999999999999996</v>
      </c>
      <c r="BJ1389" s="2">
        <v>2</v>
      </c>
      <c r="BK1389" s="2">
        <v>4.5</v>
      </c>
      <c r="BL1389" s="2">
        <v>94.19</v>
      </c>
      <c r="BM1389" s="2">
        <v>13.19</v>
      </c>
      <c r="BN1389" s="2">
        <v>107.38</v>
      </c>
      <c r="BO1389" s="2">
        <v>107.38</v>
      </c>
      <c r="BP1389" s="2"/>
      <c r="BQ1389" s="2" t="s">
        <v>932</v>
      </c>
      <c r="BR1389" s="2" t="s">
        <v>123</v>
      </c>
      <c r="BS1389" s="3">
        <v>42829</v>
      </c>
      <c r="BT1389" s="4">
        <v>0.40625</v>
      </c>
      <c r="BU1389" s="2" t="s">
        <v>1948</v>
      </c>
      <c r="BV1389" s="2" t="s">
        <v>111</v>
      </c>
      <c r="BW1389" s="2"/>
      <c r="BX1389" s="2"/>
      <c r="BY1389" s="2">
        <v>9944.35</v>
      </c>
      <c r="BZ1389" s="2" t="s">
        <v>27</v>
      </c>
      <c r="CA1389" s="2" t="s">
        <v>159</v>
      </c>
      <c r="CB1389" s="2"/>
      <c r="CC1389" s="2" t="s">
        <v>181</v>
      </c>
      <c r="CD1389" s="2">
        <v>4072</v>
      </c>
      <c r="CE1389" s="2" t="s">
        <v>89</v>
      </c>
      <c r="CF1389" s="5">
        <v>42831</v>
      </c>
      <c r="CG1389" s="2"/>
      <c r="CH1389" s="2"/>
      <c r="CI1389" s="2">
        <v>1</v>
      </c>
      <c r="CJ1389" s="2">
        <v>1</v>
      </c>
      <c r="CK1389" s="2">
        <v>21</v>
      </c>
      <c r="CL1389" s="2" t="s">
        <v>86</v>
      </c>
      <c r="CM1389" s="2"/>
    </row>
    <row r="1390" spans="1:91">
      <c r="A1390" s="2" t="s">
        <v>71</v>
      </c>
      <c r="B1390" s="2" t="s">
        <v>72</v>
      </c>
      <c r="C1390" s="2" t="s">
        <v>73</v>
      </c>
      <c r="D1390" s="2"/>
      <c r="E1390" s="2" t="str">
        <f>"FES1162542140"</f>
        <v>FES1162542140</v>
      </c>
      <c r="F1390" s="3">
        <v>42832</v>
      </c>
      <c r="G1390" s="2">
        <v>201710</v>
      </c>
      <c r="H1390" s="2" t="s">
        <v>74</v>
      </c>
      <c r="I1390" s="2" t="s">
        <v>75</v>
      </c>
      <c r="J1390" s="2" t="s">
        <v>76</v>
      </c>
      <c r="K1390" s="2" t="s">
        <v>77</v>
      </c>
      <c r="L1390" s="2" t="s">
        <v>119</v>
      </c>
      <c r="M1390" s="2" t="s">
        <v>120</v>
      </c>
      <c r="N1390" s="2" t="s">
        <v>1767</v>
      </c>
      <c r="O1390" s="2" t="s">
        <v>1014</v>
      </c>
      <c r="P1390" s="2" t="str">
        <f>"2170559948                    "</f>
        <v xml:space="preserve">2170559948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6.73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17</v>
      </c>
      <c r="BJ1390" s="2">
        <v>9.6999999999999993</v>
      </c>
      <c r="BK1390" s="2">
        <v>17</v>
      </c>
      <c r="BL1390" s="2">
        <v>65.5</v>
      </c>
      <c r="BM1390" s="2">
        <v>9.17</v>
      </c>
      <c r="BN1390" s="2">
        <v>74.67</v>
      </c>
      <c r="BO1390" s="2">
        <v>74.67</v>
      </c>
      <c r="BP1390" s="2"/>
      <c r="BQ1390" s="2" t="s">
        <v>122</v>
      </c>
      <c r="BR1390" s="2" t="s">
        <v>123</v>
      </c>
      <c r="BS1390" s="3">
        <v>42835</v>
      </c>
      <c r="BT1390" s="4">
        <v>0.4055555555555555</v>
      </c>
      <c r="BU1390" s="2" t="s">
        <v>1949</v>
      </c>
      <c r="BV1390" s="2" t="s">
        <v>111</v>
      </c>
      <c r="BW1390" s="2"/>
      <c r="BX1390" s="2"/>
      <c r="BY1390" s="2">
        <v>48600</v>
      </c>
      <c r="BZ1390" s="2" t="s">
        <v>27</v>
      </c>
      <c r="CA1390" s="2" t="s">
        <v>1950</v>
      </c>
      <c r="CB1390" s="2"/>
      <c r="CC1390" s="2" t="s">
        <v>120</v>
      </c>
      <c r="CD1390" s="2">
        <v>2163</v>
      </c>
      <c r="CE1390" s="2" t="s">
        <v>172</v>
      </c>
      <c r="CF1390" s="5">
        <v>42836</v>
      </c>
      <c r="CG1390" s="2"/>
      <c r="CH1390" s="2"/>
      <c r="CI1390" s="2">
        <v>1</v>
      </c>
      <c r="CJ1390" s="2">
        <v>1</v>
      </c>
      <c r="CK1390" s="2">
        <v>32</v>
      </c>
      <c r="CL1390" s="2" t="s">
        <v>86</v>
      </c>
      <c r="CM1390" s="2"/>
    </row>
    <row r="1391" spans="1:91">
      <c r="A1391" s="2" t="s">
        <v>71</v>
      </c>
      <c r="B1391" s="2" t="s">
        <v>72</v>
      </c>
      <c r="C1391" s="2" t="s">
        <v>73</v>
      </c>
      <c r="D1391" s="2"/>
      <c r="E1391" s="2" t="str">
        <f>"FES1162541152"</f>
        <v>FES1162541152</v>
      </c>
      <c r="F1391" s="3">
        <v>42828</v>
      </c>
      <c r="G1391" s="2">
        <v>201710</v>
      </c>
      <c r="H1391" s="2" t="s">
        <v>74</v>
      </c>
      <c r="I1391" s="2" t="s">
        <v>75</v>
      </c>
      <c r="J1391" s="2" t="s">
        <v>76</v>
      </c>
      <c r="K1391" s="2" t="s">
        <v>77</v>
      </c>
      <c r="L1391" s="2" t="s">
        <v>401</v>
      </c>
      <c r="M1391" s="2" t="s">
        <v>402</v>
      </c>
      <c r="N1391" s="2" t="s">
        <v>326</v>
      </c>
      <c r="O1391" s="2" t="s">
        <v>115</v>
      </c>
      <c r="P1391" s="2" t="str">
        <f>"2170560239                    "</f>
        <v xml:space="preserve">2170560239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4.42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1</v>
      </c>
      <c r="BJ1391" s="2">
        <v>0.2</v>
      </c>
      <c r="BK1391" s="2">
        <v>1</v>
      </c>
      <c r="BL1391" s="2">
        <v>41.86</v>
      </c>
      <c r="BM1391" s="2">
        <v>5.86</v>
      </c>
      <c r="BN1391" s="2">
        <v>47.72</v>
      </c>
      <c r="BO1391" s="2">
        <v>47.72</v>
      </c>
      <c r="BP1391" s="2"/>
      <c r="BQ1391" s="2" t="s">
        <v>1951</v>
      </c>
      <c r="BR1391" s="2" t="s">
        <v>123</v>
      </c>
      <c r="BS1391" s="3">
        <v>42829</v>
      </c>
      <c r="BT1391" s="4">
        <v>0.4375</v>
      </c>
      <c r="BU1391" s="2" t="s">
        <v>1952</v>
      </c>
      <c r="BV1391" s="2" t="s">
        <v>111</v>
      </c>
      <c r="BW1391" s="2"/>
      <c r="BX1391" s="2"/>
      <c r="BY1391" s="2">
        <v>1200</v>
      </c>
      <c r="BZ1391" s="2" t="s">
        <v>27</v>
      </c>
      <c r="CA1391" s="2"/>
      <c r="CB1391" s="2"/>
      <c r="CC1391" s="2" t="s">
        <v>402</v>
      </c>
      <c r="CD1391" s="2">
        <v>4133</v>
      </c>
      <c r="CE1391" s="2" t="s">
        <v>118</v>
      </c>
      <c r="CF1391" s="5">
        <v>42831</v>
      </c>
      <c r="CG1391" s="2"/>
      <c r="CH1391" s="2"/>
      <c r="CI1391" s="2">
        <v>1</v>
      </c>
      <c r="CJ1391" s="2">
        <v>1</v>
      </c>
      <c r="CK1391" s="2">
        <v>21</v>
      </c>
      <c r="CL1391" s="2" t="s">
        <v>86</v>
      </c>
      <c r="CM1391" s="2"/>
    </row>
    <row r="1392" spans="1:91">
      <c r="A1392" s="2" t="s">
        <v>71</v>
      </c>
      <c r="B1392" s="2" t="s">
        <v>72</v>
      </c>
      <c r="C1392" s="2" t="s">
        <v>73</v>
      </c>
      <c r="D1392" s="2"/>
      <c r="E1392" s="2" t="str">
        <f>"FES1162542598"</f>
        <v>FES1162542598</v>
      </c>
      <c r="F1392" s="3">
        <v>42835</v>
      </c>
      <c r="G1392" s="2">
        <v>201710</v>
      </c>
      <c r="H1392" s="2" t="s">
        <v>74</v>
      </c>
      <c r="I1392" s="2" t="s">
        <v>75</v>
      </c>
      <c r="J1392" s="2" t="s">
        <v>76</v>
      </c>
      <c r="K1392" s="2" t="s">
        <v>77</v>
      </c>
      <c r="L1392" s="2" t="s">
        <v>176</v>
      </c>
      <c r="M1392" s="2" t="s">
        <v>176</v>
      </c>
      <c r="N1392" s="2" t="s">
        <v>1775</v>
      </c>
      <c r="O1392" s="2" t="s">
        <v>115</v>
      </c>
      <c r="P1392" s="2" t="str">
        <f>"2170561451                    "</f>
        <v xml:space="preserve">2170561451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4.29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1.5</v>
      </c>
      <c r="BJ1392" s="2">
        <v>1</v>
      </c>
      <c r="BK1392" s="2">
        <v>1.5</v>
      </c>
      <c r="BL1392" s="2">
        <v>41.73</v>
      </c>
      <c r="BM1392" s="2">
        <v>5.84</v>
      </c>
      <c r="BN1392" s="2">
        <v>47.57</v>
      </c>
      <c r="BO1392" s="2">
        <v>47.57</v>
      </c>
      <c r="BP1392" s="2"/>
      <c r="BQ1392" s="2" t="s">
        <v>122</v>
      </c>
      <c r="BR1392" s="2" t="s">
        <v>123</v>
      </c>
      <c r="BS1392" s="3">
        <v>42836</v>
      </c>
      <c r="BT1392" s="4">
        <v>0.51527777777777783</v>
      </c>
      <c r="BU1392" s="2" t="s">
        <v>1953</v>
      </c>
      <c r="BV1392" s="2" t="s">
        <v>111</v>
      </c>
      <c r="BW1392" s="2"/>
      <c r="BX1392" s="2"/>
      <c r="BY1392" s="2">
        <v>4874.6899999999996</v>
      </c>
      <c r="BZ1392" s="2" t="s">
        <v>27</v>
      </c>
      <c r="CA1392" s="2"/>
      <c r="CB1392" s="2"/>
      <c r="CC1392" s="2" t="s">
        <v>176</v>
      </c>
      <c r="CD1392" s="2">
        <v>7646</v>
      </c>
      <c r="CE1392" s="2" t="s">
        <v>135</v>
      </c>
      <c r="CF1392" s="5">
        <v>42837</v>
      </c>
      <c r="CG1392" s="2"/>
      <c r="CH1392" s="2"/>
      <c r="CI1392" s="2">
        <v>1</v>
      </c>
      <c r="CJ1392" s="2">
        <v>1</v>
      </c>
      <c r="CK1392" s="2">
        <v>21</v>
      </c>
      <c r="CL1392" s="2" t="s">
        <v>86</v>
      </c>
      <c r="CM1392" s="2"/>
    </row>
    <row r="1393" spans="1:91">
      <c r="A1393" s="2" t="s">
        <v>71</v>
      </c>
      <c r="B1393" s="2" t="s">
        <v>72</v>
      </c>
      <c r="C1393" s="2" t="s">
        <v>73</v>
      </c>
      <c r="D1393" s="2"/>
      <c r="E1393" s="2" t="str">
        <f>"FES1162541180"</f>
        <v>FES1162541180</v>
      </c>
      <c r="F1393" s="3">
        <v>42828</v>
      </c>
      <c r="G1393" s="2">
        <v>201710</v>
      </c>
      <c r="H1393" s="2" t="s">
        <v>74</v>
      </c>
      <c r="I1393" s="2" t="s">
        <v>75</v>
      </c>
      <c r="J1393" s="2" t="s">
        <v>76</v>
      </c>
      <c r="K1393" s="2" t="s">
        <v>77</v>
      </c>
      <c r="L1393" s="2" t="s">
        <v>91</v>
      </c>
      <c r="M1393" s="2" t="s">
        <v>92</v>
      </c>
      <c r="N1393" s="2" t="s">
        <v>1954</v>
      </c>
      <c r="O1393" s="2" t="s">
        <v>115</v>
      </c>
      <c r="P1393" s="2" t="str">
        <f>"2170560281                    "</f>
        <v xml:space="preserve">2170560281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3.45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1.8</v>
      </c>
      <c r="BJ1393" s="2">
        <v>3.3</v>
      </c>
      <c r="BK1393" s="2">
        <v>4</v>
      </c>
      <c r="BL1393" s="2">
        <v>32.700000000000003</v>
      </c>
      <c r="BM1393" s="2">
        <v>4.58</v>
      </c>
      <c r="BN1393" s="2">
        <v>37.28</v>
      </c>
      <c r="BO1393" s="2">
        <v>37.28</v>
      </c>
      <c r="BP1393" s="2"/>
      <c r="BQ1393" s="2" t="s">
        <v>1955</v>
      </c>
      <c r="BR1393" s="2" t="s">
        <v>123</v>
      </c>
      <c r="BS1393" s="3">
        <v>42829</v>
      </c>
      <c r="BT1393" s="4">
        <v>0.40138888888888885</v>
      </c>
      <c r="BU1393" s="2" t="s">
        <v>1956</v>
      </c>
      <c r="BV1393" s="2" t="s">
        <v>111</v>
      </c>
      <c r="BW1393" s="2"/>
      <c r="BX1393" s="2"/>
      <c r="BY1393" s="2">
        <v>16357.11</v>
      </c>
      <c r="BZ1393" s="2" t="s">
        <v>27</v>
      </c>
      <c r="CA1393" s="2" t="s">
        <v>1687</v>
      </c>
      <c r="CB1393" s="2"/>
      <c r="CC1393" s="2" t="s">
        <v>92</v>
      </c>
      <c r="CD1393" s="2">
        <v>1401</v>
      </c>
      <c r="CE1393" s="2" t="s">
        <v>89</v>
      </c>
      <c r="CF1393" s="5">
        <v>42829</v>
      </c>
      <c r="CG1393" s="2"/>
      <c r="CH1393" s="2"/>
      <c r="CI1393" s="2">
        <v>1</v>
      </c>
      <c r="CJ1393" s="2">
        <v>1</v>
      </c>
      <c r="CK1393" s="2">
        <v>22</v>
      </c>
      <c r="CL1393" s="2" t="s">
        <v>86</v>
      </c>
      <c r="CM1393" s="2"/>
    </row>
    <row r="1394" spans="1:91">
      <c r="A1394" s="2" t="s">
        <v>71</v>
      </c>
      <c r="B1394" s="2" t="s">
        <v>72</v>
      </c>
      <c r="C1394" s="2" t="s">
        <v>73</v>
      </c>
      <c r="D1394" s="2"/>
      <c r="E1394" s="2" t="str">
        <f>"FES1162542422"</f>
        <v>FES1162542422</v>
      </c>
      <c r="F1394" s="3">
        <v>42832</v>
      </c>
      <c r="G1394" s="2">
        <v>201710</v>
      </c>
      <c r="H1394" s="2" t="s">
        <v>74</v>
      </c>
      <c r="I1394" s="2" t="s">
        <v>75</v>
      </c>
      <c r="J1394" s="2" t="s">
        <v>76</v>
      </c>
      <c r="K1394" s="2" t="s">
        <v>77</v>
      </c>
      <c r="L1394" s="2" t="s">
        <v>294</v>
      </c>
      <c r="M1394" s="2" t="s">
        <v>295</v>
      </c>
      <c r="N1394" s="2" t="s">
        <v>1015</v>
      </c>
      <c r="O1394" s="2" t="s">
        <v>115</v>
      </c>
      <c r="P1394" s="2" t="str">
        <f>"2170561311                    "</f>
        <v xml:space="preserve">2170561311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4.29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</v>
      </c>
      <c r="BJ1394" s="2">
        <v>0.2</v>
      </c>
      <c r="BK1394" s="2">
        <v>1</v>
      </c>
      <c r="BL1394" s="2">
        <v>41.73</v>
      </c>
      <c r="BM1394" s="2">
        <v>5.84</v>
      </c>
      <c r="BN1394" s="2">
        <v>47.57</v>
      </c>
      <c r="BO1394" s="2">
        <v>47.57</v>
      </c>
      <c r="BP1394" s="2"/>
      <c r="BQ1394" s="2" t="s">
        <v>821</v>
      </c>
      <c r="BR1394" s="2" t="s">
        <v>123</v>
      </c>
      <c r="BS1394" s="3">
        <v>42835</v>
      </c>
      <c r="BT1394" s="4">
        <v>0.4375</v>
      </c>
      <c r="BU1394" s="2" t="s">
        <v>1957</v>
      </c>
      <c r="BV1394" s="2" t="s">
        <v>111</v>
      </c>
      <c r="BW1394" s="2"/>
      <c r="BX1394" s="2"/>
      <c r="BY1394" s="2">
        <v>1200</v>
      </c>
      <c r="BZ1394" s="2" t="s">
        <v>27</v>
      </c>
      <c r="CA1394" s="2" t="s">
        <v>159</v>
      </c>
      <c r="CB1394" s="2"/>
      <c r="CC1394" s="2" t="s">
        <v>295</v>
      </c>
      <c r="CD1394" s="2">
        <v>3610</v>
      </c>
      <c r="CE1394" s="2" t="s">
        <v>144</v>
      </c>
      <c r="CF1394" s="5">
        <v>42836</v>
      </c>
      <c r="CG1394" s="2"/>
      <c r="CH1394" s="2"/>
      <c r="CI1394" s="2">
        <v>1</v>
      </c>
      <c r="CJ1394" s="2">
        <v>1</v>
      </c>
      <c r="CK1394" s="2">
        <v>21</v>
      </c>
      <c r="CL1394" s="2" t="s">
        <v>86</v>
      </c>
      <c r="CM1394" s="2"/>
    </row>
    <row r="1395" spans="1:91">
      <c r="A1395" s="2" t="s">
        <v>71</v>
      </c>
      <c r="B1395" s="2" t="s">
        <v>72</v>
      </c>
      <c r="C1395" s="2" t="s">
        <v>73</v>
      </c>
      <c r="D1395" s="2"/>
      <c r="E1395" s="2" t="str">
        <f>"FES1162542510"</f>
        <v>FES1162542510</v>
      </c>
      <c r="F1395" s="3">
        <v>42835</v>
      </c>
      <c r="G1395" s="2">
        <v>201710</v>
      </c>
      <c r="H1395" s="2" t="s">
        <v>74</v>
      </c>
      <c r="I1395" s="2" t="s">
        <v>75</v>
      </c>
      <c r="J1395" s="2" t="s">
        <v>76</v>
      </c>
      <c r="K1395" s="2" t="s">
        <v>77</v>
      </c>
      <c r="L1395" s="2" t="s">
        <v>99</v>
      </c>
      <c r="M1395" s="2" t="s">
        <v>100</v>
      </c>
      <c r="N1395" s="2" t="s">
        <v>1057</v>
      </c>
      <c r="O1395" s="2" t="s">
        <v>115</v>
      </c>
      <c r="P1395" s="2" t="str">
        <f>"2170561085                    "</f>
        <v xml:space="preserve">2170561085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20.36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7</v>
      </c>
      <c r="BJ1395" s="2">
        <v>9.1</v>
      </c>
      <c r="BK1395" s="2">
        <v>9.5</v>
      </c>
      <c r="BL1395" s="2">
        <v>198.2</v>
      </c>
      <c r="BM1395" s="2">
        <v>27.75</v>
      </c>
      <c r="BN1395" s="2">
        <v>225.95</v>
      </c>
      <c r="BO1395" s="2">
        <v>225.95</v>
      </c>
      <c r="BP1395" s="2"/>
      <c r="BQ1395" s="2" t="s">
        <v>1058</v>
      </c>
      <c r="BR1395" s="2" t="s">
        <v>123</v>
      </c>
      <c r="BS1395" s="3">
        <v>42836</v>
      </c>
      <c r="BT1395" s="4">
        <v>0.33611111111111108</v>
      </c>
      <c r="BU1395" s="2" t="s">
        <v>1223</v>
      </c>
      <c r="BV1395" s="2" t="s">
        <v>111</v>
      </c>
      <c r="BW1395" s="2"/>
      <c r="BX1395" s="2"/>
      <c r="BY1395" s="2">
        <v>45510.07</v>
      </c>
      <c r="BZ1395" s="2" t="s">
        <v>27</v>
      </c>
      <c r="CA1395" s="2" t="s">
        <v>154</v>
      </c>
      <c r="CB1395" s="2"/>
      <c r="CC1395" s="2" t="s">
        <v>100</v>
      </c>
      <c r="CD1395" s="2">
        <v>6001</v>
      </c>
      <c r="CE1395" s="2" t="s">
        <v>135</v>
      </c>
      <c r="CF1395" s="5">
        <v>42836</v>
      </c>
      <c r="CG1395" s="2"/>
      <c r="CH1395" s="2"/>
      <c r="CI1395" s="2">
        <v>1</v>
      </c>
      <c r="CJ1395" s="2">
        <v>1</v>
      </c>
      <c r="CK1395" s="2">
        <v>21</v>
      </c>
      <c r="CL1395" s="2" t="s">
        <v>86</v>
      </c>
      <c r="CM1395" s="2"/>
    </row>
    <row r="1396" spans="1:91">
      <c r="A1396" s="2" t="s">
        <v>71</v>
      </c>
      <c r="B1396" s="2" t="s">
        <v>72</v>
      </c>
      <c r="C1396" s="2" t="s">
        <v>73</v>
      </c>
      <c r="D1396" s="2"/>
      <c r="E1396" s="2" t="str">
        <f>"FES1162541129"</f>
        <v>FES1162541129</v>
      </c>
      <c r="F1396" s="3">
        <v>42828</v>
      </c>
      <c r="G1396" s="2">
        <v>201710</v>
      </c>
      <c r="H1396" s="2" t="s">
        <v>74</v>
      </c>
      <c r="I1396" s="2" t="s">
        <v>75</v>
      </c>
      <c r="J1396" s="2" t="s">
        <v>76</v>
      </c>
      <c r="K1396" s="2" t="s">
        <v>77</v>
      </c>
      <c r="L1396" s="2" t="s">
        <v>234</v>
      </c>
      <c r="M1396" s="2" t="s">
        <v>235</v>
      </c>
      <c r="N1396" s="2" t="s">
        <v>236</v>
      </c>
      <c r="O1396" s="2" t="s">
        <v>115</v>
      </c>
      <c r="P1396" s="2" t="str">
        <f>"2170559925                    "</f>
        <v xml:space="preserve">2170559925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4.42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2</v>
      </c>
      <c r="BJ1396" s="2">
        <v>1.1000000000000001</v>
      </c>
      <c r="BK1396" s="2">
        <v>2</v>
      </c>
      <c r="BL1396" s="2">
        <v>41.86</v>
      </c>
      <c r="BM1396" s="2">
        <v>5.86</v>
      </c>
      <c r="BN1396" s="2">
        <v>47.72</v>
      </c>
      <c r="BO1396" s="2">
        <v>47.72</v>
      </c>
      <c r="BP1396" s="2"/>
      <c r="BQ1396" s="2" t="s">
        <v>285</v>
      </c>
      <c r="BR1396" s="2" t="s">
        <v>123</v>
      </c>
      <c r="BS1396" s="3">
        <v>42829</v>
      </c>
      <c r="BT1396" s="4">
        <v>0.31944444444444448</v>
      </c>
      <c r="BU1396" s="2" t="s">
        <v>713</v>
      </c>
      <c r="BV1396" s="2" t="s">
        <v>111</v>
      </c>
      <c r="BW1396" s="2"/>
      <c r="BX1396" s="2"/>
      <c r="BY1396" s="2">
        <v>5320</v>
      </c>
      <c r="BZ1396" s="2" t="s">
        <v>27</v>
      </c>
      <c r="CA1396" s="2" t="s">
        <v>1958</v>
      </c>
      <c r="CB1396" s="2"/>
      <c r="CC1396" s="2" t="s">
        <v>235</v>
      </c>
      <c r="CD1396" s="2">
        <v>6220</v>
      </c>
      <c r="CE1396" s="2" t="s">
        <v>89</v>
      </c>
      <c r="CF1396" s="5">
        <v>42829</v>
      </c>
      <c r="CG1396" s="2"/>
      <c r="CH1396" s="2"/>
      <c r="CI1396" s="2">
        <v>1</v>
      </c>
      <c r="CJ1396" s="2">
        <v>1</v>
      </c>
      <c r="CK1396" s="2">
        <v>21</v>
      </c>
      <c r="CL1396" s="2" t="s">
        <v>86</v>
      </c>
      <c r="CM1396" s="2"/>
    </row>
    <row r="1397" spans="1:91">
      <c r="A1397" s="2" t="s">
        <v>71</v>
      </c>
      <c r="B1397" s="2" t="s">
        <v>72</v>
      </c>
      <c r="C1397" s="2" t="s">
        <v>73</v>
      </c>
      <c r="D1397" s="2"/>
      <c r="E1397" s="2" t="str">
        <f>"FES1162542423"</f>
        <v>FES1162542423</v>
      </c>
      <c r="F1397" s="3">
        <v>42832</v>
      </c>
      <c r="G1397" s="2">
        <v>201710</v>
      </c>
      <c r="H1397" s="2" t="s">
        <v>74</v>
      </c>
      <c r="I1397" s="2" t="s">
        <v>75</v>
      </c>
      <c r="J1397" s="2" t="s">
        <v>76</v>
      </c>
      <c r="K1397" s="2" t="s">
        <v>77</v>
      </c>
      <c r="L1397" s="2" t="s">
        <v>112</v>
      </c>
      <c r="M1397" s="2" t="s">
        <v>113</v>
      </c>
      <c r="N1397" s="2" t="s">
        <v>1141</v>
      </c>
      <c r="O1397" s="2" t="s">
        <v>115</v>
      </c>
      <c r="P1397" s="2" t="str">
        <f>"2170561312                    "</f>
        <v xml:space="preserve">2170561312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4.29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1</v>
      </c>
      <c r="BJ1397" s="2">
        <v>0.2</v>
      </c>
      <c r="BK1397" s="2">
        <v>1</v>
      </c>
      <c r="BL1397" s="2">
        <v>41.73</v>
      </c>
      <c r="BM1397" s="2">
        <v>5.84</v>
      </c>
      <c r="BN1397" s="2">
        <v>47.57</v>
      </c>
      <c r="BO1397" s="2">
        <v>47.57</v>
      </c>
      <c r="BP1397" s="2"/>
      <c r="BQ1397" s="2" t="s">
        <v>1142</v>
      </c>
      <c r="BR1397" s="2" t="s">
        <v>123</v>
      </c>
      <c r="BS1397" s="3">
        <v>42835</v>
      </c>
      <c r="BT1397" s="4">
        <v>0.34166666666666662</v>
      </c>
      <c r="BU1397" s="2" t="s">
        <v>1959</v>
      </c>
      <c r="BV1397" s="2" t="s">
        <v>111</v>
      </c>
      <c r="BW1397" s="2"/>
      <c r="BX1397" s="2"/>
      <c r="BY1397" s="2">
        <v>1200</v>
      </c>
      <c r="BZ1397" s="2" t="s">
        <v>27</v>
      </c>
      <c r="CA1397" s="2" t="s">
        <v>159</v>
      </c>
      <c r="CB1397" s="2"/>
      <c r="CC1397" s="2" t="s">
        <v>113</v>
      </c>
      <c r="CD1397" s="2">
        <v>3201</v>
      </c>
      <c r="CE1397" s="2" t="s">
        <v>144</v>
      </c>
      <c r="CF1397" s="5">
        <v>42836</v>
      </c>
      <c r="CG1397" s="2"/>
      <c r="CH1397" s="2"/>
      <c r="CI1397" s="2">
        <v>1</v>
      </c>
      <c r="CJ1397" s="2">
        <v>1</v>
      </c>
      <c r="CK1397" s="2">
        <v>21</v>
      </c>
      <c r="CL1397" s="2" t="s">
        <v>86</v>
      </c>
      <c r="CM1397" s="2"/>
    </row>
    <row r="1398" spans="1:91">
      <c r="A1398" s="2" t="s">
        <v>71</v>
      </c>
      <c r="B1398" s="2" t="s">
        <v>72</v>
      </c>
      <c r="C1398" s="2" t="s">
        <v>73</v>
      </c>
      <c r="D1398" s="2"/>
      <c r="E1398" s="2" t="str">
        <f>"FES1162541176"</f>
        <v>FES1162541176</v>
      </c>
      <c r="F1398" s="3">
        <v>42828</v>
      </c>
      <c r="G1398" s="2">
        <v>201710</v>
      </c>
      <c r="H1398" s="2" t="s">
        <v>74</v>
      </c>
      <c r="I1398" s="2" t="s">
        <v>75</v>
      </c>
      <c r="J1398" s="2" t="s">
        <v>76</v>
      </c>
      <c r="K1398" s="2" t="s">
        <v>77</v>
      </c>
      <c r="L1398" s="2" t="s">
        <v>131</v>
      </c>
      <c r="M1398" s="2" t="s">
        <v>132</v>
      </c>
      <c r="N1398" s="2" t="s">
        <v>1765</v>
      </c>
      <c r="O1398" s="2" t="s">
        <v>115</v>
      </c>
      <c r="P1398" s="2" t="str">
        <f>"2170560273                    "</f>
        <v xml:space="preserve">2170560273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4.42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1</v>
      </c>
      <c r="BJ1398" s="2">
        <v>0.2</v>
      </c>
      <c r="BK1398" s="2">
        <v>1</v>
      </c>
      <c r="BL1398" s="2">
        <v>41.86</v>
      </c>
      <c r="BM1398" s="2">
        <v>5.86</v>
      </c>
      <c r="BN1398" s="2">
        <v>47.72</v>
      </c>
      <c r="BO1398" s="2">
        <v>47.72</v>
      </c>
      <c r="BP1398" s="2"/>
      <c r="BQ1398" s="2" t="s">
        <v>1766</v>
      </c>
      <c r="BR1398" s="2" t="s">
        <v>123</v>
      </c>
      <c r="BS1398" s="3">
        <v>42829</v>
      </c>
      <c r="BT1398" s="4">
        <v>0.46180555555555558</v>
      </c>
      <c r="BU1398" s="2" t="s">
        <v>915</v>
      </c>
      <c r="BV1398" s="2" t="s">
        <v>86</v>
      </c>
      <c r="BW1398" s="2" t="s">
        <v>157</v>
      </c>
      <c r="BX1398" s="2" t="s">
        <v>1537</v>
      </c>
      <c r="BY1398" s="2">
        <v>1200</v>
      </c>
      <c r="BZ1398" s="2" t="s">
        <v>27</v>
      </c>
      <c r="CA1398" s="2"/>
      <c r="CB1398" s="2"/>
      <c r="CC1398" s="2" t="s">
        <v>132</v>
      </c>
      <c r="CD1398" s="2">
        <v>8000</v>
      </c>
      <c r="CE1398" s="2" t="s">
        <v>118</v>
      </c>
      <c r="CF1398" s="5">
        <v>42830</v>
      </c>
      <c r="CG1398" s="2"/>
      <c r="CH1398" s="2"/>
      <c r="CI1398" s="2">
        <v>1</v>
      </c>
      <c r="CJ1398" s="2">
        <v>1</v>
      </c>
      <c r="CK1398" s="2">
        <v>21</v>
      </c>
      <c r="CL1398" s="2" t="s">
        <v>86</v>
      </c>
      <c r="CM1398" s="2"/>
    </row>
    <row r="1399" spans="1:91">
      <c r="A1399" s="2" t="s">
        <v>71</v>
      </c>
      <c r="B1399" s="2" t="s">
        <v>72</v>
      </c>
      <c r="C1399" s="2" t="s">
        <v>73</v>
      </c>
      <c r="D1399" s="2"/>
      <c r="E1399" s="2" t="str">
        <f>"FES1162541164"</f>
        <v>FES1162541164</v>
      </c>
      <c r="F1399" s="3">
        <v>42828</v>
      </c>
      <c r="G1399" s="2">
        <v>201710</v>
      </c>
      <c r="H1399" s="2" t="s">
        <v>74</v>
      </c>
      <c r="I1399" s="2" t="s">
        <v>75</v>
      </c>
      <c r="J1399" s="2" t="s">
        <v>76</v>
      </c>
      <c r="K1399" s="2" t="s">
        <v>77</v>
      </c>
      <c r="L1399" s="2" t="s">
        <v>176</v>
      </c>
      <c r="M1399" s="2" t="s">
        <v>176</v>
      </c>
      <c r="N1399" s="2" t="s">
        <v>460</v>
      </c>
      <c r="O1399" s="2" t="s">
        <v>115</v>
      </c>
      <c r="P1399" s="2" t="str">
        <f>"2170560258                    "</f>
        <v xml:space="preserve">2170560258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4.42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1</v>
      </c>
      <c r="BJ1399" s="2">
        <v>0.2</v>
      </c>
      <c r="BK1399" s="2">
        <v>1</v>
      </c>
      <c r="BL1399" s="2">
        <v>41.86</v>
      </c>
      <c r="BM1399" s="2">
        <v>5.86</v>
      </c>
      <c r="BN1399" s="2">
        <v>47.72</v>
      </c>
      <c r="BO1399" s="2">
        <v>47.72</v>
      </c>
      <c r="BP1399" s="2"/>
      <c r="BQ1399" s="2" t="s">
        <v>461</v>
      </c>
      <c r="BR1399" s="2" t="s">
        <v>123</v>
      </c>
      <c r="BS1399" s="3">
        <v>42829</v>
      </c>
      <c r="BT1399" s="4">
        <v>0.54861111111111105</v>
      </c>
      <c r="BU1399" s="2" t="s">
        <v>1819</v>
      </c>
      <c r="BV1399" s="2" t="s">
        <v>111</v>
      </c>
      <c r="BW1399" s="2"/>
      <c r="BX1399" s="2"/>
      <c r="BY1399" s="2">
        <v>1200</v>
      </c>
      <c r="BZ1399" s="2" t="s">
        <v>27</v>
      </c>
      <c r="CA1399" s="2"/>
      <c r="CB1399" s="2"/>
      <c r="CC1399" s="2" t="s">
        <v>176</v>
      </c>
      <c r="CD1399" s="2">
        <v>7646</v>
      </c>
      <c r="CE1399" s="2" t="s">
        <v>118</v>
      </c>
      <c r="CF1399" s="5">
        <v>42830</v>
      </c>
      <c r="CG1399" s="2"/>
      <c r="CH1399" s="2"/>
      <c r="CI1399" s="2">
        <v>1</v>
      </c>
      <c r="CJ1399" s="2">
        <v>1</v>
      </c>
      <c r="CK1399" s="2">
        <v>21</v>
      </c>
      <c r="CL1399" s="2" t="s">
        <v>86</v>
      </c>
      <c r="CM1399" s="2"/>
    </row>
    <row r="1400" spans="1:91">
      <c r="A1400" s="2" t="s">
        <v>71</v>
      </c>
      <c r="B1400" s="2" t="s">
        <v>72</v>
      </c>
      <c r="C1400" s="2" t="s">
        <v>73</v>
      </c>
      <c r="D1400" s="2"/>
      <c r="E1400" s="2" t="str">
        <f>"FES1162542407"</f>
        <v>FES1162542407</v>
      </c>
      <c r="F1400" s="3">
        <v>42832</v>
      </c>
      <c r="G1400" s="2">
        <v>201710</v>
      </c>
      <c r="H1400" s="2" t="s">
        <v>74</v>
      </c>
      <c r="I1400" s="2" t="s">
        <v>75</v>
      </c>
      <c r="J1400" s="2" t="s">
        <v>76</v>
      </c>
      <c r="K1400" s="2" t="s">
        <v>77</v>
      </c>
      <c r="L1400" s="2" t="s">
        <v>294</v>
      </c>
      <c r="M1400" s="2" t="s">
        <v>295</v>
      </c>
      <c r="N1400" s="2" t="s">
        <v>1960</v>
      </c>
      <c r="O1400" s="2" t="s">
        <v>115</v>
      </c>
      <c r="P1400" s="2" t="str">
        <f>"2170561295                    "</f>
        <v xml:space="preserve">2170561295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4.29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1.2</v>
      </c>
      <c r="BJ1400" s="2">
        <v>0.2</v>
      </c>
      <c r="BK1400" s="2">
        <v>1.5</v>
      </c>
      <c r="BL1400" s="2">
        <v>41.73</v>
      </c>
      <c r="BM1400" s="2">
        <v>5.84</v>
      </c>
      <c r="BN1400" s="2">
        <v>47.57</v>
      </c>
      <c r="BO1400" s="2">
        <v>47.57</v>
      </c>
      <c r="BP1400" s="2"/>
      <c r="BQ1400" s="2" t="s">
        <v>116</v>
      </c>
      <c r="BR1400" s="2" t="s">
        <v>123</v>
      </c>
      <c r="BS1400" s="3">
        <v>42835</v>
      </c>
      <c r="BT1400" s="4">
        <v>0.4375</v>
      </c>
      <c r="BU1400" s="2" t="s">
        <v>1961</v>
      </c>
      <c r="BV1400" s="2" t="s">
        <v>111</v>
      </c>
      <c r="BW1400" s="2"/>
      <c r="BX1400" s="2"/>
      <c r="BY1400" s="2">
        <v>1200</v>
      </c>
      <c r="BZ1400" s="2" t="s">
        <v>27</v>
      </c>
      <c r="CA1400" s="2" t="s">
        <v>159</v>
      </c>
      <c r="CB1400" s="2"/>
      <c r="CC1400" s="2" t="s">
        <v>295</v>
      </c>
      <c r="CD1400" s="2">
        <v>3610</v>
      </c>
      <c r="CE1400" s="2" t="s">
        <v>144</v>
      </c>
      <c r="CF1400" s="5">
        <v>42836</v>
      </c>
      <c r="CG1400" s="2"/>
      <c r="CH1400" s="2"/>
      <c r="CI1400" s="2">
        <v>1</v>
      </c>
      <c r="CJ1400" s="2">
        <v>1</v>
      </c>
      <c r="CK1400" s="2">
        <v>21</v>
      </c>
      <c r="CL1400" s="2" t="s">
        <v>86</v>
      </c>
      <c r="CM1400" s="2"/>
    </row>
    <row r="1401" spans="1:91">
      <c r="A1401" s="2" t="s">
        <v>71</v>
      </c>
      <c r="B1401" s="2" t="s">
        <v>72</v>
      </c>
      <c r="C1401" s="2" t="s">
        <v>73</v>
      </c>
      <c r="D1401" s="2"/>
      <c r="E1401" s="2" t="str">
        <f>"FES1162541156"</f>
        <v>FES1162541156</v>
      </c>
      <c r="F1401" s="3">
        <v>42828</v>
      </c>
      <c r="G1401" s="2">
        <v>201710</v>
      </c>
      <c r="H1401" s="2" t="s">
        <v>74</v>
      </c>
      <c r="I1401" s="2" t="s">
        <v>75</v>
      </c>
      <c r="J1401" s="2" t="s">
        <v>76</v>
      </c>
      <c r="K1401" s="2" t="s">
        <v>77</v>
      </c>
      <c r="L1401" s="2" t="s">
        <v>166</v>
      </c>
      <c r="M1401" s="2" t="s">
        <v>167</v>
      </c>
      <c r="N1401" s="2" t="s">
        <v>1962</v>
      </c>
      <c r="O1401" s="2" t="s">
        <v>115</v>
      </c>
      <c r="P1401" s="2" t="str">
        <f>"2170560246                    "</f>
        <v xml:space="preserve">2170560246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3.45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1</v>
      </c>
      <c r="BJ1401" s="2">
        <v>0.2</v>
      </c>
      <c r="BK1401" s="2">
        <v>1</v>
      </c>
      <c r="BL1401" s="2">
        <v>32.700000000000003</v>
      </c>
      <c r="BM1401" s="2">
        <v>4.58</v>
      </c>
      <c r="BN1401" s="2">
        <v>37.28</v>
      </c>
      <c r="BO1401" s="2">
        <v>37.28</v>
      </c>
      <c r="BP1401" s="2"/>
      <c r="BQ1401" s="2" t="s">
        <v>1963</v>
      </c>
      <c r="BR1401" s="2" t="s">
        <v>123</v>
      </c>
      <c r="BS1401" s="3">
        <v>42829</v>
      </c>
      <c r="BT1401" s="4">
        <v>0.36736111111111108</v>
      </c>
      <c r="BU1401" s="2" t="s">
        <v>198</v>
      </c>
      <c r="BV1401" s="2" t="s">
        <v>111</v>
      </c>
      <c r="BW1401" s="2"/>
      <c r="BX1401" s="2"/>
      <c r="BY1401" s="2">
        <v>1200</v>
      </c>
      <c r="BZ1401" s="2" t="s">
        <v>27</v>
      </c>
      <c r="CA1401" s="2"/>
      <c r="CB1401" s="2"/>
      <c r="CC1401" s="2" t="s">
        <v>167</v>
      </c>
      <c r="CD1401" s="2">
        <v>2001</v>
      </c>
      <c r="CE1401" s="2" t="s">
        <v>118</v>
      </c>
      <c r="CF1401" s="5">
        <v>42831</v>
      </c>
      <c r="CG1401" s="2"/>
      <c r="CH1401" s="2"/>
      <c r="CI1401" s="2">
        <v>1</v>
      </c>
      <c r="CJ1401" s="2">
        <v>1</v>
      </c>
      <c r="CK1401" s="2">
        <v>22</v>
      </c>
      <c r="CL1401" s="2" t="s">
        <v>86</v>
      </c>
      <c r="CM1401" s="2"/>
    </row>
    <row r="1402" spans="1:91">
      <c r="A1402" s="2" t="s">
        <v>71</v>
      </c>
      <c r="B1402" s="2" t="s">
        <v>72</v>
      </c>
      <c r="C1402" s="2" t="s">
        <v>73</v>
      </c>
      <c r="D1402" s="2"/>
      <c r="E1402" s="2" t="str">
        <f>"FES1162542594"</f>
        <v>FES1162542594</v>
      </c>
      <c r="F1402" s="3">
        <v>42835</v>
      </c>
      <c r="G1402" s="2">
        <v>201710</v>
      </c>
      <c r="H1402" s="2" t="s">
        <v>74</v>
      </c>
      <c r="I1402" s="2" t="s">
        <v>75</v>
      </c>
      <c r="J1402" s="2" t="s">
        <v>76</v>
      </c>
      <c r="K1402" s="2" t="s">
        <v>77</v>
      </c>
      <c r="L1402" s="2" t="s">
        <v>609</v>
      </c>
      <c r="M1402" s="2" t="s">
        <v>610</v>
      </c>
      <c r="N1402" s="2" t="s">
        <v>982</v>
      </c>
      <c r="O1402" s="2" t="s">
        <v>115</v>
      </c>
      <c r="P1402" s="2" t="str">
        <f>"2170561447                    "</f>
        <v xml:space="preserve">2170561447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4.29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</v>
      </c>
      <c r="BJ1402" s="2">
        <v>0.2</v>
      </c>
      <c r="BK1402" s="2">
        <v>1</v>
      </c>
      <c r="BL1402" s="2">
        <v>41.73</v>
      </c>
      <c r="BM1402" s="2">
        <v>5.84</v>
      </c>
      <c r="BN1402" s="2">
        <v>47.57</v>
      </c>
      <c r="BO1402" s="2">
        <v>47.57</v>
      </c>
      <c r="BP1402" s="2"/>
      <c r="BQ1402" s="2" t="s">
        <v>129</v>
      </c>
      <c r="BR1402" s="2" t="s">
        <v>123</v>
      </c>
      <c r="BS1402" s="3">
        <v>42836</v>
      </c>
      <c r="BT1402" s="4">
        <v>0.58333333333333337</v>
      </c>
      <c r="BU1402" s="2" t="s">
        <v>983</v>
      </c>
      <c r="BV1402" s="2" t="s">
        <v>86</v>
      </c>
      <c r="BW1402" s="2"/>
      <c r="BX1402" s="2"/>
      <c r="BY1402" s="2">
        <v>1200</v>
      </c>
      <c r="BZ1402" s="2" t="s">
        <v>27</v>
      </c>
      <c r="CA1402" s="2"/>
      <c r="CB1402" s="2"/>
      <c r="CC1402" s="2" t="s">
        <v>610</v>
      </c>
      <c r="CD1402" s="2">
        <v>1911</v>
      </c>
      <c r="CE1402" s="2" t="s">
        <v>144</v>
      </c>
      <c r="CF1402" s="5">
        <v>42837</v>
      </c>
      <c r="CG1402" s="2"/>
      <c r="CH1402" s="2"/>
      <c r="CI1402" s="2">
        <v>1</v>
      </c>
      <c r="CJ1402" s="2">
        <v>1</v>
      </c>
      <c r="CK1402" s="2">
        <v>21</v>
      </c>
      <c r="CL1402" s="2" t="s">
        <v>86</v>
      </c>
      <c r="CM1402" s="2"/>
    </row>
    <row r="1403" spans="1:91">
      <c r="A1403" s="2" t="s">
        <v>71</v>
      </c>
      <c r="B1403" s="2" t="s">
        <v>72</v>
      </c>
      <c r="C1403" s="2" t="s">
        <v>73</v>
      </c>
      <c r="D1403" s="2"/>
      <c r="E1403" s="2" t="str">
        <f>"FES1162541190"</f>
        <v>FES1162541190</v>
      </c>
      <c r="F1403" s="3">
        <v>42828</v>
      </c>
      <c r="G1403" s="2">
        <v>201710</v>
      </c>
      <c r="H1403" s="2" t="s">
        <v>74</v>
      </c>
      <c r="I1403" s="2" t="s">
        <v>75</v>
      </c>
      <c r="J1403" s="2" t="s">
        <v>76</v>
      </c>
      <c r="K1403" s="2" t="s">
        <v>77</v>
      </c>
      <c r="L1403" s="2" t="s">
        <v>131</v>
      </c>
      <c r="M1403" s="2" t="s">
        <v>132</v>
      </c>
      <c r="N1403" s="2" t="s">
        <v>858</v>
      </c>
      <c r="O1403" s="2" t="s">
        <v>115</v>
      </c>
      <c r="P1403" s="2" t="str">
        <f>"2170559955                    "</f>
        <v xml:space="preserve">2170559955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4.42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2</v>
      </c>
      <c r="BJ1403" s="2">
        <v>1.1000000000000001</v>
      </c>
      <c r="BK1403" s="2">
        <v>2</v>
      </c>
      <c r="BL1403" s="2">
        <v>41.86</v>
      </c>
      <c r="BM1403" s="2">
        <v>5.86</v>
      </c>
      <c r="BN1403" s="2">
        <v>47.72</v>
      </c>
      <c r="BO1403" s="2">
        <v>47.72</v>
      </c>
      <c r="BP1403" s="2"/>
      <c r="BQ1403" s="2" t="s">
        <v>617</v>
      </c>
      <c r="BR1403" s="2" t="s">
        <v>123</v>
      </c>
      <c r="BS1403" s="3">
        <v>42829</v>
      </c>
      <c r="BT1403" s="4">
        <v>0.51041666666666663</v>
      </c>
      <c r="BU1403" s="2" t="s">
        <v>1780</v>
      </c>
      <c r="BV1403" s="2" t="s">
        <v>86</v>
      </c>
      <c r="BW1403" s="2" t="s">
        <v>164</v>
      </c>
      <c r="BX1403" s="2" t="s">
        <v>1370</v>
      </c>
      <c r="BY1403" s="2">
        <v>5320</v>
      </c>
      <c r="BZ1403" s="2" t="s">
        <v>27</v>
      </c>
      <c r="CA1403" s="2"/>
      <c r="CB1403" s="2"/>
      <c r="CC1403" s="2" t="s">
        <v>132</v>
      </c>
      <c r="CD1403" s="2">
        <v>7580</v>
      </c>
      <c r="CE1403" s="2" t="s">
        <v>89</v>
      </c>
      <c r="CF1403" s="5">
        <v>42830</v>
      </c>
      <c r="CG1403" s="2"/>
      <c r="CH1403" s="2"/>
      <c r="CI1403" s="2">
        <v>1</v>
      </c>
      <c r="CJ1403" s="2">
        <v>1</v>
      </c>
      <c r="CK1403" s="2">
        <v>21</v>
      </c>
      <c r="CL1403" s="2" t="s">
        <v>86</v>
      </c>
      <c r="CM1403" s="2"/>
    </row>
    <row r="1404" spans="1:91">
      <c r="A1404" s="2" t="s">
        <v>71</v>
      </c>
      <c r="B1404" s="2" t="s">
        <v>72</v>
      </c>
      <c r="C1404" s="2" t="s">
        <v>73</v>
      </c>
      <c r="D1404" s="2"/>
      <c r="E1404" s="2" t="str">
        <f>"FES1162542420"</f>
        <v>FES1162542420</v>
      </c>
      <c r="F1404" s="3">
        <v>42832</v>
      </c>
      <c r="G1404" s="2">
        <v>201710</v>
      </c>
      <c r="H1404" s="2" t="s">
        <v>74</v>
      </c>
      <c r="I1404" s="2" t="s">
        <v>75</v>
      </c>
      <c r="J1404" s="2" t="s">
        <v>76</v>
      </c>
      <c r="K1404" s="2" t="s">
        <v>77</v>
      </c>
      <c r="L1404" s="2" t="s">
        <v>900</v>
      </c>
      <c r="M1404" s="2" t="s">
        <v>901</v>
      </c>
      <c r="N1404" s="2" t="s">
        <v>902</v>
      </c>
      <c r="O1404" s="2" t="s">
        <v>115</v>
      </c>
      <c r="P1404" s="2" t="str">
        <f>"2170561305                    "</f>
        <v xml:space="preserve">2170561305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4.29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1</v>
      </c>
      <c r="BJ1404" s="2">
        <v>0.2</v>
      </c>
      <c r="BK1404" s="2">
        <v>1</v>
      </c>
      <c r="BL1404" s="2">
        <v>41.73</v>
      </c>
      <c r="BM1404" s="2">
        <v>5.84</v>
      </c>
      <c r="BN1404" s="2">
        <v>47.57</v>
      </c>
      <c r="BO1404" s="2">
        <v>47.57</v>
      </c>
      <c r="BP1404" s="2"/>
      <c r="BQ1404" s="2" t="s">
        <v>903</v>
      </c>
      <c r="BR1404" s="2" t="s">
        <v>123</v>
      </c>
      <c r="BS1404" s="3">
        <v>42835</v>
      </c>
      <c r="BT1404" s="4">
        <v>0.4375</v>
      </c>
      <c r="BU1404" s="2" t="s">
        <v>767</v>
      </c>
      <c r="BV1404" s="2" t="s">
        <v>111</v>
      </c>
      <c r="BW1404" s="2"/>
      <c r="BX1404" s="2"/>
      <c r="BY1404" s="2">
        <v>1200</v>
      </c>
      <c r="BZ1404" s="2" t="s">
        <v>27</v>
      </c>
      <c r="CA1404" s="2"/>
      <c r="CB1404" s="2"/>
      <c r="CC1404" s="2" t="s">
        <v>901</v>
      </c>
      <c r="CD1404" s="2">
        <v>4026</v>
      </c>
      <c r="CE1404" s="2" t="s">
        <v>144</v>
      </c>
      <c r="CF1404" s="5">
        <v>42836</v>
      </c>
      <c r="CG1404" s="2"/>
      <c r="CH1404" s="2"/>
      <c r="CI1404" s="2">
        <v>1</v>
      </c>
      <c r="CJ1404" s="2">
        <v>1</v>
      </c>
      <c r="CK1404" s="2">
        <v>21</v>
      </c>
      <c r="CL1404" s="2" t="s">
        <v>86</v>
      </c>
      <c r="CM1404" s="2"/>
    </row>
    <row r="1405" spans="1:91">
      <c r="A1405" s="2" t="s">
        <v>71</v>
      </c>
      <c r="B1405" s="2" t="s">
        <v>72</v>
      </c>
      <c r="C1405" s="2" t="s">
        <v>73</v>
      </c>
      <c r="D1405" s="2"/>
      <c r="E1405" s="2" t="str">
        <f>"FES1162541151"</f>
        <v>FES1162541151</v>
      </c>
      <c r="F1405" s="3">
        <v>42828</v>
      </c>
      <c r="G1405" s="2">
        <v>201710</v>
      </c>
      <c r="H1405" s="2" t="s">
        <v>74</v>
      </c>
      <c r="I1405" s="2" t="s">
        <v>75</v>
      </c>
      <c r="J1405" s="2" t="s">
        <v>76</v>
      </c>
      <c r="K1405" s="2" t="s">
        <v>77</v>
      </c>
      <c r="L1405" s="2" t="s">
        <v>99</v>
      </c>
      <c r="M1405" s="2" t="s">
        <v>100</v>
      </c>
      <c r="N1405" s="2" t="s">
        <v>151</v>
      </c>
      <c r="O1405" s="2" t="s">
        <v>115</v>
      </c>
      <c r="P1405" s="2" t="str">
        <f>"2170560237                    "</f>
        <v xml:space="preserve">2170560237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6.63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2.8</v>
      </c>
      <c r="BJ1405" s="2">
        <v>0.2</v>
      </c>
      <c r="BK1405" s="2">
        <v>3</v>
      </c>
      <c r="BL1405" s="2">
        <v>62.79</v>
      </c>
      <c r="BM1405" s="2">
        <v>8.7899999999999991</v>
      </c>
      <c r="BN1405" s="2">
        <v>71.58</v>
      </c>
      <c r="BO1405" s="2">
        <v>71.58</v>
      </c>
      <c r="BP1405" s="2"/>
      <c r="BQ1405" s="2" t="s">
        <v>152</v>
      </c>
      <c r="BR1405" s="2" t="s">
        <v>123</v>
      </c>
      <c r="BS1405" s="3">
        <v>42829</v>
      </c>
      <c r="BT1405" s="4">
        <v>0.31319444444444444</v>
      </c>
      <c r="BU1405" s="2" t="s">
        <v>679</v>
      </c>
      <c r="BV1405" s="2" t="s">
        <v>111</v>
      </c>
      <c r="BW1405" s="2"/>
      <c r="BX1405" s="2"/>
      <c r="BY1405" s="2">
        <v>1200</v>
      </c>
      <c r="BZ1405" s="2" t="s">
        <v>27</v>
      </c>
      <c r="CA1405" s="2" t="s">
        <v>154</v>
      </c>
      <c r="CB1405" s="2"/>
      <c r="CC1405" s="2" t="s">
        <v>100</v>
      </c>
      <c r="CD1405" s="2">
        <v>6001</v>
      </c>
      <c r="CE1405" s="2" t="s">
        <v>118</v>
      </c>
      <c r="CF1405" s="5">
        <v>42829</v>
      </c>
      <c r="CG1405" s="2"/>
      <c r="CH1405" s="2"/>
      <c r="CI1405" s="2">
        <v>1</v>
      </c>
      <c r="CJ1405" s="2">
        <v>1</v>
      </c>
      <c r="CK1405" s="2">
        <v>21</v>
      </c>
      <c r="CL1405" s="2" t="s">
        <v>86</v>
      </c>
      <c r="CM1405" s="2"/>
    </row>
    <row r="1406" spans="1:91">
      <c r="A1406" s="2" t="s">
        <v>71</v>
      </c>
      <c r="B1406" s="2" t="s">
        <v>72</v>
      </c>
      <c r="C1406" s="2" t="s">
        <v>73</v>
      </c>
      <c r="D1406" s="2"/>
      <c r="E1406" s="2" t="str">
        <f>"FES1162542556"</f>
        <v>FES1162542556</v>
      </c>
      <c r="F1406" s="3">
        <v>42835</v>
      </c>
      <c r="G1406" s="2">
        <v>201710</v>
      </c>
      <c r="H1406" s="2" t="s">
        <v>74</v>
      </c>
      <c r="I1406" s="2" t="s">
        <v>75</v>
      </c>
      <c r="J1406" s="2" t="s">
        <v>76</v>
      </c>
      <c r="K1406" s="2" t="s">
        <v>77</v>
      </c>
      <c r="L1406" s="2" t="s">
        <v>119</v>
      </c>
      <c r="M1406" s="2" t="s">
        <v>120</v>
      </c>
      <c r="N1406" s="2" t="s">
        <v>697</v>
      </c>
      <c r="O1406" s="2" t="s">
        <v>115</v>
      </c>
      <c r="P1406" s="2" t="str">
        <f>"2170561421                    "</f>
        <v xml:space="preserve">2170561421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3.35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1</v>
      </c>
      <c r="BJ1406" s="2">
        <v>0.2</v>
      </c>
      <c r="BK1406" s="2">
        <v>1</v>
      </c>
      <c r="BL1406" s="2">
        <v>32.6</v>
      </c>
      <c r="BM1406" s="2">
        <v>4.5599999999999996</v>
      </c>
      <c r="BN1406" s="2">
        <v>37.159999999999997</v>
      </c>
      <c r="BO1406" s="2">
        <v>37.159999999999997</v>
      </c>
      <c r="BP1406" s="2"/>
      <c r="BQ1406" s="2" t="s">
        <v>698</v>
      </c>
      <c r="BR1406" s="2" t="s">
        <v>123</v>
      </c>
      <c r="BS1406" s="3">
        <v>42836</v>
      </c>
      <c r="BT1406" s="4">
        <v>0.3923611111111111</v>
      </c>
      <c r="BU1406" s="2" t="s">
        <v>1964</v>
      </c>
      <c r="BV1406" s="2" t="s">
        <v>111</v>
      </c>
      <c r="BW1406" s="2"/>
      <c r="BX1406" s="2"/>
      <c r="BY1406" s="2">
        <v>1200</v>
      </c>
      <c r="BZ1406" s="2" t="s">
        <v>27</v>
      </c>
      <c r="CA1406" s="2" t="s">
        <v>125</v>
      </c>
      <c r="CB1406" s="2"/>
      <c r="CC1406" s="2" t="s">
        <v>120</v>
      </c>
      <c r="CD1406" s="2">
        <v>2163</v>
      </c>
      <c r="CE1406" s="2" t="s">
        <v>118</v>
      </c>
      <c r="CF1406" s="5">
        <v>42838</v>
      </c>
      <c r="CG1406" s="2"/>
      <c r="CH1406" s="2"/>
      <c r="CI1406" s="2">
        <v>1</v>
      </c>
      <c r="CJ1406" s="2">
        <v>1</v>
      </c>
      <c r="CK1406" s="2">
        <v>22</v>
      </c>
      <c r="CL1406" s="2" t="s">
        <v>86</v>
      </c>
      <c r="CM1406" s="2"/>
    </row>
    <row r="1407" spans="1:91">
      <c r="A1407" s="2" t="s">
        <v>71</v>
      </c>
      <c r="B1407" s="2" t="s">
        <v>72</v>
      </c>
      <c r="C1407" s="2" t="s">
        <v>73</v>
      </c>
      <c r="D1407" s="2"/>
      <c r="E1407" s="2" t="str">
        <f>"FES1162541101"</f>
        <v>FES1162541101</v>
      </c>
      <c r="F1407" s="3">
        <v>42828</v>
      </c>
      <c r="G1407" s="2">
        <v>201710</v>
      </c>
      <c r="H1407" s="2" t="s">
        <v>74</v>
      </c>
      <c r="I1407" s="2" t="s">
        <v>75</v>
      </c>
      <c r="J1407" s="2" t="s">
        <v>76</v>
      </c>
      <c r="K1407" s="2" t="s">
        <v>77</v>
      </c>
      <c r="L1407" s="2" t="s">
        <v>651</v>
      </c>
      <c r="M1407" s="2" t="s">
        <v>652</v>
      </c>
      <c r="N1407" s="2" t="s">
        <v>283</v>
      </c>
      <c r="O1407" s="2" t="s">
        <v>115</v>
      </c>
      <c r="P1407" s="2" t="str">
        <f>"2170560179                    "</f>
        <v xml:space="preserve">2170560179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4.42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</v>
      </c>
      <c r="BJ1407" s="2">
        <v>0.2</v>
      </c>
      <c r="BK1407" s="2">
        <v>1</v>
      </c>
      <c r="BL1407" s="2">
        <v>41.86</v>
      </c>
      <c r="BM1407" s="2">
        <v>5.86</v>
      </c>
      <c r="BN1407" s="2">
        <v>47.72</v>
      </c>
      <c r="BO1407" s="2">
        <v>47.72</v>
      </c>
      <c r="BP1407" s="2"/>
      <c r="BQ1407" s="2" t="s">
        <v>653</v>
      </c>
      <c r="BR1407" s="2" t="s">
        <v>123</v>
      </c>
      <c r="BS1407" s="3">
        <v>42829</v>
      </c>
      <c r="BT1407" s="4">
        <v>0.34722222222222227</v>
      </c>
      <c r="BU1407" s="2" t="s">
        <v>1965</v>
      </c>
      <c r="BV1407" s="2" t="s">
        <v>111</v>
      </c>
      <c r="BW1407" s="2"/>
      <c r="BX1407" s="2"/>
      <c r="BY1407" s="2">
        <v>1200</v>
      </c>
      <c r="BZ1407" s="2" t="s">
        <v>27</v>
      </c>
      <c r="CA1407" s="2" t="s">
        <v>159</v>
      </c>
      <c r="CB1407" s="2"/>
      <c r="CC1407" s="2" t="s">
        <v>652</v>
      </c>
      <c r="CD1407" s="2">
        <v>9300</v>
      </c>
      <c r="CE1407" s="2" t="s">
        <v>118</v>
      </c>
      <c r="CF1407" s="5">
        <v>42831</v>
      </c>
      <c r="CG1407" s="2"/>
      <c r="CH1407" s="2"/>
      <c r="CI1407" s="2">
        <v>1</v>
      </c>
      <c r="CJ1407" s="2">
        <v>1</v>
      </c>
      <c r="CK1407" s="2">
        <v>21</v>
      </c>
      <c r="CL1407" s="2" t="s">
        <v>86</v>
      </c>
      <c r="CM1407" s="2"/>
    </row>
    <row r="1408" spans="1:91">
      <c r="A1408" s="2" t="s">
        <v>71</v>
      </c>
      <c r="B1408" s="2" t="s">
        <v>72</v>
      </c>
      <c r="C1408" s="2" t="s">
        <v>73</v>
      </c>
      <c r="D1408" s="2"/>
      <c r="E1408" s="2" t="str">
        <f>"FES1162542385"</f>
        <v>FES1162542385</v>
      </c>
      <c r="F1408" s="3">
        <v>42832</v>
      </c>
      <c r="G1408" s="2">
        <v>201710</v>
      </c>
      <c r="H1408" s="2" t="s">
        <v>74</v>
      </c>
      <c r="I1408" s="2" t="s">
        <v>75</v>
      </c>
      <c r="J1408" s="2" t="s">
        <v>76</v>
      </c>
      <c r="K1408" s="2" t="s">
        <v>77</v>
      </c>
      <c r="L1408" s="2" t="s">
        <v>131</v>
      </c>
      <c r="M1408" s="2" t="s">
        <v>132</v>
      </c>
      <c r="N1408" s="2" t="s">
        <v>1534</v>
      </c>
      <c r="O1408" s="2" t="s">
        <v>115</v>
      </c>
      <c r="P1408" s="2" t="str">
        <f>"2170561278                    "</f>
        <v xml:space="preserve">2170561278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4.29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1</v>
      </c>
      <c r="BJ1408" s="2">
        <v>0.2</v>
      </c>
      <c r="BK1408" s="2">
        <v>1</v>
      </c>
      <c r="BL1408" s="2">
        <v>41.73</v>
      </c>
      <c r="BM1408" s="2">
        <v>5.84</v>
      </c>
      <c r="BN1408" s="2">
        <v>47.57</v>
      </c>
      <c r="BO1408" s="2">
        <v>47.57</v>
      </c>
      <c r="BP1408" s="2"/>
      <c r="BQ1408" s="2" t="s">
        <v>116</v>
      </c>
      <c r="BR1408" s="2" t="s">
        <v>123</v>
      </c>
      <c r="BS1408" s="3">
        <v>42835</v>
      </c>
      <c r="BT1408" s="4">
        <v>0.38194444444444442</v>
      </c>
      <c r="BU1408" s="2" t="s">
        <v>1545</v>
      </c>
      <c r="BV1408" s="2" t="s">
        <v>111</v>
      </c>
      <c r="BW1408" s="2"/>
      <c r="BX1408" s="2"/>
      <c r="BY1408" s="2">
        <v>1200</v>
      </c>
      <c r="BZ1408" s="2" t="s">
        <v>27</v>
      </c>
      <c r="CA1408" s="2"/>
      <c r="CB1408" s="2"/>
      <c r="CC1408" s="2" t="s">
        <v>132</v>
      </c>
      <c r="CD1408" s="2">
        <v>7493</v>
      </c>
      <c r="CE1408" s="2" t="s">
        <v>144</v>
      </c>
      <c r="CF1408" s="5">
        <v>42836</v>
      </c>
      <c r="CG1408" s="2"/>
      <c r="CH1408" s="2"/>
      <c r="CI1408" s="2">
        <v>1</v>
      </c>
      <c r="CJ1408" s="2">
        <v>1</v>
      </c>
      <c r="CK1408" s="2">
        <v>21</v>
      </c>
      <c r="CL1408" s="2" t="s">
        <v>86</v>
      </c>
      <c r="CM1408" s="2"/>
    </row>
    <row r="1409" spans="1:91">
      <c r="A1409" s="2" t="s">
        <v>71</v>
      </c>
      <c r="B1409" s="2" t="s">
        <v>72</v>
      </c>
      <c r="C1409" s="2" t="s">
        <v>73</v>
      </c>
      <c r="D1409" s="2"/>
      <c r="E1409" s="2" t="str">
        <f>"FES1162541077"</f>
        <v>FES1162541077</v>
      </c>
      <c r="F1409" s="3">
        <v>42828</v>
      </c>
      <c r="G1409" s="2">
        <v>201710</v>
      </c>
      <c r="H1409" s="2" t="s">
        <v>74</v>
      </c>
      <c r="I1409" s="2" t="s">
        <v>75</v>
      </c>
      <c r="J1409" s="2" t="s">
        <v>76</v>
      </c>
      <c r="K1409" s="2" t="s">
        <v>77</v>
      </c>
      <c r="L1409" s="2" t="s">
        <v>131</v>
      </c>
      <c r="M1409" s="2" t="s">
        <v>132</v>
      </c>
      <c r="N1409" s="2" t="s">
        <v>1966</v>
      </c>
      <c r="O1409" s="2" t="s">
        <v>115</v>
      </c>
      <c r="P1409" s="2" t="str">
        <f>"2170560158                    "</f>
        <v xml:space="preserve">2170560158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4.42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1</v>
      </c>
      <c r="BJ1409" s="2">
        <v>0.2</v>
      </c>
      <c r="BK1409" s="2">
        <v>1</v>
      </c>
      <c r="BL1409" s="2">
        <v>41.86</v>
      </c>
      <c r="BM1409" s="2">
        <v>5.86</v>
      </c>
      <c r="BN1409" s="2">
        <v>47.72</v>
      </c>
      <c r="BO1409" s="2">
        <v>47.72</v>
      </c>
      <c r="BP1409" s="2"/>
      <c r="BQ1409" s="2" t="s">
        <v>1967</v>
      </c>
      <c r="BR1409" s="2" t="s">
        <v>123</v>
      </c>
      <c r="BS1409" s="3">
        <v>42829</v>
      </c>
      <c r="BT1409" s="4">
        <v>0.41666666666666669</v>
      </c>
      <c r="BU1409" s="2" t="s">
        <v>1968</v>
      </c>
      <c r="BV1409" s="2" t="s">
        <v>111</v>
      </c>
      <c r="BW1409" s="2"/>
      <c r="BX1409" s="2"/>
      <c r="BY1409" s="2">
        <v>1200</v>
      </c>
      <c r="BZ1409" s="2" t="s">
        <v>27</v>
      </c>
      <c r="CA1409" s="2"/>
      <c r="CB1409" s="2"/>
      <c r="CC1409" s="2" t="s">
        <v>132</v>
      </c>
      <c r="CD1409" s="2">
        <v>7460</v>
      </c>
      <c r="CE1409" s="2" t="s">
        <v>118</v>
      </c>
      <c r="CF1409" s="5">
        <v>42831</v>
      </c>
      <c r="CG1409" s="2"/>
      <c r="CH1409" s="2"/>
      <c r="CI1409" s="2">
        <v>1</v>
      </c>
      <c r="CJ1409" s="2">
        <v>1</v>
      </c>
      <c r="CK1409" s="2">
        <v>21</v>
      </c>
      <c r="CL1409" s="2" t="s">
        <v>86</v>
      </c>
      <c r="CM1409" s="2"/>
    </row>
    <row r="1410" spans="1:91">
      <c r="A1410" s="2" t="s">
        <v>71</v>
      </c>
      <c r="B1410" s="2" t="s">
        <v>72</v>
      </c>
      <c r="C1410" s="2" t="s">
        <v>73</v>
      </c>
      <c r="D1410" s="2"/>
      <c r="E1410" s="2" t="str">
        <f>"FES1162542561"</f>
        <v>FES1162542561</v>
      </c>
      <c r="F1410" s="3">
        <v>42835</v>
      </c>
      <c r="G1410" s="2">
        <v>201710</v>
      </c>
      <c r="H1410" s="2" t="s">
        <v>74</v>
      </c>
      <c r="I1410" s="2" t="s">
        <v>75</v>
      </c>
      <c r="J1410" s="2" t="s">
        <v>76</v>
      </c>
      <c r="K1410" s="2" t="s">
        <v>77</v>
      </c>
      <c r="L1410" s="2" t="s">
        <v>176</v>
      </c>
      <c r="M1410" s="2" t="s">
        <v>176</v>
      </c>
      <c r="N1410" s="2" t="s">
        <v>1969</v>
      </c>
      <c r="O1410" s="2" t="s">
        <v>115</v>
      </c>
      <c r="P1410" s="2" t="str">
        <f>"2170560946                    "</f>
        <v xml:space="preserve">2170560946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4.29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1</v>
      </c>
      <c r="BJ1410" s="2">
        <v>0.2</v>
      </c>
      <c r="BK1410" s="2">
        <v>1</v>
      </c>
      <c r="BL1410" s="2">
        <v>41.73</v>
      </c>
      <c r="BM1410" s="2">
        <v>5.84</v>
      </c>
      <c r="BN1410" s="2">
        <v>47.57</v>
      </c>
      <c r="BO1410" s="2">
        <v>47.57</v>
      </c>
      <c r="BP1410" s="2"/>
      <c r="BQ1410" s="2"/>
      <c r="BR1410" s="2" t="s">
        <v>123</v>
      </c>
      <c r="BS1410" s="3">
        <v>42836</v>
      </c>
      <c r="BT1410" s="4">
        <v>0.5083333333333333</v>
      </c>
      <c r="BU1410" s="2" t="s">
        <v>1970</v>
      </c>
      <c r="BV1410" s="2" t="s">
        <v>111</v>
      </c>
      <c r="BW1410" s="2"/>
      <c r="BX1410" s="2"/>
      <c r="BY1410" s="2">
        <v>1200</v>
      </c>
      <c r="BZ1410" s="2" t="s">
        <v>27</v>
      </c>
      <c r="CA1410" s="2"/>
      <c r="CB1410" s="2"/>
      <c r="CC1410" s="2" t="s">
        <v>176</v>
      </c>
      <c r="CD1410" s="2">
        <v>7646</v>
      </c>
      <c r="CE1410" s="2" t="s">
        <v>144</v>
      </c>
      <c r="CF1410" s="5">
        <v>42837</v>
      </c>
      <c r="CG1410" s="2"/>
      <c r="CH1410" s="2"/>
      <c r="CI1410" s="2">
        <v>1</v>
      </c>
      <c r="CJ1410" s="2">
        <v>1</v>
      </c>
      <c r="CK1410" s="2">
        <v>21</v>
      </c>
      <c r="CL1410" s="2" t="s">
        <v>86</v>
      </c>
      <c r="CM1410" s="2"/>
    </row>
    <row r="1411" spans="1:91">
      <c r="A1411" s="2" t="s">
        <v>71</v>
      </c>
      <c r="B1411" s="2" t="s">
        <v>72</v>
      </c>
      <c r="C1411" s="2" t="s">
        <v>73</v>
      </c>
      <c r="D1411" s="2"/>
      <c r="E1411" s="2" t="str">
        <f>"FES1162541100"</f>
        <v>FES1162541100</v>
      </c>
      <c r="F1411" s="3">
        <v>42828</v>
      </c>
      <c r="G1411" s="2">
        <v>201710</v>
      </c>
      <c r="H1411" s="2" t="s">
        <v>74</v>
      </c>
      <c r="I1411" s="2" t="s">
        <v>75</v>
      </c>
      <c r="J1411" s="2" t="s">
        <v>76</v>
      </c>
      <c r="K1411" s="2" t="s">
        <v>77</v>
      </c>
      <c r="L1411" s="2" t="s">
        <v>99</v>
      </c>
      <c r="M1411" s="2" t="s">
        <v>100</v>
      </c>
      <c r="N1411" s="2" t="s">
        <v>700</v>
      </c>
      <c r="O1411" s="2" t="s">
        <v>115</v>
      </c>
      <c r="P1411" s="2" t="str">
        <f>"2170560178                    "</f>
        <v xml:space="preserve">2170560178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4.42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1</v>
      </c>
      <c r="BI1411" s="2">
        <v>1</v>
      </c>
      <c r="BJ1411" s="2">
        <v>0.2</v>
      </c>
      <c r="BK1411" s="2">
        <v>1</v>
      </c>
      <c r="BL1411" s="2">
        <v>41.86</v>
      </c>
      <c r="BM1411" s="2">
        <v>5.86</v>
      </c>
      <c r="BN1411" s="2">
        <v>47.72</v>
      </c>
      <c r="BO1411" s="2">
        <v>47.72</v>
      </c>
      <c r="BP1411" s="2"/>
      <c r="BQ1411" s="2" t="s">
        <v>701</v>
      </c>
      <c r="BR1411" s="2" t="s">
        <v>123</v>
      </c>
      <c r="BS1411" s="3">
        <v>42829</v>
      </c>
      <c r="BT1411" s="4">
        <v>0.34375</v>
      </c>
      <c r="BU1411" s="2" t="s">
        <v>838</v>
      </c>
      <c r="BV1411" s="2" t="s">
        <v>111</v>
      </c>
      <c r="BW1411" s="2"/>
      <c r="BX1411" s="2"/>
      <c r="BY1411" s="2">
        <v>1200</v>
      </c>
      <c r="BZ1411" s="2" t="s">
        <v>27</v>
      </c>
      <c r="CA1411" s="2" t="s">
        <v>106</v>
      </c>
      <c r="CB1411" s="2"/>
      <c r="CC1411" s="2" t="s">
        <v>100</v>
      </c>
      <c r="CD1411" s="2">
        <v>6001</v>
      </c>
      <c r="CE1411" s="2" t="s">
        <v>118</v>
      </c>
      <c r="CF1411" s="5">
        <v>42829</v>
      </c>
      <c r="CG1411" s="2"/>
      <c r="CH1411" s="2"/>
      <c r="CI1411" s="2">
        <v>1</v>
      </c>
      <c r="CJ1411" s="2">
        <v>1</v>
      </c>
      <c r="CK1411" s="2">
        <v>21</v>
      </c>
      <c r="CL1411" s="2" t="s">
        <v>86</v>
      </c>
      <c r="CM1411" s="2"/>
    </row>
    <row r="1412" spans="1:91">
      <c r="A1412" s="2" t="s">
        <v>71</v>
      </c>
      <c r="B1412" s="2" t="s">
        <v>72</v>
      </c>
      <c r="C1412" s="2" t="s">
        <v>73</v>
      </c>
      <c r="D1412" s="2"/>
      <c r="E1412" s="2" t="str">
        <f>"FES1162542426"</f>
        <v>FES1162542426</v>
      </c>
      <c r="F1412" s="3">
        <v>42832</v>
      </c>
      <c r="G1412" s="2">
        <v>201710</v>
      </c>
      <c r="H1412" s="2" t="s">
        <v>74</v>
      </c>
      <c r="I1412" s="2" t="s">
        <v>75</v>
      </c>
      <c r="J1412" s="2" t="s">
        <v>76</v>
      </c>
      <c r="K1412" s="2" t="s">
        <v>77</v>
      </c>
      <c r="L1412" s="2" t="s">
        <v>252</v>
      </c>
      <c r="M1412" s="2" t="s">
        <v>253</v>
      </c>
      <c r="N1412" s="2" t="s">
        <v>1558</v>
      </c>
      <c r="O1412" s="2" t="s">
        <v>115</v>
      </c>
      <c r="P1412" s="2" t="str">
        <f>"2170561316                    "</f>
        <v xml:space="preserve">2170561316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4.29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1</v>
      </c>
      <c r="BJ1412" s="2">
        <v>0.2</v>
      </c>
      <c r="BK1412" s="2">
        <v>1</v>
      </c>
      <c r="BL1412" s="2">
        <v>41.73</v>
      </c>
      <c r="BM1412" s="2">
        <v>5.84</v>
      </c>
      <c r="BN1412" s="2">
        <v>47.57</v>
      </c>
      <c r="BO1412" s="2">
        <v>47.57</v>
      </c>
      <c r="BP1412" s="2"/>
      <c r="BQ1412" s="2"/>
      <c r="BR1412" s="2" t="s">
        <v>123</v>
      </c>
      <c r="BS1412" s="3">
        <v>42835</v>
      </c>
      <c r="BT1412" s="4">
        <v>0.4236111111111111</v>
      </c>
      <c r="BU1412" s="2" t="s">
        <v>1971</v>
      </c>
      <c r="BV1412" s="2" t="s">
        <v>111</v>
      </c>
      <c r="BW1412" s="2"/>
      <c r="BX1412" s="2"/>
      <c r="BY1412" s="2">
        <v>1200</v>
      </c>
      <c r="BZ1412" s="2" t="s">
        <v>27</v>
      </c>
      <c r="CA1412" s="2"/>
      <c r="CB1412" s="2"/>
      <c r="CC1412" s="2" t="s">
        <v>253</v>
      </c>
      <c r="CD1412" s="2">
        <v>3900</v>
      </c>
      <c r="CE1412" s="2" t="s">
        <v>144</v>
      </c>
      <c r="CF1412" s="5">
        <v>42837</v>
      </c>
      <c r="CG1412" s="2"/>
      <c r="CH1412" s="2"/>
      <c r="CI1412" s="2">
        <v>1</v>
      </c>
      <c r="CJ1412" s="2">
        <v>1</v>
      </c>
      <c r="CK1412" s="2">
        <v>21</v>
      </c>
      <c r="CL1412" s="2" t="s">
        <v>86</v>
      </c>
      <c r="CM1412" s="2"/>
    </row>
    <row r="1413" spans="1:91">
      <c r="A1413" s="2" t="s">
        <v>71</v>
      </c>
      <c r="B1413" s="2" t="s">
        <v>72</v>
      </c>
      <c r="C1413" s="2" t="s">
        <v>73</v>
      </c>
      <c r="D1413" s="2"/>
      <c r="E1413" s="2" t="str">
        <f>"FES1162541092"</f>
        <v>FES1162541092</v>
      </c>
      <c r="F1413" s="3">
        <v>42828</v>
      </c>
      <c r="G1413" s="2">
        <v>201710</v>
      </c>
      <c r="H1413" s="2" t="s">
        <v>74</v>
      </c>
      <c r="I1413" s="2" t="s">
        <v>75</v>
      </c>
      <c r="J1413" s="2" t="s">
        <v>76</v>
      </c>
      <c r="K1413" s="2" t="s">
        <v>77</v>
      </c>
      <c r="L1413" s="2" t="s">
        <v>99</v>
      </c>
      <c r="M1413" s="2" t="s">
        <v>100</v>
      </c>
      <c r="N1413" s="2" t="s">
        <v>843</v>
      </c>
      <c r="O1413" s="2" t="s">
        <v>115</v>
      </c>
      <c r="P1413" s="2" t="str">
        <f>"2170559889                    "</f>
        <v xml:space="preserve">2170559889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6.63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3</v>
      </c>
      <c r="BJ1413" s="2">
        <v>2</v>
      </c>
      <c r="BK1413" s="2">
        <v>3</v>
      </c>
      <c r="BL1413" s="2">
        <v>62.79</v>
      </c>
      <c r="BM1413" s="2">
        <v>8.7899999999999991</v>
      </c>
      <c r="BN1413" s="2">
        <v>71.58</v>
      </c>
      <c r="BO1413" s="2">
        <v>71.58</v>
      </c>
      <c r="BP1413" s="2"/>
      <c r="BQ1413" s="2" t="s">
        <v>844</v>
      </c>
      <c r="BR1413" s="2" t="s">
        <v>123</v>
      </c>
      <c r="BS1413" s="3">
        <v>42829</v>
      </c>
      <c r="BT1413" s="4">
        <v>0.30277777777777776</v>
      </c>
      <c r="BU1413" s="2" t="s">
        <v>245</v>
      </c>
      <c r="BV1413" s="2" t="s">
        <v>111</v>
      </c>
      <c r="BW1413" s="2"/>
      <c r="BX1413" s="2"/>
      <c r="BY1413" s="2">
        <v>9900</v>
      </c>
      <c r="BZ1413" s="2" t="s">
        <v>27</v>
      </c>
      <c r="CA1413" s="2" t="s">
        <v>154</v>
      </c>
      <c r="CB1413" s="2"/>
      <c r="CC1413" s="2" t="s">
        <v>100</v>
      </c>
      <c r="CD1413" s="2">
        <v>6001</v>
      </c>
      <c r="CE1413" s="2" t="s">
        <v>89</v>
      </c>
      <c r="CF1413" s="5">
        <v>42829</v>
      </c>
      <c r="CG1413" s="2"/>
      <c r="CH1413" s="2"/>
      <c r="CI1413" s="2">
        <v>1</v>
      </c>
      <c r="CJ1413" s="2">
        <v>1</v>
      </c>
      <c r="CK1413" s="2">
        <v>21</v>
      </c>
      <c r="CL1413" s="2" t="s">
        <v>86</v>
      </c>
      <c r="CM1413" s="2"/>
    </row>
    <row r="1414" spans="1:91">
      <c r="A1414" s="2" t="s">
        <v>71</v>
      </c>
      <c r="B1414" s="2" t="s">
        <v>72</v>
      </c>
      <c r="C1414" s="2" t="s">
        <v>73</v>
      </c>
      <c r="D1414" s="2"/>
      <c r="E1414" s="2" t="str">
        <f>"FES1162542560"</f>
        <v>FES1162542560</v>
      </c>
      <c r="F1414" s="3">
        <v>42835</v>
      </c>
      <c r="G1414" s="2">
        <v>201710</v>
      </c>
      <c r="H1414" s="2" t="s">
        <v>74</v>
      </c>
      <c r="I1414" s="2" t="s">
        <v>75</v>
      </c>
      <c r="J1414" s="2" t="s">
        <v>76</v>
      </c>
      <c r="K1414" s="2" t="s">
        <v>77</v>
      </c>
      <c r="L1414" s="2" t="s">
        <v>131</v>
      </c>
      <c r="M1414" s="2" t="s">
        <v>132</v>
      </c>
      <c r="N1414" s="2" t="s">
        <v>1411</v>
      </c>
      <c r="O1414" s="2" t="s">
        <v>115</v>
      </c>
      <c r="P1414" s="2" t="str">
        <f>"2170561427                    "</f>
        <v xml:space="preserve">2170561427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4.29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1.2</v>
      </c>
      <c r="BJ1414" s="2">
        <v>0.2</v>
      </c>
      <c r="BK1414" s="2">
        <v>1.5</v>
      </c>
      <c r="BL1414" s="2">
        <v>41.73</v>
      </c>
      <c r="BM1414" s="2">
        <v>5.84</v>
      </c>
      <c r="BN1414" s="2">
        <v>47.57</v>
      </c>
      <c r="BO1414" s="2">
        <v>47.57</v>
      </c>
      <c r="BP1414" s="2"/>
      <c r="BQ1414" s="2" t="s">
        <v>1972</v>
      </c>
      <c r="BR1414" s="2" t="s">
        <v>123</v>
      </c>
      <c r="BS1414" s="3">
        <v>42836</v>
      </c>
      <c r="BT1414" s="4">
        <v>0.41666666666666669</v>
      </c>
      <c r="BU1414" s="2" t="s">
        <v>1973</v>
      </c>
      <c r="BV1414" s="2" t="s">
        <v>111</v>
      </c>
      <c r="BW1414" s="2"/>
      <c r="BX1414" s="2"/>
      <c r="BY1414" s="2">
        <v>1200</v>
      </c>
      <c r="BZ1414" s="2" t="s">
        <v>27</v>
      </c>
      <c r="CA1414" s="2" t="s">
        <v>159</v>
      </c>
      <c r="CB1414" s="2"/>
      <c r="CC1414" s="2" t="s">
        <v>132</v>
      </c>
      <c r="CD1414" s="2">
        <v>7460</v>
      </c>
      <c r="CE1414" s="2" t="s">
        <v>144</v>
      </c>
      <c r="CF1414" s="5">
        <v>42837</v>
      </c>
      <c r="CG1414" s="2"/>
      <c r="CH1414" s="2"/>
      <c r="CI1414" s="2">
        <v>1</v>
      </c>
      <c r="CJ1414" s="2">
        <v>1</v>
      </c>
      <c r="CK1414" s="2">
        <v>21</v>
      </c>
      <c r="CL1414" s="2" t="s">
        <v>86</v>
      </c>
      <c r="CM1414" s="2"/>
    </row>
    <row r="1415" spans="1:91">
      <c r="A1415" s="2" t="s">
        <v>71</v>
      </c>
      <c r="B1415" s="2" t="s">
        <v>72</v>
      </c>
      <c r="C1415" s="2" t="s">
        <v>73</v>
      </c>
      <c r="D1415" s="2"/>
      <c r="E1415" s="2" t="str">
        <f>"FES1162541148"</f>
        <v>FES1162541148</v>
      </c>
      <c r="F1415" s="3">
        <v>42828</v>
      </c>
      <c r="G1415" s="2">
        <v>201710</v>
      </c>
      <c r="H1415" s="2" t="s">
        <v>74</v>
      </c>
      <c r="I1415" s="2" t="s">
        <v>75</v>
      </c>
      <c r="J1415" s="2" t="s">
        <v>76</v>
      </c>
      <c r="K1415" s="2" t="s">
        <v>77</v>
      </c>
      <c r="L1415" s="2" t="s">
        <v>180</v>
      </c>
      <c r="M1415" s="2" t="s">
        <v>181</v>
      </c>
      <c r="N1415" s="2" t="s">
        <v>1678</v>
      </c>
      <c r="O1415" s="2" t="s">
        <v>115</v>
      </c>
      <c r="P1415" s="2" t="str">
        <f>"2170557811                    "</f>
        <v xml:space="preserve">2170557811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34.270000000000003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2</v>
      </c>
      <c r="BI1415" s="2">
        <v>14.3</v>
      </c>
      <c r="BJ1415" s="2">
        <v>15.4</v>
      </c>
      <c r="BK1415" s="2">
        <v>15.5</v>
      </c>
      <c r="BL1415" s="2">
        <v>324.43</v>
      </c>
      <c r="BM1415" s="2">
        <v>45.42</v>
      </c>
      <c r="BN1415" s="2">
        <v>369.85</v>
      </c>
      <c r="BO1415" s="2">
        <v>369.85</v>
      </c>
      <c r="BP1415" s="2"/>
      <c r="BQ1415" s="2"/>
      <c r="BR1415" s="2" t="s">
        <v>123</v>
      </c>
      <c r="BS1415" s="3">
        <v>42829</v>
      </c>
      <c r="BT1415" s="4">
        <v>0.4375</v>
      </c>
      <c r="BU1415" s="2" t="s">
        <v>1974</v>
      </c>
      <c r="BV1415" s="2" t="s">
        <v>111</v>
      </c>
      <c r="BW1415" s="2"/>
      <c r="BX1415" s="2"/>
      <c r="BY1415" s="2">
        <v>76837.600000000006</v>
      </c>
      <c r="BZ1415" s="2" t="s">
        <v>27</v>
      </c>
      <c r="CA1415" s="2"/>
      <c r="CB1415" s="2"/>
      <c r="CC1415" s="2" t="s">
        <v>181</v>
      </c>
      <c r="CD1415" s="2">
        <v>4001</v>
      </c>
      <c r="CE1415" s="2" t="s">
        <v>1905</v>
      </c>
      <c r="CF1415" s="5">
        <v>42831</v>
      </c>
      <c r="CG1415" s="2"/>
      <c r="CH1415" s="2"/>
      <c r="CI1415" s="2">
        <v>1</v>
      </c>
      <c r="CJ1415" s="2">
        <v>1</v>
      </c>
      <c r="CK1415" s="2">
        <v>21</v>
      </c>
      <c r="CL1415" s="2" t="s">
        <v>86</v>
      </c>
      <c r="CM1415" s="2"/>
    </row>
    <row r="1416" spans="1:91">
      <c r="A1416" s="2" t="s">
        <v>71</v>
      </c>
      <c r="B1416" s="2" t="s">
        <v>72</v>
      </c>
      <c r="C1416" s="2" t="s">
        <v>73</v>
      </c>
      <c r="D1416" s="2"/>
      <c r="E1416" s="2" t="str">
        <f>"FES1162541102"</f>
        <v>FES1162541102</v>
      </c>
      <c r="F1416" s="3">
        <v>42828</v>
      </c>
      <c r="G1416" s="2">
        <v>201710</v>
      </c>
      <c r="H1416" s="2" t="s">
        <v>74</v>
      </c>
      <c r="I1416" s="2" t="s">
        <v>75</v>
      </c>
      <c r="J1416" s="2" t="s">
        <v>76</v>
      </c>
      <c r="K1416" s="2" t="s">
        <v>77</v>
      </c>
      <c r="L1416" s="2" t="s">
        <v>99</v>
      </c>
      <c r="M1416" s="2" t="s">
        <v>100</v>
      </c>
      <c r="N1416" s="2" t="s">
        <v>671</v>
      </c>
      <c r="O1416" s="2" t="s">
        <v>115</v>
      </c>
      <c r="P1416" s="2" t="str">
        <f>"2170560181                    "</f>
        <v xml:space="preserve">2170560181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4.42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2</v>
      </c>
      <c r="BJ1416" s="2">
        <v>0.2</v>
      </c>
      <c r="BK1416" s="2">
        <v>2</v>
      </c>
      <c r="BL1416" s="2">
        <v>41.86</v>
      </c>
      <c r="BM1416" s="2">
        <v>5.86</v>
      </c>
      <c r="BN1416" s="2">
        <v>47.72</v>
      </c>
      <c r="BO1416" s="2">
        <v>47.72</v>
      </c>
      <c r="BP1416" s="2"/>
      <c r="BQ1416" s="2" t="s">
        <v>672</v>
      </c>
      <c r="BR1416" s="2" t="s">
        <v>123</v>
      </c>
      <c r="BS1416" s="3">
        <v>42829</v>
      </c>
      <c r="BT1416" s="4">
        <v>0.39583333333333331</v>
      </c>
      <c r="BU1416" s="2" t="s">
        <v>672</v>
      </c>
      <c r="BV1416" s="2" t="s">
        <v>111</v>
      </c>
      <c r="BW1416" s="2"/>
      <c r="BX1416" s="2"/>
      <c r="BY1416" s="2">
        <v>1200</v>
      </c>
      <c r="BZ1416" s="2" t="s">
        <v>27</v>
      </c>
      <c r="CA1416" s="2" t="s">
        <v>106</v>
      </c>
      <c r="CB1416" s="2"/>
      <c r="CC1416" s="2" t="s">
        <v>100</v>
      </c>
      <c r="CD1416" s="2">
        <v>6001</v>
      </c>
      <c r="CE1416" s="2" t="s">
        <v>118</v>
      </c>
      <c r="CF1416" s="5">
        <v>42829</v>
      </c>
      <c r="CG1416" s="2"/>
      <c r="CH1416" s="2"/>
      <c r="CI1416" s="2">
        <v>1</v>
      </c>
      <c r="CJ1416" s="2">
        <v>1</v>
      </c>
      <c r="CK1416" s="2">
        <v>21</v>
      </c>
      <c r="CL1416" s="2" t="s">
        <v>86</v>
      </c>
      <c r="CM1416" s="2"/>
    </row>
    <row r="1417" spans="1:91">
      <c r="A1417" s="2" t="s">
        <v>71</v>
      </c>
      <c r="B1417" s="2" t="s">
        <v>72</v>
      </c>
      <c r="C1417" s="2" t="s">
        <v>73</v>
      </c>
      <c r="D1417" s="2"/>
      <c r="E1417" s="2" t="str">
        <f>"FES1162542575"</f>
        <v>FES1162542575</v>
      </c>
      <c r="F1417" s="3">
        <v>42835</v>
      </c>
      <c r="G1417" s="2">
        <v>201710</v>
      </c>
      <c r="H1417" s="2" t="s">
        <v>74</v>
      </c>
      <c r="I1417" s="2" t="s">
        <v>75</v>
      </c>
      <c r="J1417" s="2" t="s">
        <v>76</v>
      </c>
      <c r="K1417" s="2" t="s">
        <v>77</v>
      </c>
      <c r="L1417" s="2" t="s">
        <v>396</v>
      </c>
      <c r="M1417" s="2" t="s">
        <v>397</v>
      </c>
      <c r="N1417" s="2" t="s">
        <v>1236</v>
      </c>
      <c r="O1417" s="2" t="s">
        <v>115</v>
      </c>
      <c r="P1417" s="2" t="str">
        <f>"2170557413                    "</f>
        <v xml:space="preserve">2170557413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34.299999999999997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15.7</v>
      </c>
      <c r="BJ1417" s="2">
        <v>7.3</v>
      </c>
      <c r="BK1417" s="2">
        <v>16</v>
      </c>
      <c r="BL1417" s="2">
        <v>333.82</v>
      </c>
      <c r="BM1417" s="2">
        <v>46.73</v>
      </c>
      <c r="BN1417" s="2">
        <v>380.55</v>
      </c>
      <c r="BO1417" s="2">
        <v>380.55</v>
      </c>
      <c r="BP1417" s="2"/>
      <c r="BQ1417" s="2" t="s">
        <v>83</v>
      </c>
      <c r="BR1417" s="2" t="s">
        <v>123</v>
      </c>
      <c r="BS1417" s="3">
        <v>42836</v>
      </c>
      <c r="BT1417" s="4">
        <v>0.4375</v>
      </c>
      <c r="BU1417" s="2" t="s">
        <v>1975</v>
      </c>
      <c r="BV1417" s="2" t="s">
        <v>111</v>
      </c>
      <c r="BW1417" s="2"/>
      <c r="BX1417" s="2"/>
      <c r="BY1417" s="2">
        <v>36426.71</v>
      </c>
      <c r="BZ1417" s="2" t="s">
        <v>27</v>
      </c>
      <c r="CA1417" s="2" t="s">
        <v>159</v>
      </c>
      <c r="CB1417" s="2"/>
      <c r="CC1417" s="2" t="s">
        <v>397</v>
      </c>
      <c r="CD1417" s="2">
        <v>4302</v>
      </c>
      <c r="CE1417" s="2" t="s">
        <v>135</v>
      </c>
      <c r="CF1417" s="5">
        <v>42837</v>
      </c>
      <c r="CG1417" s="2"/>
      <c r="CH1417" s="2"/>
      <c r="CI1417" s="2">
        <v>1</v>
      </c>
      <c r="CJ1417" s="2">
        <v>1</v>
      </c>
      <c r="CK1417" s="2">
        <v>21</v>
      </c>
      <c r="CL1417" s="2" t="s">
        <v>86</v>
      </c>
      <c r="CM1417" s="2"/>
    </row>
    <row r="1418" spans="1:91">
      <c r="A1418" s="2" t="s">
        <v>71</v>
      </c>
      <c r="B1418" s="2" t="s">
        <v>72</v>
      </c>
      <c r="C1418" s="2" t="s">
        <v>73</v>
      </c>
      <c r="D1418" s="2"/>
      <c r="E1418" s="2" t="str">
        <f>"FES1162541123"</f>
        <v>FES1162541123</v>
      </c>
      <c r="F1418" s="3">
        <v>42828</v>
      </c>
      <c r="G1418" s="2">
        <v>201710</v>
      </c>
      <c r="H1418" s="2" t="s">
        <v>74</v>
      </c>
      <c r="I1418" s="2" t="s">
        <v>75</v>
      </c>
      <c r="J1418" s="2" t="s">
        <v>76</v>
      </c>
      <c r="K1418" s="2" t="s">
        <v>77</v>
      </c>
      <c r="L1418" s="2" t="s">
        <v>537</v>
      </c>
      <c r="M1418" s="2" t="s">
        <v>538</v>
      </c>
      <c r="N1418" s="2" t="s">
        <v>1976</v>
      </c>
      <c r="O1418" s="2" t="s">
        <v>115</v>
      </c>
      <c r="P1418" s="2" t="str">
        <f>"2170560206                    "</f>
        <v xml:space="preserve">2170560206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8.57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1</v>
      </c>
      <c r="BJ1418" s="2">
        <v>0.2</v>
      </c>
      <c r="BK1418" s="2">
        <v>1</v>
      </c>
      <c r="BL1418" s="2">
        <v>81.11</v>
      </c>
      <c r="BM1418" s="2">
        <v>11.36</v>
      </c>
      <c r="BN1418" s="2">
        <v>92.47</v>
      </c>
      <c r="BO1418" s="2">
        <v>92.47</v>
      </c>
      <c r="BP1418" s="2"/>
      <c r="BQ1418" s="2" t="s">
        <v>1977</v>
      </c>
      <c r="BR1418" s="2" t="s">
        <v>123</v>
      </c>
      <c r="BS1418" s="3">
        <v>42829</v>
      </c>
      <c r="BT1418" s="4">
        <v>0.4375</v>
      </c>
      <c r="BU1418" s="2" t="s">
        <v>1978</v>
      </c>
      <c r="BV1418" s="2" t="s">
        <v>111</v>
      </c>
      <c r="BW1418" s="2"/>
      <c r="BX1418" s="2"/>
      <c r="BY1418" s="2">
        <v>1200</v>
      </c>
      <c r="BZ1418" s="2" t="s">
        <v>27</v>
      </c>
      <c r="CA1418" s="2" t="s">
        <v>159</v>
      </c>
      <c r="CB1418" s="2"/>
      <c r="CC1418" s="2" t="s">
        <v>538</v>
      </c>
      <c r="CD1418" s="2">
        <v>4339</v>
      </c>
      <c r="CE1418" s="2" t="s">
        <v>118</v>
      </c>
      <c r="CF1418" s="5">
        <v>42831</v>
      </c>
      <c r="CG1418" s="2"/>
      <c r="CH1418" s="2"/>
      <c r="CI1418" s="2">
        <v>1</v>
      </c>
      <c r="CJ1418" s="2">
        <v>1</v>
      </c>
      <c r="CK1418" s="2">
        <v>23</v>
      </c>
      <c r="CL1418" s="2" t="s">
        <v>86</v>
      </c>
      <c r="CM1418" s="2"/>
    </row>
    <row r="1419" spans="1:91">
      <c r="A1419" s="2" t="s">
        <v>71</v>
      </c>
      <c r="B1419" s="2" t="s">
        <v>72</v>
      </c>
      <c r="C1419" s="2" t="s">
        <v>73</v>
      </c>
      <c r="D1419" s="2"/>
      <c r="E1419" s="2" t="str">
        <f>"FES1162542348"</f>
        <v>FES1162542348</v>
      </c>
      <c r="F1419" s="3">
        <v>42832</v>
      </c>
      <c r="G1419" s="2">
        <v>201710</v>
      </c>
      <c r="H1419" s="2" t="s">
        <v>74</v>
      </c>
      <c r="I1419" s="2" t="s">
        <v>75</v>
      </c>
      <c r="J1419" s="2" t="s">
        <v>76</v>
      </c>
      <c r="K1419" s="2" t="s">
        <v>77</v>
      </c>
      <c r="L1419" s="2" t="s">
        <v>131</v>
      </c>
      <c r="M1419" s="2" t="s">
        <v>132</v>
      </c>
      <c r="N1419" s="2" t="s">
        <v>384</v>
      </c>
      <c r="O1419" s="2" t="s">
        <v>115</v>
      </c>
      <c r="P1419" s="2" t="str">
        <f>"2170561232                    "</f>
        <v xml:space="preserve">2170561232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5.36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1</v>
      </c>
      <c r="BI1419" s="2">
        <v>1.5</v>
      </c>
      <c r="BJ1419" s="2">
        <v>2.2000000000000002</v>
      </c>
      <c r="BK1419" s="2">
        <v>2.5</v>
      </c>
      <c r="BL1419" s="2">
        <v>52.16</v>
      </c>
      <c r="BM1419" s="2">
        <v>7.3</v>
      </c>
      <c r="BN1419" s="2">
        <v>59.46</v>
      </c>
      <c r="BO1419" s="2">
        <v>59.46</v>
      </c>
      <c r="BP1419" s="2"/>
      <c r="BQ1419" s="2" t="s">
        <v>1272</v>
      </c>
      <c r="BR1419" s="2" t="s">
        <v>123</v>
      </c>
      <c r="BS1419" s="3">
        <v>42835</v>
      </c>
      <c r="BT1419" s="4">
        <v>0.40763888888888888</v>
      </c>
      <c r="BU1419" s="2" t="s">
        <v>1273</v>
      </c>
      <c r="BV1419" s="2" t="s">
        <v>111</v>
      </c>
      <c r="BW1419" s="2"/>
      <c r="BX1419" s="2"/>
      <c r="BY1419" s="2">
        <v>11072.25</v>
      </c>
      <c r="BZ1419" s="2" t="s">
        <v>27</v>
      </c>
      <c r="CA1419" s="2"/>
      <c r="CB1419" s="2"/>
      <c r="CC1419" s="2" t="s">
        <v>132</v>
      </c>
      <c r="CD1419" s="2">
        <v>7530</v>
      </c>
      <c r="CE1419" s="2" t="s">
        <v>144</v>
      </c>
      <c r="CF1419" s="5">
        <v>42836</v>
      </c>
      <c r="CG1419" s="2"/>
      <c r="CH1419" s="2"/>
      <c r="CI1419" s="2">
        <v>1</v>
      </c>
      <c r="CJ1419" s="2">
        <v>1</v>
      </c>
      <c r="CK1419" s="2">
        <v>21</v>
      </c>
      <c r="CL1419" s="2" t="s">
        <v>86</v>
      </c>
      <c r="CM1419" s="2"/>
    </row>
    <row r="1420" spans="1:91">
      <c r="A1420" s="2" t="s">
        <v>71</v>
      </c>
      <c r="B1420" s="2" t="s">
        <v>72</v>
      </c>
      <c r="C1420" s="2" t="s">
        <v>73</v>
      </c>
      <c r="D1420" s="2"/>
      <c r="E1420" s="2" t="str">
        <f>"FES1162541082"</f>
        <v>FES1162541082</v>
      </c>
      <c r="F1420" s="3">
        <v>42828</v>
      </c>
      <c r="G1420" s="2">
        <v>201710</v>
      </c>
      <c r="H1420" s="2" t="s">
        <v>74</v>
      </c>
      <c r="I1420" s="2" t="s">
        <v>75</v>
      </c>
      <c r="J1420" s="2" t="s">
        <v>76</v>
      </c>
      <c r="K1420" s="2" t="s">
        <v>77</v>
      </c>
      <c r="L1420" s="2" t="s">
        <v>641</v>
      </c>
      <c r="M1420" s="2" t="s">
        <v>642</v>
      </c>
      <c r="N1420" s="2" t="s">
        <v>643</v>
      </c>
      <c r="O1420" s="2" t="s">
        <v>115</v>
      </c>
      <c r="P1420" s="2" t="str">
        <f>"2170560154                    "</f>
        <v xml:space="preserve">2170560154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20.170000000000002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4.9000000000000004</v>
      </c>
      <c r="BJ1420" s="2">
        <v>2</v>
      </c>
      <c r="BK1420" s="2">
        <v>5</v>
      </c>
      <c r="BL1420" s="2">
        <v>190.99</v>
      </c>
      <c r="BM1420" s="2">
        <v>26.74</v>
      </c>
      <c r="BN1420" s="2">
        <v>217.73</v>
      </c>
      <c r="BO1420" s="2">
        <v>217.73</v>
      </c>
      <c r="BP1420" s="2"/>
      <c r="BQ1420" s="2" t="s">
        <v>83</v>
      </c>
      <c r="BR1420" s="2" t="s">
        <v>123</v>
      </c>
      <c r="BS1420" s="3">
        <v>42829</v>
      </c>
      <c r="BT1420" s="4">
        <v>0.64930555555555558</v>
      </c>
      <c r="BU1420" s="2" t="s">
        <v>1894</v>
      </c>
      <c r="BV1420" s="2" t="s">
        <v>111</v>
      </c>
      <c r="BW1420" s="2"/>
      <c r="BX1420" s="2"/>
      <c r="BY1420" s="2">
        <v>9918</v>
      </c>
      <c r="BZ1420" s="2" t="s">
        <v>27</v>
      </c>
      <c r="CA1420" s="2"/>
      <c r="CB1420" s="2"/>
      <c r="CC1420" s="2" t="s">
        <v>642</v>
      </c>
      <c r="CD1420" s="2">
        <v>6300</v>
      </c>
      <c r="CE1420" s="2" t="s">
        <v>89</v>
      </c>
      <c r="CF1420" s="5">
        <v>42831</v>
      </c>
      <c r="CG1420" s="2"/>
      <c r="CH1420" s="2"/>
      <c r="CI1420" s="2">
        <v>3</v>
      </c>
      <c r="CJ1420" s="2">
        <v>1</v>
      </c>
      <c r="CK1420" s="2">
        <v>23</v>
      </c>
      <c r="CL1420" s="2" t="s">
        <v>86</v>
      </c>
      <c r="CM1420" s="2"/>
    </row>
    <row r="1421" spans="1:91">
      <c r="A1421" s="2" t="s">
        <v>71</v>
      </c>
      <c r="B1421" s="2" t="s">
        <v>72</v>
      </c>
      <c r="C1421" s="2" t="s">
        <v>73</v>
      </c>
      <c r="D1421" s="2"/>
      <c r="E1421" s="2" t="str">
        <f>"FES1162542477"</f>
        <v>FES1162542477</v>
      </c>
      <c r="F1421" s="3">
        <v>42835</v>
      </c>
      <c r="G1421" s="2">
        <v>201710</v>
      </c>
      <c r="H1421" s="2" t="s">
        <v>74</v>
      </c>
      <c r="I1421" s="2" t="s">
        <v>75</v>
      </c>
      <c r="J1421" s="2" t="s">
        <v>76</v>
      </c>
      <c r="K1421" s="2" t="s">
        <v>77</v>
      </c>
      <c r="L1421" s="2" t="s">
        <v>131</v>
      </c>
      <c r="M1421" s="2" t="s">
        <v>132</v>
      </c>
      <c r="N1421" s="2" t="s">
        <v>411</v>
      </c>
      <c r="O1421" s="2" t="s">
        <v>115</v>
      </c>
      <c r="P1421" s="2" t="str">
        <f>"2170561377                    "</f>
        <v xml:space="preserve">2170561377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4.29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1</v>
      </c>
      <c r="BJ1421" s="2">
        <v>0.2</v>
      </c>
      <c r="BK1421" s="2">
        <v>1</v>
      </c>
      <c r="BL1421" s="2">
        <v>41.73</v>
      </c>
      <c r="BM1421" s="2">
        <v>5.84</v>
      </c>
      <c r="BN1421" s="2">
        <v>47.57</v>
      </c>
      <c r="BO1421" s="2">
        <v>47.57</v>
      </c>
      <c r="BP1421" s="2"/>
      <c r="BQ1421" s="2" t="s">
        <v>129</v>
      </c>
      <c r="BR1421" s="2" t="s">
        <v>123</v>
      </c>
      <c r="BS1421" s="3">
        <v>42836</v>
      </c>
      <c r="BT1421" s="4">
        <v>0.41666666666666669</v>
      </c>
      <c r="BU1421" s="2" t="s">
        <v>1979</v>
      </c>
      <c r="BV1421" s="2" t="s">
        <v>111</v>
      </c>
      <c r="BW1421" s="2"/>
      <c r="BX1421" s="2"/>
      <c r="BY1421" s="2">
        <v>1200</v>
      </c>
      <c r="BZ1421" s="2" t="s">
        <v>27</v>
      </c>
      <c r="CA1421" s="2" t="s">
        <v>159</v>
      </c>
      <c r="CB1421" s="2"/>
      <c r="CC1421" s="2" t="s">
        <v>132</v>
      </c>
      <c r="CD1421" s="2">
        <v>7460</v>
      </c>
      <c r="CE1421" s="2" t="s">
        <v>144</v>
      </c>
      <c r="CF1421" s="5">
        <v>42837</v>
      </c>
      <c r="CG1421" s="2"/>
      <c r="CH1421" s="2"/>
      <c r="CI1421" s="2">
        <v>1</v>
      </c>
      <c r="CJ1421" s="2">
        <v>1</v>
      </c>
      <c r="CK1421" s="2">
        <v>21</v>
      </c>
      <c r="CL1421" s="2" t="s">
        <v>86</v>
      </c>
      <c r="CM1421" s="2"/>
    </row>
    <row r="1422" spans="1:91">
      <c r="A1422" s="2" t="s">
        <v>71</v>
      </c>
      <c r="B1422" s="2" t="s">
        <v>72</v>
      </c>
      <c r="C1422" s="2" t="s">
        <v>73</v>
      </c>
      <c r="D1422" s="2"/>
      <c r="E1422" s="2" t="str">
        <f>"FES1162541158"</f>
        <v>FES1162541158</v>
      </c>
      <c r="F1422" s="3">
        <v>42828</v>
      </c>
      <c r="G1422" s="2">
        <v>201710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187</v>
      </c>
      <c r="M1422" s="2" t="s">
        <v>146</v>
      </c>
      <c r="N1422" s="2" t="s">
        <v>1577</v>
      </c>
      <c r="O1422" s="2" t="s">
        <v>115</v>
      </c>
      <c r="P1422" s="2" t="str">
        <f>"2170560252                    "</f>
        <v xml:space="preserve">2170560252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4.42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1</v>
      </c>
      <c r="BJ1422" s="2">
        <v>0.2</v>
      </c>
      <c r="BK1422" s="2">
        <v>1</v>
      </c>
      <c r="BL1422" s="2">
        <v>41.86</v>
      </c>
      <c r="BM1422" s="2">
        <v>5.86</v>
      </c>
      <c r="BN1422" s="2">
        <v>47.72</v>
      </c>
      <c r="BO1422" s="2">
        <v>47.72</v>
      </c>
      <c r="BP1422" s="2"/>
      <c r="BQ1422" s="2" t="s">
        <v>1578</v>
      </c>
      <c r="BR1422" s="2" t="s">
        <v>123</v>
      </c>
      <c r="BS1422" s="3">
        <v>42829</v>
      </c>
      <c r="BT1422" s="4">
        <v>0.43055555555555558</v>
      </c>
      <c r="BU1422" s="2" t="s">
        <v>175</v>
      </c>
      <c r="BV1422" s="2" t="s">
        <v>111</v>
      </c>
      <c r="BW1422" s="2"/>
      <c r="BX1422" s="2"/>
      <c r="BY1422" s="2">
        <v>1200</v>
      </c>
      <c r="BZ1422" s="2" t="s">
        <v>27</v>
      </c>
      <c r="CA1422" s="2"/>
      <c r="CB1422" s="2"/>
      <c r="CC1422" s="2" t="s">
        <v>146</v>
      </c>
      <c r="CD1422" s="2">
        <v>200</v>
      </c>
      <c r="CE1422" s="2" t="s">
        <v>118</v>
      </c>
      <c r="CF1422" s="5">
        <v>42832</v>
      </c>
      <c r="CG1422" s="2"/>
      <c r="CH1422" s="2"/>
      <c r="CI1422" s="2">
        <v>0</v>
      </c>
      <c r="CJ1422" s="2">
        <v>0</v>
      </c>
      <c r="CK1422" s="2">
        <v>21</v>
      </c>
      <c r="CL1422" s="2" t="s">
        <v>86</v>
      </c>
      <c r="CM1422" s="2"/>
    </row>
    <row r="1423" spans="1:91">
      <c r="A1423" s="2" t="s">
        <v>71</v>
      </c>
      <c r="B1423" s="2" t="s">
        <v>72</v>
      </c>
      <c r="C1423" s="2" t="s">
        <v>73</v>
      </c>
      <c r="D1423" s="2"/>
      <c r="E1423" s="2" t="str">
        <f>"FES1162542304"</f>
        <v>FES1162542304</v>
      </c>
      <c r="F1423" s="3">
        <v>42832</v>
      </c>
      <c r="G1423" s="2">
        <v>201710</v>
      </c>
      <c r="H1423" s="2" t="s">
        <v>74</v>
      </c>
      <c r="I1423" s="2" t="s">
        <v>75</v>
      </c>
      <c r="J1423" s="2" t="s">
        <v>76</v>
      </c>
      <c r="K1423" s="2" t="s">
        <v>77</v>
      </c>
      <c r="L1423" s="2" t="s">
        <v>126</v>
      </c>
      <c r="M1423" s="2" t="s">
        <v>127</v>
      </c>
      <c r="N1423" s="2" t="s">
        <v>718</v>
      </c>
      <c r="O1423" s="2" t="s">
        <v>115</v>
      </c>
      <c r="P1423" s="2" t="str">
        <f>"2170561193                    "</f>
        <v xml:space="preserve">2170561193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4.29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1</v>
      </c>
      <c r="BJ1423" s="2">
        <v>0.2</v>
      </c>
      <c r="BK1423" s="2">
        <v>1</v>
      </c>
      <c r="BL1423" s="2">
        <v>41.73</v>
      </c>
      <c r="BM1423" s="2">
        <v>5.84</v>
      </c>
      <c r="BN1423" s="2">
        <v>47.57</v>
      </c>
      <c r="BO1423" s="2">
        <v>47.57</v>
      </c>
      <c r="BP1423" s="2"/>
      <c r="BQ1423" s="2" t="s">
        <v>719</v>
      </c>
      <c r="BR1423" s="2" t="s">
        <v>123</v>
      </c>
      <c r="BS1423" s="3">
        <v>42835</v>
      </c>
      <c r="BT1423" s="4">
        <v>0.41666666666666669</v>
      </c>
      <c r="BU1423" s="2" t="s">
        <v>1980</v>
      </c>
      <c r="BV1423" s="2" t="s">
        <v>111</v>
      </c>
      <c r="BW1423" s="2"/>
      <c r="BX1423" s="2"/>
      <c r="BY1423" s="2">
        <v>1200</v>
      </c>
      <c r="BZ1423" s="2" t="s">
        <v>27</v>
      </c>
      <c r="CA1423" s="2"/>
      <c r="CB1423" s="2"/>
      <c r="CC1423" s="2" t="s">
        <v>127</v>
      </c>
      <c r="CD1423" s="2">
        <v>6850</v>
      </c>
      <c r="CE1423" s="2" t="s">
        <v>144</v>
      </c>
      <c r="CF1423" s="5">
        <v>42836</v>
      </c>
      <c r="CG1423" s="2"/>
      <c r="CH1423" s="2"/>
      <c r="CI1423" s="2">
        <v>3</v>
      </c>
      <c r="CJ1423" s="2">
        <v>1</v>
      </c>
      <c r="CK1423" s="2">
        <v>21</v>
      </c>
      <c r="CL1423" s="2" t="s">
        <v>86</v>
      </c>
      <c r="CM1423" s="2"/>
    </row>
    <row r="1424" spans="1:91">
      <c r="A1424" s="2" t="s">
        <v>71</v>
      </c>
      <c r="B1424" s="2" t="s">
        <v>72</v>
      </c>
      <c r="C1424" s="2" t="s">
        <v>73</v>
      </c>
      <c r="D1424" s="2"/>
      <c r="E1424" s="2" t="str">
        <f>"FES1162541191"</f>
        <v>FES1162541191</v>
      </c>
      <c r="F1424" s="3">
        <v>42828</v>
      </c>
      <c r="G1424" s="2">
        <v>201710</v>
      </c>
      <c r="H1424" s="2" t="s">
        <v>74</v>
      </c>
      <c r="I1424" s="2" t="s">
        <v>75</v>
      </c>
      <c r="J1424" s="2" t="s">
        <v>76</v>
      </c>
      <c r="K1424" s="2" t="s">
        <v>77</v>
      </c>
      <c r="L1424" s="2" t="s">
        <v>176</v>
      </c>
      <c r="M1424" s="2" t="s">
        <v>176</v>
      </c>
      <c r="N1424" s="2" t="s">
        <v>177</v>
      </c>
      <c r="O1424" s="2" t="s">
        <v>115</v>
      </c>
      <c r="P1424" s="2" t="str">
        <f>"2170560060                    "</f>
        <v xml:space="preserve">2170560060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4.42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1</v>
      </c>
      <c r="BJ1424" s="2">
        <v>0.2</v>
      </c>
      <c r="BK1424" s="2">
        <v>1</v>
      </c>
      <c r="BL1424" s="2">
        <v>41.86</v>
      </c>
      <c r="BM1424" s="2">
        <v>5.86</v>
      </c>
      <c r="BN1424" s="2">
        <v>47.72</v>
      </c>
      <c r="BO1424" s="2">
        <v>47.72</v>
      </c>
      <c r="BP1424" s="2"/>
      <c r="BQ1424" s="2" t="s">
        <v>178</v>
      </c>
      <c r="BR1424" s="2" t="s">
        <v>123</v>
      </c>
      <c r="BS1424" s="3">
        <v>42829</v>
      </c>
      <c r="BT1424" s="4">
        <v>0.54513888888888895</v>
      </c>
      <c r="BU1424" s="2" t="s">
        <v>1718</v>
      </c>
      <c r="BV1424" s="2" t="s">
        <v>111</v>
      </c>
      <c r="BW1424" s="2"/>
      <c r="BX1424" s="2"/>
      <c r="BY1424" s="2">
        <v>1200</v>
      </c>
      <c r="BZ1424" s="2" t="s">
        <v>27</v>
      </c>
      <c r="CA1424" s="2"/>
      <c r="CB1424" s="2"/>
      <c r="CC1424" s="2" t="s">
        <v>176</v>
      </c>
      <c r="CD1424" s="2">
        <v>7646</v>
      </c>
      <c r="CE1424" s="2" t="s">
        <v>118</v>
      </c>
      <c r="CF1424" s="5">
        <v>42830</v>
      </c>
      <c r="CG1424" s="2"/>
      <c r="CH1424" s="2"/>
      <c r="CI1424" s="2">
        <v>1</v>
      </c>
      <c r="CJ1424" s="2">
        <v>1</v>
      </c>
      <c r="CK1424" s="2">
        <v>21</v>
      </c>
      <c r="CL1424" s="2" t="s">
        <v>86</v>
      </c>
      <c r="CM1424" s="2"/>
    </row>
    <row r="1425" spans="1:91">
      <c r="A1425" s="2" t="s">
        <v>71</v>
      </c>
      <c r="B1425" s="2" t="s">
        <v>72</v>
      </c>
      <c r="C1425" s="2" t="s">
        <v>73</v>
      </c>
      <c r="D1425" s="2"/>
      <c r="E1425" s="2" t="str">
        <f>"FES1162542504"</f>
        <v>FES1162542504</v>
      </c>
      <c r="F1425" s="3">
        <v>42835</v>
      </c>
      <c r="G1425" s="2">
        <v>201710</v>
      </c>
      <c r="H1425" s="2" t="s">
        <v>74</v>
      </c>
      <c r="I1425" s="2" t="s">
        <v>75</v>
      </c>
      <c r="J1425" s="2" t="s">
        <v>76</v>
      </c>
      <c r="K1425" s="2" t="s">
        <v>77</v>
      </c>
      <c r="L1425" s="2" t="s">
        <v>74</v>
      </c>
      <c r="M1425" s="2" t="s">
        <v>75</v>
      </c>
      <c r="N1425" s="2" t="s">
        <v>1475</v>
      </c>
      <c r="O1425" s="2" t="s">
        <v>115</v>
      </c>
      <c r="P1425" s="2" t="str">
        <f>"2170560809                    "</f>
        <v xml:space="preserve">2170560809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3.35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2</v>
      </c>
      <c r="BJ1425" s="2">
        <v>0.2</v>
      </c>
      <c r="BK1425" s="2">
        <v>2</v>
      </c>
      <c r="BL1425" s="2">
        <v>32.6</v>
      </c>
      <c r="BM1425" s="2">
        <v>4.5599999999999996</v>
      </c>
      <c r="BN1425" s="2">
        <v>37.159999999999997</v>
      </c>
      <c r="BO1425" s="2">
        <v>37.159999999999997</v>
      </c>
      <c r="BP1425" s="2"/>
      <c r="BQ1425" s="2" t="s">
        <v>1476</v>
      </c>
      <c r="BR1425" s="2" t="s">
        <v>123</v>
      </c>
      <c r="BS1425" s="3">
        <v>42836</v>
      </c>
      <c r="BT1425" s="4">
        <v>0.31597222222222221</v>
      </c>
      <c r="BU1425" s="2" t="s">
        <v>175</v>
      </c>
      <c r="BV1425" s="2" t="s">
        <v>111</v>
      </c>
      <c r="BW1425" s="2"/>
      <c r="BX1425" s="2"/>
      <c r="BY1425" s="2">
        <v>1200</v>
      </c>
      <c r="BZ1425" s="2" t="s">
        <v>27</v>
      </c>
      <c r="CA1425" s="2"/>
      <c r="CB1425" s="2"/>
      <c r="CC1425" s="2" t="s">
        <v>75</v>
      </c>
      <c r="CD1425" s="2">
        <v>1665</v>
      </c>
      <c r="CE1425" s="2" t="s">
        <v>118</v>
      </c>
      <c r="CF1425" s="5">
        <v>42838</v>
      </c>
      <c r="CG1425" s="2"/>
      <c r="CH1425" s="2"/>
      <c r="CI1425" s="2">
        <v>1</v>
      </c>
      <c r="CJ1425" s="2">
        <v>1</v>
      </c>
      <c r="CK1425" s="2">
        <v>22</v>
      </c>
      <c r="CL1425" s="2" t="s">
        <v>86</v>
      </c>
      <c r="CM1425" s="2"/>
    </row>
    <row r="1426" spans="1:91">
      <c r="A1426" s="2" t="s">
        <v>71</v>
      </c>
      <c r="B1426" s="2" t="s">
        <v>72</v>
      </c>
      <c r="C1426" s="2" t="s">
        <v>73</v>
      </c>
      <c r="D1426" s="2"/>
      <c r="E1426" s="2" t="str">
        <f>"FES1162541178"</f>
        <v>FES1162541178</v>
      </c>
      <c r="F1426" s="3">
        <v>42828</v>
      </c>
      <c r="G1426" s="2">
        <v>201710</v>
      </c>
      <c r="H1426" s="2" t="s">
        <v>74</v>
      </c>
      <c r="I1426" s="2" t="s">
        <v>75</v>
      </c>
      <c r="J1426" s="2" t="s">
        <v>76</v>
      </c>
      <c r="K1426" s="2" t="s">
        <v>77</v>
      </c>
      <c r="L1426" s="2" t="s">
        <v>180</v>
      </c>
      <c r="M1426" s="2" t="s">
        <v>181</v>
      </c>
      <c r="N1426" s="2" t="s">
        <v>1981</v>
      </c>
      <c r="O1426" s="2" t="s">
        <v>115</v>
      </c>
      <c r="P1426" s="2" t="str">
        <f>"2170560279                    "</f>
        <v xml:space="preserve">2170560279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4.42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1</v>
      </c>
      <c r="BJ1426" s="2">
        <v>0.2</v>
      </c>
      <c r="BK1426" s="2">
        <v>1</v>
      </c>
      <c r="BL1426" s="2">
        <v>41.86</v>
      </c>
      <c r="BM1426" s="2">
        <v>5.86</v>
      </c>
      <c r="BN1426" s="2">
        <v>47.72</v>
      </c>
      <c r="BO1426" s="2">
        <v>47.72</v>
      </c>
      <c r="BP1426" s="2"/>
      <c r="BQ1426" s="2" t="s">
        <v>129</v>
      </c>
      <c r="BR1426" s="2" t="s">
        <v>123</v>
      </c>
      <c r="BS1426" s="3">
        <v>42829</v>
      </c>
      <c r="BT1426" s="4">
        <v>0.4375</v>
      </c>
      <c r="BU1426" s="2" t="s">
        <v>1385</v>
      </c>
      <c r="BV1426" s="2" t="s">
        <v>111</v>
      </c>
      <c r="BW1426" s="2"/>
      <c r="BX1426" s="2"/>
      <c r="BY1426" s="2">
        <v>1200</v>
      </c>
      <c r="BZ1426" s="2" t="s">
        <v>27</v>
      </c>
      <c r="CA1426" s="2"/>
      <c r="CB1426" s="2"/>
      <c r="CC1426" s="2" t="s">
        <v>181</v>
      </c>
      <c r="CD1426" s="2">
        <v>4001</v>
      </c>
      <c r="CE1426" s="2" t="s">
        <v>118</v>
      </c>
      <c r="CF1426" s="5">
        <v>42831</v>
      </c>
      <c r="CG1426" s="2"/>
      <c r="CH1426" s="2"/>
      <c r="CI1426" s="2">
        <v>1</v>
      </c>
      <c r="CJ1426" s="2">
        <v>1</v>
      </c>
      <c r="CK1426" s="2">
        <v>21</v>
      </c>
      <c r="CL1426" s="2" t="s">
        <v>86</v>
      </c>
      <c r="CM1426" s="2"/>
    </row>
    <row r="1427" spans="1:91">
      <c r="A1427" s="2" t="s">
        <v>71</v>
      </c>
      <c r="B1427" s="2" t="s">
        <v>72</v>
      </c>
      <c r="C1427" s="2" t="s">
        <v>73</v>
      </c>
      <c r="D1427" s="2"/>
      <c r="E1427" s="2" t="str">
        <f>"FES1162542430"</f>
        <v>FES1162542430</v>
      </c>
      <c r="F1427" s="3">
        <v>42832</v>
      </c>
      <c r="G1427" s="2">
        <v>201710</v>
      </c>
      <c r="H1427" s="2" t="s">
        <v>74</v>
      </c>
      <c r="I1427" s="2" t="s">
        <v>75</v>
      </c>
      <c r="J1427" s="2" t="s">
        <v>76</v>
      </c>
      <c r="K1427" s="2" t="s">
        <v>77</v>
      </c>
      <c r="L1427" s="2" t="s">
        <v>180</v>
      </c>
      <c r="M1427" s="2" t="s">
        <v>181</v>
      </c>
      <c r="N1427" s="2" t="s">
        <v>1982</v>
      </c>
      <c r="O1427" s="2" t="s">
        <v>115</v>
      </c>
      <c r="P1427" s="2" t="str">
        <f>"2170561320                    "</f>
        <v xml:space="preserve">2170561320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4.29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1</v>
      </c>
      <c r="BJ1427" s="2">
        <v>0.2</v>
      </c>
      <c r="BK1427" s="2">
        <v>1</v>
      </c>
      <c r="BL1427" s="2">
        <v>41.73</v>
      </c>
      <c r="BM1427" s="2">
        <v>5.84</v>
      </c>
      <c r="BN1427" s="2">
        <v>47.57</v>
      </c>
      <c r="BO1427" s="2">
        <v>47.57</v>
      </c>
      <c r="BP1427" s="2"/>
      <c r="BQ1427" s="2" t="s">
        <v>1983</v>
      </c>
      <c r="BR1427" s="2" t="s">
        <v>123</v>
      </c>
      <c r="BS1427" s="3">
        <v>42835</v>
      </c>
      <c r="BT1427" s="4">
        <v>0.4375</v>
      </c>
      <c r="BU1427" s="2" t="s">
        <v>245</v>
      </c>
      <c r="BV1427" s="2" t="s">
        <v>111</v>
      </c>
      <c r="BW1427" s="2"/>
      <c r="BX1427" s="2"/>
      <c r="BY1427" s="2">
        <v>1200</v>
      </c>
      <c r="BZ1427" s="2" t="s">
        <v>27</v>
      </c>
      <c r="CA1427" s="2"/>
      <c r="CB1427" s="2"/>
      <c r="CC1427" s="2" t="s">
        <v>181</v>
      </c>
      <c r="CD1427" s="2">
        <v>4051</v>
      </c>
      <c r="CE1427" s="2" t="s">
        <v>144</v>
      </c>
      <c r="CF1427" s="5">
        <v>42836</v>
      </c>
      <c r="CG1427" s="2"/>
      <c r="CH1427" s="2"/>
      <c r="CI1427" s="2">
        <v>1</v>
      </c>
      <c r="CJ1427" s="2">
        <v>1</v>
      </c>
      <c r="CK1427" s="2">
        <v>21</v>
      </c>
      <c r="CL1427" s="2" t="s">
        <v>86</v>
      </c>
      <c r="CM1427" s="2"/>
    </row>
    <row r="1428" spans="1:91">
      <c r="A1428" s="2" t="s">
        <v>71</v>
      </c>
      <c r="B1428" s="2" t="s">
        <v>72</v>
      </c>
      <c r="C1428" s="2" t="s">
        <v>73</v>
      </c>
      <c r="D1428" s="2"/>
      <c r="E1428" s="2" t="str">
        <f>"FES1162541133"</f>
        <v>FES1162541133</v>
      </c>
      <c r="F1428" s="3">
        <v>42828</v>
      </c>
      <c r="G1428" s="2">
        <v>201710</v>
      </c>
      <c r="H1428" s="2" t="s">
        <v>74</v>
      </c>
      <c r="I1428" s="2" t="s">
        <v>75</v>
      </c>
      <c r="J1428" s="2" t="s">
        <v>76</v>
      </c>
      <c r="K1428" s="2" t="s">
        <v>77</v>
      </c>
      <c r="L1428" s="2" t="s">
        <v>99</v>
      </c>
      <c r="M1428" s="2" t="s">
        <v>100</v>
      </c>
      <c r="N1428" s="2" t="s">
        <v>108</v>
      </c>
      <c r="O1428" s="2" t="s">
        <v>115</v>
      </c>
      <c r="P1428" s="2" t="str">
        <f>"2170556195                    "</f>
        <v xml:space="preserve">2170556195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15.48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6.7</v>
      </c>
      <c r="BJ1428" s="2">
        <v>2.1</v>
      </c>
      <c r="BK1428" s="2">
        <v>7</v>
      </c>
      <c r="BL1428" s="2">
        <v>146.52000000000001</v>
      </c>
      <c r="BM1428" s="2">
        <v>20.51</v>
      </c>
      <c r="BN1428" s="2">
        <v>167.03</v>
      </c>
      <c r="BO1428" s="2">
        <v>167.03</v>
      </c>
      <c r="BP1428" s="2"/>
      <c r="BQ1428" s="2" t="s">
        <v>109</v>
      </c>
      <c r="BR1428" s="2" t="s">
        <v>123</v>
      </c>
      <c r="BS1428" s="3">
        <v>42829</v>
      </c>
      <c r="BT1428" s="4">
        <v>0.375</v>
      </c>
      <c r="BU1428" s="2" t="s">
        <v>110</v>
      </c>
      <c r="BV1428" s="2" t="s">
        <v>111</v>
      </c>
      <c r="BW1428" s="2"/>
      <c r="BX1428" s="2"/>
      <c r="BY1428" s="2">
        <v>10359.94</v>
      </c>
      <c r="BZ1428" s="2" t="s">
        <v>27</v>
      </c>
      <c r="CA1428" s="2" t="s">
        <v>106</v>
      </c>
      <c r="CB1428" s="2"/>
      <c r="CC1428" s="2" t="s">
        <v>100</v>
      </c>
      <c r="CD1428" s="2">
        <v>6001</v>
      </c>
      <c r="CE1428" s="2" t="s">
        <v>89</v>
      </c>
      <c r="CF1428" s="5">
        <v>42829</v>
      </c>
      <c r="CG1428" s="2"/>
      <c r="CH1428" s="2"/>
      <c r="CI1428" s="2">
        <v>1</v>
      </c>
      <c r="CJ1428" s="2">
        <v>1</v>
      </c>
      <c r="CK1428" s="2">
        <v>21</v>
      </c>
      <c r="CL1428" s="2" t="s">
        <v>86</v>
      </c>
      <c r="CM1428" s="2"/>
    </row>
    <row r="1429" spans="1:91">
      <c r="A1429" s="2" t="s">
        <v>71</v>
      </c>
      <c r="B1429" s="2" t="s">
        <v>72</v>
      </c>
      <c r="C1429" s="2" t="s">
        <v>73</v>
      </c>
      <c r="D1429" s="2"/>
      <c r="E1429" s="2" t="str">
        <f>"FES1162542589"</f>
        <v>FES1162542589</v>
      </c>
      <c r="F1429" s="3">
        <v>42835</v>
      </c>
      <c r="G1429" s="2">
        <v>201710</v>
      </c>
      <c r="H1429" s="2" t="s">
        <v>74</v>
      </c>
      <c r="I1429" s="2" t="s">
        <v>75</v>
      </c>
      <c r="J1429" s="2" t="s">
        <v>76</v>
      </c>
      <c r="K1429" s="2" t="s">
        <v>77</v>
      </c>
      <c r="L1429" s="2" t="s">
        <v>99</v>
      </c>
      <c r="M1429" s="2" t="s">
        <v>100</v>
      </c>
      <c r="N1429" s="2" t="s">
        <v>151</v>
      </c>
      <c r="O1429" s="2" t="s">
        <v>115</v>
      </c>
      <c r="P1429" s="2" t="str">
        <f>"2170561444                    "</f>
        <v xml:space="preserve">2170561444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4.29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1</v>
      </c>
      <c r="BJ1429" s="2">
        <v>0.2</v>
      </c>
      <c r="BK1429" s="2">
        <v>1</v>
      </c>
      <c r="BL1429" s="2">
        <v>41.73</v>
      </c>
      <c r="BM1429" s="2">
        <v>5.84</v>
      </c>
      <c r="BN1429" s="2">
        <v>47.57</v>
      </c>
      <c r="BO1429" s="2">
        <v>47.57</v>
      </c>
      <c r="BP1429" s="2"/>
      <c r="BQ1429" s="2" t="s">
        <v>152</v>
      </c>
      <c r="BR1429" s="2" t="s">
        <v>123</v>
      </c>
      <c r="BS1429" s="3">
        <v>42836</v>
      </c>
      <c r="BT1429" s="4">
        <v>0.34583333333333338</v>
      </c>
      <c r="BU1429" s="2" t="s">
        <v>153</v>
      </c>
      <c r="BV1429" s="2" t="s">
        <v>111</v>
      </c>
      <c r="BW1429" s="2"/>
      <c r="BX1429" s="2"/>
      <c r="BY1429" s="2">
        <v>1200</v>
      </c>
      <c r="BZ1429" s="2" t="s">
        <v>27</v>
      </c>
      <c r="CA1429" s="2" t="s">
        <v>154</v>
      </c>
      <c r="CB1429" s="2"/>
      <c r="CC1429" s="2" t="s">
        <v>100</v>
      </c>
      <c r="CD1429" s="2">
        <v>6001</v>
      </c>
      <c r="CE1429" s="2" t="s">
        <v>144</v>
      </c>
      <c r="CF1429" s="5">
        <v>42836</v>
      </c>
      <c r="CG1429" s="2"/>
      <c r="CH1429" s="2"/>
      <c r="CI1429" s="2">
        <v>1</v>
      </c>
      <c r="CJ1429" s="2">
        <v>1</v>
      </c>
      <c r="CK1429" s="2">
        <v>21</v>
      </c>
      <c r="CL1429" s="2" t="s">
        <v>86</v>
      </c>
      <c r="CM1429" s="2"/>
    </row>
    <row r="1430" spans="1:91">
      <c r="A1430" s="2" t="s">
        <v>71</v>
      </c>
      <c r="B1430" s="2" t="s">
        <v>72</v>
      </c>
      <c r="C1430" s="2" t="s">
        <v>73</v>
      </c>
      <c r="D1430" s="2"/>
      <c r="E1430" s="2" t="str">
        <f>"FES1162541087"</f>
        <v>FES1162541087</v>
      </c>
      <c r="F1430" s="3">
        <v>42828</v>
      </c>
      <c r="G1430" s="2">
        <v>201710</v>
      </c>
      <c r="H1430" s="2" t="s">
        <v>74</v>
      </c>
      <c r="I1430" s="2" t="s">
        <v>75</v>
      </c>
      <c r="J1430" s="2" t="s">
        <v>76</v>
      </c>
      <c r="K1430" s="2" t="s">
        <v>77</v>
      </c>
      <c r="L1430" s="2" t="s">
        <v>220</v>
      </c>
      <c r="M1430" s="2" t="s">
        <v>221</v>
      </c>
      <c r="N1430" s="2" t="s">
        <v>222</v>
      </c>
      <c r="O1430" s="2" t="s">
        <v>115</v>
      </c>
      <c r="P1430" s="2" t="str">
        <f>"2170560167                    "</f>
        <v xml:space="preserve">2170560167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14.37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6.3</v>
      </c>
      <c r="BJ1430" s="2">
        <v>2.7</v>
      </c>
      <c r="BK1430" s="2">
        <v>6.5</v>
      </c>
      <c r="BL1430" s="2">
        <v>136.05000000000001</v>
      </c>
      <c r="BM1430" s="2">
        <v>19.05</v>
      </c>
      <c r="BN1430" s="2">
        <v>155.1</v>
      </c>
      <c r="BO1430" s="2">
        <v>155.1</v>
      </c>
      <c r="BP1430" s="2"/>
      <c r="BQ1430" s="2" t="s">
        <v>223</v>
      </c>
      <c r="BR1430" s="2" t="s">
        <v>123</v>
      </c>
      <c r="BS1430" s="3">
        <v>42829</v>
      </c>
      <c r="BT1430" s="4">
        <v>0.43055555555555558</v>
      </c>
      <c r="BU1430" s="2" t="s">
        <v>367</v>
      </c>
      <c r="BV1430" s="2" t="s">
        <v>111</v>
      </c>
      <c r="BW1430" s="2"/>
      <c r="BX1430" s="2"/>
      <c r="BY1430" s="2">
        <v>13340.85</v>
      </c>
      <c r="BZ1430" s="2" t="s">
        <v>27</v>
      </c>
      <c r="CA1430" s="2"/>
      <c r="CB1430" s="2"/>
      <c r="CC1430" s="2" t="s">
        <v>221</v>
      </c>
      <c r="CD1430" s="2">
        <v>6536</v>
      </c>
      <c r="CE1430" s="2" t="s">
        <v>172</v>
      </c>
      <c r="CF1430" s="5">
        <v>42831</v>
      </c>
      <c r="CG1430" s="2"/>
      <c r="CH1430" s="2"/>
      <c r="CI1430" s="2">
        <v>1</v>
      </c>
      <c r="CJ1430" s="2">
        <v>1</v>
      </c>
      <c r="CK1430" s="2">
        <v>21</v>
      </c>
      <c r="CL1430" s="2" t="s">
        <v>86</v>
      </c>
      <c r="CM1430" s="2"/>
    </row>
    <row r="1431" spans="1:91">
      <c r="A1431" s="2" t="s">
        <v>71</v>
      </c>
      <c r="B1431" s="2" t="s">
        <v>72</v>
      </c>
      <c r="C1431" s="2" t="s">
        <v>73</v>
      </c>
      <c r="D1431" s="2"/>
      <c r="E1431" s="2" t="str">
        <f>"FES1162542352"</f>
        <v>FES1162542352</v>
      </c>
      <c r="F1431" s="3">
        <v>42832</v>
      </c>
      <c r="G1431" s="2">
        <v>201710</v>
      </c>
      <c r="H1431" s="2" t="s">
        <v>74</v>
      </c>
      <c r="I1431" s="2" t="s">
        <v>75</v>
      </c>
      <c r="J1431" s="2" t="s">
        <v>76</v>
      </c>
      <c r="K1431" s="2" t="s">
        <v>77</v>
      </c>
      <c r="L1431" s="2" t="s">
        <v>180</v>
      </c>
      <c r="M1431" s="2" t="s">
        <v>181</v>
      </c>
      <c r="N1431" s="2" t="s">
        <v>1984</v>
      </c>
      <c r="O1431" s="2" t="s">
        <v>115</v>
      </c>
      <c r="P1431" s="2" t="str">
        <f>"2170561242                    "</f>
        <v xml:space="preserve">2170561242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4.29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1</v>
      </c>
      <c r="BJ1431" s="2">
        <v>0.2</v>
      </c>
      <c r="BK1431" s="2">
        <v>1</v>
      </c>
      <c r="BL1431" s="2">
        <v>41.73</v>
      </c>
      <c r="BM1431" s="2">
        <v>5.84</v>
      </c>
      <c r="BN1431" s="2">
        <v>47.57</v>
      </c>
      <c r="BO1431" s="2">
        <v>47.57</v>
      </c>
      <c r="BP1431" s="2"/>
      <c r="BQ1431" s="2" t="s">
        <v>1985</v>
      </c>
      <c r="BR1431" s="2" t="s">
        <v>123</v>
      </c>
      <c r="BS1431" s="3">
        <v>42835</v>
      </c>
      <c r="BT1431" s="4">
        <v>0.4375</v>
      </c>
      <c r="BU1431" s="2" t="s">
        <v>1986</v>
      </c>
      <c r="BV1431" s="2" t="s">
        <v>111</v>
      </c>
      <c r="BW1431" s="2"/>
      <c r="BX1431" s="2"/>
      <c r="BY1431" s="2">
        <v>1200</v>
      </c>
      <c r="BZ1431" s="2" t="s">
        <v>27</v>
      </c>
      <c r="CA1431" s="2"/>
      <c r="CB1431" s="2"/>
      <c r="CC1431" s="2" t="s">
        <v>181</v>
      </c>
      <c r="CD1431" s="2">
        <v>4058</v>
      </c>
      <c r="CE1431" s="2" t="s">
        <v>144</v>
      </c>
      <c r="CF1431" s="5">
        <v>42836</v>
      </c>
      <c r="CG1431" s="2"/>
      <c r="CH1431" s="2"/>
      <c r="CI1431" s="2">
        <v>1</v>
      </c>
      <c r="CJ1431" s="2">
        <v>1</v>
      </c>
      <c r="CK1431" s="2">
        <v>21</v>
      </c>
      <c r="CL1431" s="2" t="s">
        <v>86</v>
      </c>
      <c r="CM1431" s="2"/>
    </row>
    <row r="1432" spans="1:91">
      <c r="A1432" s="2" t="s">
        <v>71</v>
      </c>
      <c r="B1432" s="2" t="s">
        <v>72</v>
      </c>
      <c r="C1432" s="2" t="s">
        <v>73</v>
      </c>
      <c r="D1432" s="2"/>
      <c r="E1432" s="2" t="str">
        <f>"FES1162542569"</f>
        <v>FES1162542569</v>
      </c>
      <c r="F1432" s="3">
        <v>42835</v>
      </c>
      <c r="G1432" s="2">
        <v>201710</v>
      </c>
      <c r="H1432" s="2" t="s">
        <v>74</v>
      </c>
      <c r="I1432" s="2" t="s">
        <v>75</v>
      </c>
      <c r="J1432" s="2" t="s">
        <v>76</v>
      </c>
      <c r="K1432" s="2" t="s">
        <v>77</v>
      </c>
      <c r="L1432" s="2" t="s">
        <v>180</v>
      </c>
      <c r="M1432" s="2" t="s">
        <v>181</v>
      </c>
      <c r="N1432" s="2" t="s">
        <v>931</v>
      </c>
      <c r="O1432" s="2" t="s">
        <v>115</v>
      </c>
      <c r="P1432" s="2" t="str">
        <f>"2170556094                    "</f>
        <v xml:space="preserve">2170556094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41.8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4</v>
      </c>
      <c r="BI1432" s="2">
        <v>13</v>
      </c>
      <c r="BJ1432" s="2">
        <v>19.2</v>
      </c>
      <c r="BK1432" s="2">
        <v>19.5</v>
      </c>
      <c r="BL1432" s="2">
        <v>406.84</v>
      </c>
      <c r="BM1432" s="2">
        <v>56.96</v>
      </c>
      <c r="BN1432" s="2">
        <v>463.8</v>
      </c>
      <c r="BO1432" s="2">
        <v>463.8</v>
      </c>
      <c r="BP1432" s="2"/>
      <c r="BQ1432" s="2" t="s">
        <v>932</v>
      </c>
      <c r="BR1432" s="2" t="s">
        <v>123</v>
      </c>
      <c r="BS1432" s="3">
        <v>42836</v>
      </c>
      <c r="BT1432" s="4">
        <v>0.36944444444444446</v>
      </c>
      <c r="BU1432" s="2" t="s">
        <v>266</v>
      </c>
      <c r="BV1432" s="2" t="s">
        <v>111</v>
      </c>
      <c r="BW1432" s="2"/>
      <c r="BX1432" s="2"/>
      <c r="BY1432" s="2">
        <v>95827.25</v>
      </c>
      <c r="BZ1432" s="2" t="s">
        <v>27</v>
      </c>
      <c r="CA1432" s="2"/>
      <c r="CB1432" s="2"/>
      <c r="CC1432" s="2" t="s">
        <v>181</v>
      </c>
      <c r="CD1432" s="2">
        <v>4072</v>
      </c>
      <c r="CE1432" s="2" t="s">
        <v>1987</v>
      </c>
      <c r="CF1432" s="5">
        <v>42837</v>
      </c>
      <c r="CG1432" s="2"/>
      <c r="CH1432" s="2"/>
      <c r="CI1432" s="2">
        <v>1</v>
      </c>
      <c r="CJ1432" s="2">
        <v>1</v>
      </c>
      <c r="CK1432" s="2">
        <v>21</v>
      </c>
      <c r="CL1432" s="2" t="s">
        <v>86</v>
      </c>
      <c r="CM1432" s="2"/>
    </row>
    <row r="1433" spans="1:91">
      <c r="A1433" s="2" t="s">
        <v>71</v>
      </c>
      <c r="B1433" s="2" t="s">
        <v>72</v>
      </c>
      <c r="C1433" s="2" t="s">
        <v>73</v>
      </c>
      <c r="D1433" s="2"/>
      <c r="E1433" s="2" t="str">
        <f>"FES1162542368"</f>
        <v>FES1162542368</v>
      </c>
      <c r="F1433" s="3">
        <v>42832</v>
      </c>
      <c r="G1433" s="2">
        <v>201710</v>
      </c>
      <c r="H1433" s="2" t="s">
        <v>74</v>
      </c>
      <c r="I1433" s="2" t="s">
        <v>75</v>
      </c>
      <c r="J1433" s="2" t="s">
        <v>76</v>
      </c>
      <c r="K1433" s="2" t="s">
        <v>77</v>
      </c>
      <c r="L1433" s="2" t="s">
        <v>220</v>
      </c>
      <c r="M1433" s="2" t="s">
        <v>221</v>
      </c>
      <c r="N1433" s="2" t="s">
        <v>222</v>
      </c>
      <c r="O1433" s="2" t="s">
        <v>115</v>
      </c>
      <c r="P1433" s="2" t="str">
        <f>"2170561253                    "</f>
        <v xml:space="preserve">2170561253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4.29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1</v>
      </c>
      <c r="BJ1433" s="2">
        <v>0.2</v>
      </c>
      <c r="BK1433" s="2">
        <v>1</v>
      </c>
      <c r="BL1433" s="2">
        <v>41.73</v>
      </c>
      <c r="BM1433" s="2">
        <v>5.84</v>
      </c>
      <c r="BN1433" s="2">
        <v>47.57</v>
      </c>
      <c r="BO1433" s="2">
        <v>47.57</v>
      </c>
      <c r="BP1433" s="2"/>
      <c r="BQ1433" s="2" t="s">
        <v>223</v>
      </c>
      <c r="BR1433" s="2" t="s">
        <v>123</v>
      </c>
      <c r="BS1433" s="3">
        <v>42835</v>
      </c>
      <c r="BT1433" s="4">
        <v>0.43124999999999997</v>
      </c>
      <c r="BU1433" s="2" t="s">
        <v>1968</v>
      </c>
      <c r="BV1433" s="2" t="s">
        <v>111</v>
      </c>
      <c r="BW1433" s="2"/>
      <c r="BX1433" s="2"/>
      <c r="BY1433" s="2">
        <v>1200</v>
      </c>
      <c r="BZ1433" s="2" t="s">
        <v>27</v>
      </c>
      <c r="CA1433" s="2"/>
      <c r="CB1433" s="2"/>
      <c r="CC1433" s="2" t="s">
        <v>221</v>
      </c>
      <c r="CD1433" s="2">
        <v>6536</v>
      </c>
      <c r="CE1433" s="2" t="s">
        <v>144</v>
      </c>
      <c r="CF1433" s="5">
        <v>42836</v>
      </c>
      <c r="CG1433" s="2"/>
      <c r="CH1433" s="2"/>
      <c r="CI1433" s="2">
        <v>1</v>
      </c>
      <c r="CJ1433" s="2">
        <v>1</v>
      </c>
      <c r="CK1433" s="2">
        <v>21</v>
      </c>
      <c r="CL1433" s="2" t="s">
        <v>86</v>
      </c>
      <c r="CM1433" s="2"/>
    </row>
    <row r="1434" spans="1:91">
      <c r="A1434" s="2" t="s">
        <v>71</v>
      </c>
      <c r="B1434" s="2" t="s">
        <v>72</v>
      </c>
      <c r="C1434" s="2" t="s">
        <v>73</v>
      </c>
      <c r="D1434" s="2"/>
      <c r="E1434" s="2" t="str">
        <f>"FES1162541183"</f>
        <v>FES1162541183</v>
      </c>
      <c r="F1434" s="3">
        <v>42828</v>
      </c>
      <c r="G1434" s="2">
        <v>201710</v>
      </c>
      <c r="H1434" s="2" t="s">
        <v>74</v>
      </c>
      <c r="I1434" s="2" t="s">
        <v>75</v>
      </c>
      <c r="J1434" s="2" t="s">
        <v>76</v>
      </c>
      <c r="K1434" s="2" t="s">
        <v>77</v>
      </c>
      <c r="L1434" s="2" t="s">
        <v>358</v>
      </c>
      <c r="M1434" s="2" t="s">
        <v>359</v>
      </c>
      <c r="N1434" s="2" t="s">
        <v>800</v>
      </c>
      <c r="O1434" s="2" t="s">
        <v>115</v>
      </c>
      <c r="P1434" s="2" t="str">
        <f>"2170557674                    "</f>
        <v xml:space="preserve">2170557674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4.42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1</v>
      </c>
      <c r="BJ1434" s="2">
        <v>0.2</v>
      </c>
      <c r="BK1434" s="2">
        <v>1</v>
      </c>
      <c r="BL1434" s="2">
        <v>41.86</v>
      </c>
      <c r="BM1434" s="2">
        <v>5.86</v>
      </c>
      <c r="BN1434" s="2">
        <v>47.72</v>
      </c>
      <c r="BO1434" s="2">
        <v>47.72</v>
      </c>
      <c r="BP1434" s="2"/>
      <c r="BQ1434" s="2" t="s">
        <v>801</v>
      </c>
      <c r="BR1434" s="2" t="s">
        <v>123</v>
      </c>
      <c r="BS1434" s="3">
        <v>42829</v>
      </c>
      <c r="BT1434" s="4">
        <v>0.3125</v>
      </c>
      <c r="BU1434" s="2" t="s">
        <v>469</v>
      </c>
      <c r="BV1434" s="2" t="s">
        <v>111</v>
      </c>
      <c r="BW1434" s="2"/>
      <c r="BX1434" s="2"/>
      <c r="BY1434" s="2">
        <v>1200</v>
      </c>
      <c r="BZ1434" s="2" t="s">
        <v>27</v>
      </c>
      <c r="CA1434" s="2" t="s">
        <v>1754</v>
      </c>
      <c r="CB1434" s="2"/>
      <c r="CC1434" s="2" t="s">
        <v>359</v>
      </c>
      <c r="CD1434" s="2">
        <v>6230</v>
      </c>
      <c r="CE1434" s="2" t="s">
        <v>118</v>
      </c>
      <c r="CF1434" s="5">
        <v>42831</v>
      </c>
      <c r="CG1434" s="2"/>
      <c r="CH1434" s="2"/>
      <c r="CI1434" s="2">
        <v>1</v>
      </c>
      <c r="CJ1434" s="2">
        <v>1</v>
      </c>
      <c r="CK1434" s="2">
        <v>21</v>
      </c>
      <c r="CL1434" s="2" t="s">
        <v>86</v>
      </c>
      <c r="CM1434" s="2"/>
    </row>
    <row r="1435" spans="1:91">
      <c r="A1435" s="2" t="s">
        <v>71</v>
      </c>
      <c r="B1435" s="2" t="s">
        <v>72</v>
      </c>
      <c r="C1435" s="2" t="s">
        <v>73</v>
      </c>
      <c r="D1435" s="2"/>
      <c r="E1435" s="2" t="str">
        <f>"FES1162542558"</f>
        <v>FES1162542558</v>
      </c>
      <c r="F1435" s="3">
        <v>42835</v>
      </c>
      <c r="G1435" s="2">
        <v>201710</v>
      </c>
      <c r="H1435" s="2" t="s">
        <v>74</v>
      </c>
      <c r="I1435" s="2" t="s">
        <v>75</v>
      </c>
      <c r="J1435" s="2" t="s">
        <v>76</v>
      </c>
      <c r="K1435" s="2" t="s">
        <v>77</v>
      </c>
      <c r="L1435" s="2" t="s">
        <v>180</v>
      </c>
      <c r="M1435" s="2" t="s">
        <v>181</v>
      </c>
      <c r="N1435" s="2" t="s">
        <v>1981</v>
      </c>
      <c r="O1435" s="2" t="s">
        <v>115</v>
      </c>
      <c r="P1435" s="2" t="str">
        <f>"2170561423                    "</f>
        <v xml:space="preserve">2170561423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8.57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2</v>
      </c>
      <c r="BJ1435" s="2">
        <v>3.7</v>
      </c>
      <c r="BK1435" s="2">
        <v>4</v>
      </c>
      <c r="BL1435" s="2">
        <v>83.45</v>
      </c>
      <c r="BM1435" s="2">
        <v>11.68</v>
      </c>
      <c r="BN1435" s="2">
        <v>95.13</v>
      </c>
      <c r="BO1435" s="2">
        <v>95.13</v>
      </c>
      <c r="BP1435" s="2"/>
      <c r="BQ1435" s="2" t="s">
        <v>129</v>
      </c>
      <c r="BR1435" s="2" t="s">
        <v>123</v>
      </c>
      <c r="BS1435" s="3">
        <v>42836</v>
      </c>
      <c r="BT1435" s="4">
        <v>0.4375</v>
      </c>
      <c r="BU1435" s="2" t="s">
        <v>1385</v>
      </c>
      <c r="BV1435" s="2" t="s">
        <v>111</v>
      </c>
      <c r="BW1435" s="2"/>
      <c r="BX1435" s="2"/>
      <c r="BY1435" s="2">
        <v>18450.060000000001</v>
      </c>
      <c r="BZ1435" s="2" t="s">
        <v>27</v>
      </c>
      <c r="CA1435" s="2"/>
      <c r="CB1435" s="2"/>
      <c r="CC1435" s="2" t="s">
        <v>181</v>
      </c>
      <c r="CD1435" s="2">
        <v>4001</v>
      </c>
      <c r="CE1435" s="2" t="s">
        <v>287</v>
      </c>
      <c r="CF1435" s="5">
        <v>42837</v>
      </c>
      <c r="CG1435" s="2"/>
      <c r="CH1435" s="2"/>
      <c r="CI1435" s="2">
        <v>1</v>
      </c>
      <c r="CJ1435" s="2">
        <v>1</v>
      </c>
      <c r="CK1435" s="2">
        <v>21</v>
      </c>
      <c r="CL1435" s="2" t="s">
        <v>86</v>
      </c>
      <c r="CM1435" s="2"/>
    </row>
    <row r="1436" spans="1:91">
      <c r="A1436" s="2" t="s">
        <v>71</v>
      </c>
      <c r="B1436" s="2" t="s">
        <v>72</v>
      </c>
      <c r="C1436" s="2" t="s">
        <v>73</v>
      </c>
      <c r="D1436" s="2"/>
      <c r="E1436" s="2" t="str">
        <f>"FES1162541159"</f>
        <v>FES1162541159</v>
      </c>
      <c r="F1436" s="3">
        <v>42828</v>
      </c>
      <c r="G1436" s="2">
        <v>201710</v>
      </c>
      <c r="H1436" s="2" t="s">
        <v>74</v>
      </c>
      <c r="I1436" s="2" t="s">
        <v>75</v>
      </c>
      <c r="J1436" s="2" t="s">
        <v>76</v>
      </c>
      <c r="K1436" s="2" t="s">
        <v>77</v>
      </c>
      <c r="L1436" s="2" t="s">
        <v>160</v>
      </c>
      <c r="M1436" s="2" t="s">
        <v>161</v>
      </c>
      <c r="N1436" s="2" t="s">
        <v>1432</v>
      </c>
      <c r="O1436" s="2" t="s">
        <v>115</v>
      </c>
      <c r="P1436" s="2" t="str">
        <f>"2170560036                    "</f>
        <v xml:space="preserve">2170560036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4.42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1</v>
      </c>
      <c r="BJ1436" s="2">
        <v>0.2</v>
      </c>
      <c r="BK1436" s="2">
        <v>1</v>
      </c>
      <c r="BL1436" s="2">
        <v>41.86</v>
      </c>
      <c r="BM1436" s="2">
        <v>5.86</v>
      </c>
      <c r="BN1436" s="2">
        <v>47.72</v>
      </c>
      <c r="BO1436" s="2">
        <v>47.72</v>
      </c>
      <c r="BP1436" s="2"/>
      <c r="BQ1436" s="2" t="s">
        <v>129</v>
      </c>
      <c r="BR1436" s="2" t="s">
        <v>123</v>
      </c>
      <c r="BS1436" s="3">
        <v>42829</v>
      </c>
      <c r="BT1436" s="4">
        <v>0.41666666666666669</v>
      </c>
      <c r="BU1436" s="2" t="s">
        <v>1834</v>
      </c>
      <c r="BV1436" s="2" t="s">
        <v>111</v>
      </c>
      <c r="BW1436" s="2"/>
      <c r="BX1436" s="2"/>
      <c r="BY1436" s="2">
        <v>1200</v>
      </c>
      <c r="BZ1436" s="2" t="s">
        <v>27</v>
      </c>
      <c r="CA1436" s="2"/>
      <c r="CB1436" s="2"/>
      <c r="CC1436" s="2" t="s">
        <v>161</v>
      </c>
      <c r="CD1436" s="2">
        <v>5201</v>
      </c>
      <c r="CE1436" s="2" t="s">
        <v>118</v>
      </c>
      <c r="CF1436" s="5">
        <v>42831</v>
      </c>
      <c r="CG1436" s="2"/>
      <c r="CH1436" s="2"/>
      <c r="CI1436" s="2">
        <v>1</v>
      </c>
      <c r="CJ1436" s="2">
        <v>1</v>
      </c>
      <c r="CK1436" s="2">
        <v>21</v>
      </c>
      <c r="CL1436" s="2" t="s">
        <v>86</v>
      </c>
      <c r="CM1436" s="2"/>
    </row>
    <row r="1437" spans="1:91">
      <c r="A1437" s="2" t="s">
        <v>71</v>
      </c>
      <c r="B1437" s="2" t="s">
        <v>72</v>
      </c>
      <c r="C1437" s="2" t="s">
        <v>73</v>
      </c>
      <c r="D1437" s="2"/>
      <c r="E1437" s="2" t="str">
        <f>"FES1162542400"</f>
        <v>FES1162542400</v>
      </c>
      <c r="F1437" s="3">
        <v>42832</v>
      </c>
      <c r="G1437" s="2">
        <v>201710</v>
      </c>
      <c r="H1437" s="2" t="s">
        <v>74</v>
      </c>
      <c r="I1437" s="2" t="s">
        <v>75</v>
      </c>
      <c r="J1437" s="2" t="s">
        <v>76</v>
      </c>
      <c r="K1437" s="2" t="s">
        <v>77</v>
      </c>
      <c r="L1437" s="2" t="s">
        <v>187</v>
      </c>
      <c r="M1437" s="2" t="s">
        <v>146</v>
      </c>
      <c r="N1437" s="2" t="s">
        <v>218</v>
      </c>
      <c r="O1437" s="2" t="s">
        <v>115</v>
      </c>
      <c r="P1437" s="2" t="str">
        <f>"2170561292                    "</f>
        <v xml:space="preserve">2170561292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7.5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3.2</v>
      </c>
      <c r="BJ1437" s="2">
        <v>3.2</v>
      </c>
      <c r="BK1437" s="2">
        <v>3.5</v>
      </c>
      <c r="BL1437" s="2">
        <v>73.02</v>
      </c>
      <c r="BM1437" s="2">
        <v>10.220000000000001</v>
      </c>
      <c r="BN1437" s="2">
        <v>83.24</v>
      </c>
      <c r="BO1437" s="2">
        <v>83.24</v>
      </c>
      <c r="BP1437" s="2"/>
      <c r="BQ1437" s="2" t="s">
        <v>219</v>
      </c>
      <c r="BR1437" s="2" t="s">
        <v>123</v>
      </c>
      <c r="BS1437" s="3">
        <v>42835</v>
      </c>
      <c r="BT1437" s="4">
        <v>0.41319444444444442</v>
      </c>
      <c r="BU1437" s="2" t="s">
        <v>373</v>
      </c>
      <c r="BV1437" s="2" t="s">
        <v>111</v>
      </c>
      <c r="BW1437" s="2"/>
      <c r="BX1437" s="2"/>
      <c r="BY1437" s="2">
        <v>15912.96</v>
      </c>
      <c r="BZ1437" s="2" t="s">
        <v>27</v>
      </c>
      <c r="CA1437" s="2"/>
      <c r="CB1437" s="2"/>
      <c r="CC1437" s="2" t="s">
        <v>146</v>
      </c>
      <c r="CD1437" s="2">
        <v>200</v>
      </c>
      <c r="CE1437" s="2" t="s">
        <v>135</v>
      </c>
      <c r="CF1437" s="5">
        <v>42837</v>
      </c>
      <c r="CG1437" s="2"/>
      <c r="CH1437" s="2"/>
      <c r="CI1437" s="2">
        <v>0</v>
      </c>
      <c r="CJ1437" s="2">
        <v>0</v>
      </c>
      <c r="CK1437" s="2">
        <v>21</v>
      </c>
      <c r="CL1437" s="2" t="s">
        <v>86</v>
      </c>
      <c r="CM1437" s="2"/>
    </row>
    <row r="1438" spans="1:91">
      <c r="A1438" s="2" t="s">
        <v>71</v>
      </c>
      <c r="B1438" s="2" t="s">
        <v>72</v>
      </c>
      <c r="C1438" s="2" t="s">
        <v>73</v>
      </c>
      <c r="D1438" s="2"/>
      <c r="E1438" s="2" t="str">
        <f>"FES1162541182"</f>
        <v>FES1162541182</v>
      </c>
      <c r="F1438" s="3">
        <v>42828</v>
      </c>
      <c r="G1438" s="2">
        <v>201710</v>
      </c>
      <c r="H1438" s="2" t="s">
        <v>74</v>
      </c>
      <c r="I1438" s="2" t="s">
        <v>75</v>
      </c>
      <c r="J1438" s="2" t="s">
        <v>76</v>
      </c>
      <c r="K1438" s="2" t="s">
        <v>77</v>
      </c>
      <c r="L1438" s="2" t="s">
        <v>99</v>
      </c>
      <c r="M1438" s="2" t="s">
        <v>100</v>
      </c>
      <c r="N1438" s="2" t="s">
        <v>108</v>
      </c>
      <c r="O1438" s="2" t="s">
        <v>115</v>
      </c>
      <c r="P1438" s="2" t="str">
        <f>"2170557022                    "</f>
        <v xml:space="preserve">2170557022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4.42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1</v>
      </c>
      <c r="BJ1438" s="2">
        <v>0.2</v>
      </c>
      <c r="BK1438" s="2">
        <v>1</v>
      </c>
      <c r="BL1438" s="2">
        <v>41.86</v>
      </c>
      <c r="BM1438" s="2">
        <v>5.86</v>
      </c>
      <c r="BN1438" s="2">
        <v>47.72</v>
      </c>
      <c r="BO1438" s="2">
        <v>47.72</v>
      </c>
      <c r="BP1438" s="2"/>
      <c r="BQ1438" s="2" t="s">
        <v>109</v>
      </c>
      <c r="BR1438" s="2" t="s">
        <v>123</v>
      </c>
      <c r="BS1438" s="3">
        <v>42829</v>
      </c>
      <c r="BT1438" s="4">
        <v>0.375</v>
      </c>
      <c r="BU1438" s="2" t="s">
        <v>110</v>
      </c>
      <c r="BV1438" s="2" t="s">
        <v>111</v>
      </c>
      <c r="BW1438" s="2"/>
      <c r="BX1438" s="2"/>
      <c r="BY1438" s="2">
        <v>1200</v>
      </c>
      <c r="BZ1438" s="2" t="s">
        <v>27</v>
      </c>
      <c r="CA1438" s="2" t="s">
        <v>106</v>
      </c>
      <c r="CB1438" s="2"/>
      <c r="CC1438" s="2" t="s">
        <v>100</v>
      </c>
      <c r="CD1438" s="2">
        <v>6001</v>
      </c>
      <c r="CE1438" s="2" t="s">
        <v>118</v>
      </c>
      <c r="CF1438" s="5">
        <v>42829</v>
      </c>
      <c r="CG1438" s="2"/>
      <c r="CH1438" s="2"/>
      <c r="CI1438" s="2">
        <v>1</v>
      </c>
      <c r="CJ1438" s="2">
        <v>1</v>
      </c>
      <c r="CK1438" s="2">
        <v>21</v>
      </c>
      <c r="CL1438" s="2" t="s">
        <v>86</v>
      </c>
      <c r="CM1438" s="2"/>
    </row>
    <row r="1439" spans="1:91">
      <c r="A1439" s="2" t="s">
        <v>71</v>
      </c>
      <c r="B1439" s="2" t="s">
        <v>72</v>
      </c>
      <c r="C1439" s="2" t="s">
        <v>73</v>
      </c>
      <c r="D1439" s="2"/>
      <c r="E1439" s="2" t="str">
        <f>"FES1162542570"</f>
        <v>FES1162542570</v>
      </c>
      <c r="F1439" s="3">
        <v>42835</v>
      </c>
      <c r="G1439" s="2">
        <v>201710</v>
      </c>
      <c r="H1439" s="2" t="s">
        <v>74</v>
      </c>
      <c r="I1439" s="2" t="s">
        <v>75</v>
      </c>
      <c r="J1439" s="2" t="s">
        <v>76</v>
      </c>
      <c r="K1439" s="2" t="s">
        <v>77</v>
      </c>
      <c r="L1439" s="2" t="s">
        <v>180</v>
      </c>
      <c r="M1439" s="2" t="s">
        <v>181</v>
      </c>
      <c r="N1439" s="2" t="s">
        <v>931</v>
      </c>
      <c r="O1439" s="2" t="s">
        <v>115</v>
      </c>
      <c r="P1439" s="2" t="str">
        <f>"21705561533                   "</f>
        <v xml:space="preserve">21705561533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26.79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2</v>
      </c>
      <c r="BI1439" s="2">
        <v>8.3000000000000007</v>
      </c>
      <c r="BJ1439" s="2">
        <v>12.3</v>
      </c>
      <c r="BK1439" s="2">
        <v>12.5</v>
      </c>
      <c r="BL1439" s="2">
        <v>260.79000000000002</v>
      </c>
      <c r="BM1439" s="2">
        <v>36.51</v>
      </c>
      <c r="BN1439" s="2">
        <v>297.3</v>
      </c>
      <c r="BO1439" s="2">
        <v>297.3</v>
      </c>
      <c r="BP1439" s="2"/>
      <c r="BQ1439" s="2" t="s">
        <v>932</v>
      </c>
      <c r="BR1439" s="2" t="s">
        <v>123</v>
      </c>
      <c r="BS1439" s="3">
        <v>42836</v>
      </c>
      <c r="BT1439" s="4">
        <v>0.36944444444444446</v>
      </c>
      <c r="BU1439" s="2" t="s">
        <v>245</v>
      </c>
      <c r="BV1439" s="2" t="s">
        <v>111</v>
      </c>
      <c r="BW1439" s="2"/>
      <c r="BX1439" s="2"/>
      <c r="BY1439" s="2">
        <v>61482.2</v>
      </c>
      <c r="BZ1439" s="2" t="s">
        <v>27</v>
      </c>
      <c r="CA1439" s="2"/>
      <c r="CB1439" s="2"/>
      <c r="CC1439" s="2" t="s">
        <v>181</v>
      </c>
      <c r="CD1439" s="2">
        <v>4072</v>
      </c>
      <c r="CE1439" s="2" t="s">
        <v>1988</v>
      </c>
      <c r="CF1439" s="5">
        <v>42837</v>
      </c>
      <c r="CG1439" s="2"/>
      <c r="CH1439" s="2"/>
      <c r="CI1439" s="2">
        <v>1</v>
      </c>
      <c r="CJ1439" s="2">
        <v>1</v>
      </c>
      <c r="CK1439" s="2">
        <v>21</v>
      </c>
      <c r="CL1439" s="2" t="s">
        <v>86</v>
      </c>
      <c r="CM1439" s="2"/>
    </row>
    <row r="1440" spans="1:91">
      <c r="A1440" s="2" t="s">
        <v>71</v>
      </c>
      <c r="B1440" s="2" t="s">
        <v>72</v>
      </c>
      <c r="C1440" s="2" t="s">
        <v>73</v>
      </c>
      <c r="D1440" s="2"/>
      <c r="E1440" s="2" t="str">
        <f>"FES1162541142"</f>
        <v>FES1162541142</v>
      </c>
      <c r="F1440" s="3">
        <v>42828</v>
      </c>
      <c r="G1440" s="2">
        <v>201710</v>
      </c>
      <c r="H1440" s="2" t="s">
        <v>74</v>
      </c>
      <c r="I1440" s="2" t="s">
        <v>75</v>
      </c>
      <c r="J1440" s="2" t="s">
        <v>76</v>
      </c>
      <c r="K1440" s="2" t="s">
        <v>77</v>
      </c>
      <c r="L1440" s="2" t="s">
        <v>187</v>
      </c>
      <c r="M1440" s="2" t="s">
        <v>146</v>
      </c>
      <c r="N1440" s="2" t="s">
        <v>1989</v>
      </c>
      <c r="O1440" s="2" t="s">
        <v>115</v>
      </c>
      <c r="P1440" s="2" t="str">
        <f>"2170560221                    "</f>
        <v xml:space="preserve">2170560221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4.42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1</v>
      </c>
      <c r="BJ1440" s="2">
        <v>0.2</v>
      </c>
      <c r="BK1440" s="2">
        <v>1</v>
      </c>
      <c r="BL1440" s="2">
        <v>41.86</v>
      </c>
      <c r="BM1440" s="2">
        <v>5.86</v>
      </c>
      <c r="BN1440" s="2">
        <v>47.72</v>
      </c>
      <c r="BO1440" s="2">
        <v>47.72</v>
      </c>
      <c r="BP1440" s="2"/>
      <c r="BQ1440" s="2" t="s">
        <v>1990</v>
      </c>
      <c r="BR1440" s="2" t="s">
        <v>123</v>
      </c>
      <c r="BS1440" s="3">
        <v>42829</v>
      </c>
      <c r="BT1440" s="4">
        <v>0.38541666666666669</v>
      </c>
      <c r="BU1440" s="2" t="s">
        <v>1991</v>
      </c>
      <c r="BV1440" s="2" t="s">
        <v>111</v>
      </c>
      <c r="BW1440" s="2"/>
      <c r="BX1440" s="2"/>
      <c r="BY1440" s="2">
        <v>1200</v>
      </c>
      <c r="BZ1440" s="2" t="s">
        <v>27</v>
      </c>
      <c r="CA1440" s="2"/>
      <c r="CB1440" s="2"/>
      <c r="CC1440" s="2" t="s">
        <v>146</v>
      </c>
      <c r="CD1440" s="2">
        <v>184</v>
      </c>
      <c r="CE1440" s="2" t="s">
        <v>118</v>
      </c>
      <c r="CF1440" s="5">
        <v>42832</v>
      </c>
      <c r="CG1440" s="2"/>
      <c r="CH1440" s="2"/>
      <c r="CI1440" s="2">
        <v>0</v>
      </c>
      <c r="CJ1440" s="2">
        <v>0</v>
      </c>
      <c r="CK1440" s="2">
        <v>21</v>
      </c>
      <c r="CL1440" s="2" t="s">
        <v>86</v>
      </c>
      <c r="CM1440" s="2"/>
    </row>
    <row r="1441" spans="1:91">
      <c r="A1441" s="2" t="s">
        <v>71</v>
      </c>
      <c r="B1441" s="2" t="s">
        <v>72</v>
      </c>
      <c r="C1441" s="2" t="s">
        <v>73</v>
      </c>
      <c r="D1441" s="2"/>
      <c r="E1441" s="2" t="str">
        <f>"FES1162542321"</f>
        <v>FES1162542321</v>
      </c>
      <c r="F1441" s="3">
        <v>42832</v>
      </c>
      <c r="G1441" s="2">
        <v>201710</v>
      </c>
      <c r="H1441" s="2" t="s">
        <v>74</v>
      </c>
      <c r="I1441" s="2" t="s">
        <v>75</v>
      </c>
      <c r="J1441" s="2" t="s">
        <v>76</v>
      </c>
      <c r="K1441" s="2" t="s">
        <v>77</v>
      </c>
      <c r="L1441" s="2" t="s">
        <v>131</v>
      </c>
      <c r="M1441" s="2" t="s">
        <v>132</v>
      </c>
      <c r="N1441" s="2" t="s">
        <v>744</v>
      </c>
      <c r="O1441" s="2" t="s">
        <v>115</v>
      </c>
      <c r="P1441" s="2" t="str">
        <f>"2170561210                    "</f>
        <v xml:space="preserve">2170561210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4.29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1</v>
      </c>
      <c r="BJ1441" s="2">
        <v>0.2</v>
      </c>
      <c r="BK1441" s="2">
        <v>1</v>
      </c>
      <c r="BL1441" s="2">
        <v>41.73</v>
      </c>
      <c r="BM1441" s="2">
        <v>5.84</v>
      </c>
      <c r="BN1441" s="2">
        <v>47.57</v>
      </c>
      <c r="BO1441" s="2">
        <v>47.57</v>
      </c>
      <c r="BP1441" s="2"/>
      <c r="BQ1441" s="2" t="s">
        <v>138</v>
      </c>
      <c r="BR1441" s="2" t="s">
        <v>123</v>
      </c>
      <c r="BS1441" s="3">
        <v>42835</v>
      </c>
      <c r="BT1441" s="4">
        <v>0.41666666666666669</v>
      </c>
      <c r="BU1441" s="2" t="s">
        <v>1992</v>
      </c>
      <c r="BV1441" s="2" t="s">
        <v>111</v>
      </c>
      <c r="BW1441" s="2"/>
      <c r="BX1441" s="2"/>
      <c r="BY1441" s="2">
        <v>1200</v>
      </c>
      <c r="BZ1441" s="2" t="s">
        <v>27</v>
      </c>
      <c r="CA1441" s="2"/>
      <c r="CB1441" s="2"/>
      <c r="CC1441" s="2" t="s">
        <v>132</v>
      </c>
      <c r="CD1441" s="2">
        <v>7405</v>
      </c>
      <c r="CE1441" s="2" t="s">
        <v>144</v>
      </c>
      <c r="CF1441" s="5">
        <v>42836</v>
      </c>
      <c r="CG1441" s="2"/>
      <c r="CH1441" s="2"/>
      <c r="CI1441" s="2">
        <v>1</v>
      </c>
      <c r="CJ1441" s="2">
        <v>1</v>
      </c>
      <c r="CK1441" s="2">
        <v>21</v>
      </c>
      <c r="CL1441" s="2" t="s">
        <v>86</v>
      </c>
      <c r="CM1441" s="2"/>
    </row>
    <row r="1442" spans="1:91">
      <c r="A1442" s="2" t="s">
        <v>71</v>
      </c>
      <c r="B1442" s="2" t="s">
        <v>72</v>
      </c>
      <c r="C1442" s="2" t="s">
        <v>73</v>
      </c>
      <c r="D1442" s="2"/>
      <c r="E1442" s="2" t="str">
        <f>"FES1162541193"</f>
        <v>FES1162541193</v>
      </c>
      <c r="F1442" s="3">
        <v>42828</v>
      </c>
      <c r="G1442" s="2">
        <v>201710</v>
      </c>
      <c r="H1442" s="2" t="s">
        <v>74</v>
      </c>
      <c r="I1442" s="2" t="s">
        <v>75</v>
      </c>
      <c r="J1442" s="2" t="s">
        <v>76</v>
      </c>
      <c r="K1442" s="2" t="s">
        <v>77</v>
      </c>
      <c r="L1442" s="2" t="s">
        <v>131</v>
      </c>
      <c r="M1442" s="2" t="s">
        <v>132</v>
      </c>
      <c r="N1442" s="2" t="s">
        <v>363</v>
      </c>
      <c r="O1442" s="2" t="s">
        <v>115</v>
      </c>
      <c r="P1442" s="2" t="str">
        <f>"2170560290                    "</f>
        <v xml:space="preserve">2170560290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11.05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5</v>
      </c>
      <c r="BJ1442" s="2">
        <v>2</v>
      </c>
      <c r="BK1442" s="2">
        <v>5</v>
      </c>
      <c r="BL1442" s="2">
        <v>104.65</v>
      </c>
      <c r="BM1442" s="2">
        <v>14.65</v>
      </c>
      <c r="BN1442" s="2">
        <v>119.3</v>
      </c>
      <c r="BO1442" s="2">
        <v>119.3</v>
      </c>
      <c r="BP1442" s="2"/>
      <c r="BQ1442" s="2" t="s">
        <v>170</v>
      </c>
      <c r="BR1442" s="2" t="s">
        <v>123</v>
      </c>
      <c r="BS1442" s="3">
        <v>42829</v>
      </c>
      <c r="BT1442" s="4">
        <v>0.41666666666666669</v>
      </c>
      <c r="BU1442" s="2" t="s">
        <v>1934</v>
      </c>
      <c r="BV1442" s="2" t="s">
        <v>111</v>
      </c>
      <c r="BW1442" s="2"/>
      <c r="BX1442" s="2"/>
      <c r="BY1442" s="2">
        <v>9900</v>
      </c>
      <c r="BZ1442" s="2" t="s">
        <v>27</v>
      </c>
      <c r="CA1442" s="2"/>
      <c r="CB1442" s="2"/>
      <c r="CC1442" s="2" t="s">
        <v>132</v>
      </c>
      <c r="CD1442" s="2">
        <v>7441</v>
      </c>
      <c r="CE1442" s="2" t="s">
        <v>89</v>
      </c>
      <c r="CF1442" s="5">
        <v>42830</v>
      </c>
      <c r="CG1442" s="2"/>
      <c r="CH1442" s="2"/>
      <c r="CI1442" s="2">
        <v>1</v>
      </c>
      <c r="CJ1442" s="2">
        <v>1</v>
      </c>
      <c r="CK1442" s="2">
        <v>21</v>
      </c>
      <c r="CL1442" s="2" t="s">
        <v>86</v>
      </c>
      <c r="CM1442" s="2"/>
    </row>
    <row r="1443" spans="1:91">
      <c r="A1443" s="2" t="s">
        <v>71</v>
      </c>
      <c r="B1443" s="2" t="s">
        <v>72</v>
      </c>
      <c r="C1443" s="2" t="s">
        <v>73</v>
      </c>
      <c r="D1443" s="2"/>
      <c r="E1443" s="2" t="str">
        <f>"FES1162542576"</f>
        <v>FES1162542576</v>
      </c>
      <c r="F1443" s="3">
        <v>42835</v>
      </c>
      <c r="G1443" s="2">
        <v>201710</v>
      </c>
      <c r="H1443" s="2" t="s">
        <v>74</v>
      </c>
      <c r="I1443" s="2" t="s">
        <v>75</v>
      </c>
      <c r="J1443" s="2" t="s">
        <v>76</v>
      </c>
      <c r="K1443" s="2" t="s">
        <v>77</v>
      </c>
      <c r="L1443" s="2" t="s">
        <v>396</v>
      </c>
      <c r="M1443" s="2" t="s">
        <v>397</v>
      </c>
      <c r="N1443" s="2" t="s">
        <v>1236</v>
      </c>
      <c r="O1443" s="2" t="s">
        <v>115</v>
      </c>
      <c r="P1443" s="2" t="str">
        <f>"2170557416                    "</f>
        <v xml:space="preserve">2170557416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12.86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6</v>
      </c>
      <c r="BJ1443" s="2">
        <v>2.9</v>
      </c>
      <c r="BK1443" s="2">
        <v>6</v>
      </c>
      <c r="BL1443" s="2">
        <v>125.18</v>
      </c>
      <c r="BM1443" s="2">
        <v>17.53</v>
      </c>
      <c r="BN1443" s="2">
        <v>142.71</v>
      </c>
      <c r="BO1443" s="2">
        <v>142.71</v>
      </c>
      <c r="BP1443" s="2"/>
      <c r="BQ1443" s="2" t="s">
        <v>83</v>
      </c>
      <c r="BR1443" s="2" t="s">
        <v>123</v>
      </c>
      <c r="BS1443" s="3">
        <v>42836</v>
      </c>
      <c r="BT1443" s="4">
        <v>0.4375</v>
      </c>
      <c r="BU1443" s="2" t="s">
        <v>1993</v>
      </c>
      <c r="BV1443" s="2" t="s">
        <v>111</v>
      </c>
      <c r="BW1443" s="2"/>
      <c r="BX1443" s="2"/>
      <c r="BY1443" s="2">
        <v>14724.01</v>
      </c>
      <c r="BZ1443" s="2" t="s">
        <v>27</v>
      </c>
      <c r="CA1443" s="2" t="s">
        <v>159</v>
      </c>
      <c r="CB1443" s="2"/>
      <c r="CC1443" s="2" t="s">
        <v>397</v>
      </c>
      <c r="CD1443" s="2">
        <v>4302</v>
      </c>
      <c r="CE1443" s="2" t="s">
        <v>287</v>
      </c>
      <c r="CF1443" s="5">
        <v>42837</v>
      </c>
      <c r="CG1443" s="2"/>
      <c r="CH1443" s="2"/>
      <c r="CI1443" s="2">
        <v>1</v>
      </c>
      <c r="CJ1443" s="2">
        <v>1</v>
      </c>
      <c r="CK1443" s="2">
        <v>21</v>
      </c>
      <c r="CL1443" s="2" t="s">
        <v>86</v>
      </c>
      <c r="CM1443" s="2"/>
    </row>
    <row r="1444" spans="1:91">
      <c r="A1444" s="2" t="s">
        <v>71</v>
      </c>
      <c r="B1444" s="2" t="s">
        <v>72</v>
      </c>
      <c r="C1444" s="2" t="s">
        <v>73</v>
      </c>
      <c r="D1444" s="2"/>
      <c r="E1444" s="2" t="str">
        <f>"FES1162541141"</f>
        <v>FES1162541141</v>
      </c>
      <c r="F1444" s="3">
        <v>42828</v>
      </c>
      <c r="G1444" s="2">
        <v>201710</v>
      </c>
      <c r="H1444" s="2" t="s">
        <v>74</v>
      </c>
      <c r="I1444" s="2" t="s">
        <v>75</v>
      </c>
      <c r="J1444" s="2" t="s">
        <v>76</v>
      </c>
      <c r="K1444" s="2" t="s">
        <v>77</v>
      </c>
      <c r="L1444" s="2" t="s">
        <v>633</v>
      </c>
      <c r="M1444" s="2" t="s">
        <v>634</v>
      </c>
      <c r="N1444" s="2" t="s">
        <v>635</v>
      </c>
      <c r="O1444" s="2" t="s">
        <v>115</v>
      </c>
      <c r="P1444" s="2" t="str">
        <f>"2170560217                    "</f>
        <v xml:space="preserve">2170560217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6.22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1</v>
      </c>
      <c r="BJ1444" s="2">
        <v>0.2</v>
      </c>
      <c r="BK1444" s="2">
        <v>1</v>
      </c>
      <c r="BL1444" s="2">
        <v>58.87</v>
      </c>
      <c r="BM1444" s="2">
        <v>8.24</v>
      </c>
      <c r="BN1444" s="2">
        <v>67.11</v>
      </c>
      <c r="BO1444" s="2">
        <v>67.11</v>
      </c>
      <c r="BP1444" s="2"/>
      <c r="BQ1444" s="2" t="s">
        <v>636</v>
      </c>
      <c r="BR1444" s="2" t="s">
        <v>123</v>
      </c>
      <c r="BS1444" s="3">
        <v>42829</v>
      </c>
      <c r="BT1444" s="4">
        <v>0.41666666666666669</v>
      </c>
      <c r="BU1444" s="2" t="s">
        <v>637</v>
      </c>
      <c r="BV1444" s="2" t="s">
        <v>111</v>
      </c>
      <c r="BW1444" s="2"/>
      <c r="BX1444" s="2"/>
      <c r="BY1444" s="2">
        <v>1200</v>
      </c>
      <c r="BZ1444" s="2" t="s">
        <v>27</v>
      </c>
      <c r="CA1444" s="2"/>
      <c r="CB1444" s="2"/>
      <c r="CC1444" s="2" t="s">
        <v>634</v>
      </c>
      <c r="CD1444" s="2">
        <v>1759</v>
      </c>
      <c r="CE1444" s="2" t="s">
        <v>118</v>
      </c>
      <c r="CF1444" s="5">
        <v>42831</v>
      </c>
      <c r="CG1444" s="2"/>
      <c r="CH1444" s="2"/>
      <c r="CI1444" s="2">
        <v>1</v>
      </c>
      <c r="CJ1444" s="2">
        <v>1</v>
      </c>
      <c r="CK1444" s="2">
        <v>24</v>
      </c>
      <c r="CL1444" s="2" t="s">
        <v>86</v>
      </c>
      <c r="CM1444" s="2"/>
    </row>
    <row r="1445" spans="1:91">
      <c r="A1445" s="2" t="s">
        <v>71</v>
      </c>
      <c r="B1445" s="2" t="s">
        <v>72</v>
      </c>
      <c r="C1445" s="2" t="s">
        <v>73</v>
      </c>
      <c r="D1445" s="2"/>
      <c r="E1445" s="2" t="str">
        <f>"FES1162542421"</f>
        <v>FES1162542421</v>
      </c>
      <c r="F1445" s="3">
        <v>42832</v>
      </c>
      <c r="G1445" s="2">
        <v>201710</v>
      </c>
      <c r="H1445" s="2" t="s">
        <v>74</v>
      </c>
      <c r="I1445" s="2" t="s">
        <v>75</v>
      </c>
      <c r="J1445" s="2" t="s">
        <v>76</v>
      </c>
      <c r="K1445" s="2" t="s">
        <v>77</v>
      </c>
      <c r="L1445" s="2" t="s">
        <v>396</v>
      </c>
      <c r="M1445" s="2" t="s">
        <v>397</v>
      </c>
      <c r="N1445" s="2" t="s">
        <v>398</v>
      </c>
      <c r="O1445" s="2" t="s">
        <v>115</v>
      </c>
      <c r="P1445" s="2" t="str">
        <f>"2170561309                    "</f>
        <v xml:space="preserve">2170561309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6.43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3</v>
      </c>
      <c r="BJ1445" s="2">
        <v>1.3</v>
      </c>
      <c r="BK1445" s="2">
        <v>3</v>
      </c>
      <c r="BL1445" s="2">
        <v>62.59</v>
      </c>
      <c r="BM1445" s="2">
        <v>8.76</v>
      </c>
      <c r="BN1445" s="2">
        <v>71.349999999999994</v>
      </c>
      <c r="BO1445" s="2">
        <v>71.349999999999994</v>
      </c>
      <c r="BP1445" s="2"/>
      <c r="BQ1445" s="2" t="s">
        <v>399</v>
      </c>
      <c r="BR1445" s="2" t="s">
        <v>123</v>
      </c>
      <c r="BS1445" s="3">
        <v>42835</v>
      </c>
      <c r="BT1445" s="4">
        <v>0.4375</v>
      </c>
      <c r="BU1445" s="2" t="s">
        <v>469</v>
      </c>
      <c r="BV1445" s="2" t="s">
        <v>111</v>
      </c>
      <c r="BW1445" s="2"/>
      <c r="BX1445" s="2"/>
      <c r="BY1445" s="2">
        <v>6617.28</v>
      </c>
      <c r="BZ1445" s="2" t="s">
        <v>27</v>
      </c>
      <c r="CA1445" s="2"/>
      <c r="CB1445" s="2"/>
      <c r="CC1445" s="2" t="s">
        <v>397</v>
      </c>
      <c r="CD1445" s="2">
        <v>4300</v>
      </c>
      <c r="CE1445" s="2" t="s">
        <v>1923</v>
      </c>
      <c r="CF1445" s="5">
        <v>42836</v>
      </c>
      <c r="CG1445" s="2"/>
      <c r="CH1445" s="2"/>
      <c r="CI1445" s="2">
        <v>1</v>
      </c>
      <c r="CJ1445" s="2">
        <v>1</v>
      </c>
      <c r="CK1445" s="2">
        <v>21</v>
      </c>
      <c r="CL1445" s="2" t="s">
        <v>86</v>
      </c>
      <c r="CM1445" s="2"/>
    </row>
    <row r="1446" spans="1:91">
      <c r="A1446" s="2" t="s">
        <v>71</v>
      </c>
      <c r="B1446" s="2" t="s">
        <v>72</v>
      </c>
      <c r="C1446" s="2" t="s">
        <v>73</v>
      </c>
      <c r="D1446" s="2"/>
      <c r="E1446" s="2" t="str">
        <f>"FES1162541134"</f>
        <v>FES1162541134</v>
      </c>
      <c r="F1446" s="3">
        <v>42828</v>
      </c>
      <c r="G1446" s="2">
        <v>201710</v>
      </c>
      <c r="H1446" s="2" t="s">
        <v>74</v>
      </c>
      <c r="I1446" s="2" t="s">
        <v>75</v>
      </c>
      <c r="J1446" s="2" t="s">
        <v>76</v>
      </c>
      <c r="K1446" s="2" t="s">
        <v>77</v>
      </c>
      <c r="L1446" s="2" t="s">
        <v>516</v>
      </c>
      <c r="M1446" s="2" t="s">
        <v>517</v>
      </c>
      <c r="N1446" s="2" t="s">
        <v>1994</v>
      </c>
      <c r="O1446" s="2" t="s">
        <v>115</v>
      </c>
      <c r="P1446" s="2" t="str">
        <f>"2170558947                    "</f>
        <v xml:space="preserve">2170558947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3.45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1</v>
      </c>
      <c r="BJ1446" s="2">
        <v>1.9</v>
      </c>
      <c r="BK1446" s="2">
        <v>2</v>
      </c>
      <c r="BL1446" s="2">
        <v>32.700000000000003</v>
      </c>
      <c r="BM1446" s="2">
        <v>4.58</v>
      </c>
      <c r="BN1446" s="2">
        <v>37.28</v>
      </c>
      <c r="BO1446" s="2">
        <v>37.28</v>
      </c>
      <c r="BP1446" s="2"/>
      <c r="BQ1446" s="2" t="s">
        <v>1995</v>
      </c>
      <c r="BR1446" s="2" t="s">
        <v>123</v>
      </c>
      <c r="BS1446" s="3">
        <v>42829</v>
      </c>
      <c r="BT1446" s="4">
        <v>0.38194444444444442</v>
      </c>
      <c r="BU1446" s="2" t="s">
        <v>290</v>
      </c>
      <c r="BV1446" s="2" t="s">
        <v>111</v>
      </c>
      <c r="BW1446" s="2"/>
      <c r="BX1446" s="2"/>
      <c r="BY1446" s="2">
        <v>9278.2800000000007</v>
      </c>
      <c r="BZ1446" s="2" t="s">
        <v>27</v>
      </c>
      <c r="CA1446" s="2"/>
      <c r="CB1446" s="2"/>
      <c r="CC1446" s="2" t="s">
        <v>517</v>
      </c>
      <c r="CD1446" s="2">
        <v>1459</v>
      </c>
      <c r="CE1446" s="2" t="s">
        <v>118</v>
      </c>
      <c r="CF1446" s="5">
        <v>42831</v>
      </c>
      <c r="CG1446" s="2"/>
      <c r="CH1446" s="2"/>
      <c r="CI1446" s="2">
        <v>1</v>
      </c>
      <c r="CJ1446" s="2">
        <v>1</v>
      </c>
      <c r="CK1446" s="2">
        <v>22</v>
      </c>
      <c r="CL1446" s="2" t="s">
        <v>86</v>
      </c>
      <c r="CM1446" s="2"/>
    </row>
    <row r="1447" spans="1:91">
      <c r="A1447" s="2" t="s">
        <v>71</v>
      </c>
      <c r="B1447" s="2" t="s">
        <v>72</v>
      </c>
      <c r="C1447" s="2" t="s">
        <v>73</v>
      </c>
      <c r="D1447" s="2"/>
      <c r="E1447" s="2" t="str">
        <f>"RFES1162537215"</f>
        <v>RFES1162537215</v>
      </c>
      <c r="F1447" s="3">
        <v>42835</v>
      </c>
      <c r="G1447" s="2">
        <v>201710</v>
      </c>
      <c r="H1447" s="2" t="s">
        <v>659</v>
      </c>
      <c r="I1447" s="2" t="s">
        <v>660</v>
      </c>
      <c r="J1447" s="2" t="s">
        <v>1465</v>
      </c>
      <c r="K1447" s="2" t="s">
        <v>77</v>
      </c>
      <c r="L1447" s="2" t="s">
        <v>74</v>
      </c>
      <c r="M1447" s="2" t="s">
        <v>75</v>
      </c>
      <c r="N1447" s="2" t="s">
        <v>76</v>
      </c>
      <c r="O1447" s="2" t="s">
        <v>115</v>
      </c>
      <c r="P1447" s="2" t="str">
        <f>"2170545581                    "</f>
        <v xml:space="preserve">2170545581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8.57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2</v>
      </c>
      <c r="BJ1447" s="2">
        <v>3.6</v>
      </c>
      <c r="BK1447" s="2">
        <v>4</v>
      </c>
      <c r="BL1447" s="2">
        <v>83.45</v>
      </c>
      <c r="BM1447" s="2">
        <v>11.68</v>
      </c>
      <c r="BN1447" s="2">
        <v>95.13</v>
      </c>
      <c r="BO1447" s="2">
        <v>95.13</v>
      </c>
      <c r="BP1447" s="2"/>
      <c r="BQ1447" s="2" t="s">
        <v>123</v>
      </c>
      <c r="BR1447" s="2" t="s">
        <v>1466</v>
      </c>
      <c r="BS1447" s="3">
        <v>42836</v>
      </c>
      <c r="BT1447" s="4">
        <v>0.40625</v>
      </c>
      <c r="BU1447" s="2" t="s">
        <v>134</v>
      </c>
      <c r="BV1447" s="2" t="s">
        <v>111</v>
      </c>
      <c r="BW1447" s="2"/>
      <c r="BX1447" s="2"/>
      <c r="BY1447" s="2">
        <v>17828.91</v>
      </c>
      <c r="BZ1447" s="2" t="s">
        <v>27</v>
      </c>
      <c r="CA1447" s="2"/>
      <c r="CB1447" s="2"/>
      <c r="CC1447" s="2" t="s">
        <v>75</v>
      </c>
      <c r="CD1447" s="2">
        <v>1601</v>
      </c>
      <c r="CE1447" s="2" t="s">
        <v>172</v>
      </c>
      <c r="CF1447" s="5">
        <v>42838</v>
      </c>
      <c r="CG1447" s="2"/>
      <c r="CH1447" s="2"/>
      <c r="CI1447" s="2">
        <v>1</v>
      </c>
      <c r="CJ1447" s="2">
        <v>1</v>
      </c>
      <c r="CK1447" s="2">
        <v>21</v>
      </c>
      <c r="CL1447" s="2" t="s">
        <v>86</v>
      </c>
      <c r="CM1447" s="2"/>
    </row>
    <row r="1448" spans="1:91">
      <c r="A1448" s="2" t="s">
        <v>71</v>
      </c>
      <c r="B1448" s="2" t="s">
        <v>72</v>
      </c>
      <c r="C1448" s="2" t="s">
        <v>73</v>
      </c>
      <c r="D1448" s="2"/>
      <c r="E1448" s="2" t="str">
        <f>"FES1162541091"</f>
        <v>FES1162541091</v>
      </c>
      <c r="F1448" s="3">
        <v>42828</v>
      </c>
      <c r="G1448" s="2">
        <v>201710</v>
      </c>
      <c r="H1448" s="2" t="s">
        <v>74</v>
      </c>
      <c r="I1448" s="2" t="s">
        <v>75</v>
      </c>
      <c r="J1448" s="2" t="s">
        <v>76</v>
      </c>
      <c r="K1448" s="2" t="s">
        <v>77</v>
      </c>
      <c r="L1448" s="2" t="s">
        <v>474</v>
      </c>
      <c r="M1448" s="2" t="s">
        <v>475</v>
      </c>
      <c r="N1448" s="2" t="s">
        <v>1996</v>
      </c>
      <c r="O1448" s="2" t="s">
        <v>115</v>
      </c>
      <c r="P1448" s="2" t="str">
        <f>"2170559870                    "</f>
        <v xml:space="preserve">2170559870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12.16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5.4</v>
      </c>
      <c r="BJ1448" s="2">
        <v>1.6</v>
      </c>
      <c r="BK1448" s="2">
        <v>5.5</v>
      </c>
      <c r="BL1448" s="2">
        <v>115.12</v>
      </c>
      <c r="BM1448" s="2">
        <v>16.12</v>
      </c>
      <c r="BN1448" s="2">
        <v>131.24</v>
      </c>
      <c r="BO1448" s="2">
        <v>131.24</v>
      </c>
      <c r="BP1448" s="2"/>
      <c r="BQ1448" s="2" t="s">
        <v>116</v>
      </c>
      <c r="BR1448" s="2" t="s">
        <v>123</v>
      </c>
      <c r="BS1448" s="3">
        <v>42829</v>
      </c>
      <c r="BT1448" s="4">
        <v>0.40347222222222223</v>
      </c>
      <c r="BU1448" s="2" t="s">
        <v>1997</v>
      </c>
      <c r="BV1448" s="2" t="s">
        <v>111</v>
      </c>
      <c r="BW1448" s="2"/>
      <c r="BX1448" s="2"/>
      <c r="BY1448" s="2">
        <v>8195.5400000000009</v>
      </c>
      <c r="BZ1448" s="2" t="s">
        <v>27</v>
      </c>
      <c r="CA1448" s="2"/>
      <c r="CB1448" s="2"/>
      <c r="CC1448" s="2" t="s">
        <v>475</v>
      </c>
      <c r="CD1448" s="2">
        <v>3291</v>
      </c>
      <c r="CE1448" s="2" t="s">
        <v>172</v>
      </c>
      <c r="CF1448" s="5">
        <v>42832</v>
      </c>
      <c r="CG1448" s="2"/>
      <c r="CH1448" s="2"/>
      <c r="CI1448" s="2">
        <v>1</v>
      </c>
      <c r="CJ1448" s="2">
        <v>1</v>
      </c>
      <c r="CK1448" s="2">
        <v>21</v>
      </c>
      <c r="CL1448" s="2" t="s">
        <v>86</v>
      </c>
      <c r="CM1448" s="2"/>
    </row>
    <row r="1449" spans="1:91">
      <c r="A1449" s="2" t="s">
        <v>71</v>
      </c>
      <c r="B1449" s="2" t="s">
        <v>72</v>
      </c>
      <c r="C1449" s="2" t="s">
        <v>73</v>
      </c>
      <c r="D1449" s="2"/>
      <c r="E1449" s="2" t="str">
        <f>"FES1162542377"</f>
        <v>FES1162542377</v>
      </c>
      <c r="F1449" s="3">
        <v>42832</v>
      </c>
      <c r="G1449" s="2">
        <v>201710</v>
      </c>
      <c r="H1449" s="2" t="s">
        <v>74</v>
      </c>
      <c r="I1449" s="2" t="s">
        <v>75</v>
      </c>
      <c r="J1449" s="2" t="s">
        <v>76</v>
      </c>
      <c r="K1449" s="2" t="s">
        <v>77</v>
      </c>
      <c r="L1449" s="2" t="s">
        <v>126</v>
      </c>
      <c r="M1449" s="2" t="s">
        <v>127</v>
      </c>
      <c r="N1449" s="2" t="s">
        <v>1381</v>
      </c>
      <c r="O1449" s="2" t="s">
        <v>115</v>
      </c>
      <c r="P1449" s="2" t="str">
        <f>"2170561269                    "</f>
        <v xml:space="preserve">2170561269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6.43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2</v>
      </c>
      <c r="BJ1449" s="2">
        <v>2.9</v>
      </c>
      <c r="BK1449" s="2">
        <v>3</v>
      </c>
      <c r="BL1449" s="2">
        <v>62.59</v>
      </c>
      <c r="BM1449" s="2">
        <v>8.76</v>
      </c>
      <c r="BN1449" s="2">
        <v>71.349999999999994</v>
      </c>
      <c r="BO1449" s="2">
        <v>71.349999999999994</v>
      </c>
      <c r="BP1449" s="2"/>
      <c r="BQ1449" s="2" t="s">
        <v>129</v>
      </c>
      <c r="BR1449" s="2" t="s">
        <v>123</v>
      </c>
      <c r="BS1449" s="3">
        <v>42835</v>
      </c>
      <c r="BT1449" s="4">
        <v>0.41666666666666669</v>
      </c>
      <c r="BU1449" s="2" t="s">
        <v>1998</v>
      </c>
      <c r="BV1449" s="2" t="s">
        <v>111</v>
      </c>
      <c r="BW1449" s="2"/>
      <c r="BX1449" s="2"/>
      <c r="BY1449" s="2">
        <v>14303.88</v>
      </c>
      <c r="BZ1449" s="2" t="s">
        <v>27</v>
      </c>
      <c r="CA1449" s="2"/>
      <c r="CB1449" s="2"/>
      <c r="CC1449" s="2" t="s">
        <v>127</v>
      </c>
      <c r="CD1449" s="2">
        <v>6850</v>
      </c>
      <c r="CE1449" s="2" t="s">
        <v>287</v>
      </c>
      <c r="CF1449" s="5">
        <v>42836</v>
      </c>
      <c r="CG1449" s="2"/>
      <c r="CH1449" s="2"/>
      <c r="CI1449" s="2">
        <v>3</v>
      </c>
      <c r="CJ1449" s="2">
        <v>1</v>
      </c>
      <c r="CK1449" s="2">
        <v>21</v>
      </c>
      <c r="CL1449" s="2" t="s">
        <v>86</v>
      </c>
      <c r="CM1449" s="2"/>
    </row>
    <row r="1450" spans="1:91">
      <c r="A1450" s="2" t="s">
        <v>71</v>
      </c>
      <c r="B1450" s="2" t="s">
        <v>72</v>
      </c>
      <c r="C1450" s="2" t="s">
        <v>73</v>
      </c>
      <c r="D1450" s="2"/>
      <c r="E1450" s="2" t="str">
        <f>"FES1162541137"</f>
        <v>FES1162541137</v>
      </c>
      <c r="F1450" s="3">
        <v>42828</v>
      </c>
      <c r="G1450" s="2">
        <v>201710</v>
      </c>
      <c r="H1450" s="2" t="s">
        <v>74</v>
      </c>
      <c r="I1450" s="2" t="s">
        <v>75</v>
      </c>
      <c r="J1450" s="2" t="s">
        <v>76</v>
      </c>
      <c r="K1450" s="2" t="s">
        <v>77</v>
      </c>
      <c r="L1450" s="2" t="s">
        <v>99</v>
      </c>
      <c r="M1450" s="2" t="s">
        <v>100</v>
      </c>
      <c r="N1450" s="2" t="s">
        <v>108</v>
      </c>
      <c r="O1450" s="2" t="s">
        <v>115</v>
      </c>
      <c r="P1450" s="2" t="str">
        <f>"2170556377                    "</f>
        <v xml:space="preserve">2170556377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4.42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2</v>
      </c>
      <c r="BJ1450" s="2">
        <v>2</v>
      </c>
      <c r="BK1450" s="2">
        <v>2</v>
      </c>
      <c r="BL1450" s="2">
        <v>41.86</v>
      </c>
      <c r="BM1450" s="2">
        <v>5.86</v>
      </c>
      <c r="BN1450" s="2">
        <v>47.72</v>
      </c>
      <c r="BO1450" s="2">
        <v>47.72</v>
      </c>
      <c r="BP1450" s="2"/>
      <c r="BQ1450" s="2" t="s">
        <v>109</v>
      </c>
      <c r="BR1450" s="2" t="s">
        <v>123</v>
      </c>
      <c r="BS1450" s="3">
        <v>42829</v>
      </c>
      <c r="BT1450" s="4">
        <v>0.375</v>
      </c>
      <c r="BU1450" s="2" t="s">
        <v>110</v>
      </c>
      <c r="BV1450" s="2" t="s">
        <v>111</v>
      </c>
      <c r="BW1450" s="2"/>
      <c r="BX1450" s="2"/>
      <c r="BY1450" s="2">
        <v>9918</v>
      </c>
      <c r="BZ1450" s="2" t="s">
        <v>27</v>
      </c>
      <c r="CA1450" s="2" t="s">
        <v>106</v>
      </c>
      <c r="CB1450" s="2"/>
      <c r="CC1450" s="2" t="s">
        <v>100</v>
      </c>
      <c r="CD1450" s="2">
        <v>6001</v>
      </c>
      <c r="CE1450" s="2" t="s">
        <v>89</v>
      </c>
      <c r="CF1450" s="5">
        <v>42829</v>
      </c>
      <c r="CG1450" s="2"/>
      <c r="CH1450" s="2"/>
      <c r="CI1450" s="2">
        <v>1</v>
      </c>
      <c r="CJ1450" s="2">
        <v>1</v>
      </c>
      <c r="CK1450" s="2">
        <v>21</v>
      </c>
      <c r="CL1450" s="2" t="s">
        <v>86</v>
      </c>
      <c r="CM1450" s="2"/>
    </row>
    <row r="1451" spans="1:91">
      <c r="A1451" s="2" t="s">
        <v>71</v>
      </c>
      <c r="B1451" s="2" t="s">
        <v>72</v>
      </c>
      <c r="C1451" s="2" t="s">
        <v>73</v>
      </c>
      <c r="D1451" s="2"/>
      <c r="E1451" s="2" t="str">
        <f>"FES1162541196"</f>
        <v>FES1162541196</v>
      </c>
      <c r="F1451" s="3">
        <v>42828</v>
      </c>
      <c r="G1451" s="2">
        <v>201710</v>
      </c>
      <c r="H1451" s="2" t="s">
        <v>74</v>
      </c>
      <c r="I1451" s="2" t="s">
        <v>75</v>
      </c>
      <c r="J1451" s="2" t="s">
        <v>76</v>
      </c>
      <c r="K1451" s="2" t="s">
        <v>77</v>
      </c>
      <c r="L1451" s="2" t="s">
        <v>99</v>
      </c>
      <c r="M1451" s="2" t="s">
        <v>100</v>
      </c>
      <c r="N1451" s="2" t="s">
        <v>108</v>
      </c>
      <c r="O1451" s="2" t="s">
        <v>115</v>
      </c>
      <c r="P1451" s="2" t="str">
        <f>"2170560297                    "</f>
        <v xml:space="preserve">2170560297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4.42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1</v>
      </c>
      <c r="BJ1451" s="2">
        <v>0.2</v>
      </c>
      <c r="BK1451" s="2">
        <v>1</v>
      </c>
      <c r="BL1451" s="2">
        <v>41.86</v>
      </c>
      <c r="BM1451" s="2">
        <v>5.86</v>
      </c>
      <c r="BN1451" s="2">
        <v>47.72</v>
      </c>
      <c r="BO1451" s="2">
        <v>47.72</v>
      </c>
      <c r="BP1451" s="2"/>
      <c r="BQ1451" s="2" t="s">
        <v>109</v>
      </c>
      <c r="BR1451" s="2" t="s">
        <v>123</v>
      </c>
      <c r="BS1451" s="3">
        <v>42829</v>
      </c>
      <c r="BT1451" s="4">
        <v>0.375</v>
      </c>
      <c r="BU1451" s="2" t="s">
        <v>110</v>
      </c>
      <c r="BV1451" s="2" t="s">
        <v>111</v>
      </c>
      <c r="BW1451" s="2"/>
      <c r="BX1451" s="2"/>
      <c r="BY1451" s="2">
        <v>1200</v>
      </c>
      <c r="BZ1451" s="2" t="s">
        <v>27</v>
      </c>
      <c r="CA1451" s="2" t="s">
        <v>106</v>
      </c>
      <c r="CB1451" s="2"/>
      <c r="CC1451" s="2" t="s">
        <v>100</v>
      </c>
      <c r="CD1451" s="2">
        <v>6001</v>
      </c>
      <c r="CE1451" s="2" t="s">
        <v>118</v>
      </c>
      <c r="CF1451" s="5">
        <v>42829</v>
      </c>
      <c r="CG1451" s="2"/>
      <c r="CH1451" s="2"/>
      <c r="CI1451" s="2">
        <v>1</v>
      </c>
      <c r="CJ1451" s="2">
        <v>1</v>
      </c>
      <c r="CK1451" s="2">
        <v>21</v>
      </c>
      <c r="CL1451" s="2" t="s">
        <v>86</v>
      </c>
      <c r="CM1451" s="2"/>
    </row>
    <row r="1452" spans="1:91">
      <c r="A1452" s="2" t="s">
        <v>71</v>
      </c>
      <c r="B1452" s="2" t="s">
        <v>72</v>
      </c>
      <c r="C1452" s="2" t="s">
        <v>73</v>
      </c>
      <c r="D1452" s="2"/>
      <c r="E1452" s="2" t="str">
        <f>"FES1162541154"</f>
        <v>FES1162541154</v>
      </c>
      <c r="F1452" s="3">
        <v>42828</v>
      </c>
      <c r="G1452" s="2">
        <v>201710</v>
      </c>
      <c r="H1452" s="2" t="s">
        <v>74</v>
      </c>
      <c r="I1452" s="2" t="s">
        <v>75</v>
      </c>
      <c r="J1452" s="2" t="s">
        <v>76</v>
      </c>
      <c r="K1452" s="2" t="s">
        <v>77</v>
      </c>
      <c r="L1452" s="2" t="s">
        <v>187</v>
      </c>
      <c r="M1452" s="2" t="s">
        <v>146</v>
      </c>
      <c r="N1452" s="2" t="s">
        <v>1999</v>
      </c>
      <c r="O1452" s="2" t="s">
        <v>115</v>
      </c>
      <c r="P1452" s="2" t="str">
        <f>"2170560241                    "</f>
        <v xml:space="preserve">2170560241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4.42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1.4</v>
      </c>
      <c r="BJ1452" s="2">
        <v>0.2</v>
      </c>
      <c r="BK1452" s="2">
        <v>1.5</v>
      </c>
      <c r="BL1452" s="2">
        <v>41.86</v>
      </c>
      <c r="BM1452" s="2">
        <v>5.86</v>
      </c>
      <c r="BN1452" s="2">
        <v>47.72</v>
      </c>
      <c r="BO1452" s="2">
        <v>47.72</v>
      </c>
      <c r="BP1452" s="2"/>
      <c r="BQ1452" s="2" t="s">
        <v>2000</v>
      </c>
      <c r="BR1452" s="2" t="s">
        <v>123</v>
      </c>
      <c r="BS1452" s="3">
        <v>42829</v>
      </c>
      <c r="BT1452" s="4">
        <v>0.41666666666666669</v>
      </c>
      <c r="BU1452" s="2" t="s">
        <v>245</v>
      </c>
      <c r="BV1452" s="2" t="s">
        <v>111</v>
      </c>
      <c r="BW1452" s="2"/>
      <c r="BX1452" s="2"/>
      <c r="BY1452" s="2">
        <v>1200</v>
      </c>
      <c r="BZ1452" s="2" t="s">
        <v>27</v>
      </c>
      <c r="CA1452" s="2"/>
      <c r="CB1452" s="2"/>
      <c r="CC1452" s="2" t="s">
        <v>146</v>
      </c>
      <c r="CD1452" s="2">
        <v>200</v>
      </c>
      <c r="CE1452" s="2" t="s">
        <v>118</v>
      </c>
      <c r="CF1452" s="5">
        <v>42832</v>
      </c>
      <c r="CG1452" s="2"/>
      <c r="CH1452" s="2"/>
      <c r="CI1452" s="2">
        <v>0</v>
      </c>
      <c r="CJ1452" s="2">
        <v>0</v>
      </c>
      <c r="CK1452" s="2">
        <v>21</v>
      </c>
      <c r="CL1452" s="2" t="s">
        <v>86</v>
      </c>
      <c r="CM1452" s="2"/>
    </row>
    <row r="1453" spans="1:91">
      <c r="A1453" s="2" t="s">
        <v>71</v>
      </c>
      <c r="B1453" s="2" t="s">
        <v>72</v>
      </c>
      <c r="C1453" s="2" t="s">
        <v>73</v>
      </c>
      <c r="D1453" s="2"/>
      <c r="E1453" s="2" t="str">
        <f>"FES1162542512"</f>
        <v>FES1162542512</v>
      </c>
      <c r="F1453" s="3">
        <v>42835</v>
      </c>
      <c r="G1453" s="2">
        <v>201710</v>
      </c>
      <c r="H1453" s="2" t="s">
        <v>74</v>
      </c>
      <c r="I1453" s="2" t="s">
        <v>75</v>
      </c>
      <c r="J1453" s="2" t="s">
        <v>76</v>
      </c>
      <c r="K1453" s="2" t="s">
        <v>77</v>
      </c>
      <c r="L1453" s="2" t="s">
        <v>91</v>
      </c>
      <c r="M1453" s="2" t="s">
        <v>92</v>
      </c>
      <c r="N1453" s="2" t="s">
        <v>2001</v>
      </c>
      <c r="O1453" s="2" t="s">
        <v>115</v>
      </c>
      <c r="P1453" s="2" t="str">
        <f>"2170561308                    "</f>
        <v xml:space="preserve">2170561308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3.35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3.1</v>
      </c>
      <c r="BJ1453" s="2">
        <v>1</v>
      </c>
      <c r="BK1453" s="2">
        <v>4</v>
      </c>
      <c r="BL1453" s="2">
        <v>32.6</v>
      </c>
      <c r="BM1453" s="2">
        <v>4.5599999999999996</v>
      </c>
      <c r="BN1453" s="2">
        <v>37.159999999999997</v>
      </c>
      <c r="BO1453" s="2">
        <v>37.159999999999997</v>
      </c>
      <c r="BP1453" s="2"/>
      <c r="BQ1453" s="2" t="s">
        <v>2002</v>
      </c>
      <c r="BR1453" s="2" t="s">
        <v>123</v>
      </c>
      <c r="BS1453" s="3">
        <v>42836</v>
      </c>
      <c r="BT1453" s="4">
        <v>0.41666666666666669</v>
      </c>
      <c r="BU1453" s="2" t="s">
        <v>266</v>
      </c>
      <c r="BV1453" s="2" t="s">
        <v>111</v>
      </c>
      <c r="BW1453" s="2"/>
      <c r="BX1453" s="2"/>
      <c r="BY1453" s="2">
        <v>4989.05</v>
      </c>
      <c r="BZ1453" s="2" t="s">
        <v>27</v>
      </c>
      <c r="CA1453" s="2"/>
      <c r="CB1453" s="2"/>
      <c r="CC1453" s="2" t="s">
        <v>92</v>
      </c>
      <c r="CD1453" s="2">
        <v>1406</v>
      </c>
      <c r="CE1453" s="2" t="s">
        <v>89</v>
      </c>
      <c r="CF1453" s="5">
        <v>42838</v>
      </c>
      <c r="CG1453" s="2"/>
      <c r="CH1453" s="2"/>
      <c r="CI1453" s="2">
        <v>1</v>
      </c>
      <c r="CJ1453" s="2">
        <v>1</v>
      </c>
      <c r="CK1453" s="2">
        <v>22</v>
      </c>
      <c r="CL1453" s="2" t="s">
        <v>86</v>
      </c>
      <c r="CM1453" s="2"/>
    </row>
    <row r="1454" spans="1:91">
      <c r="A1454" s="2" t="s">
        <v>71</v>
      </c>
      <c r="B1454" s="2" t="s">
        <v>72</v>
      </c>
      <c r="C1454" s="2" t="s">
        <v>73</v>
      </c>
      <c r="D1454" s="2"/>
      <c r="E1454" s="2" t="str">
        <f>"FES1162541107"</f>
        <v>FES1162541107</v>
      </c>
      <c r="F1454" s="3">
        <v>42828</v>
      </c>
      <c r="G1454" s="2">
        <v>201710</v>
      </c>
      <c r="H1454" s="2" t="s">
        <v>74</v>
      </c>
      <c r="I1454" s="2" t="s">
        <v>75</v>
      </c>
      <c r="J1454" s="2" t="s">
        <v>76</v>
      </c>
      <c r="K1454" s="2" t="s">
        <v>77</v>
      </c>
      <c r="L1454" s="2" t="s">
        <v>2003</v>
      </c>
      <c r="M1454" s="2" t="s">
        <v>2004</v>
      </c>
      <c r="N1454" s="2" t="s">
        <v>2005</v>
      </c>
      <c r="O1454" s="2" t="s">
        <v>115</v>
      </c>
      <c r="P1454" s="2" t="str">
        <f>"2170560187                    "</f>
        <v xml:space="preserve">2170560187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6.22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1</v>
      </c>
      <c r="BJ1454" s="2">
        <v>0.2</v>
      </c>
      <c r="BK1454" s="2">
        <v>1</v>
      </c>
      <c r="BL1454" s="2">
        <v>58.87</v>
      </c>
      <c r="BM1454" s="2">
        <v>8.24</v>
      </c>
      <c r="BN1454" s="2">
        <v>67.11</v>
      </c>
      <c r="BO1454" s="2">
        <v>67.11</v>
      </c>
      <c r="BP1454" s="2"/>
      <c r="BQ1454" s="2" t="s">
        <v>2006</v>
      </c>
      <c r="BR1454" s="2" t="s">
        <v>123</v>
      </c>
      <c r="BS1454" s="3">
        <v>42829</v>
      </c>
      <c r="BT1454" s="4">
        <v>0.48958333333333331</v>
      </c>
      <c r="BU1454" s="2" t="s">
        <v>2007</v>
      </c>
      <c r="BV1454" s="2" t="s">
        <v>86</v>
      </c>
      <c r="BW1454" s="2" t="s">
        <v>164</v>
      </c>
      <c r="BX1454" s="2" t="s">
        <v>319</v>
      </c>
      <c r="BY1454" s="2">
        <v>1200</v>
      </c>
      <c r="BZ1454" s="2" t="s">
        <v>27</v>
      </c>
      <c r="CA1454" s="2"/>
      <c r="CB1454" s="2"/>
      <c r="CC1454" s="2" t="s">
        <v>2004</v>
      </c>
      <c r="CD1454" s="2">
        <v>299</v>
      </c>
      <c r="CE1454" s="2" t="s">
        <v>118</v>
      </c>
      <c r="CF1454" s="5">
        <v>42831</v>
      </c>
      <c r="CG1454" s="2"/>
      <c r="CH1454" s="2"/>
      <c r="CI1454" s="2">
        <v>1</v>
      </c>
      <c r="CJ1454" s="2">
        <v>1</v>
      </c>
      <c r="CK1454" s="2">
        <v>24</v>
      </c>
      <c r="CL1454" s="2" t="s">
        <v>86</v>
      </c>
      <c r="CM1454" s="2"/>
    </row>
    <row r="1455" spans="1:91">
      <c r="A1455" s="2" t="s">
        <v>71</v>
      </c>
      <c r="B1455" s="2" t="s">
        <v>72</v>
      </c>
      <c r="C1455" s="2" t="s">
        <v>73</v>
      </c>
      <c r="D1455" s="2"/>
      <c r="E1455" s="2" t="str">
        <f>"FES1162542395"</f>
        <v>FES1162542395</v>
      </c>
      <c r="F1455" s="3">
        <v>42832</v>
      </c>
      <c r="G1455" s="2">
        <v>201710</v>
      </c>
      <c r="H1455" s="2" t="s">
        <v>74</v>
      </c>
      <c r="I1455" s="2" t="s">
        <v>75</v>
      </c>
      <c r="J1455" s="2" t="s">
        <v>76</v>
      </c>
      <c r="K1455" s="2" t="s">
        <v>77</v>
      </c>
      <c r="L1455" s="2" t="s">
        <v>591</v>
      </c>
      <c r="M1455" s="2" t="s">
        <v>592</v>
      </c>
      <c r="N1455" s="2" t="s">
        <v>593</v>
      </c>
      <c r="O1455" s="2" t="s">
        <v>115</v>
      </c>
      <c r="P1455" s="2" t="str">
        <f>"2170561286                    "</f>
        <v xml:space="preserve">2170561286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4.29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1</v>
      </c>
      <c r="BJ1455" s="2">
        <v>1.4</v>
      </c>
      <c r="BK1455" s="2">
        <v>1.5</v>
      </c>
      <c r="BL1455" s="2">
        <v>41.73</v>
      </c>
      <c r="BM1455" s="2">
        <v>5.84</v>
      </c>
      <c r="BN1455" s="2">
        <v>47.57</v>
      </c>
      <c r="BO1455" s="2">
        <v>47.57</v>
      </c>
      <c r="BP1455" s="2"/>
      <c r="BQ1455" s="2" t="s">
        <v>594</v>
      </c>
      <c r="BR1455" s="2" t="s">
        <v>123</v>
      </c>
      <c r="BS1455" s="3">
        <v>42835</v>
      </c>
      <c r="BT1455" s="4">
        <v>0.41666666666666669</v>
      </c>
      <c r="BU1455" s="2" t="s">
        <v>2008</v>
      </c>
      <c r="BV1455" s="2" t="s">
        <v>111</v>
      </c>
      <c r="BW1455" s="2"/>
      <c r="BX1455" s="2"/>
      <c r="BY1455" s="2">
        <v>6851.03</v>
      </c>
      <c r="BZ1455" s="2" t="s">
        <v>27</v>
      </c>
      <c r="CA1455" s="2"/>
      <c r="CB1455" s="2"/>
      <c r="CC1455" s="2" t="s">
        <v>592</v>
      </c>
      <c r="CD1455" s="2">
        <v>7599</v>
      </c>
      <c r="CE1455" s="2" t="s">
        <v>135</v>
      </c>
      <c r="CF1455" s="5">
        <v>42836</v>
      </c>
      <c r="CG1455" s="2"/>
      <c r="CH1455" s="2"/>
      <c r="CI1455" s="2">
        <v>1</v>
      </c>
      <c r="CJ1455" s="2">
        <v>1</v>
      </c>
      <c r="CK1455" s="2">
        <v>21</v>
      </c>
      <c r="CL1455" s="2" t="s">
        <v>86</v>
      </c>
      <c r="CM1455" s="2"/>
    </row>
    <row r="1456" spans="1:91">
      <c r="A1456" s="2" t="s">
        <v>71</v>
      </c>
      <c r="B1456" s="2" t="s">
        <v>72</v>
      </c>
      <c r="C1456" s="2" t="s">
        <v>73</v>
      </c>
      <c r="D1456" s="2"/>
      <c r="E1456" s="2" t="str">
        <f>"FES1162541175"</f>
        <v>FES1162541175</v>
      </c>
      <c r="F1456" s="3">
        <v>42828</v>
      </c>
      <c r="G1456" s="2">
        <v>201710</v>
      </c>
      <c r="H1456" s="2" t="s">
        <v>74</v>
      </c>
      <c r="I1456" s="2" t="s">
        <v>75</v>
      </c>
      <c r="J1456" s="2" t="s">
        <v>76</v>
      </c>
      <c r="K1456" s="2" t="s">
        <v>77</v>
      </c>
      <c r="L1456" s="2" t="s">
        <v>166</v>
      </c>
      <c r="M1456" s="2" t="s">
        <v>167</v>
      </c>
      <c r="N1456" s="2" t="s">
        <v>168</v>
      </c>
      <c r="O1456" s="2" t="s">
        <v>115</v>
      </c>
      <c r="P1456" s="2" t="str">
        <f>"2170560270                    "</f>
        <v xml:space="preserve">2170560270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3.45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4.5999999999999996</v>
      </c>
      <c r="BJ1456" s="2">
        <v>1.6</v>
      </c>
      <c r="BK1456" s="2">
        <v>5</v>
      </c>
      <c r="BL1456" s="2">
        <v>32.700000000000003</v>
      </c>
      <c r="BM1456" s="2">
        <v>4.58</v>
      </c>
      <c r="BN1456" s="2">
        <v>37.28</v>
      </c>
      <c r="BO1456" s="2">
        <v>37.28</v>
      </c>
      <c r="BP1456" s="2"/>
      <c r="BQ1456" s="2" t="s">
        <v>169</v>
      </c>
      <c r="BR1456" s="2" t="s">
        <v>123</v>
      </c>
      <c r="BS1456" s="3">
        <v>42829</v>
      </c>
      <c r="BT1456" s="4">
        <v>0.37986111111111115</v>
      </c>
      <c r="BU1456" s="2" t="s">
        <v>823</v>
      </c>
      <c r="BV1456" s="2" t="s">
        <v>111</v>
      </c>
      <c r="BW1456" s="2"/>
      <c r="BX1456" s="2"/>
      <c r="BY1456" s="2">
        <v>8081.97</v>
      </c>
      <c r="BZ1456" s="2" t="s">
        <v>27</v>
      </c>
      <c r="CA1456" s="2" t="s">
        <v>171</v>
      </c>
      <c r="CB1456" s="2"/>
      <c r="CC1456" s="2" t="s">
        <v>167</v>
      </c>
      <c r="CD1456" s="2">
        <v>2094</v>
      </c>
      <c r="CE1456" s="2" t="s">
        <v>89</v>
      </c>
      <c r="CF1456" s="5">
        <v>42830</v>
      </c>
      <c r="CG1456" s="2"/>
      <c r="CH1456" s="2"/>
      <c r="CI1456" s="2">
        <v>1</v>
      </c>
      <c r="CJ1456" s="2">
        <v>1</v>
      </c>
      <c r="CK1456" s="2">
        <v>22</v>
      </c>
      <c r="CL1456" s="2" t="s">
        <v>86</v>
      </c>
      <c r="CM1456" s="2"/>
    </row>
    <row r="1457" spans="1:91">
      <c r="A1457" s="2" t="s">
        <v>71</v>
      </c>
      <c r="B1457" s="2" t="s">
        <v>72</v>
      </c>
      <c r="C1457" s="2" t="s">
        <v>73</v>
      </c>
      <c r="D1457" s="2"/>
      <c r="E1457" s="2" t="str">
        <f>"FES1162541184"</f>
        <v>FES1162541184</v>
      </c>
      <c r="F1457" s="3">
        <v>42828</v>
      </c>
      <c r="G1457" s="2">
        <v>201710</v>
      </c>
      <c r="H1457" s="2" t="s">
        <v>74</v>
      </c>
      <c r="I1457" s="2" t="s">
        <v>75</v>
      </c>
      <c r="J1457" s="2" t="s">
        <v>76</v>
      </c>
      <c r="K1457" s="2" t="s">
        <v>77</v>
      </c>
      <c r="L1457" s="2" t="s">
        <v>358</v>
      </c>
      <c r="M1457" s="2" t="s">
        <v>359</v>
      </c>
      <c r="N1457" s="2" t="s">
        <v>360</v>
      </c>
      <c r="O1457" s="2" t="s">
        <v>115</v>
      </c>
      <c r="P1457" s="2" t="str">
        <f>"2170557772                    "</f>
        <v xml:space="preserve">2170557772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8.84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4</v>
      </c>
      <c r="BJ1457" s="2">
        <v>2.6</v>
      </c>
      <c r="BK1457" s="2">
        <v>4</v>
      </c>
      <c r="BL1457" s="2">
        <v>83.72</v>
      </c>
      <c r="BM1457" s="2">
        <v>11.72</v>
      </c>
      <c r="BN1457" s="2">
        <v>95.44</v>
      </c>
      <c r="BO1457" s="2">
        <v>95.44</v>
      </c>
      <c r="BP1457" s="2"/>
      <c r="BQ1457" s="2" t="s">
        <v>361</v>
      </c>
      <c r="BR1457" s="2" t="s">
        <v>123</v>
      </c>
      <c r="BS1457" s="3">
        <v>42829</v>
      </c>
      <c r="BT1457" s="4">
        <v>0.32291666666666669</v>
      </c>
      <c r="BU1457" s="2" t="s">
        <v>1861</v>
      </c>
      <c r="BV1457" s="2" t="s">
        <v>111</v>
      </c>
      <c r="BW1457" s="2"/>
      <c r="BX1457" s="2"/>
      <c r="BY1457" s="2">
        <v>12958</v>
      </c>
      <c r="BZ1457" s="2" t="s">
        <v>27</v>
      </c>
      <c r="CA1457" s="2" t="s">
        <v>1754</v>
      </c>
      <c r="CB1457" s="2"/>
      <c r="CC1457" s="2" t="s">
        <v>359</v>
      </c>
      <c r="CD1457" s="2">
        <v>6229</v>
      </c>
      <c r="CE1457" s="2" t="s">
        <v>89</v>
      </c>
      <c r="CF1457" s="5">
        <v>42831</v>
      </c>
      <c r="CG1457" s="2"/>
      <c r="CH1457" s="2"/>
      <c r="CI1457" s="2">
        <v>1</v>
      </c>
      <c r="CJ1457" s="2">
        <v>1</v>
      </c>
      <c r="CK1457" s="2">
        <v>21</v>
      </c>
      <c r="CL1457" s="2" t="s">
        <v>86</v>
      </c>
      <c r="CM1457" s="2"/>
    </row>
    <row r="1458" spans="1:91">
      <c r="A1458" s="2" t="s">
        <v>71</v>
      </c>
      <c r="B1458" s="2" t="s">
        <v>72</v>
      </c>
      <c r="C1458" s="2" t="s">
        <v>73</v>
      </c>
      <c r="D1458" s="2"/>
      <c r="E1458" s="2" t="str">
        <f>"FES1162542291"</f>
        <v>FES1162542291</v>
      </c>
      <c r="F1458" s="3">
        <v>42832</v>
      </c>
      <c r="G1458" s="2">
        <v>201710</v>
      </c>
      <c r="H1458" s="2" t="s">
        <v>74</v>
      </c>
      <c r="I1458" s="2" t="s">
        <v>75</v>
      </c>
      <c r="J1458" s="2" t="s">
        <v>76</v>
      </c>
      <c r="K1458" s="2" t="s">
        <v>77</v>
      </c>
      <c r="L1458" s="2" t="s">
        <v>991</v>
      </c>
      <c r="M1458" s="2" t="s">
        <v>992</v>
      </c>
      <c r="N1458" s="2" t="s">
        <v>1539</v>
      </c>
      <c r="O1458" s="2" t="s">
        <v>115</v>
      </c>
      <c r="P1458" s="2" t="str">
        <f>"2170560039                    "</f>
        <v xml:space="preserve">2170560039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4.29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1</v>
      </c>
      <c r="BJ1458" s="2">
        <v>0.2</v>
      </c>
      <c r="BK1458" s="2">
        <v>1</v>
      </c>
      <c r="BL1458" s="2">
        <v>41.73</v>
      </c>
      <c r="BM1458" s="2">
        <v>5.84</v>
      </c>
      <c r="BN1458" s="2">
        <v>47.57</v>
      </c>
      <c r="BO1458" s="2">
        <v>47.57</v>
      </c>
      <c r="BP1458" s="2"/>
      <c r="BQ1458" s="2" t="s">
        <v>1540</v>
      </c>
      <c r="BR1458" s="2" t="s">
        <v>123</v>
      </c>
      <c r="BS1458" s="3">
        <v>42835</v>
      </c>
      <c r="BT1458" s="4">
        <v>0.41666666666666669</v>
      </c>
      <c r="BU1458" s="2" t="s">
        <v>2009</v>
      </c>
      <c r="BV1458" s="2" t="s">
        <v>111</v>
      </c>
      <c r="BW1458" s="2"/>
      <c r="BX1458" s="2"/>
      <c r="BY1458" s="2">
        <v>1200</v>
      </c>
      <c r="BZ1458" s="2" t="s">
        <v>27</v>
      </c>
      <c r="CA1458" s="2"/>
      <c r="CB1458" s="2"/>
      <c r="CC1458" s="2" t="s">
        <v>992</v>
      </c>
      <c r="CD1458" s="2">
        <v>7654</v>
      </c>
      <c r="CE1458" s="2" t="s">
        <v>144</v>
      </c>
      <c r="CF1458" s="5">
        <v>42836</v>
      </c>
      <c r="CG1458" s="2"/>
      <c r="CH1458" s="2"/>
      <c r="CI1458" s="2">
        <v>1</v>
      </c>
      <c r="CJ1458" s="2">
        <v>1</v>
      </c>
      <c r="CK1458" s="2">
        <v>21</v>
      </c>
      <c r="CL1458" s="2" t="s">
        <v>86</v>
      </c>
      <c r="CM1458" s="2"/>
    </row>
    <row r="1459" spans="1:91">
      <c r="A1459" s="2" t="s">
        <v>71</v>
      </c>
      <c r="B1459" s="2" t="s">
        <v>72</v>
      </c>
      <c r="C1459" s="2" t="s">
        <v>73</v>
      </c>
      <c r="D1459" s="2"/>
      <c r="E1459" s="2" t="str">
        <f>"FES1162541172"</f>
        <v>FES1162541172</v>
      </c>
      <c r="F1459" s="3">
        <v>42828</v>
      </c>
      <c r="G1459" s="2">
        <v>201710</v>
      </c>
      <c r="H1459" s="2" t="s">
        <v>74</v>
      </c>
      <c r="I1459" s="2" t="s">
        <v>75</v>
      </c>
      <c r="J1459" s="2" t="s">
        <v>76</v>
      </c>
      <c r="K1459" s="2" t="s">
        <v>77</v>
      </c>
      <c r="L1459" s="2" t="s">
        <v>260</v>
      </c>
      <c r="M1459" s="2" t="s">
        <v>261</v>
      </c>
      <c r="N1459" s="2" t="s">
        <v>1371</v>
      </c>
      <c r="O1459" s="2" t="s">
        <v>115</v>
      </c>
      <c r="P1459" s="2" t="str">
        <f>"2170560267                    "</f>
        <v xml:space="preserve">2170560267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3.45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1</v>
      </c>
      <c r="BJ1459" s="2">
        <v>0.2</v>
      </c>
      <c r="BK1459" s="2">
        <v>1</v>
      </c>
      <c r="BL1459" s="2">
        <v>32.700000000000003</v>
      </c>
      <c r="BM1459" s="2">
        <v>4.58</v>
      </c>
      <c r="BN1459" s="2">
        <v>37.28</v>
      </c>
      <c r="BO1459" s="2">
        <v>37.28</v>
      </c>
      <c r="BP1459" s="2"/>
      <c r="BQ1459" s="2" t="s">
        <v>1372</v>
      </c>
      <c r="BR1459" s="2" t="s">
        <v>123</v>
      </c>
      <c r="BS1459" s="3">
        <v>42829</v>
      </c>
      <c r="BT1459" s="4">
        <v>0.36805555555555558</v>
      </c>
      <c r="BU1459" s="2" t="s">
        <v>355</v>
      </c>
      <c r="BV1459" s="2" t="s">
        <v>111</v>
      </c>
      <c r="BW1459" s="2"/>
      <c r="BX1459" s="2"/>
      <c r="BY1459" s="2">
        <v>1200</v>
      </c>
      <c r="BZ1459" s="2" t="s">
        <v>27</v>
      </c>
      <c r="CA1459" s="2"/>
      <c r="CB1459" s="2"/>
      <c r="CC1459" s="2" t="s">
        <v>261</v>
      </c>
      <c r="CD1459" s="2">
        <v>1451</v>
      </c>
      <c r="CE1459" s="2" t="s">
        <v>118</v>
      </c>
      <c r="CF1459" s="5">
        <v>42831</v>
      </c>
      <c r="CG1459" s="2"/>
      <c r="CH1459" s="2"/>
      <c r="CI1459" s="2">
        <v>1</v>
      </c>
      <c r="CJ1459" s="2">
        <v>1</v>
      </c>
      <c r="CK1459" s="2">
        <v>22</v>
      </c>
      <c r="CL1459" s="2" t="s">
        <v>86</v>
      </c>
      <c r="CM1459" s="2"/>
    </row>
    <row r="1460" spans="1:91">
      <c r="A1460" s="2" t="s">
        <v>71</v>
      </c>
      <c r="B1460" s="2" t="s">
        <v>72</v>
      </c>
      <c r="C1460" s="2" t="s">
        <v>73</v>
      </c>
      <c r="D1460" s="2"/>
      <c r="E1460" s="2" t="str">
        <f>"FES1162542564"</f>
        <v>FES1162542564</v>
      </c>
      <c r="F1460" s="3">
        <v>42835</v>
      </c>
      <c r="G1460" s="2">
        <v>201710</v>
      </c>
      <c r="H1460" s="2" t="s">
        <v>74</v>
      </c>
      <c r="I1460" s="2" t="s">
        <v>75</v>
      </c>
      <c r="J1460" s="2" t="s">
        <v>76</v>
      </c>
      <c r="K1460" s="2" t="s">
        <v>77</v>
      </c>
      <c r="L1460" s="2" t="s">
        <v>180</v>
      </c>
      <c r="M1460" s="2" t="s">
        <v>181</v>
      </c>
      <c r="N1460" s="2" t="s">
        <v>424</v>
      </c>
      <c r="O1460" s="2" t="s">
        <v>115</v>
      </c>
      <c r="P1460" s="2" t="str">
        <f>"2170556498                    "</f>
        <v xml:space="preserve">2170556498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6.43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2.4</v>
      </c>
      <c r="BJ1460" s="2">
        <v>2.9</v>
      </c>
      <c r="BK1460" s="2">
        <v>3</v>
      </c>
      <c r="BL1460" s="2">
        <v>62.59</v>
      </c>
      <c r="BM1460" s="2">
        <v>8.76</v>
      </c>
      <c r="BN1460" s="2">
        <v>71.349999999999994</v>
      </c>
      <c r="BO1460" s="2">
        <v>71.349999999999994</v>
      </c>
      <c r="BP1460" s="2"/>
      <c r="BQ1460" s="2" t="s">
        <v>425</v>
      </c>
      <c r="BR1460" s="2" t="s">
        <v>123</v>
      </c>
      <c r="BS1460" s="3">
        <v>42836</v>
      </c>
      <c r="BT1460" s="4">
        <v>0.4375</v>
      </c>
      <c r="BU1460" s="2" t="s">
        <v>2010</v>
      </c>
      <c r="BV1460" s="2" t="s">
        <v>111</v>
      </c>
      <c r="BW1460" s="2"/>
      <c r="BX1460" s="2"/>
      <c r="BY1460" s="2">
        <v>14434.2</v>
      </c>
      <c r="BZ1460" s="2" t="s">
        <v>27</v>
      </c>
      <c r="CA1460" s="2" t="s">
        <v>159</v>
      </c>
      <c r="CB1460" s="2"/>
      <c r="CC1460" s="2" t="s">
        <v>181</v>
      </c>
      <c r="CD1460" s="2">
        <v>4001</v>
      </c>
      <c r="CE1460" s="2" t="s">
        <v>1838</v>
      </c>
      <c r="CF1460" s="5">
        <v>42837</v>
      </c>
      <c r="CG1460" s="2"/>
      <c r="CH1460" s="2"/>
      <c r="CI1460" s="2">
        <v>1</v>
      </c>
      <c r="CJ1460" s="2">
        <v>1</v>
      </c>
      <c r="CK1460" s="2">
        <v>21</v>
      </c>
      <c r="CL1460" s="2" t="s">
        <v>86</v>
      </c>
      <c r="CM1460" s="2"/>
    </row>
    <row r="1461" spans="1:91">
      <c r="A1461" s="2" t="s">
        <v>71</v>
      </c>
      <c r="B1461" s="2" t="s">
        <v>72</v>
      </c>
      <c r="C1461" s="2" t="s">
        <v>73</v>
      </c>
      <c r="D1461" s="2"/>
      <c r="E1461" s="2" t="str">
        <f>"FES1162541009"</f>
        <v>FES1162541009</v>
      </c>
      <c r="F1461" s="3">
        <v>42828</v>
      </c>
      <c r="G1461" s="2">
        <v>201710</v>
      </c>
      <c r="H1461" s="2" t="s">
        <v>74</v>
      </c>
      <c r="I1461" s="2" t="s">
        <v>75</v>
      </c>
      <c r="J1461" s="2" t="s">
        <v>76</v>
      </c>
      <c r="K1461" s="2" t="s">
        <v>77</v>
      </c>
      <c r="L1461" s="2" t="s">
        <v>187</v>
      </c>
      <c r="M1461" s="2" t="s">
        <v>146</v>
      </c>
      <c r="N1461" s="2" t="s">
        <v>427</v>
      </c>
      <c r="O1461" s="2" t="s">
        <v>115</v>
      </c>
      <c r="P1461" s="2" t="str">
        <f>"2170556331                    "</f>
        <v xml:space="preserve">2170556331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4.42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1</v>
      </c>
      <c r="BJ1461" s="2">
        <v>0.2</v>
      </c>
      <c r="BK1461" s="2">
        <v>1</v>
      </c>
      <c r="BL1461" s="2">
        <v>41.86</v>
      </c>
      <c r="BM1461" s="2">
        <v>5.86</v>
      </c>
      <c r="BN1461" s="2">
        <v>47.72</v>
      </c>
      <c r="BO1461" s="2">
        <v>47.72</v>
      </c>
      <c r="BP1461" s="2"/>
      <c r="BQ1461" s="2" t="s">
        <v>428</v>
      </c>
      <c r="BR1461" s="2" t="s">
        <v>123</v>
      </c>
      <c r="BS1461" s="3">
        <v>42829</v>
      </c>
      <c r="BT1461" s="4">
        <v>0.36458333333333331</v>
      </c>
      <c r="BU1461" s="2" t="s">
        <v>1875</v>
      </c>
      <c r="BV1461" s="2" t="s">
        <v>111</v>
      </c>
      <c r="BW1461" s="2"/>
      <c r="BX1461" s="2"/>
      <c r="BY1461" s="2">
        <v>1200</v>
      </c>
      <c r="BZ1461" s="2" t="s">
        <v>27</v>
      </c>
      <c r="CA1461" s="2"/>
      <c r="CB1461" s="2"/>
      <c r="CC1461" s="2" t="s">
        <v>146</v>
      </c>
      <c r="CD1461" s="2">
        <v>184</v>
      </c>
      <c r="CE1461" s="2" t="s">
        <v>118</v>
      </c>
      <c r="CF1461" s="5">
        <v>42832</v>
      </c>
      <c r="CG1461" s="2"/>
      <c r="CH1461" s="2"/>
      <c r="CI1461" s="2">
        <v>0</v>
      </c>
      <c r="CJ1461" s="2">
        <v>0</v>
      </c>
      <c r="CK1461" s="2">
        <v>21</v>
      </c>
      <c r="CL1461" s="2" t="s">
        <v>86</v>
      </c>
      <c r="CM1461" s="2"/>
    </row>
    <row r="1462" spans="1:91">
      <c r="A1462" s="2" t="s">
        <v>71</v>
      </c>
      <c r="B1462" s="2" t="s">
        <v>72</v>
      </c>
      <c r="C1462" s="2" t="s">
        <v>73</v>
      </c>
      <c r="D1462" s="2"/>
      <c r="E1462" s="2" t="str">
        <f>"FES1162542405"</f>
        <v>FES1162542405</v>
      </c>
      <c r="F1462" s="3">
        <v>42832</v>
      </c>
      <c r="G1462" s="2">
        <v>201710</v>
      </c>
      <c r="H1462" s="2" t="s">
        <v>74</v>
      </c>
      <c r="I1462" s="2" t="s">
        <v>75</v>
      </c>
      <c r="J1462" s="2" t="s">
        <v>76</v>
      </c>
      <c r="K1462" s="2" t="s">
        <v>77</v>
      </c>
      <c r="L1462" s="2" t="s">
        <v>294</v>
      </c>
      <c r="M1462" s="2" t="s">
        <v>295</v>
      </c>
      <c r="N1462" s="2" t="s">
        <v>1071</v>
      </c>
      <c r="O1462" s="2" t="s">
        <v>115</v>
      </c>
      <c r="P1462" s="2" t="str">
        <f>"2170558569                    "</f>
        <v xml:space="preserve">2170558569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39.65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18</v>
      </c>
      <c r="BJ1462" s="2">
        <v>18.399999999999999</v>
      </c>
      <c r="BK1462" s="2">
        <v>18.5</v>
      </c>
      <c r="BL1462" s="2">
        <v>385.97</v>
      </c>
      <c r="BM1462" s="2">
        <v>54.04</v>
      </c>
      <c r="BN1462" s="2">
        <v>440.01</v>
      </c>
      <c r="BO1462" s="2">
        <v>440.01</v>
      </c>
      <c r="BP1462" s="2"/>
      <c r="BQ1462" s="2" t="s">
        <v>129</v>
      </c>
      <c r="BR1462" s="2" t="s">
        <v>123</v>
      </c>
      <c r="BS1462" s="3">
        <v>42835</v>
      </c>
      <c r="BT1462" s="4">
        <v>0.4375</v>
      </c>
      <c r="BU1462" s="2" t="s">
        <v>1072</v>
      </c>
      <c r="BV1462" s="2" t="s">
        <v>111</v>
      </c>
      <c r="BW1462" s="2"/>
      <c r="BX1462" s="2"/>
      <c r="BY1462" s="2">
        <v>91839</v>
      </c>
      <c r="BZ1462" s="2" t="s">
        <v>27</v>
      </c>
      <c r="CA1462" s="2"/>
      <c r="CB1462" s="2"/>
      <c r="CC1462" s="2" t="s">
        <v>295</v>
      </c>
      <c r="CD1462" s="2">
        <v>3610</v>
      </c>
      <c r="CE1462" s="2" t="s">
        <v>135</v>
      </c>
      <c r="CF1462" s="5">
        <v>42836</v>
      </c>
      <c r="CG1462" s="2"/>
      <c r="CH1462" s="2"/>
      <c r="CI1462" s="2">
        <v>1</v>
      </c>
      <c r="CJ1462" s="2">
        <v>1</v>
      </c>
      <c r="CK1462" s="2">
        <v>21</v>
      </c>
      <c r="CL1462" s="2" t="s">
        <v>86</v>
      </c>
      <c r="CM1462" s="2"/>
    </row>
    <row r="1463" spans="1:91">
      <c r="A1463" s="2" t="s">
        <v>71</v>
      </c>
      <c r="B1463" s="2" t="s">
        <v>72</v>
      </c>
      <c r="C1463" s="2" t="s">
        <v>73</v>
      </c>
      <c r="D1463" s="2"/>
      <c r="E1463" s="2" t="str">
        <f>"FES1162541186"</f>
        <v>FES1162541186</v>
      </c>
      <c r="F1463" s="3">
        <v>42828</v>
      </c>
      <c r="G1463" s="2">
        <v>201710</v>
      </c>
      <c r="H1463" s="2" t="s">
        <v>74</v>
      </c>
      <c r="I1463" s="2" t="s">
        <v>75</v>
      </c>
      <c r="J1463" s="2" t="s">
        <v>76</v>
      </c>
      <c r="K1463" s="2" t="s">
        <v>77</v>
      </c>
      <c r="L1463" s="2" t="s">
        <v>131</v>
      </c>
      <c r="M1463" s="2" t="s">
        <v>132</v>
      </c>
      <c r="N1463" s="2" t="s">
        <v>744</v>
      </c>
      <c r="O1463" s="2" t="s">
        <v>115</v>
      </c>
      <c r="P1463" s="2" t="str">
        <f>"2170560289                    "</f>
        <v xml:space="preserve">2170560289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4.42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1</v>
      </c>
      <c r="BJ1463" s="2">
        <v>0.2</v>
      </c>
      <c r="BK1463" s="2">
        <v>1</v>
      </c>
      <c r="BL1463" s="2">
        <v>41.86</v>
      </c>
      <c r="BM1463" s="2">
        <v>5.86</v>
      </c>
      <c r="BN1463" s="2">
        <v>47.72</v>
      </c>
      <c r="BO1463" s="2">
        <v>47.72</v>
      </c>
      <c r="BP1463" s="2"/>
      <c r="BQ1463" s="2" t="s">
        <v>138</v>
      </c>
      <c r="BR1463" s="2" t="s">
        <v>123</v>
      </c>
      <c r="BS1463" s="3">
        <v>42829</v>
      </c>
      <c r="BT1463" s="4">
        <v>0.67013888888888884</v>
      </c>
      <c r="BU1463" s="2" t="s">
        <v>130</v>
      </c>
      <c r="BV1463" s="2" t="s">
        <v>86</v>
      </c>
      <c r="BW1463" s="2" t="s">
        <v>157</v>
      </c>
      <c r="BX1463" s="2" t="s">
        <v>158</v>
      </c>
      <c r="BY1463" s="2">
        <v>1200</v>
      </c>
      <c r="BZ1463" s="2" t="s">
        <v>27</v>
      </c>
      <c r="CA1463" s="2"/>
      <c r="CB1463" s="2"/>
      <c r="CC1463" s="2" t="s">
        <v>132</v>
      </c>
      <c r="CD1463" s="2">
        <v>7405</v>
      </c>
      <c r="CE1463" s="2" t="s">
        <v>118</v>
      </c>
      <c r="CF1463" s="5">
        <v>42830</v>
      </c>
      <c r="CG1463" s="2"/>
      <c r="CH1463" s="2"/>
      <c r="CI1463" s="2">
        <v>1</v>
      </c>
      <c r="CJ1463" s="2">
        <v>1</v>
      </c>
      <c r="CK1463" s="2">
        <v>21</v>
      </c>
      <c r="CL1463" s="2" t="s">
        <v>86</v>
      </c>
      <c r="CM1463" s="2"/>
    </row>
    <row r="1464" spans="1:91">
      <c r="A1464" s="2" t="s">
        <v>71</v>
      </c>
      <c r="B1464" s="2" t="s">
        <v>72</v>
      </c>
      <c r="C1464" s="2" t="s">
        <v>73</v>
      </c>
      <c r="D1464" s="2"/>
      <c r="E1464" s="2" t="str">
        <f>"FES1162542507"</f>
        <v>FES1162542507</v>
      </c>
      <c r="F1464" s="3">
        <v>42835</v>
      </c>
      <c r="G1464" s="2">
        <v>201710</v>
      </c>
      <c r="H1464" s="2" t="s">
        <v>74</v>
      </c>
      <c r="I1464" s="2" t="s">
        <v>75</v>
      </c>
      <c r="J1464" s="2" t="s">
        <v>76</v>
      </c>
      <c r="K1464" s="2" t="s">
        <v>77</v>
      </c>
      <c r="L1464" s="2" t="s">
        <v>166</v>
      </c>
      <c r="M1464" s="2" t="s">
        <v>167</v>
      </c>
      <c r="N1464" s="2" t="s">
        <v>168</v>
      </c>
      <c r="O1464" s="2" t="s">
        <v>115</v>
      </c>
      <c r="P1464" s="2" t="str">
        <f>"2170560858                    "</f>
        <v xml:space="preserve">2170560858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3.35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</v>
      </c>
      <c r="BJ1464" s="2">
        <v>0.2</v>
      </c>
      <c r="BK1464" s="2">
        <v>1</v>
      </c>
      <c r="BL1464" s="2">
        <v>32.6</v>
      </c>
      <c r="BM1464" s="2">
        <v>4.5599999999999996</v>
      </c>
      <c r="BN1464" s="2">
        <v>37.159999999999997</v>
      </c>
      <c r="BO1464" s="2">
        <v>37.159999999999997</v>
      </c>
      <c r="BP1464" s="2"/>
      <c r="BQ1464" s="2" t="s">
        <v>169</v>
      </c>
      <c r="BR1464" s="2" t="s">
        <v>123</v>
      </c>
      <c r="BS1464" s="3">
        <v>42836</v>
      </c>
      <c r="BT1464" s="4">
        <v>0.40763888888888888</v>
      </c>
      <c r="BU1464" s="2" t="s">
        <v>170</v>
      </c>
      <c r="BV1464" s="2" t="s">
        <v>111</v>
      </c>
      <c r="BW1464" s="2"/>
      <c r="BX1464" s="2"/>
      <c r="BY1464" s="2">
        <v>1200</v>
      </c>
      <c r="BZ1464" s="2" t="s">
        <v>27</v>
      </c>
      <c r="CA1464" s="2" t="s">
        <v>171</v>
      </c>
      <c r="CB1464" s="2"/>
      <c r="CC1464" s="2" t="s">
        <v>167</v>
      </c>
      <c r="CD1464" s="2">
        <v>2094</v>
      </c>
      <c r="CE1464" s="2" t="s">
        <v>118</v>
      </c>
      <c r="CF1464" s="5">
        <v>42836</v>
      </c>
      <c r="CG1464" s="2"/>
      <c r="CH1464" s="2"/>
      <c r="CI1464" s="2">
        <v>1</v>
      </c>
      <c r="CJ1464" s="2">
        <v>1</v>
      </c>
      <c r="CK1464" s="2">
        <v>22</v>
      </c>
      <c r="CL1464" s="2" t="s">
        <v>86</v>
      </c>
      <c r="CM1464" s="2"/>
    </row>
    <row r="1465" spans="1:91">
      <c r="A1465" s="2" t="s">
        <v>71</v>
      </c>
      <c r="B1465" s="2" t="s">
        <v>72</v>
      </c>
      <c r="C1465" s="2" t="s">
        <v>73</v>
      </c>
      <c r="D1465" s="2"/>
      <c r="E1465" s="2" t="str">
        <f>"FES1162541179"</f>
        <v>FES1162541179</v>
      </c>
      <c r="F1465" s="3">
        <v>42828</v>
      </c>
      <c r="G1465" s="2">
        <v>201710</v>
      </c>
      <c r="H1465" s="2" t="s">
        <v>74</v>
      </c>
      <c r="I1465" s="2" t="s">
        <v>75</v>
      </c>
      <c r="J1465" s="2" t="s">
        <v>76</v>
      </c>
      <c r="K1465" s="2" t="s">
        <v>77</v>
      </c>
      <c r="L1465" s="2" t="s">
        <v>591</v>
      </c>
      <c r="M1465" s="2" t="s">
        <v>592</v>
      </c>
      <c r="N1465" s="2" t="s">
        <v>593</v>
      </c>
      <c r="O1465" s="2" t="s">
        <v>115</v>
      </c>
      <c r="P1465" s="2" t="str">
        <f>"2170560280                    "</f>
        <v xml:space="preserve">2170560280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4.42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1</v>
      </c>
      <c r="BJ1465" s="2">
        <v>0.2</v>
      </c>
      <c r="BK1465" s="2">
        <v>1</v>
      </c>
      <c r="BL1465" s="2">
        <v>41.86</v>
      </c>
      <c r="BM1465" s="2">
        <v>5.86</v>
      </c>
      <c r="BN1465" s="2">
        <v>47.72</v>
      </c>
      <c r="BO1465" s="2">
        <v>47.72</v>
      </c>
      <c r="BP1465" s="2"/>
      <c r="BQ1465" s="2" t="s">
        <v>594</v>
      </c>
      <c r="BR1465" s="2" t="s">
        <v>123</v>
      </c>
      <c r="BS1465" s="3">
        <v>42829</v>
      </c>
      <c r="BT1465" s="4">
        <v>0.42291666666666666</v>
      </c>
      <c r="BU1465" s="2" t="s">
        <v>2011</v>
      </c>
      <c r="BV1465" s="2" t="s">
        <v>111</v>
      </c>
      <c r="BW1465" s="2"/>
      <c r="BX1465" s="2"/>
      <c r="BY1465" s="2">
        <v>1200</v>
      </c>
      <c r="BZ1465" s="2" t="s">
        <v>27</v>
      </c>
      <c r="CA1465" s="2" t="s">
        <v>159</v>
      </c>
      <c r="CB1465" s="2"/>
      <c r="CC1465" s="2" t="s">
        <v>592</v>
      </c>
      <c r="CD1465" s="2">
        <v>7599</v>
      </c>
      <c r="CE1465" s="2" t="s">
        <v>118</v>
      </c>
      <c r="CF1465" s="5">
        <v>42830</v>
      </c>
      <c r="CG1465" s="2"/>
      <c r="CH1465" s="2"/>
      <c r="CI1465" s="2">
        <v>1</v>
      </c>
      <c r="CJ1465" s="2">
        <v>1</v>
      </c>
      <c r="CK1465" s="2">
        <v>21</v>
      </c>
      <c r="CL1465" s="2" t="s">
        <v>86</v>
      </c>
      <c r="CM1465" s="2"/>
    </row>
    <row r="1466" spans="1:91">
      <c r="A1466" s="2" t="s">
        <v>71</v>
      </c>
      <c r="B1466" s="2" t="s">
        <v>72</v>
      </c>
      <c r="C1466" s="2" t="s">
        <v>73</v>
      </c>
      <c r="D1466" s="2"/>
      <c r="E1466" s="2" t="str">
        <f>"FES1162542415"</f>
        <v>FES1162542415</v>
      </c>
      <c r="F1466" s="3">
        <v>42832</v>
      </c>
      <c r="G1466" s="2">
        <v>201710</v>
      </c>
      <c r="H1466" s="2" t="s">
        <v>74</v>
      </c>
      <c r="I1466" s="2" t="s">
        <v>75</v>
      </c>
      <c r="J1466" s="2" t="s">
        <v>76</v>
      </c>
      <c r="K1466" s="2" t="s">
        <v>77</v>
      </c>
      <c r="L1466" s="2" t="s">
        <v>598</v>
      </c>
      <c r="M1466" s="2" t="s">
        <v>599</v>
      </c>
      <c r="N1466" s="2" t="s">
        <v>600</v>
      </c>
      <c r="O1466" s="2" t="s">
        <v>115</v>
      </c>
      <c r="P1466" s="2" t="str">
        <f>"2170561069                    "</f>
        <v xml:space="preserve">2170561069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8.31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1</v>
      </c>
      <c r="BJ1466" s="2">
        <v>0.9</v>
      </c>
      <c r="BK1466" s="2">
        <v>1</v>
      </c>
      <c r="BL1466" s="2">
        <v>80.849999999999994</v>
      </c>
      <c r="BM1466" s="2">
        <v>11.32</v>
      </c>
      <c r="BN1466" s="2">
        <v>92.17</v>
      </c>
      <c r="BO1466" s="2">
        <v>92.17</v>
      </c>
      <c r="BP1466" s="2"/>
      <c r="BQ1466" s="2" t="s">
        <v>601</v>
      </c>
      <c r="BR1466" s="2" t="s">
        <v>123</v>
      </c>
      <c r="BS1466" s="3">
        <v>42835</v>
      </c>
      <c r="BT1466" s="4">
        <v>0.41666666666666669</v>
      </c>
      <c r="BU1466" s="2" t="s">
        <v>602</v>
      </c>
      <c r="BV1466" s="2" t="s">
        <v>111</v>
      </c>
      <c r="BW1466" s="2"/>
      <c r="BX1466" s="2"/>
      <c r="BY1466" s="2">
        <v>4607.03</v>
      </c>
      <c r="BZ1466" s="2" t="s">
        <v>27</v>
      </c>
      <c r="CA1466" s="2"/>
      <c r="CB1466" s="2"/>
      <c r="CC1466" s="2" t="s">
        <v>599</v>
      </c>
      <c r="CD1466" s="2">
        <v>3370</v>
      </c>
      <c r="CE1466" s="2" t="s">
        <v>135</v>
      </c>
      <c r="CF1466" s="5">
        <v>42837</v>
      </c>
      <c r="CG1466" s="2"/>
      <c r="CH1466" s="2"/>
      <c r="CI1466" s="2">
        <v>3</v>
      </c>
      <c r="CJ1466" s="2">
        <v>1</v>
      </c>
      <c r="CK1466" s="2">
        <v>23</v>
      </c>
      <c r="CL1466" s="2" t="s">
        <v>86</v>
      </c>
      <c r="CM1466" s="2"/>
    </row>
    <row r="1467" spans="1:91">
      <c r="A1467" s="2" t="s">
        <v>71</v>
      </c>
      <c r="B1467" s="2" t="s">
        <v>72</v>
      </c>
      <c r="C1467" s="2" t="s">
        <v>73</v>
      </c>
      <c r="D1467" s="2"/>
      <c r="E1467" s="2" t="str">
        <f>"FES1162541163"</f>
        <v>FES1162541163</v>
      </c>
      <c r="F1467" s="3">
        <v>42828</v>
      </c>
      <c r="G1467" s="2">
        <v>201710</v>
      </c>
      <c r="H1467" s="2" t="s">
        <v>74</v>
      </c>
      <c r="I1467" s="2" t="s">
        <v>75</v>
      </c>
      <c r="J1467" s="2" t="s">
        <v>76</v>
      </c>
      <c r="K1467" s="2" t="s">
        <v>77</v>
      </c>
      <c r="L1467" s="2" t="s">
        <v>180</v>
      </c>
      <c r="M1467" s="2" t="s">
        <v>181</v>
      </c>
      <c r="N1467" s="2" t="s">
        <v>1858</v>
      </c>
      <c r="O1467" s="2" t="s">
        <v>115</v>
      </c>
      <c r="P1467" s="2" t="str">
        <f>"2170560266                    "</f>
        <v xml:space="preserve">2170560266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4.42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1.9</v>
      </c>
      <c r="BJ1467" s="2">
        <v>1</v>
      </c>
      <c r="BK1467" s="2">
        <v>2</v>
      </c>
      <c r="BL1467" s="2">
        <v>41.86</v>
      </c>
      <c r="BM1467" s="2">
        <v>5.86</v>
      </c>
      <c r="BN1467" s="2">
        <v>47.72</v>
      </c>
      <c r="BO1467" s="2">
        <v>47.72</v>
      </c>
      <c r="BP1467" s="2"/>
      <c r="BQ1467" s="2" t="s">
        <v>129</v>
      </c>
      <c r="BR1467" s="2" t="s">
        <v>123</v>
      </c>
      <c r="BS1467" s="3">
        <v>42829</v>
      </c>
      <c r="BT1467" s="4">
        <v>0.4375</v>
      </c>
      <c r="BU1467" s="2" t="s">
        <v>97</v>
      </c>
      <c r="BV1467" s="2" t="s">
        <v>111</v>
      </c>
      <c r="BW1467" s="2"/>
      <c r="BX1467" s="2"/>
      <c r="BY1467" s="2">
        <v>4910.3999999999996</v>
      </c>
      <c r="BZ1467" s="2" t="s">
        <v>27</v>
      </c>
      <c r="CA1467" s="2"/>
      <c r="CB1467" s="2"/>
      <c r="CC1467" s="2" t="s">
        <v>181</v>
      </c>
      <c r="CD1467" s="2">
        <v>4052</v>
      </c>
      <c r="CE1467" s="2" t="s">
        <v>89</v>
      </c>
      <c r="CF1467" s="2"/>
      <c r="CG1467" s="2"/>
      <c r="CH1467" s="2"/>
      <c r="CI1467" s="2">
        <v>1</v>
      </c>
      <c r="CJ1467" s="2">
        <v>1</v>
      </c>
      <c r="CK1467" s="2">
        <v>21</v>
      </c>
      <c r="CL1467" s="2" t="s">
        <v>86</v>
      </c>
      <c r="CM1467" s="2"/>
    </row>
    <row r="1468" spans="1:91">
      <c r="A1468" s="2" t="s">
        <v>71</v>
      </c>
      <c r="B1468" s="2" t="s">
        <v>72</v>
      </c>
      <c r="C1468" s="2" t="s">
        <v>73</v>
      </c>
      <c r="D1468" s="2"/>
      <c r="E1468" s="2" t="str">
        <f>"FES1162542568"</f>
        <v>FES1162542568</v>
      </c>
      <c r="F1468" s="3">
        <v>42835</v>
      </c>
      <c r="G1468" s="2">
        <v>201710</v>
      </c>
      <c r="H1468" s="2" t="s">
        <v>74</v>
      </c>
      <c r="I1468" s="2" t="s">
        <v>75</v>
      </c>
      <c r="J1468" s="2" t="s">
        <v>76</v>
      </c>
      <c r="K1468" s="2" t="s">
        <v>77</v>
      </c>
      <c r="L1468" s="2" t="s">
        <v>99</v>
      </c>
      <c r="M1468" s="2" t="s">
        <v>100</v>
      </c>
      <c r="N1468" s="2" t="s">
        <v>108</v>
      </c>
      <c r="O1468" s="2" t="s">
        <v>115</v>
      </c>
      <c r="P1468" s="2" t="str">
        <f>"2170554469                    "</f>
        <v xml:space="preserve">2170554469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15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4.9000000000000004</v>
      </c>
      <c r="BJ1468" s="2">
        <v>6.7</v>
      </c>
      <c r="BK1468" s="2">
        <v>7</v>
      </c>
      <c r="BL1468" s="2">
        <v>146.04</v>
      </c>
      <c r="BM1468" s="2">
        <v>20.45</v>
      </c>
      <c r="BN1468" s="2">
        <v>166.49</v>
      </c>
      <c r="BO1468" s="2">
        <v>166.49</v>
      </c>
      <c r="BP1468" s="2"/>
      <c r="BQ1468" s="2" t="s">
        <v>109</v>
      </c>
      <c r="BR1468" s="2" t="s">
        <v>123</v>
      </c>
      <c r="BS1468" s="3">
        <v>42836</v>
      </c>
      <c r="BT1468" s="4">
        <v>0.375</v>
      </c>
      <c r="BU1468" s="2" t="s">
        <v>110</v>
      </c>
      <c r="BV1468" s="2" t="s">
        <v>111</v>
      </c>
      <c r="BW1468" s="2"/>
      <c r="BX1468" s="2"/>
      <c r="BY1468" s="2">
        <v>33283.01</v>
      </c>
      <c r="BZ1468" s="2" t="s">
        <v>27</v>
      </c>
      <c r="CA1468" s="2" t="s">
        <v>106</v>
      </c>
      <c r="CB1468" s="2"/>
      <c r="CC1468" s="2" t="s">
        <v>100</v>
      </c>
      <c r="CD1468" s="2">
        <v>6001</v>
      </c>
      <c r="CE1468" s="2" t="s">
        <v>287</v>
      </c>
      <c r="CF1468" s="5">
        <v>42836</v>
      </c>
      <c r="CG1468" s="2"/>
      <c r="CH1468" s="2"/>
      <c r="CI1468" s="2">
        <v>1</v>
      </c>
      <c r="CJ1468" s="2">
        <v>1</v>
      </c>
      <c r="CK1468" s="2">
        <v>21</v>
      </c>
      <c r="CL1468" s="2" t="s">
        <v>86</v>
      </c>
      <c r="CM1468" s="2"/>
    </row>
    <row r="1469" spans="1:91">
      <c r="A1469" s="2" t="s">
        <v>71</v>
      </c>
      <c r="B1469" s="2" t="s">
        <v>72</v>
      </c>
      <c r="C1469" s="2" t="s">
        <v>73</v>
      </c>
      <c r="D1469" s="2"/>
      <c r="E1469" s="2" t="str">
        <f>"FES1162541160"</f>
        <v>FES1162541160</v>
      </c>
      <c r="F1469" s="3">
        <v>42828</v>
      </c>
      <c r="G1469" s="2">
        <v>201710</v>
      </c>
      <c r="H1469" s="2" t="s">
        <v>74</v>
      </c>
      <c r="I1469" s="2" t="s">
        <v>75</v>
      </c>
      <c r="J1469" s="2" t="s">
        <v>76</v>
      </c>
      <c r="K1469" s="2" t="s">
        <v>77</v>
      </c>
      <c r="L1469" s="2" t="s">
        <v>112</v>
      </c>
      <c r="M1469" s="2" t="s">
        <v>113</v>
      </c>
      <c r="N1469" s="2" t="s">
        <v>386</v>
      </c>
      <c r="O1469" s="2" t="s">
        <v>115</v>
      </c>
      <c r="P1469" s="2" t="str">
        <f>"2170560255                    "</f>
        <v xml:space="preserve">2170560255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4.42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1.8</v>
      </c>
      <c r="BJ1469" s="2">
        <v>0.2</v>
      </c>
      <c r="BK1469" s="2">
        <v>2</v>
      </c>
      <c r="BL1469" s="2">
        <v>41.86</v>
      </c>
      <c r="BM1469" s="2">
        <v>5.86</v>
      </c>
      <c r="BN1469" s="2">
        <v>47.72</v>
      </c>
      <c r="BO1469" s="2">
        <v>47.72</v>
      </c>
      <c r="BP1469" s="2"/>
      <c r="BQ1469" s="2" t="s">
        <v>122</v>
      </c>
      <c r="BR1469" s="2" t="s">
        <v>123</v>
      </c>
      <c r="BS1469" s="3">
        <v>42829</v>
      </c>
      <c r="BT1469" s="4">
        <v>0.39583333333333331</v>
      </c>
      <c r="BU1469" s="2" t="s">
        <v>387</v>
      </c>
      <c r="BV1469" s="2" t="s">
        <v>111</v>
      </c>
      <c r="BW1469" s="2"/>
      <c r="BX1469" s="2"/>
      <c r="BY1469" s="2">
        <v>1200</v>
      </c>
      <c r="BZ1469" s="2" t="s">
        <v>27</v>
      </c>
      <c r="CA1469" s="2" t="s">
        <v>159</v>
      </c>
      <c r="CB1469" s="2"/>
      <c r="CC1469" s="2" t="s">
        <v>113</v>
      </c>
      <c r="CD1469" s="2">
        <v>3200</v>
      </c>
      <c r="CE1469" s="2" t="s">
        <v>118</v>
      </c>
      <c r="CF1469" s="5">
        <v>42831</v>
      </c>
      <c r="CG1469" s="2"/>
      <c r="CH1469" s="2"/>
      <c r="CI1469" s="2">
        <v>1</v>
      </c>
      <c r="CJ1469" s="2">
        <v>1</v>
      </c>
      <c r="CK1469" s="2">
        <v>21</v>
      </c>
      <c r="CL1469" s="2" t="s">
        <v>86</v>
      </c>
      <c r="CM1469" s="2"/>
    </row>
    <row r="1470" spans="1:91">
      <c r="A1470" s="2" t="s">
        <v>71</v>
      </c>
      <c r="B1470" s="2" t="s">
        <v>72</v>
      </c>
      <c r="C1470" s="2" t="s">
        <v>73</v>
      </c>
      <c r="D1470" s="2"/>
      <c r="E1470" s="2" t="str">
        <f>"FES1162542374"</f>
        <v>FES1162542374</v>
      </c>
      <c r="F1470" s="3">
        <v>42832</v>
      </c>
      <c r="G1470" s="2">
        <v>201710</v>
      </c>
      <c r="H1470" s="2" t="s">
        <v>74</v>
      </c>
      <c r="I1470" s="2" t="s">
        <v>75</v>
      </c>
      <c r="J1470" s="2" t="s">
        <v>76</v>
      </c>
      <c r="K1470" s="2" t="s">
        <v>77</v>
      </c>
      <c r="L1470" s="2" t="s">
        <v>299</v>
      </c>
      <c r="M1470" s="2" t="s">
        <v>300</v>
      </c>
      <c r="N1470" s="2" t="s">
        <v>1613</v>
      </c>
      <c r="O1470" s="2" t="s">
        <v>115</v>
      </c>
      <c r="P1470" s="2" t="str">
        <f>"2170561260                    "</f>
        <v xml:space="preserve">2170561260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6.03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1</v>
      </c>
      <c r="BJ1470" s="2">
        <v>0.2</v>
      </c>
      <c r="BK1470" s="2">
        <v>1</v>
      </c>
      <c r="BL1470" s="2">
        <v>58.68</v>
      </c>
      <c r="BM1470" s="2">
        <v>8.2200000000000006</v>
      </c>
      <c r="BN1470" s="2">
        <v>66.900000000000006</v>
      </c>
      <c r="BO1470" s="2">
        <v>66.900000000000006</v>
      </c>
      <c r="BP1470" s="2"/>
      <c r="BQ1470" s="2" t="s">
        <v>122</v>
      </c>
      <c r="BR1470" s="2" t="s">
        <v>123</v>
      </c>
      <c r="BS1470" s="3">
        <v>42835</v>
      </c>
      <c r="BT1470" s="4">
        <v>0.62777777777777777</v>
      </c>
      <c r="BU1470" s="2" t="s">
        <v>2012</v>
      </c>
      <c r="BV1470" s="2" t="s">
        <v>111</v>
      </c>
      <c r="BW1470" s="2"/>
      <c r="BX1470" s="2"/>
      <c r="BY1470" s="2">
        <v>1200</v>
      </c>
      <c r="BZ1470" s="2" t="s">
        <v>27</v>
      </c>
      <c r="CA1470" s="2"/>
      <c r="CB1470" s="2"/>
      <c r="CC1470" s="2" t="s">
        <v>300</v>
      </c>
      <c r="CD1470" s="2">
        <v>407</v>
      </c>
      <c r="CE1470" s="2" t="s">
        <v>144</v>
      </c>
      <c r="CF1470" s="5">
        <v>42837</v>
      </c>
      <c r="CG1470" s="2"/>
      <c r="CH1470" s="2"/>
      <c r="CI1470" s="2">
        <v>0</v>
      </c>
      <c r="CJ1470" s="2">
        <v>0</v>
      </c>
      <c r="CK1470" s="2">
        <v>24</v>
      </c>
      <c r="CL1470" s="2" t="s">
        <v>86</v>
      </c>
      <c r="CM1470" s="2"/>
    </row>
    <row r="1471" spans="1:91">
      <c r="A1471" s="2" t="s">
        <v>71</v>
      </c>
      <c r="B1471" s="2" t="s">
        <v>72</v>
      </c>
      <c r="C1471" s="2" t="s">
        <v>73</v>
      </c>
      <c r="D1471" s="2"/>
      <c r="E1471" s="2" t="str">
        <f>"FES1162541155"</f>
        <v>FES1162541155</v>
      </c>
      <c r="F1471" s="3">
        <v>42828</v>
      </c>
      <c r="G1471" s="2">
        <v>201710</v>
      </c>
      <c r="H1471" s="2" t="s">
        <v>74</v>
      </c>
      <c r="I1471" s="2" t="s">
        <v>75</v>
      </c>
      <c r="J1471" s="2" t="s">
        <v>76</v>
      </c>
      <c r="K1471" s="2" t="s">
        <v>77</v>
      </c>
      <c r="L1471" s="2" t="s">
        <v>112</v>
      </c>
      <c r="M1471" s="2" t="s">
        <v>113</v>
      </c>
      <c r="N1471" s="2" t="s">
        <v>1141</v>
      </c>
      <c r="O1471" s="2" t="s">
        <v>115</v>
      </c>
      <c r="P1471" s="2" t="str">
        <f>"2170560248                    "</f>
        <v xml:space="preserve">2170560248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4.42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1</v>
      </c>
      <c r="BJ1471" s="2">
        <v>0.2</v>
      </c>
      <c r="BK1471" s="2">
        <v>1</v>
      </c>
      <c r="BL1471" s="2">
        <v>41.86</v>
      </c>
      <c r="BM1471" s="2">
        <v>5.86</v>
      </c>
      <c r="BN1471" s="2">
        <v>47.72</v>
      </c>
      <c r="BO1471" s="2">
        <v>47.72</v>
      </c>
      <c r="BP1471" s="2"/>
      <c r="BQ1471" s="2" t="s">
        <v>1142</v>
      </c>
      <c r="BR1471" s="2" t="s">
        <v>123</v>
      </c>
      <c r="BS1471" s="3">
        <v>42829</v>
      </c>
      <c r="BT1471" s="4">
        <v>0.33333333333333331</v>
      </c>
      <c r="BU1471" s="2" t="s">
        <v>2013</v>
      </c>
      <c r="BV1471" s="2" t="s">
        <v>111</v>
      </c>
      <c r="BW1471" s="2"/>
      <c r="BX1471" s="2"/>
      <c r="BY1471" s="2">
        <v>1200</v>
      </c>
      <c r="BZ1471" s="2" t="s">
        <v>27</v>
      </c>
      <c r="CA1471" s="2" t="s">
        <v>159</v>
      </c>
      <c r="CB1471" s="2"/>
      <c r="CC1471" s="2" t="s">
        <v>113</v>
      </c>
      <c r="CD1471" s="2">
        <v>3201</v>
      </c>
      <c r="CE1471" s="2" t="s">
        <v>118</v>
      </c>
      <c r="CF1471" s="5">
        <v>42831</v>
      </c>
      <c r="CG1471" s="2"/>
      <c r="CH1471" s="2"/>
      <c r="CI1471" s="2">
        <v>1</v>
      </c>
      <c r="CJ1471" s="2">
        <v>1</v>
      </c>
      <c r="CK1471" s="2">
        <v>21</v>
      </c>
      <c r="CL1471" s="2" t="s">
        <v>86</v>
      </c>
      <c r="CM1471" s="2"/>
    </row>
    <row r="1472" spans="1:91">
      <c r="A1472" s="2" t="s">
        <v>71</v>
      </c>
      <c r="B1472" s="2" t="s">
        <v>72</v>
      </c>
      <c r="C1472" s="2" t="s">
        <v>73</v>
      </c>
      <c r="D1472" s="2"/>
      <c r="E1472" s="2" t="str">
        <f>"FES1162542573"</f>
        <v>FES1162542573</v>
      </c>
      <c r="F1472" s="3">
        <v>42835</v>
      </c>
      <c r="G1472" s="2">
        <v>201710</v>
      </c>
      <c r="H1472" s="2" t="s">
        <v>74</v>
      </c>
      <c r="I1472" s="2" t="s">
        <v>75</v>
      </c>
      <c r="J1472" s="2" t="s">
        <v>76</v>
      </c>
      <c r="K1472" s="2" t="s">
        <v>77</v>
      </c>
      <c r="L1472" s="2" t="s">
        <v>99</v>
      </c>
      <c r="M1472" s="2" t="s">
        <v>100</v>
      </c>
      <c r="N1472" s="2" t="s">
        <v>108</v>
      </c>
      <c r="O1472" s="2" t="s">
        <v>115</v>
      </c>
      <c r="P1472" s="2" t="str">
        <f>"2170556519                    "</f>
        <v xml:space="preserve">2170556519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25.72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1</v>
      </c>
      <c r="BI1472" s="2">
        <v>4.8</v>
      </c>
      <c r="BJ1472" s="2">
        <v>11.9</v>
      </c>
      <c r="BK1472" s="2">
        <v>12</v>
      </c>
      <c r="BL1472" s="2">
        <v>250.36</v>
      </c>
      <c r="BM1472" s="2">
        <v>35.049999999999997</v>
      </c>
      <c r="BN1472" s="2">
        <v>285.41000000000003</v>
      </c>
      <c r="BO1472" s="2">
        <v>285.41000000000003</v>
      </c>
      <c r="BP1472" s="2"/>
      <c r="BQ1472" s="2" t="s">
        <v>109</v>
      </c>
      <c r="BR1472" s="2" t="s">
        <v>123</v>
      </c>
      <c r="BS1472" s="3">
        <v>42836</v>
      </c>
      <c r="BT1472" s="4">
        <v>0.375</v>
      </c>
      <c r="BU1472" s="2" t="s">
        <v>110</v>
      </c>
      <c r="BV1472" s="2" t="s">
        <v>111</v>
      </c>
      <c r="BW1472" s="2"/>
      <c r="BX1472" s="2"/>
      <c r="BY1472" s="2">
        <v>59294.27</v>
      </c>
      <c r="BZ1472" s="2" t="s">
        <v>27</v>
      </c>
      <c r="CA1472" s="2" t="s">
        <v>106</v>
      </c>
      <c r="CB1472" s="2"/>
      <c r="CC1472" s="2" t="s">
        <v>100</v>
      </c>
      <c r="CD1472" s="2">
        <v>6001</v>
      </c>
      <c r="CE1472" s="2" t="s">
        <v>287</v>
      </c>
      <c r="CF1472" s="5">
        <v>42836</v>
      </c>
      <c r="CG1472" s="2"/>
      <c r="CH1472" s="2"/>
      <c r="CI1472" s="2">
        <v>1</v>
      </c>
      <c r="CJ1472" s="2">
        <v>1</v>
      </c>
      <c r="CK1472" s="2">
        <v>21</v>
      </c>
      <c r="CL1472" s="2" t="s">
        <v>86</v>
      </c>
      <c r="CM1472" s="2"/>
    </row>
    <row r="1473" spans="1:91">
      <c r="A1473" s="2" t="s">
        <v>71</v>
      </c>
      <c r="B1473" s="2" t="s">
        <v>72</v>
      </c>
      <c r="C1473" s="2" t="s">
        <v>73</v>
      </c>
      <c r="D1473" s="2"/>
      <c r="E1473" s="2" t="str">
        <f>"FES1162541187"</f>
        <v>FES1162541187</v>
      </c>
      <c r="F1473" s="3">
        <v>42828</v>
      </c>
      <c r="G1473" s="2">
        <v>201710</v>
      </c>
      <c r="H1473" s="2" t="s">
        <v>74</v>
      </c>
      <c r="I1473" s="2" t="s">
        <v>75</v>
      </c>
      <c r="J1473" s="2" t="s">
        <v>76</v>
      </c>
      <c r="K1473" s="2" t="s">
        <v>77</v>
      </c>
      <c r="L1473" s="2" t="s">
        <v>358</v>
      </c>
      <c r="M1473" s="2" t="s">
        <v>359</v>
      </c>
      <c r="N1473" s="2" t="s">
        <v>360</v>
      </c>
      <c r="O1473" s="2" t="s">
        <v>115</v>
      </c>
      <c r="P1473" s="2" t="str">
        <f>"2170557786                    "</f>
        <v xml:space="preserve">2170557786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4.42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1</v>
      </c>
      <c r="BJ1473" s="2">
        <v>0.2</v>
      </c>
      <c r="BK1473" s="2">
        <v>1</v>
      </c>
      <c r="BL1473" s="2">
        <v>41.86</v>
      </c>
      <c r="BM1473" s="2">
        <v>5.86</v>
      </c>
      <c r="BN1473" s="2">
        <v>47.72</v>
      </c>
      <c r="BO1473" s="2">
        <v>47.72</v>
      </c>
      <c r="BP1473" s="2"/>
      <c r="BQ1473" s="2" t="s">
        <v>361</v>
      </c>
      <c r="BR1473" s="2" t="s">
        <v>123</v>
      </c>
      <c r="BS1473" s="3">
        <v>42829</v>
      </c>
      <c r="BT1473" s="4">
        <v>0.32291666666666669</v>
      </c>
      <c r="BU1473" s="2" t="s">
        <v>1861</v>
      </c>
      <c r="BV1473" s="2" t="s">
        <v>111</v>
      </c>
      <c r="BW1473" s="2"/>
      <c r="BX1473" s="2"/>
      <c r="BY1473" s="2">
        <v>1200</v>
      </c>
      <c r="BZ1473" s="2" t="s">
        <v>27</v>
      </c>
      <c r="CA1473" s="2" t="s">
        <v>1754</v>
      </c>
      <c r="CB1473" s="2"/>
      <c r="CC1473" s="2" t="s">
        <v>359</v>
      </c>
      <c r="CD1473" s="2">
        <v>6229</v>
      </c>
      <c r="CE1473" s="2" t="s">
        <v>118</v>
      </c>
      <c r="CF1473" s="5">
        <v>42831</v>
      </c>
      <c r="CG1473" s="2"/>
      <c r="CH1473" s="2"/>
      <c r="CI1473" s="2">
        <v>1</v>
      </c>
      <c r="CJ1473" s="2">
        <v>1</v>
      </c>
      <c r="CK1473" s="2">
        <v>21</v>
      </c>
      <c r="CL1473" s="2" t="s">
        <v>86</v>
      </c>
      <c r="CM1473" s="2"/>
    </row>
    <row r="1474" spans="1:91">
      <c r="A1474" s="2" t="s">
        <v>71</v>
      </c>
      <c r="B1474" s="2" t="s">
        <v>72</v>
      </c>
      <c r="C1474" s="2" t="s">
        <v>73</v>
      </c>
      <c r="D1474" s="2"/>
      <c r="E1474" s="2" t="str">
        <f>"FES1162542393"</f>
        <v>FES1162542393</v>
      </c>
      <c r="F1474" s="3">
        <v>42832</v>
      </c>
      <c r="G1474" s="2">
        <v>201710</v>
      </c>
      <c r="H1474" s="2" t="s">
        <v>74</v>
      </c>
      <c r="I1474" s="2" t="s">
        <v>75</v>
      </c>
      <c r="J1474" s="2" t="s">
        <v>76</v>
      </c>
      <c r="K1474" s="2" t="s">
        <v>77</v>
      </c>
      <c r="L1474" s="2" t="s">
        <v>591</v>
      </c>
      <c r="M1474" s="2" t="s">
        <v>592</v>
      </c>
      <c r="N1474" s="2" t="s">
        <v>675</v>
      </c>
      <c r="O1474" s="2" t="s">
        <v>115</v>
      </c>
      <c r="P1474" s="2" t="str">
        <f>"2170561282                    "</f>
        <v xml:space="preserve">2170561282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4.29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1</v>
      </c>
      <c r="BJ1474" s="2">
        <v>0.2</v>
      </c>
      <c r="BK1474" s="2">
        <v>1</v>
      </c>
      <c r="BL1474" s="2">
        <v>41.73</v>
      </c>
      <c r="BM1474" s="2">
        <v>5.84</v>
      </c>
      <c r="BN1474" s="2">
        <v>47.57</v>
      </c>
      <c r="BO1474" s="2">
        <v>47.57</v>
      </c>
      <c r="BP1474" s="2"/>
      <c r="BQ1474" s="2" t="s">
        <v>129</v>
      </c>
      <c r="BR1474" s="2" t="s">
        <v>123</v>
      </c>
      <c r="BS1474" s="3">
        <v>42835</v>
      </c>
      <c r="BT1474" s="4">
        <v>0.41666666666666669</v>
      </c>
      <c r="BU1474" s="2" t="s">
        <v>2014</v>
      </c>
      <c r="BV1474" s="2" t="s">
        <v>111</v>
      </c>
      <c r="BW1474" s="2"/>
      <c r="BX1474" s="2"/>
      <c r="BY1474" s="2">
        <v>1200</v>
      </c>
      <c r="BZ1474" s="2" t="s">
        <v>27</v>
      </c>
      <c r="CA1474" s="2"/>
      <c r="CB1474" s="2"/>
      <c r="CC1474" s="2" t="s">
        <v>592</v>
      </c>
      <c r="CD1474" s="2">
        <v>7600</v>
      </c>
      <c r="CE1474" s="2" t="s">
        <v>144</v>
      </c>
      <c r="CF1474" s="5">
        <v>42836</v>
      </c>
      <c r="CG1474" s="2"/>
      <c r="CH1474" s="2"/>
      <c r="CI1474" s="2">
        <v>1</v>
      </c>
      <c r="CJ1474" s="2">
        <v>1</v>
      </c>
      <c r="CK1474" s="2">
        <v>21</v>
      </c>
      <c r="CL1474" s="2" t="s">
        <v>86</v>
      </c>
      <c r="CM1474" s="2"/>
    </row>
    <row r="1475" spans="1:91">
      <c r="A1475" s="2" t="s">
        <v>71</v>
      </c>
      <c r="B1475" s="2" t="s">
        <v>72</v>
      </c>
      <c r="C1475" s="2" t="s">
        <v>73</v>
      </c>
      <c r="D1475" s="2"/>
      <c r="E1475" s="2" t="str">
        <f>"FES1162541167"</f>
        <v>FES1162541167</v>
      </c>
      <c r="F1475" s="3">
        <v>42828</v>
      </c>
      <c r="G1475" s="2">
        <v>201710</v>
      </c>
      <c r="H1475" s="2" t="s">
        <v>74</v>
      </c>
      <c r="I1475" s="2" t="s">
        <v>75</v>
      </c>
      <c r="J1475" s="2" t="s">
        <v>76</v>
      </c>
      <c r="K1475" s="2" t="s">
        <v>77</v>
      </c>
      <c r="L1475" s="2" t="s">
        <v>294</v>
      </c>
      <c r="M1475" s="2" t="s">
        <v>295</v>
      </c>
      <c r="N1475" s="2" t="s">
        <v>1282</v>
      </c>
      <c r="O1475" s="2" t="s">
        <v>115</v>
      </c>
      <c r="P1475" s="2" t="str">
        <f>"2170560264                    "</f>
        <v xml:space="preserve">2170560264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4.42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</v>
      </c>
      <c r="BJ1475" s="2">
        <v>0.2</v>
      </c>
      <c r="BK1475" s="2">
        <v>1</v>
      </c>
      <c r="BL1475" s="2">
        <v>41.86</v>
      </c>
      <c r="BM1475" s="2">
        <v>5.86</v>
      </c>
      <c r="BN1475" s="2">
        <v>47.72</v>
      </c>
      <c r="BO1475" s="2">
        <v>47.72</v>
      </c>
      <c r="BP1475" s="2"/>
      <c r="BQ1475" s="2" t="s">
        <v>116</v>
      </c>
      <c r="BR1475" s="2" t="s">
        <v>123</v>
      </c>
      <c r="BS1475" s="3">
        <v>42829</v>
      </c>
      <c r="BT1475" s="4">
        <v>0.41666666666666669</v>
      </c>
      <c r="BU1475" s="2" t="s">
        <v>245</v>
      </c>
      <c r="BV1475" s="2" t="s">
        <v>111</v>
      </c>
      <c r="BW1475" s="2"/>
      <c r="BX1475" s="2"/>
      <c r="BY1475" s="2">
        <v>1200</v>
      </c>
      <c r="BZ1475" s="2" t="s">
        <v>27</v>
      </c>
      <c r="CA1475" s="2"/>
      <c r="CB1475" s="2"/>
      <c r="CC1475" s="2" t="s">
        <v>295</v>
      </c>
      <c r="CD1475" s="2">
        <v>3610</v>
      </c>
      <c r="CE1475" s="2" t="s">
        <v>118</v>
      </c>
      <c r="CF1475" s="5">
        <v>42831</v>
      </c>
      <c r="CG1475" s="2"/>
      <c r="CH1475" s="2"/>
      <c r="CI1475" s="2">
        <v>1</v>
      </c>
      <c r="CJ1475" s="2">
        <v>1</v>
      </c>
      <c r="CK1475" s="2">
        <v>21</v>
      </c>
      <c r="CL1475" s="2" t="s">
        <v>86</v>
      </c>
      <c r="CM1475" s="2"/>
    </row>
    <row r="1476" spans="1:91">
      <c r="A1476" s="2" t="s">
        <v>71</v>
      </c>
      <c r="B1476" s="2" t="s">
        <v>72</v>
      </c>
      <c r="C1476" s="2" t="s">
        <v>73</v>
      </c>
      <c r="D1476" s="2"/>
      <c r="E1476" s="2" t="str">
        <f>"FES1162542574"</f>
        <v>FES1162542574</v>
      </c>
      <c r="F1476" s="3">
        <v>42835</v>
      </c>
      <c r="G1476" s="2">
        <v>201710</v>
      </c>
      <c r="H1476" s="2" t="s">
        <v>74</v>
      </c>
      <c r="I1476" s="2" t="s">
        <v>75</v>
      </c>
      <c r="J1476" s="2" t="s">
        <v>76</v>
      </c>
      <c r="K1476" s="2" t="s">
        <v>77</v>
      </c>
      <c r="L1476" s="2" t="s">
        <v>294</v>
      </c>
      <c r="M1476" s="2" t="s">
        <v>295</v>
      </c>
      <c r="N1476" s="2" t="s">
        <v>416</v>
      </c>
      <c r="O1476" s="2" t="s">
        <v>115</v>
      </c>
      <c r="P1476" s="2" t="str">
        <f>"2170556855                    "</f>
        <v xml:space="preserve">2170556855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15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3.3</v>
      </c>
      <c r="BJ1476" s="2">
        <v>6.7</v>
      </c>
      <c r="BK1476" s="2">
        <v>7</v>
      </c>
      <c r="BL1476" s="2">
        <v>146.04</v>
      </c>
      <c r="BM1476" s="2">
        <v>20.45</v>
      </c>
      <c r="BN1476" s="2">
        <v>166.49</v>
      </c>
      <c r="BO1476" s="2">
        <v>166.49</v>
      </c>
      <c r="BP1476" s="2"/>
      <c r="BQ1476" s="2" t="s">
        <v>417</v>
      </c>
      <c r="BR1476" s="2" t="s">
        <v>123</v>
      </c>
      <c r="BS1476" s="3">
        <v>42836</v>
      </c>
      <c r="BT1476" s="4">
        <v>0.4375</v>
      </c>
      <c r="BU1476" s="2" t="s">
        <v>418</v>
      </c>
      <c r="BV1476" s="2" t="s">
        <v>111</v>
      </c>
      <c r="BW1476" s="2"/>
      <c r="BX1476" s="2"/>
      <c r="BY1476" s="2">
        <v>33388.54</v>
      </c>
      <c r="BZ1476" s="2" t="s">
        <v>27</v>
      </c>
      <c r="CA1476" s="2"/>
      <c r="CB1476" s="2"/>
      <c r="CC1476" s="2" t="s">
        <v>295</v>
      </c>
      <c r="CD1476" s="2">
        <v>3610</v>
      </c>
      <c r="CE1476" s="2" t="s">
        <v>287</v>
      </c>
      <c r="CF1476" s="5">
        <v>42837</v>
      </c>
      <c r="CG1476" s="2"/>
      <c r="CH1476" s="2"/>
      <c r="CI1476" s="2">
        <v>1</v>
      </c>
      <c r="CJ1476" s="2">
        <v>1</v>
      </c>
      <c r="CK1476" s="2">
        <v>21</v>
      </c>
      <c r="CL1476" s="2" t="s">
        <v>86</v>
      </c>
      <c r="CM1476" s="2"/>
    </row>
    <row r="1477" spans="1:91">
      <c r="A1477" s="2" t="s">
        <v>71</v>
      </c>
      <c r="B1477" s="2" t="s">
        <v>72</v>
      </c>
      <c r="C1477" s="2" t="s">
        <v>73</v>
      </c>
      <c r="D1477" s="2"/>
      <c r="E1477" s="2" t="str">
        <f>"FES1162541157"</f>
        <v>FES1162541157</v>
      </c>
      <c r="F1477" s="3">
        <v>42828</v>
      </c>
      <c r="G1477" s="2">
        <v>201710</v>
      </c>
      <c r="H1477" s="2" t="s">
        <v>74</v>
      </c>
      <c r="I1477" s="2" t="s">
        <v>75</v>
      </c>
      <c r="J1477" s="2" t="s">
        <v>76</v>
      </c>
      <c r="K1477" s="2" t="s">
        <v>77</v>
      </c>
      <c r="L1477" s="2" t="s">
        <v>166</v>
      </c>
      <c r="M1477" s="2" t="s">
        <v>167</v>
      </c>
      <c r="N1477" s="2" t="s">
        <v>168</v>
      </c>
      <c r="O1477" s="2" t="s">
        <v>115</v>
      </c>
      <c r="P1477" s="2" t="str">
        <f>"2170560251                    "</f>
        <v xml:space="preserve">2170560251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3.45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1</v>
      </c>
      <c r="BI1477" s="2">
        <v>1</v>
      </c>
      <c r="BJ1477" s="2">
        <v>0.2</v>
      </c>
      <c r="BK1477" s="2">
        <v>1</v>
      </c>
      <c r="BL1477" s="2">
        <v>32.700000000000003</v>
      </c>
      <c r="BM1477" s="2">
        <v>4.58</v>
      </c>
      <c r="BN1477" s="2">
        <v>37.28</v>
      </c>
      <c r="BO1477" s="2">
        <v>37.28</v>
      </c>
      <c r="BP1477" s="2"/>
      <c r="BQ1477" s="2" t="s">
        <v>169</v>
      </c>
      <c r="BR1477" s="2" t="s">
        <v>123</v>
      </c>
      <c r="BS1477" s="3">
        <v>42829</v>
      </c>
      <c r="BT1477" s="4">
        <v>0.38055555555555554</v>
      </c>
      <c r="BU1477" s="2" t="s">
        <v>823</v>
      </c>
      <c r="BV1477" s="2" t="s">
        <v>111</v>
      </c>
      <c r="BW1477" s="2"/>
      <c r="BX1477" s="2"/>
      <c r="BY1477" s="2">
        <v>1200</v>
      </c>
      <c r="BZ1477" s="2" t="s">
        <v>27</v>
      </c>
      <c r="CA1477" s="2" t="s">
        <v>171</v>
      </c>
      <c r="CB1477" s="2"/>
      <c r="CC1477" s="2" t="s">
        <v>167</v>
      </c>
      <c r="CD1477" s="2">
        <v>2094</v>
      </c>
      <c r="CE1477" s="2" t="s">
        <v>118</v>
      </c>
      <c r="CF1477" s="5">
        <v>42830</v>
      </c>
      <c r="CG1477" s="2"/>
      <c r="CH1477" s="2"/>
      <c r="CI1477" s="2">
        <v>1</v>
      </c>
      <c r="CJ1477" s="2">
        <v>1</v>
      </c>
      <c r="CK1477" s="2">
        <v>22</v>
      </c>
      <c r="CL1477" s="2" t="s">
        <v>86</v>
      </c>
      <c r="CM1477" s="2"/>
    </row>
    <row r="1478" spans="1:91">
      <c r="A1478" s="2" t="s">
        <v>71</v>
      </c>
      <c r="B1478" s="2" t="s">
        <v>72</v>
      </c>
      <c r="C1478" s="2" t="s">
        <v>73</v>
      </c>
      <c r="D1478" s="2"/>
      <c r="E1478" s="2" t="str">
        <f>"FES1162542313"</f>
        <v>FES1162542313</v>
      </c>
      <c r="F1478" s="3">
        <v>42832</v>
      </c>
      <c r="G1478" s="2">
        <v>201710</v>
      </c>
      <c r="H1478" s="2" t="s">
        <v>74</v>
      </c>
      <c r="I1478" s="2" t="s">
        <v>75</v>
      </c>
      <c r="J1478" s="2" t="s">
        <v>76</v>
      </c>
      <c r="K1478" s="2" t="s">
        <v>77</v>
      </c>
      <c r="L1478" s="2" t="s">
        <v>176</v>
      </c>
      <c r="M1478" s="2" t="s">
        <v>176</v>
      </c>
      <c r="N1478" s="2" t="s">
        <v>1413</v>
      </c>
      <c r="O1478" s="2" t="s">
        <v>115</v>
      </c>
      <c r="P1478" s="2" t="str">
        <f>"2170561061                    "</f>
        <v xml:space="preserve">2170561061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4.29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1</v>
      </c>
      <c r="BJ1478" s="2">
        <v>0.2</v>
      </c>
      <c r="BK1478" s="2">
        <v>1</v>
      </c>
      <c r="BL1478" s="2">
        <v>41.73</v>
      </c>
      <c r="BM1478" s="2">
        <v>5.84</v>
      </c>
      <c r="BN1478" s="2">
        <v>47.57</v>
      </c>
      <c r="BO1478" s="2">
        <v>47.57</v>
      </c>
      <c r="BP1478" s="2"/>
      <c r="BQ1478" s="2" t="s">
        <v>83</v>
      </c>
      <c r="BR1478" s="2" t="s">
        <v>123</v>
      </c>
      <c r="BS1478" s="3">
        <v>42835</v>
      </c>
      <c r="BT1478" s="4">
        <v>0.48749999999999999</v>
      </c>
      <c r="BU1478" s="2" t="s">
        <v>2015</v>
      </c>
      <c r="BV1478" s="2" t="s">
        <v>111</v>
      </c>
      <c r="BW1478" s="2"/>
      <c r="BX1478" s="2"/>
      <c r="BY1478" s="2">
        <v>1200</v>
      </c>
      <c r="BZ1478" s="2" t="s">
        <v>27</v>
      </c>
      <c r="CA1478" s="2"/>
      <c r="CB1478" s="2"/>
      <c r="CC1478" s="2" t="s">
        <v>176</v>
      </c>
      <c r="CD1478" s="2">
        <v>7620</v>
      </c>
      <c r="CE1478" s="2" t="s">
        <v>144</v>
      </c>
      <c r="CF1478" s="5">
        <v>42836</v>
      </c>
      <c r="CG1478" s="2"/>
      <c r="CH1478" s="2"/>
      <c r="CI1478" s="2">
        <v>1</v>
      </c>
      <c r="CJ1478" s="2">
        <v>1</v>
      </c>
      <c r="CK1478" s="2">
        <v>21</v>
      </c>
      <c r="CL1478" s="2" t="s">
        <v>86</v>
      </c>
      <c r="CM1478" s="2"/>
    </row>
    <row r="1479" spans="1:91">
      <c r="A1479" s="2" t="s">
        <v>71</v>
      </c>
      <c r="B1479" s="2" t="s">
        <v>72</v>
      </c>
      <c r="C1479" s="2" t="s">
        <v>73</v>
      </c>
      <c r="D1479" s="2"/>
      <c r="E1479" s="2" t="str">
        <f>"FES1162542508"</f>
        <v>FES1162542508</v>
      </c>
      <c r="F1479" s="3">
        <v>42835</v>
      </c>
      <c r="G1479" s="2">
        <v>201710</v>
      </c>
      <c r="H1479" s="2" t="s">
        <v>74</v>
      </c>
      <c r="I1479" s="2" t="s">
        <v>75</v>
      </c>
      <c r="J1479" s="2" t="s">
        <v>76</v>
      </c>
      <c r="K1479" s="2" t="s">
        <v>77</v>
      </c>
      <c r="L1479" s="2" t="s">
        <v>2016</v>
      </c>
      <c r="M1479" s="2" t="s">
        <v>2017</v>
      </c>
      <c r="N1479" s="2" t="s">
        <v>2018</v>
      </c>
      <c r="O1479" s="2" t="s">
        <v>115</v>
      </c>
      <c r="P1479" s="2" t="str">
        <f>"2170560868                    "</f>
        <v xml:space="preserve">2170560868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17.68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4</v>
      </c>
      <c r="BJ1479" s="2">
        <v>4.0999999999999996</v>
      </c>
      <c r="BK1479" s="2">
        <v>4.5</v>
      </c>
      <c r="BL1479" s="2">
        <v>172.12</v>
      </c>
      <c r="BM1479" s="2">
        <v>24.1</v>
      </c>
      <c r="BN1479" s="2">
        <v>196.22</v>
      </c>
      <c r="BO1479" s="2">
        <v>196.22</v>
      </c>
      <c r="BP1479" s="2"/>
      <c r="BQ1479" s="2" t="s">
        <v>2019</v>
      </c>
      <c r="BR1479" s="2" t="s">
        <v>123</v>
      </c>
      <c r="BS1479" s="3">
        <v>42837</v>
      </c>
      <c r="BT1479" s="4">
        <v>0</v>
      </c>
      <c r="BU1479" s="2" t="s">
        <v>2020</v>
      </c>
      <c r="BV1479" s="2" t="s">
        <v>111</v>
      </c>
      <c r="BW1479" s="2"/>
      <c r="BX1479" s="2"/>
      <c r="BY1479" s="2">
        <v>20358</v>
      </c>
      <c r="BZ1479" s="2" t="s">
        <v>27</v>
      </c>
      <c r="CA1479" s="2"/>
      <c r="CB1479" s="2"/>
      <c r="CC1479" s="2" t="s">
        <v>2017</v>
      </c>
      <c r="CD1479" s="2">
        <v>7310</v>
      </c>
      <c r="CE1479" s="2" t="s">
        <v>89</v>
      </c>
      <c r="CF1479" s="5">
        <v>42843</v>
      </c>
      <c r="CG1479" s="2"/>
      <c r="CH1479" s="2"/>
      <c r="CI1479" s="2">
        <v>3</v>
      </c>
      <c r="CJ1479" s="2">
        <v>2</v>
      </c>
      <c r="CK1479" s="2">
        <v>23</v>
      </c>
      <c r="CL1479" s="2" t="s">
        <v>86</v>
      </c>
      <c r="CM1479" s="2"/>
    </row>
    <row r="1480" spans="1:91">
      <c r="A1480" s="2" t="s">
        <v>71</v>
      </c>
      <c r="B1480" s="2" t="s">
        <v>72</v>
      </c>
      <c r="C1480" s="2" t="s">
        <v>73</v>
      </c>
      <c r="D1480" s="2"/>
      <c r="E1480" s="2" t="str">
        <f>"FES1162542572"</f>
        <v>FES1162542572</v>
      </c>
      <c r="F1480" s="3">
        <v>42835</v>
      </c>
      <c r="G1480" s="2">
        <v>201710</v>
      </c>
      <c r="H1480" s="2" t="s">
        <v>74</v>
      </c>
      <c r="I1480" s="2" t="s">
        <v>75</v>
      </c>
      <c r="J1480" s="2" t="s">
        <v>76</v>
      </c>
      <c r="K1480" s="2" t="s">
        <v>77</v>
      </c>
      <c r="L1480" s="2" t="s">
        <v>99</v>
      </c>
      <c r="M1480" s="2" t="s">
        <v>100</v>
      </c>
      <c r="N1480" s="2" t="s">
        <v>108</v>
      </c>
      <c r="O1480" s="2" t="s">
        <v>115</v>
      </c>
      <c r="P1480" s="2" t="str">
        <f>"2170556359                    "</f>
        <v xml:space="preserve">2170556359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12.86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2.5</v>
      </c>
      <c r="BJ1480" s="2">
        <v>5.7</v>
      </c>
      <c r="BK1480" s="2">
        <v>6</v>
      </c>
      <c r="BL1480" s="2">
        <v>125.18</v>
      </c>
      <c r="BM1480" s="2">
        <v>17.53</v>
      </c>
      <c r="BN1480" s="2">
        <v>142.71</v>
      </c>
      <c r="BO1480" s="2">
        <v>142.71</v>
      </c>
      <c r="BP1480" s="2"/>
      <c r="BQ1480" s="2" t="s">
        <v>109</v>
      </c>
      <c r="BR1480" s="2" t="s">
        <v>123</v>
      </c>
      <c r="BS1480" s="3">
        <v>42836</v>
      </c>
      <c r="BT1480" s="4">
        <v>0.375</v>
      </c>
      <c r="BU1480" s="2" t="s">
        <v>110</v>
      </c>
      <c r="BV1480" s="2" t="s">
        <v>111</v>
      </c>
      <c r="BW1480" s="2"/>
      <c r="BX1480" s="2"/>
      <c r="BY1480" s="2">
        <v>28409.86</v>
      </c>
      <c r="BZ1480" s="2" t="s">
        <v>27</v>
      </c>
      <c r="CA1480" s="2" t="s">
        <v>106</v>
      </c>
      <c r="CB1480" s="2"/>
      <c r="CC1480" s="2" t="s">
        <v>100</v>
      </c>
      <c r="CD1480" s="2">
        <v>6001</v>
      </c>
      <c r="CE1480" s="2" t="s">
        <v>287</v>
      </c>
      <c r="CF1480" s="5">
        <v>42836</v>
      </c>
      <c r="CG1480" s="2"/>
      <c r="CH1480" s="2"/>
      <c r="CI1480" s="2">
        <v>1</v>
      </c>
      <c r="CJ1480" s="2">
        <v>1</v>
      </c>
      <c r="CK1480" s="2">
        <v>21</v>
      </c>
      <c r="CL1480" s="2" t="s">
        <v>86</v>
      </c>
      <c r="CM1480" s="2"/>
    </row>
    <row r="1481" spans="1:91">
      <c r="A1481" s="2" t="s">
        <v>71</v>
      </c>
      <c r="B1481" s="2" t="s">
        <v>72</v>
      </c>
      <c r="C1481" s="2" t="s">
        <v>73</v>
      </c>
      <c r="D1481" s="2"/>
      <c r="E1481" s="2" t="str">
        <f>"FES1162542427"</f>
        <v>FES1162542427</v>
      </c>
      <c r="F1481" s="3">
        <v>42832</v>
      </c>
      <c r="G1481" s="2">
        <v>201710</v>
      </c>
      <c r="H1481" s="2" t="s">
        <v>74</v>
      </c>
      <c r="I1481" s="2" t="s">
        <v>75</v>
      </c>
      <c r="J1481" s="2" t="s">
        <v>76</v>
      </c>
      <c r="K1481" s="2" t="s">
        <v>77</v>
      </c>
      <c r="L1481" s="2" t="s">
        <v>166</v>
      </c>
      <c r="M1481" s="2" t="s">
        <v>167</v>
      </c>
      <c r="N1481" s="2" t="s">
        <v>486</v>
      </c>
      <c r="O1481" s="2" t="s">
        <v>115</v>
      </c>
      <c r="P1481" s="2" t="str">
        <f>"2170561317                    "</f>
        <v xml:space="preserve">2170561317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3.35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1.2</v>
      </c>
      <c r="BJ1481" s="2">
        <v>1</v>
      </c>
      <c r="BK1481" s="2">
        <v>2</v>
      </c>
      <c r="BL1481" s="2">
        <v>32.6</v>
      </c>
      <c r="BM1481" s="2">
        <v>4.5599999999999996</v>
      </c>
      <c r="BN1481" s="2">
        <v>37.159999999999997</v>
      </c>
      <c r="BO1481" s="2">
        <v>37.159999999999997</v>
      </c>
      <c r="BP1481" s="2"/>
      <c r="BQ1481" s="2" t="s">
        <v>487</v>
      </c>
      <c r="BR1481" s="2" t="s">
        <v>123</v>
      </c>
      <c r="BS1481" s="3">
        <v>42835</v>
      </c>
      <c r="BT1481" s="4">
        <v>0.35138888888888892</v>
      </c>
      <c r="BU1481" s="2" t="s">
        <v>2021</v>
      </c>
      <c r="BV1481" s="2" t="s">
        <v>111</v>
      </c>
      <c r="BW1481" s="2"/>
      <c r="BX1481" s="2"/>
      <c r="BY1481" s="2">
        <v>4816.37</v>
      </c>
      <c r="BZ1481" s="2" t="s">
        <v>27</v>
      </c>
      <c r="CA1481" s="2" t="s">
        <v>2022</v>
      </c>
      <c r="CB1481" s="2"/>
      <c r="CC1481" s="2" t="s">
        <v>167</v>
      </c>
      <c r="CD1481" s="2">
        <v>2013</v>
      </c>
      <c r="CE1481" s="2" t="s">
        <v>89</v>
      </c>
      <c r="CF1481" s="5">
        <v>42836</v>
      </c>
      <c r="CG1481" s="2"/>
      <c r="CH1481" s="2"/>
      <c r="CI1481" s="2">
        <v>1</v>
      </c>
      <c r="CJ1481" s="2">
        <v>1</v>
      </c>
      <c r="CK1481" s="2">
        <v>22</v>
      </c>
      <c r="CL1481" s="2" t="s">
        <v>86</v>
      </c>
      <c r="CM1481" s="2"/>
    </row>
    <row r="1482" spans="1:91">
      <c r="A1482" s="2" t="s">
        <v>71</v>
      </c>
      <c r="B1482" s="2" t="s">
        <v>72</v>
      </c>
      <c r="C1482" s="2" t="s">
        <v>73</v>
      </c>
      <c r="D1482" s="2"/>
      <c r="E1482" s="2" t="str">
        <f>"FES1162542567"</f>
        <v>FES1162542567</v>
      </c>
      <c r="F1482" s="3">
        <v>42835</v>
      </c>
      <c r="G1482" s="2">
        <v>201710</v>
      </c>
      <c r="H1482" s="2" t="s">
        <v>74</v>
      </c>
      <c r="I1482" s="2" t="s">
        <v>75</v>
      </c>
      <c r="J1482" s="2" t="s">
        <v>76</v>
      </c>
      <c r="K1482" s="2" t="s">
        <v>77</v>
      </c>
      <c r="L1482" s="2" t="s">
        <v>99</v>
      </c>
      <c r="M1482" s="2" t="s">
        <v>100</v>
      </c>
      <c r="N1482" s="2" t="s">
        <v>108</v>
      </c>
      <c r="O1482" s="2" t="s">
        <v>115</v>
      </c>
      <c r="P1482" s="2" t="str">
        <f>"2170552631                    "</f>
        <v xml:space="preserve">2170552631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15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4.8</v>
      </c>
      <c r="BJ1482" s="2">
        <v>6.6</v>
      </c>
      <c r="BK1482" s="2">
        <v>7</v>
      </c>
      <c r="BL1482" s="2">
        <v>146.04</v>
      </c>
      <c r="BM1482" s="2">
        <v>20.45</v>
      </c>
      <c r="BN1482" s="2">
        <v>166.49</v>
      </c>
      <c r="BO1482" s="2">
        <v>166.49</v>
      </c>
      <c r="BP1482" s="2"/>
      <c r="BQ1482" s="2" t="s">
        <v>109</v>
      </c>
      <c r="BR1482" s="2" t="s">
        <v>123</v>
      </c>
      <c r="BS1482" s="3">
        <v>42836</v>
      </c>
      <c r="BT1482" s="4">
        <v>0.375</v>
      </c>
      <c r="BU1482" s="2" t="s">
        <v>110</v>
      </c>
      <c r="BV1482" s="2" t="s">
        <v>111</v>
      </c>
      <c r="BW1482" s="2"/>
      <c r="BX1482" s="2"/>
      <c r="BY1482" s="2">
        <v>32871.599999999999</v>
      </c>
      <c r="BZ1482" s="2" t="s">
        <v>27</v>
      </c>
      <c r="CA1482" s="2" t="s">
        <v>106</v>
      </c>
      <c r="CB1482" s="2"/>
      <c r="CC1482" s="2" t="s">
        <v>100</v>
      </c>
      <c r="CD1482" s="2">
        <v>6001</v>
      </c>
      <c r="CE1482" s="2" t="s">
        <v>287</v>
      </c>
      <c r="CF1482" s="5">
        <v>42836</v>
      </c>
      <c r="CG1482" s="2"/>
      <c r="CH1482" s="2"/>
      <c r="CI1482" s="2">
        <v>1</v>
      </c>
      <c r="CJ1482" s="2">
        <v>1</v>
      </c>
      <c r="CK1482" s="2">
        <v>21</v>
      </c>
      <c r="CL1482" s="2" t="s">
        <v>86</v>
      </c>
      <c r="CM1482" s="2"/>
    </row>
    <row r="1483" spans="1:91">
      <c r="A1483" s="2" t="s">
        <v>71</v>
      </c>
      <c r="B1483" s="2" t="s">
        <v>72</v>
      </c>
      <c r="C1483" s="2" t="s">
        <v>73</v>
      </c>
      <c r="D1483" s="2"/>
      <c r="E1483" s="2" t="str">
        <f>"FES1162542433"</f>
        <v>FES1162542433</v>
      </c>
      <c r="F1483" s="3">
        <v>42832</v>
      </c>
      <c r="G1483" s="2">
        <v>201710</v>
      </c>
      <c r="H1483" s="2" t="s">
        <v>74</v>
      </c>
      <c r="I1483" s="2" t="s">
        <v>75</v>
      </c>
      <c r="J1483" s="2" t="s">
        <v>76</v>
      </c>
      <c r="K1483" s="2" t="s">
        <v>77</v>
      </c>
      <c r="L1483" s="2" t="s">
        <v>166</v>
      </c>
      <c r="M1483" s="2" t="s">
        <v>167</v>
      </c>
      <c r="N1483" s="2" t="s">
        <v>168</v>
      </c>
      <c r="O1483" s="2" t="s">
        <v>115</v>
      </c>
      <c r="P1483" s="2" t="str">
        <f>"2170561323                    "</f>
        <v xml:space="preserve">2170561323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3.35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1</v>
      </c>
      <c r="BJ1483" s="2">
        <v>0.2</v>
      </c>
      <c r="BK1483" s="2">
        <v>1</v>
      </c>
      <c r="BL1483" s="2">
        <v>32.6</v>
      </c>
      <c r="BM1483" s="2">
        <v>4.5599999999999996</v>
      </c>
      <c r="BN1483" s="2">
        <v>37.159999999999997</v>
      </c>
      <c r="BO1483" s="2">
        <v>37.159999999999997</v>
      </c>
      <c r="BP1483" s="2"/>
      <c r="BQ1483" s="2" t="s">
        <v>169</v>
      </c>
      <c r="BR1483" s="2" t="s">
        <v>123</v>
      </c>
      <c r="BS1483" s="3">
        <v>42835</v>
      </c>
      <c r="BT1483" s="4">
        <v>0.33333333333333331</v>
      </c>
      <c r="BU1483" s="2" t="s">
        <v>170</v>
      </c>
      <c r="BV1483" s="2" t="s">
        <v>111</v>
      </c>
      <c r="BW1483" s="2"/>
      <c r="BX1483" s="2"/>
      <c r="BY1483" s="2">
        <v>1200</v>
      </c>
      <c r="BZ1483" s="2" t="s">
        <v>27</v>
      </c>
      <c r="CA1483" s="2"/>
      <c r="CB1483" s="2"/>
      <c r="CC1483" s="2" t="s">
        <v>167</v>
      </c>
      <c r="CD1483" s="2">
        <v>2094</v>
      </c>
      <c r="CE1483" s="2" t="s">
        <v>118</v>
      </c>
      <c r="CF1483" s="5">
        <v>42836</v>
      </c>
      <c r="CG1483" s="2"/>
      <c r="CH1483" s="2"/>
      <c r="CI1483" s="2">
        <v>1</v>
      </c>
      <c r="CJ1483" s="2">
        <v>1</v>
      </c>
      <c r="CK1483" s="2">
        <v>22</v>
      </c>
      <c r="CL1483" s="2" t="s">
        <v>86</v>
      </c>
      <c r="CM1483" s="2"/>
    </row>
    <row r="1484" spans="1:91">
      <c r="A1484" s="2" t="s">
        <v>71</v>
      </c>
      <c r="B1484" s="2" t="s">
        <v>72</v>
      </c>
      <c r="C1484" s="2" t="s">
        <v>73</v>
      </c>
      <c r="D1484" s="2"/>
      <c r="E1484" s="2" t="str">
        <f>"FES1162542571"</f>
        <v>FES1162542571</v>
      </c>
      <c r="F1484" s="3">
        <v>42835</v>
      </c>
      <c r="G1484" s="2">
        <v>201710</v>
      </c>
      <c r="H1484" s="2" t="s">
        <v>74</v>
      </c>
      <c r="I1484" s="2" t="s">
        <v>75</v>
      </c>
      <c r="J1484" s="2" t="s">
        <v>76</v>
      </c>
      <c r="K1484" s="2" t="s">
        <v>77</v>
      </c>
      <c r="L1484" s="2" t="s">
        <v>99</v>
      </c>
      <c r="M1484" s="2" t="s">
        <v>100</v>
      </c>
      <c r="N1484" s="2" t="s">
        <v>108</v>
      </c>
      <c r="O1484" s="2" t="s">
        <v>115</v>
      </c>
      <c r="P1484" s="2" t="str">
        <f>"2170556245                    "</f>
        <v xml:space="preserve">2170556245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8.57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1.6</v>
      </c>
      <c r="BJ1484" s="2">
        <v>3.7</v>
      </c>
      <c r="BK1484" s="2">
        <v>4</v>
      </c>
      <c r="BL1484" s="2">
        <v>83.45</v>
      </c>
      <c r="BM1484" s="2">
        <v>11.68</v>
      </c>
      <c r="BN1484" s="2">
        <v>95.13</v>
      </c>
      <c r="BO1484" s="2">
        <v>95.13</v>
      </c>
      <c r="BP1484" s="2"/>
      <c r="BQ1484" s="2" t="s">
        <v>109</v>
      </c>
      <c r="BR1484" s="2" t="s">
        <v>123</v>
      </c>
      <c r="BS1484" s="3">
        <v>42836</v>
      </c>
      <c r="BT1484" s="4">
        <v>0.57361111111111118</v>
      </c>
      <c r="BU1484" s="2" t="s">
        <v>2023</v>
      </c>
      <c r="BV1484" s="2" t="s">
        <v>86</v>
      </c>
      <c r="BW1484" s="2"/>
      <c r="BX1484" s="2"/>
      <c r="BY1484" s="2">
        <v>18417.169999999998</v>
      </c>
      <c r="BZ1484" s="2" t="s">
        <v>27</v>
      </c>
      <c r="CA1484" s="2" t="s">
        <v>106</v>
      </c>
      <c r="CB1484" s="2"/>
      <c r="CC1484" s="2" t="s">
        <v>100</v>
      </c>
      <c r="CD1484" s="2">
        <v>6001</v>
      </c>
      <c r="CE1484" s="2" t="s">
        <v>287</v>
      </c>
      <c r="CF1484" s="5">
        <v>42837</v>
      </c>
      <c r="CG1484" s="2"/>
      <c r="CH1484" s="2"/>
      <c r="CI1484" s="2">
        <v>1</v>
      </c>
      <c r="CJ1484" s="2">
        <v>1</v>
      </c>
      <c r="CK1484" s="2">
        <v>21</v>
      </c>
      <c r="CL1484" s="2" t="s">
        <v>86</v>
      </c>
      <c r="CM1484" s="2"/>
    </row>
    <row r="1485" spans="1:91">
      <c r="A1485" s="2" t="s">
        <v>71</v>
      </c>
      <c r="B1485" s="2" t="s">
        <v>72</v>
      </c>
      <c r="C1485" s="2" t="s">
        <v>73</v>
      </c>
      <c r="D1485" s="2"/>
      <c r="E1485" s="2" t="str">
        <f>"FES1162542411"</f>
        <v>FES1162542411</v>
      </c>
      <c r="F1485" s="3">
        <v>42832</v>
      </c>
      <c r="G1485" s="2">
        <v>201710</v>
      </c>
      <c r="H1485" s="2" t="s">
        <v>74</v>
      </c>
      <c r="I1485" s="2" t="s">
        <v>75</v>
      </c>
      <c r="J1485" s="2" t="s">
        <v>76</v>
      </c>
      <c r="K1485" s="2" t="s">
        <v>77</v>
      </c>
      <c r="L1485" s="2" t="s">
        <v>180</v>
      </c>
      <c r="M1485" s="2" t="s">
        <v>181</v>
      </c>
      <c r="N1485" s="2" t="s">
        <v>320</v>
      </c>
      <c r="O1485" s="2" t="s">
        <v>115</v>
      </c>
      <c r="P1485" s="2" t="str">
        <f>"2170560839                    "</f>
        <v xml:space="preserve">2170560839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37.51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2</v>
      </c>
      <c r="BI1485" s="2">
        <v>17.399999999999999</v>
      </c>
      <c r="BJ1485" s="2">
        <v>7.3</v>
      </c>
      <c r="BK1485" s="2">
        <v>17.5</v>
      </c>
      <c r="BL1485" s="2">
        <v>365.11</v>
      </c>
      <c r="BM1485" s="2">
        <v>51.12</v>
      </c>
      <c r="BN1485" s="2">
        <v>416.23</v>
      </c>
      <c r="BO1485" s="2">
        <v>416.23</v>
      </c>
      <c r="BP1485" s="2"/>
      <c r="BQ1485" s="2" t="s">
        <v>129</v>
      </c>
      <c r="BR1485" s="2" t="s">
        <v>123</v>
      </c>
      <c r="BS1485" s="3">
        <v>42835</v>
      </c>
      <c r="BT1485" s="4">
        <v>0.43055555555555558</v>
      </c>
      <c r="BU1485" s="2" t="s">
        <v>2024</v>
      </c>
      <c r="BV1485" s="2" t="s">
        <v>111</v>
      </c>
      <c r="BW1485" s="2"/>
      <c r="BX1485" s="2"/>
      <c r="BY1485" s="2">
        <v>36265.71</v>
      </c>
      <c r="BZ1485" s="2" t="s">
        <v>27</v>
      </c>
      <c r="CA1485" s="2"/>
      <c r="CB1485" s="2"/>
      <c r="CC1485" s="2" t="s">
        <v>181</v>
      </c>
      <c r="CD1485" s="2">
        <v>4051</v>
      </c>
      <c r="CE1485" s="2" t="s">
        <v>1533</v>
      </c>
      <c r="CF1485" s="5">
        <v>42836</v>
      </c>
      <c r="CG1485" s="2"/>
      <c r="CH1485" s="2"/>
      <c r="CI1485" s="2">
        <v>1</v>
      </c>
      <c r="CJ1485" s="2">
        <v>1</v>
      </c>
      <c r="CK1485" s="2">
        <v>21</v>
      </c>
      <c r="CL1485" s="2" t="s">
        <v>86</v>
      </c>
      <c r="CM1485" s="2"/>
    </row>
    <row r="1486" spans="1:91">
      <c r="A1486" s="2" t="s">
        <v>71</v>
      </c>
      <c r="B1486" s="2" t="s">
        <v>72</v>
      </c>
      <c r="C1486" s="2" t="s">
        <v>73</v>
      </c>
      <c r="D1486" s="2"/>
      <c r="E1486" s="2" t="str">
        <f>"FES1162542565"</f>
        <v>FES1162542565</v>
      </c>
      <c r="F1486" s="3">
        <v>42835</v>
      </c>
      <c r="G1486" s="2">
        <v>201710</v>
      </c>
      <c r="H1486" s="2" t="s">
        <v>74</v>
      </c>
      <c r="I1486" s="2" t="s">
        <v>75</v>
      </c>
      <c r="J1486" s="2" t="s">
        <v>76</v>
      </c>
      <c r="K1486" s="2" t="s">
        <v>77</v>
      </c>
      <c r="L1486" s="2" t="s">
        <v>74</v>
      </c>
      <c r="M1486" s="2" t="s">
        <v>75</v>
      </c>
      <c r="N1486" s="2" t="s">
        <v>2025</v>
      </c>
      <c r="O1486" s="2" t="s">
        <v>115</v>
      </c>
      <c r="P1486" s="2" t="str">
        <f>"2170556473                    "</f>
        <v xml:space="preserve">2170556473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3.35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3</v>
      </c>
      <c r="BJ1486" s="2">
        <v>1</v>
      </c>
      <c r="BK1486" s="2">
        <v>3</v>
      </c>
      <c r="BL1486" s="2">
        <v>32.6</v>
      </c>
      <c r="BM1486" s="2">
        <v>4.5599999999999996</v>
      </c>
      <c r="BN1486" s="2">
        <v>37.159999999999997</v>
      </c>
      <c r="BO1486" s="2">
        <v>37.159999999999997</v>
      </c>
      <c r="BP1486" s="2"/>
      <c r="BQ1486" s="2"/>
      <c r="BR1486" s="2" t="s">
        <v>123</v>
      </c>
      <c r="BS1486" s="3">
        <v>42836</v>
      </c>
      <c r="BT1486" s="4">
        <v>0.3263888888888889</v>
      </c>
      <c r="BU1486" s="2" t="s">
        <v>2026</v>
      </c>
      <c r="BV1486" s="2" t="s">
        <v>111</v>
      </c>
      <c r="BW1486" s="2"/>
      <c r="BX1486" s="2"/>
      <c r="BY1486" s="2">
        <v>4800</v>
      </c>
      <c r="BZ1486" s="2" t="s">
        <v>27</v>
      </c>
      <c r="CA1486" s="2" t="s">
        <v>2027</v>
      </c>
      <c r="CB1486" s="2"/>
      <c r="CC1486" s="2" t="s">
        <v>75</v>
      </c>
      <c r="CD1486" s="2">
        <v>1609</v>
      </c>
      <c r="CE1486" s="2" t="s">
        <v>172</v>
      </c>
      <c r="CF1486" s="5">
        <v>42838</v>
      </c>
      <c r="CG1486" s="2"/>
      <c r="CH1486" s="2"/>
      <c r="CI1486" s="2">
        <v>1</v>
      </c>
      <c r="CJ1486" s="2">
        <v>1</v>
      </c>
      <c r="CK1486" s="2">
        <v>22</v>
      </c>
      <c r="CL1486" s="2" t="s">
        <v>86</v>
      </c>
      <c r="CM1486" s="2"/>
    </row>
    <row r="1487" spans="1:91">
      <c r="A1487" s="2" t="s">
        <v>71</v>
      </c>
      <c r="B1487" s="2" t="s">
        <v>72</v>
      </c>
      <c r="C1487" s="2" t="s">
        <v>73</v>
      </c>
      <c r="D1487" s="2"/>
      <c r="E1487" s="2" t="str">
        <f>"FES1162542413"</f>
        <v>FES1162542413</v>
      </c>
      <c r="F1487" s="3">
        <v>42832</v>
      </c>
      <c r="G1487" s="2">
        <v>201710</v>
      </c>
      <c r="H1487" s="2" t="s">
        <v>74</v>
      </c>
      <c r="I1487" s="2" t="s">
        <v>75</v>
      </c>
      <c r="J1487" s="2" t="s">
        <v>76</v>
      </c>
      <c r="K1487" s="2" t="s">
        <v>77</v>
      </c>
      <c r="L1487" s="2" t="s">
        <v>99</v>
      </c>
      <c r="M1487" s="2" t="s">
        <v>100</v>
      </c>
      <c r="N1487" s="2" t="s">
        <v>583</v>
      </c>
      <c r="O1487" s="2" t="s">
        <v>115</v>
      </c>
      <c r="P1487" s="2" t="str">
        <f>"2170561002                    "</f>
        <v xml:space="preserve">2170561002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38.58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18</v>
      </c>
      <c r="BJ1487" s="2">
        <v>5.2</v>
      </c>
      <c r="BK1487" s="2">
        <v>18</v>
      </c>
      <c r="BL1487" s="2">
        <v>375.54</v>
      </c>
      <c r="BM1487" s="2">
        <v>52.58</v>
      </c>
      <c r="BN1487" s="2">
        <v>428.12</v>
      </c>
      <c r="BO1487" s="2">
        <v>428.12</v>
      </c>
      <c r="BP1487" s="2"/>
      <c r="BQ1487" s="2" t="s">
        <v>584</v>
      </c>
      <c r="BR1487" s="2" t="s">
        <v>123</v>
      </c>
      <c r="BS1487" s="3">
        <v>42835</v>
      </c>
      <c r="BT1487" s="4">
        <v>0.30902777777777779</v>
      </c>
      <c r="BU1487" s="2" t="s">
        <v>585</v>
      </c>
      <c r="BV1487" s="2" t="s">
        <v>111</v>
      </c>
      <c r="BW1487" s="2"/>
      <c r="BX1487" s="2"/>
      <c r="BY1487" s="2">
        <v>25760</v>
      </c>
      <c r="BZ1487" s="2" t="s">
        <v>27</v>
      </c>
      <c r="CA1487" s="2" t="s">
        <v>154</v>
      </c>
      <c r="CB1487" s="2"/>
      <c r="CC1487" s="2" t="s">
        <v>100</v>
      </c>
      <c r="CD1487" s="2">
        <v>6001</v>
      </c>
      <c r="CE1487" s="2" t="s">
        <v>135</v>
      </c>
      <c r="CF1487" s="5">
        <v>42835</v>
      </c>
      <c r="CG1487" s="2"/>
      <c r="CH1487" s="2"/>
      <c r="CI1487" s="2">
        <v>1</v>
      </c>
      <c r="CJ1487" s="2">
        <v>1</v>
      </c>
      <c r="CK1487" s="2">
        <v>21</v>
      </c>
      <c r="CL1487" s="2" t="s">
        <v>86</v>
      </c>
      <c r="CM1487" s="2"/>
    </row>
    <row r="1488" spans="1:91">
      <c r="A1488" s="2" t="s">
        <v>71</v>
      </c>
      <c r="B1488" s="2" t="s">
        <v>72</v>
      </c>
      <c r="C1488" s="2" t="s">
        <v>73</v>
      </c>
      <c r="D1488" s="2"/>
      <c r="E1488" s="2" t="str">
        <f>"FES1162542513"</f>
        <v>FES1162542513</v>
      </c>
      <c r="F1488" s="3">
        <v>42835</v>
      </c>
      <c r="G1488" s="2">
        <v>201710</v>
      </c>
      <c r="H1488" s="2" t="s">
        <v>74</v>
      </c>
      <c r="I1488" s="2" t="s">
        <v>75</v>
      </c>
      <c r="J1488" s="2" t="s">
        <v>76</v>
      </c>
      <c r="K1488" s="2" t="s">
        <v>77</v>
      </c>
      <c r="L1488" s="2" t="s">
        <v>187</v>
      </c>
      <c r="M1488" s="2" t="s">
        <v>146</v>
      </c>
      <c r="N1488" s="2" t="s">
        <v>850</v>
      </c>
      <c r="O1488" s="2" t="s">
        <v>115</v>
      </c>
      <c r="P1488" s="2" t="str">
        <f>"2170561355                    "</f>
        <v xml:space="preserve">2170561355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6.43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2.7</v>
      </c>
      <c r="BJ1488" s="2">
        <v>2.1</v>
      </c>
      <c r="BK1488" s="2">
        <v>3</v>
      </c>
      <c r="BL1488" s="2">
        <v>62.59</v>
      </c>
      <c r="BM1488" s="2">
        <v>8.76</v>
      </c>
      <c r="BN1488" s="2">
        <v>71.349999999999994</v>
      </c>
      <c r="BO1488" s="2">
        <v>71.349999999999994</v>
      </c>
      <c r="BP1488" s="2"/>
      <c r="BQ1488" s="2" t="s">
        <v>851</v>
      </c>
      <c r="BR1488" s="2" t="s">
        <v>123</v>
      </c>
      <c r="BS1488" s="3">
        <v>42836</v>
      </c>
      <c r="BT1488" s="4">
        <v>0.38541666666666669</v>
      </c>
      <c r="BU1488" s="2" t="s">
        <v>2028</v>
      </c>
      <c r="BV1488" s="2" t="s">
        <v>111</v>
      </c>
      <c r="BW1488" s="2"/>
      <c r="BX1488" s="2"/>
      <c r="BY1488" s="2">
        <v>10554.01</v>
      </c>
      <c r="BZ1488" s="2" t="s">
        <v>27</v>
      </c>
      <c r="CA1488" s="2"/>
      <c r="CB1488" s="2"/>
      <c r="CC1488" s="2" t="s">
        <v>146</v>
      </c>
      <c r="CD1488" s="2">
        <v>200</v>
      </c>
      <c r="CE1488" s="2" t="s">
        <v>135</v>
      </c>
      <c r="CF1488" s="5">
        <v>42838</v>
      </c>
      <c r="CG1488" s="2"/>
      <c r="CH1488" s="2"/>
      <c r="CI1488" s="2">
        <v>0</v>
      </c>
      <c r="CJ1488" s="2">
        <v>0</v>
      </c>
      <c r="CK1488" s="2">
        <v>21</v>
      </c>
      <c r="CL1488" s="2" t="s">
        <v>86</v>
      </c>
      <c r="CM1488" s="2"/>
    </row>
    <row r="1489" spans="1:91">
      <c r="A1489" s="2" t="s">
        <v>71</v>
      </c>
      <c r="B1489" s="2" t="s">
        <v>72</v>
      </c>
      <c r="C1489" s="2" t="s">
        <v>73</v>
      </c>
      <c r="D1489" s="2"/>
      <c r="E1489" s="2" t="str">
        <f>"FES1162542363"</f>
        <v>FES1162542363</v>
      </c>
      <c r="F1489" s="3">
        <v>42832</v>
      </c>
      <c r="G1489" s="2">
        <v>201710</v>
      </c>
      <c r="H1489" s="2" t="s">
        <v>74</v>
      </c>
      <c r="I1489" s="2" t="s">
        <v>75</v>
      </c>
      <c r="J1489" s="2" t="s">
        <v>76</v>
      </c>
      <c r="K1489" s="2" t="s">
        <v>77</v>
      </c>
      <c r="L1489" s="2" t="s">
        <v>131</v>
      </c>
      <c r="M1489" s="2" t="s">
        <v>132</v>
      </c>
      <c r="N1489" s="2" t="s">
        <v>1280</v>
      </c>
      <c r="O1489" s="2" t="s">
        <v>115</v>
      </c>
      <c r="P1489" s="2" t="str">
        <f>"2170561248                    "</f>
        <v xml:space="preserve">2170561248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7.5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3</v>
      </c>
      <c r="BJ1489" s="2">
        <v>3.4</v>
      </c>
      <c r="BK1489" s="2">
        <v>3.5</v>
      </c>
      <c r="BL1489" s="2">
        <v>73.02</v>
      </c>
      <c r="BM1489" s="2">
        <v>10.220000000000001</v>
      </c>
      <c r="BN1489" s="2">
        <v>83.24</v>
      </c>
      <c r="BO1489" s="2">
        <v>83.24</v>
      </c>
      <c r="BP1489" s="2"/>
      <c r="BQ1489" s="2" t="s">
        <v>116</v>
      </c>
      <c r="BR1489" s="2" t="s">
        <v>123</v>
      </c>
      <c r="BS1489" s="3">
        <v>42835</v>
      </c>
      <c r="BT1489" s="4">
        <v>0.3263888888888889</v>
      </c>
      <c r="BU1489" s="2" t="s">
        <v>2029</v>
      </c>
      <c r="BV1489" s="2" t="s">
        <v>111</v>
      </c>
      <c r="BW1489" s="2"/>
      <c r="BX1489" s="2"/>
      <c r="BY1489" s="2">
        <v>17186.13</v>
      </c>
      <c r="BZ1489" s="2" t="s">
        <v>27</v>
      </c>
      <c r="CA1489" s="2"/>
      <c r="CB1489" s="2"/>
      <c r="CC1489" s="2" t="s">
        <v>132</v>
      </c>
      <c r="CD1489" s="2">
        <v>7530</v>
      </c>
      <c r="CE1489" s="2" t="s">
        <v>135</v>
      </c>
      <c r="CF1489" s="5">
        <v>42836</v>
      </c>
      <c r="CG1489" s="2"/>
      <c r="CH1489" s="2"/>
      <c r="CI1489" s="2">
        <v>1</v>
      </c>
      <c r="CJ1489" s="2">
        <v>1</v>
      </c>
      <c r="CK1489" s="2">
        <v>21</v>
      </c>
      <c r="CL1489" s="2" t="s">
        <v>86</v>
      </c>
      <c r="CM1489" s="2"/>
    </row>
    <row r="1490" spans="1:91">
      <c r="A1490" s="2" t="s">
        <v>71</v>
      </c>
      <c r="B1490" s="2" t="s">
        <v>72</v>
      </c>
      <c r="C1490" s="2" t="s">
        <v>73</v>
      </c>
      <c r="D1490" s="2"/>
      <c r="E1490" s="2" t="str">
        <f>"FES1162542418"</f>
        <v>FES1162542418</v>
      </c>
      <c r="F1490" s="3">
        <v>42832</v>
      </c>
      <c r="G1490" s="2">
        <v>201710</v>
      </c>
      <c r="H1490" s="2" t="s">
        <v>74</v>
      </c>
      <c r="I1490" s="2" t="s">
        <v>75</v>
      </c>
      <c r="J1490" s="2" t="s">
        <v>76</v>
      </c>
      <c r="K1490" s="2" t="s">
        <v>77</v>
      </c>
      <c r="L1490" s="2" t="s">
        <v>591</v>
      </c>
      <c r="M1490" s="2" t="s">
        <v>592</v>
      </c>
      <c r="N1490" s="2" t="s">
        <v>675</v>
      </c>
      <c r="O1490" s="2" t="s">
        <v>115</v>
      </c>
      <c r="P1490" s="2" t="str">
        <f>"2170561145                    "</f>
        <v xml:space="preserve">2170561145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12.86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5.7</v>
      </c>
      <c r="BJ1490" s="2">
        <v>3.3</v>
      </c>
      <c r="BK1490" s="2">
        <v>6</v>
      </c>
      <c r="BL1490" s="2">
        <v>125.18</v>
      </c>
      <c r="BM1490" s="2">
        <v>17.53</v>
      </c>
      <c r="BN1490" s="2">
        <v>142.71</v>
      </c>
      <c r="BO1490" s="2">
        <v>142.71</v>
      </c>
      <c r="BP1490" s="2"/>
      <c r="BQ1490" s="2" t="s">
        <v>129</v>
      </c>
      <c r="BR1490" s="2" t="s">
        <v>123</v>
      </c>
      <c r="BS1490" s="3">
        <v>42835</v>
      </c>
      <c r="BT1490" s="4">
        <v>0.41666666666666669</v>
      </c>
      <c r="BU1490" s="2" t="s">
        <v>2030</v>
      </c>
      <c r="BV1490" s="2" t="s">
        <v>111</v>
      </c>
      <c r="BW1490" s="2"/>
      <c r="BX1490" s="2"/>
      <c r="BY1490" s="2">
        <v>16660.349999999999</v>
      </c>
      <c r="BZ1490" s="2" t="s">
        <v>27</v>
      </c>
      <c r="CA1490" s="2"/>
      <c r="CB1490" s="2"/>
      <c r="CC1490" s="2" t="s">
        <v>592</v>
      </c>
      <c r="CD1490" s="2">
        <v>7600</v>
      </c>
      <c r="CE1490" s="2" t="s">
        <v>135</v>
      </c>
      <c r="CF1490" s="5">
        <v>42836</v>
      </c>
      <c r="CG1490" s="2"/>
      <c r="CH1490" s="2"/>
      <c r="CI1490" s="2">
        <v>1</v>
      </c>
      <c r="CJ1490" s="2">
        <v>1</v>
      </c>
      <c r="CK1490" s="2">
        <v>21</v>
      </c>
      <c r="CL1490" s="2" t="s">
        <v>86</v>
      </c>
      <c r="CM1490" s="2"/>
    </row>
    <row r="1491" spans="1:91">
      <c r="A1491" s="2" t="s">
        <v>71</v>
      </c>
      <c r="B1491" s="2" t="s">
        <v>72</v>
      </c>
      <c r="C1491" s="2" t="s">
        <v>73</v>
      </c>
      <c r="D1491" s="2"/>
      <c r="E1491" s="2" t="str">
        <f>"FES1162542551"</f>
        <v>FES1162542551</v>
      </c>
      <c r="F1491" s="3">
        <v>42835</v>
      </c>
      <c r="G1491" s="2">
        <v>201710</v>
      </c>
      <c r="H1491" s="2" t="s">
        <v>74</v>
      </c>
      <c r="I1491" s="2" t="s">
        <v>75</v>
      </c>
      <c r="J1491" s="2" t="s">
        <v>76</v>
      </c>
      <c r="K1491" s="2" t="s">
        <v>77</v>
      </c>
      <c r="L1491" s="2" t="s">
        <v>74</v>
      </c>
      <c r="M1491" s="2" t="s">
        <v>75</v>
      </c>
      <c r="N1491" s="2" t="s">
        <v>2031</v>
      </c>
      <c r="O1491" s="2" t="s">
        <v>115</v>
      </c>
      <c r="P1491" s="2" t="str">
        <f>"2170561414                    "</f>
        <v xml:space="preserve">2170561414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3.35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1</v>
      </c>
      <c r="BJ1491" s="2">
        <v>0.2</v>
      </c>
      <c r="BK1491" s="2">
        <v>1</v>
      </c>
      <c r="BL1491" s="2">
        <v>32.6</v>
      </c>
      <c r="BM1491" s="2">
        <v>4.5599999999999996</v>
      </c>
      <c r="BN1491" s="2">
        <v>37.159999999999997</v>
      </c>
      <c r="BO1491" s="2">
        <v>37.159999999999997</v>
      </c>
      <c r="BP1491" s="2"/>
      <c r="BQ1491" s="2"/>
      <c r="BR1491" s="2" t="s">
        <v>123</v>
      </c>
      <c r="BS1491" s="3">
        <v>42836</v>
      </c>
      <c r="BT1491" s="4">
        <v>0.41666666666666669</v>
      </c>
      <c r="BU1491" s="2" t="s">
        <v>2032</v>
      </c>
      <c r="BV1491" s="2" t="s">
        <v>111</v>
      </c>
      <c r="BW1491" s="2"/>
      <c r="BX1491" s="2"/>
      <c r="BY1491" s="2">
        <v>1200</v>
      </c>
      <c r="BZ1491" s="2" t="s">
        <v>27</v>
      </c>
      <c r="CA1491" s="2"/>
      <c r="CB1491" s="2"/>
      <c r="CC1491" s="2" t="s">
        <v>75</v>
      </c>
      <c r="CD1491" s="2">
        <v>1614</v>
      </c>
      <c r="CE1491" s="2" t="s">
        <v>118</v>
      </c>
      <c r="CF1491" s="5">
        <v>42838</v>
      </c>
      <c r="CG1491" s="2"/>
      <c r="CH1491" s="2"/>
      <c r="CI1491" s="2">
        <v>1</v>
      </c>
      <c r="CJ1491" s="2">
        <v>1</v>
      </c>
      <c r="CK1491" s="2">
        <v>22</v>
      </c>
      <c r="CL1491" s="2" t="s">
        <v>86</v>
      </c>
      <c r="CM1491" s="2"/>
    </row>
    <row r="1492" spans="1:91">
      <c r="A1492" s="2" t="s">
        <v>71</v>
      </c>
      <c r="B1492" s="2" t="s">
        <v>72</v>
      </c>
      <c r="C1492" s="2" t="s">
        <v>73</v>
      </c>
      <c r="D1492" s="2"/>
      <c r="E1492" s="2" t="str">
        <f>"FES1162542517"</f>
        <v>FES1162542517</v>
      </c>
      <c r="F1492" s="3">
        <v>42835</v>
      </c>
      <c r="G1492" s="2">
        <v>201710</v>
      </c>
      <c r="H1492" s="2" t="s">
        <v>74</v>
      </c>
      <c r="I1492" s="2" t="s">
        <v>75</v>
      </c>
      <c r="J1492" s="2" t="s">
        <v>76</v>
      </c>
      <c r="K1492" s="2" t="s">
        <v>77</v>
      </c>
      <c r="L1492" s="2" t="s">
        <v>234</v>
      </c>
      <c r="M1492" s="2" t="s">
        <v>235</v>
      </c>
      <c r="N1492" s="2" t="s">
        <v>236</v>
      </c>
      <c r="O1492" s="2" t="s">
        <v>115</v>
      </c>
      <c r="P1492" s="2" t="str">
        <f>"2170561385                    "</f>
        <v xml:space="preserve">2170561385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17.149999999999999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8</v>
      </c>
      <c r="BJ1492" s="2">
        <v>6.5</v>
      </c>
      <c r="BK1492" s="2">
        <v>8</v>
      </c>
      <c r="BL1492" s="2">
        <v>166.91</v>
      </c>
      <c r="BM1492" s="2">
        <v>23.37</v>
      </c>
      <c r="BN1492" s="2">
        <v>190.28</v>
      </c>
      <c r="BO1492" s="2">
        <v>190.28</v>
      </c>
      <c r="BP1492" s="2"/>
      <c r="BQ1492" s="2" t="s">
        <v>285</v>
      </c>
      <c r="BR1492" s="2" t="s">
        <v>123</v>
      </c>
      <c r="BS1492" s="3">
        <v>42836</v>
      </c>
      <c r="BT1492" s="4">
        <v>0.30555555555555552</v>
      </c>
      <c r="BU1492" s="2" t="s">
        <v>2033</v>
      </c>
      <c r="BV1492" s="2" t="s">
        <v>111</v>
      </c>
      <c r="BW1492" s="2"/>
      <c r="BX1492" s="2"/>
      <c r="BY1492" s="2">
        <v>32542.05</v>
      </c>
      <c r="BZ1492" s="2" t="s">
        <v>27</v>
      </c>
      <c r="CA1492" s="2" t="s">
        <v>159</v>
      </c>
      <c r="CB1492" s="2"/>
      <c r="CC1492" s="2" t="s">
        <v>235</v>
      </c>
      <c r="CD1492" s="2">
        <v>6220</v>
      </c>
      <c r="CE1492" s="2" t="s">
        <v>287</v>
      </c>
      <c r="CF1492" s="5">
        <v>42837</v>
      </c>
      <c r="CG1492" s="2"/>
      <c r="CH1492" s="2"/>
      <c r="CI1492" s="2">
        <v>1</v>
      </c>
      <c r="CJ1492" s="2">
        <v>1</v>
      </c>
      <c r="CK1492" s="2">
        <v>21</v>
      </c>
      <c r="CL1492" s="2" t="s">
        <v>86</v>
      </c>
      <c r="CM1492" s="2"/>
    </row>
    <row r="1493" spans="1:91">
      <c r="A1493" s="2" t="s">
        <v>71</v>
      </c>
      <c r="B1493" s="2" t="s">
        <v>72</v>
      </c>
      <c r="C1493" s="2" t="s">
        <v>73</v>
      </c>
      <c r="D1493" s="2"/>
      <c r="E1493" s="2" t="str">
        <f>"FES1162542412"</f>
        <v>FES1162542412</v>
      </c>
      <c r="F1493" s="3">
        <v>42832</v>
      </c>
      <c r="G1493" s="2">
        <v>201710</v>
      </c>
      <c r="H1493" s="2" t="s">
        <v>74</v>
      </c>
      <c r="I1493" s="2" t="s">
        <v>75</v>
      </c>
      <c r="J1493" s="2" t="s">
        <v>76</v>
      </c>
      <c r="K1493" s="2" t="s">
        <v>77</v>
      </c>
      <c r="L1493" s="2" t="s">
        <v>99</v>
      </c>
      <c r="M1493" s="2" t="s">
        <v>100</v>
      </c>
      <c r="N1493" s="2" t="s">
        <v>671</v>
      </c>
      <c r="O1493" s="2" t="s">
        <v>115</v>
      </c>
      <c r="P1493" s="2" t="str">
        <f>"2170560894                    "</f>
        <v xml:space="preserve">2170560894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4.29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1</v>
      </c>
      <c r="BJ1493" s="2">
        <v>0.2</v>
      </c>
      <c r="BK1493" s="2">
        <v>1</v>
      </c>
      <c r="BL1493" s="2">
        <v>41.73</v>
      </c>
      <c r="BM1493" s="2">
        <v>5.84</v>
      </c>
      <c r="BN1493" s="2">
        <v>47.57</v>
      </c>
      <c r="BO1493" s="2">
        <v>47.57</v>
      </c>
      <c r="BP1493" s="2"/>
      <c r="BQ1493" s="2" t="s">
        <v>672</v>
      </c>
      <c r="BR1493" s="2" t="s">
        <v>123</v>
      </c>
      <c r="BS1493" s="3">
        <v>42835</v>
      </c>
      <c r="BT1493" s="4">
        <v>0.33333333333333331</v>
      </c>
      <c r="BU1493" s="2" t="s">
        <v>672</v>
      </c>
      <c r="BV1493" s="2" t="s">
        <v>111</v>
      </c>
      <c r="BW1493" s="2"/>
      <c r="BX1493" s="2"/>
      <c r="BY1493" s="2">
        <v>1200</v>
      </c>
      <c r="BZ1493" s="2" t="s">
        <v>27</v>
      </c>
      <c r="CA1493" s="2" t="s">
        <v>106</v>
      </c>
      <c r="CB1493" s="2"/>
      <c r="CC1493" s="2" t="s">
        <v>100</v>
      </c>
      <c r="CD1493" s="2">
        <v>6001</v>
      </c>
      <c r="CE1493" s="2" t="s">
        <v>144</v>
      </c>
      <c r="CF1493" s="5">
        <v>42835</v>
      </c>
      <c r="CG1493" s="2"/>
      <c r="CH1493" s="2"/>
      <c r="CI1493" s="2">
        <v>1</v>
      </c>
      <c r="CJ1493" s="2">
        <v>1</v>
      </c>
      <c r="CK1493" s="2">
        <v>21</v>
      </c>
      <c r="CL1493" s="2" t="s">
        <v>86</v>
      </c>
      <c r="CM1493" s="2"/>
    </row>
    <row r="1494" spans="1:91">
      <c r="A1494" s="2" t="s">
        <v>71</v>
      </c>
      <c r="B1494" s="2" t="s">
        <v>72</v>
      </c>
      <c r="C1494" s="2" t="s">
        <v>73</v>
      </c>
      <c r="D1494" s="2"/>
      <c r="E1494" s="2" t="str">
        <f>"FES1162542484"</f>
        <v>FES1162542484</v>
      </c>
      <c r="F1494" s="3">
        <v>42835</v>
      </c>
      <c r="G1494" s="2">
        <v>201710</v>
      </c>
      <c r="H1494" s="2" t="s">
        <v>74</v>
      </c>
      <c r="I1494" s="2" t="s">
        <v>75</v>
      </c>
      <c r="J1494" s="2" t="s">
        <v>76</v>
      </c>
      <c r="K1494" s="2" t="s">
        <v>77</v>
      </c>
      <c r="L1494" s="2" t="s">
        <v>294</v>
      </c>
      <c r="M1494" s="2" t="s">
        <v>295</v>
      </c>
      <c r="N1494" s="2" t="s">
        <v>813</v>
      </c>
      <c r="O1494" s="2" t="s">
        <v>115</v>
      </c>
      <c r="P1494" s="2" t="str">
        <f>"2170558861                    "</f>
        <v xml:space="preserve">2170558861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5.36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2.1</v>
      </c>
      <c r="BJ1494" s="2">
        <v>1</v>
      </c>
      <c r="BK1494" s="2">
        <v>2.5</v>
      </c>
      <c r="BL1494" s="2">
        <v>52.16</v>
      </c>
      <c r="BM1494" s="2">
        <v>7.3</v>
      </c>
      <c r="BN1494" s="2">
        <v>59.46</v>
      </c>
      <c r="BO1494" s="2">
        <v>59.46</v>
      </c>
      <c r="BP1494" s="2"/>
      <c r="BQ1494" s="2" t="s">
        <v>116</v>
      </c>
      <c r="BR1494" s="2" t="s">
        <v>123</v>
      </c>
      <c r="BS1494" s="3">
        <v>42836</v>
      </c>
      <c r="BT1494" s="4">
        <v>0.4375</v>
      </c>
      <c r="BU1494" s="2" t="s">
        <v>2034</v>
      </c>
      <c r="BV1494" s="2" t="s">
        <v>111</v>
      </c>
      <c r="BW1494" s="2"/>
      <c r="BX1494" s="2"/>
      <c r="BY1494" s="2">
        <v>5127.95</v>
      </c>
      <c r="BZ1494" s="2" t="s">
        <v>27</v>
      </c>
      <c r="CA1494" s="2"/>
      <c r="CB1494" s="2"/>
      <c r="CC1494" s="2" t="s">
        <v>295</v>
      </c>
      <c r="CD1494" s="2">
        <v>3610</v>
      </c>
      <c r="CE1494" s="2" t="s">
        <v>287</v>
      </c>
      <c r="CF1494" s="5">
        <v>42837</v>
      </c>
      <c r="CG1494" s="2"/>
      <c r="CH1494" s="2"/>
      <c r="CI1494" s="2">
        <v>1</v>
      </c>
      <c r="CJ1494" s="2">
        <v>1</v>
      </c>
      <c r="CK1494" s="2">
        <v>21</v>
      </c>
      <c r="CL1494" s="2" t="s">
        <v>86</v>
      </c>
      <c r="CM1494" s="2"/>
    </row>
    <row r="1495" spans="1:91">
      <c r="A1495" s="2" t="s">
        <v>71</v>
      </c>
      <c r="B1495" s="2" t="s">
        <v>72</v>
      </c>
      <c r="C1495" s="2" t="s">
        <v>73</v>
      </c>
      <c r="D1495" s="2"/>
      <c r="E1495" s="2" t="str">
        <f>"FES1162542437"</f>
        <v>FES1162542437</v>
      </c>
      <c r="F1495" s="3">
        <v>42832</v>
      </c>
      <c r="G1495" s="2">
        <v>201710</v>
      </c>
      <c r="H1495" s="2" t="s">
        <v>74</v>
      </c>
      <c r="I1495" s="2" t="s">
        <v>75</v>
      </c>
      <c r="J1495" s="2" t="s">
        <v>76</v>
      </c>
      <c r="K1495" s="2" t="s">
        <v>77</v>
      </c>
      <c r="L1495" s="2" t="s">
        <v>294</v>
      </c>
      <c r="M1495" s="2" t="s">
        <v>295</v>
      </c>
      <c r="N1495" s="2" t="s">
        <v>2035</v>
      </c>
      <c r="O1495" s="2" t="s">
        <v>115</v>
      </c>
      <c r="P1495" s="2" t="str">
        <f>"2170557605                    "</f>
        <v xml:space="preserve">2170557605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4.29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1</v>
      </c>
      <c r="BJ1495" s="2">
        <v>0.2</v>
      </c>
      <c r="BK1495" s="2">
        <v>1</v>
      </c>
      <c r="BL1495" s="2">
        <v>41.73</v>
      </c>
      <c r="BM1495" s="2">
        <v>5.84</v>
      </c>
      <c r="BN1495" s="2">
        <v>47.57</v>
      </c>
      <c r="BO1495" s="2">
        <v>47.57</v>
      </c>
      <c r="BP1495" s="2"/>
      <c r="BQ1495" s="2" t="s">
        <v>2036</v>
      </c>
      <c r="BR1495" s="2" t="s">
        <v>123</v>
      </c>
      <c r="BS1495" s="3">
        <v>42835</v>
      </c>
      <c r="BT1495" s="4">
        <v>0.4375</v>
      </c>
      <c r="BU1495" s="2" t="s">
        <v>1100</v>
      </c>
      <c r="BV1495" s="2" t="s">
        <v>111</v>
      </c>
      <c r="BW1495" s="2"/>
      <c r="BX1495" s="2"/>
      <c r="BY1495" s="2">
        <v>1200</v>
      </c>
      <c r="BZ1495" s="2" t="s">
        <v>27</v>
      </c>
      <c r="CA1495" s="2" t="s">
        <v>159</v>
      </c>
      <c r="CB1495" s="2"/>
      <c r="CC1495" s="2" t="s">
        <v>295</v>
      </c>
      <c r="CD1495" s="2">
        <v>3610</v>
      </c>
      <c r="CE1495" s="2" t="s">
        <v>144</v>
      </c>
      <c r="CF1495" s="5">
        <v>42836</v>
      </c>
      <c r="CG1495" s="2"/>
      <c r="CH1495" s="2"/>
      <c r="CI1495" s="2">
        <v>1</v>
      </c>
      <c r="CJ1495" s="2">
        <v>1</v>
      </c>
      <c r="CK1495" s="2">
        <v>21</v>
      </c>
      <c r="CL1495" s="2" t="s">
        <v>86</v>
      </c>
      <c r="CM1495" s="2"/>
    </row>
    <row r="1496" spans="1:91">
      <c r="A1496" s="2" t="s">
        <v>71</v>
      </c>
      <c r="B1496" s="2" t="s">
        <v>72</v>
      </c>
      <c r="C1496" s="2" t="s">
        <v>73</v>
      </c>
      <c r="D1496" s="2"/>
      <c r="E1496" s="2" t="str">
        <f>"FES1162542389"</f>
        <v>FES1162542389</v>
      </c>
      <c r="F1496" s="3">
        <v>42832</v>
      </c>
      <c r="G1496" s="2">
        <v>201710</v>
      </c>
      <c r="H1496" s="2" t="s">
        <v>74</v>
      </c>
      <c r="I1496" s="2" t="s">
        <v>75</v>
      </c>
      <c r="J1496" s="2" t="s">
        <v>76</v>
      </c>
      <c r="K1496" s="2" t="s">
        <v>77</v>
      </c>
      <c r="L1496" s="2" t="s">
        <v>91</v>
      </c>
      <c r="M1496" s="2" t="s">
        <v>92</v>
      </c>
      <c r="N1496" s="2" t="s">
        <v>1880</v>
      </c>
      <c r="O1496" s="2" t="s">
        <v>1014</v>
      </c>
      <c r="P1496" s="2" t="str">
        <f>"2170558989                    "</f>
        <v xml:space="preserve">2170558989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4.8499999999999996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12</v>
      </c>
      <c r="BJ1496" s="2">
        <v>4.8</v>
      </c>
      <c r="BK1496" s="2">
        <v>12</v>
      </c>
      <c r="BL1496" s="2">
        <v>47.22</v>
      </c>
      <c r="BM1496" s="2">
        <v>6.61</v>
      </c>
      <c r="BN1496" s="2">
        <v>53.83</v>
      </c>
      <c r="BO1496" s="2">
        <v>53.83</v>
      </c>
      <c r="BP1496" s="2"/>
      <c r="BQ1496" s="2" t="s">
        <v>1881</v>
      </c>
      <c r="BR1496" s="2" t="s">
        <v>123</v>
      </c>
      <c r="BS1496" s="3">
        <v>42835</v>
      </c>
      <c r="BT1496" s="4">
        <v>0.41666666666666669</v>
      </c>
      <c r="BU1496" s="2" t="s">
        <v>438</v>
      </c>
      <c r="BV1496" s="2" t="s">
        <v>111</v>
      </c>
      <c r="BW1496" s="2"/>
      <c r="BX1496" s="2"/>
      <c r="BY1496" s="2">
        <v>24066</v>
      </c>
      <c r="BZ1496" s="2" t="s">
        <v>27</v>
      </c>
      <c r="CA1496" s="2"/>
      <c r="CB1496" s="2"/>
      <c r="CC1496" s="2" t="s">
        <v>92</v>
      </c>
      <c r="CD1496" s="2">
        <v>1401</v>
      </c>
      <c r="CE1496" s="2" t="s">
        <v>89</v>
      </c>
      <c r="CF1496" s="5">
        <v>42836</v>
      </c>
      <c r="CG1496" s="2"/>
      <c r="CH1496" s="2"/>
      <c r="CI1496" s="2">
        <v>1</v>
      </c>
      <c r="CJ1496" s="2">
        <v>1</v>
      </c>
      <c r="CK1496" s="2">
        <v>32</v>
      </c>
      <c r="CL1496" s="2" t="s">
        <v>86</v>
      </c>
      <c r="CM1496" s="2"/>
    </row>
    <row r="1497" spans="1:91">
      <c r="A1497" s="2" t="s">
        <v>71</v>
      </c>
      <c r="B1497" s="2" t="s">
        <v>72</v>
      </c>
      <c r="C1497" s="2" t="s">
        <v>73</v>
      </c>
      <c r="D1497" s="2"/>
      <c r="E1497" s="2" t="str">
        <f>"FES1162542545"</f>
        <v>FES1162542545</v>
      </c>
      <c r="F1497" s="3">
        <v>42835</v>
      </c>
      <c r="G1497" s="2">
        <v>201710</v>
      </c>
      <c r="H1497" s="2" t="s">
        <v>74</v>
      </c>
      <c r="I1497" s="2" t="s">
        <v>75</v>
      </c>
      <c r="J1497" s="2" t="s">
        <v>76</v>
      </c>
      <c r="K1497" s="2" t="s">
        <v>77</v>
      </c>
      <c r="L1497" s="2" t="s">
        <v>180</v>
      </c>
      <c r="M1497" s="2" t="s">
        <v>181</v>
      </c>
      <c r="N1497" s="2" t="s">
        <v>2037</v>
      </c>
      <c r="O1497" s="2" t="s">
        <v>115</v>
      </c>
      <c r="P1497" s="2" t="str">
        <f>"2170561405                    "</f>
        <v xml:space="preserve">2170561405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10.72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5</v>
      </c>
      <c r="BJ1497" s="2">
        <v>2.2999999999999998</v>
      </c>
      <c r="BK1497" s="2">
        <v>5</v>
      </c>
      <c r="BL1497" s="2">
        <v>104.32</v>
      </c>
      <c r="BM1497" s="2">
        <v>14.6</v>
      </c>
      <c r="BN1497" s="2">
        <v>118.92</v>
      </c>
      <c r="BO1497" s="2">
        <v>118.92</v>
      </c>
      <c r="BP1497" s="2"/>
      <c r="BQ1497" s="2" t="s">
        <v>2038</v>
      </c>
      <c r="BR1497" s="2" t="s">
        <v>123</v>
      </c>
      <c r="BS1497" s="3">
        <v>42836</v>
      </c>
      <c r="BT1497" s="4">
        <v>0.4375</v>
      </c>
      <c r="BU1497" s="2" t="s">
        <v>2039</v>
      </c>
      <c r="BV1497" s="2" t="s">
        <v>111</v>
      </c>
      <c r="BW1497" s="2"/>
      <c r="BX1497" s="2"/>
      <c r="BY1497" s="2">
        <v>11280</v>
      </c>
      <c r="BZ1497" s="2" t="s">
        <v>27</v>
      </c>
      <c r="CA1497" s="2" t="s">
        <v>159</v>
      </c>
      <c r="CB1497" s="2"/>
      <c r="CC1497" s="2" t="s">
        <v>181</v>
      </c>
      <c r="CD1497" s="2">
        <v>3629</v>
      </c>
      <c r="CE1497" s="2" t="s">
        <v>135</v>
      </c>
      <c r="CF1497" s="5">
        <v>42837</v>
      </c>
      <c r="CG1497" s="2"/>
      <c r="CH1497" s="2"/>
      <c r="CI1497" s="2">
        <v>1</v>
      </c>
      <c r="CJ1497" s="2">
        <v>1</v>
      </c>
      <c r="CK1497" s="2">
        <v>21</v>
      </c>
      <c r="CL1497" s="2" t="s">
        <v>86</v>
      </c>
      <c r="CM1497" s="2"/>
    </row>
    <row r="1498" spans="1:91">
      <c r="A1498" s="2" t="s">
        <v>71</v>
      </c>
      <c r="B1498" s="2" t="s">
        <v>72</v>
      </c>
      <c r="C1498" s="2" t="s">
        <v>73</v>
      </c>
      <c r="D1498" s="2"/>
      <c r="E1498" s="2" t="str">
        <f>"FES1162542419"</f>
        <v>FES1162542419</v>
      </c>
      <c r="F1498" s="3">
        <v>42832</v>
      </c>
      <c r="G1498" s="2">
        <v>201710</v>
      </c>
      <c r="H1498" s="2" t="s">
        <v>74</v>
      </c>
      <c r="I1498" s="2" t="s">
        <v>75</v>
      </c>
      <c r="J1498" s="2" t="s">
        <v>76</v>
      </c>
      <c r="K1498" s="2" t="s">
        <v>77</v>
      </c>
      <c r="L1498" s="2" t="s">
        <v>99</v>
      </c>
      <c r="M1498" s="2" t="s">
        <v>100</v>
      </c>
      <c r="N1498" s="2" t="s">
        <v>583</v>
      </c>
      <c r="O1498" s="2" t="s">
        <v>115</v>
      </c>
      <c r="P1498" s="2" t="str">
        <f>"2170561155                    "</f>
        <v xml:space="preserve">2170561155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10.72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5</v>
      </c>
      <c r="BJ1498" s="2">
        <v>1.5</v>
      </c>
      <c r="BK1498" s="2">
        <v>5</v>
      </c>
      <c r="BL1498" s="2">
        <v>104.32</v>
      </c>
      <c r="BM1498" s="2">
        <v>14.6</v>
      </c>
      <c r="BN1498" s="2">
        <v>118.92</v>
      </c>
      <c r="BO1498" s="2">
        <v>118.92</v>
      </c>
      <c r="BP1498" s="2"/>
      <c r="BQ1498" s="2" t="s">
        <v>1494</v>
      </c>
      <c r="BR1498" s="2" t="s">
        <v>123</v>
      </c>
      <c r="BS1498" s="3">
        <v>42835</v>
      </c>
      <c r="BT1498" s="4">
        <v>0.30902777777777779</v>
      </c>
      <c r="BU1498" s="2" t="s">
        <v>585</v>
      </c>
      <c r="BV1498" s="2" t="s">
        <v>111</v>
      </c>
      <c r="BW1498" s="2"/>
      <c r="BX1498" s="2"/>
      <c r="BY1498" s="2">
        <v>7651.68</v>
      </c>
      <c r="BZ1498" s="2" t="s">
        <v>27</v>
      </c>
      <c r="CA1498" s="2" t="s">
        <v>154</v>
      </c>
      <c r="CB1498" s="2"/>
      <c r="CC1498" s="2" t="s">
        <v>100</v>
      </c>
      <c r="CD1498" s="2">
        <v>6001</v>
      </c>
      <c r="CE1498" s="2" t="s">
        <v>135</v>
      </c>
      <c r="CF1498" s="5">
        <v>42835</v>
      </c>
      <c r="CG1498" s="2"/>
      <c r="CH1498" s="2"/>
      <c r="CI1498" s="2">
        <v>1</v>
      </c>
      <c r="CJ1498" s="2">
        <v>1</v>
      </c>
      <c r="CK1498" s="2">
        <v>21</v>
      </c>
      <c r="CL1498" s="2" t="s">
        <v>86</v>
      </c>
      <c r="CM1498" s="2"/>
    </row>
    <row r="1499" spans="1:91">
      <c r="A1499" s="2" t="s">
        <v>71</v>
      </c>
      <c r="B1499" s="2" t="s">
        <v>72</v>
      </c>
      <c r="C1499" s="2" t="s">
        <v>73</v>
      </c>
      <c r="D1499" s="2"/>
      <c r="E1499" s="2" t="str">
        <f>"FES1162542489"</f>
        <v>FES1162542489</v>
      </c>
      <c r="F1499" s="3">
        <v>42835</v>
      </c>
      <c r="G1499" s="2">
        <v>201710</v>
      </c>
      <c r="H1499" s="2" t="s">
        <v>74</v>
      </c>
      <c r="I1499" s="2" t="s">
        <v>75</v>
      </c>
      <c r="J1499" s="2" t="s">
        <v>76</v>
      </c>
      <c r="K1499" s="2" t="s">
        <v>77</v>
      </c>
      <c r="L1499" s="2" t="s">
        <v>180</v>
      </c>
      <c r="M1499" s="2" t="s">
        <v>181</v>
      </c>
      <c r="N1499" s="2" t="s">
        <v>1247</v>
      </c>
      <c r="O1499" s="2" t="s">
        <v>115</v>
      </c>
      <c r="P1499" s="2" t="str">
        <f>"2170559414                    "</f>
        <v xml:space="preserve">2170559414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4.29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1</v>
      </c>
      <c r="BJ1499" s="2">
        <v>0.2</v>
      </c>
      <c r="BK1499" s="2">
        <v>1</v>
      </c>
      <c r="BL1499" s="2">
        <v>41.73</v>
      </c>
      <c r="BM1499" s="2">
        <v>5.84</v>
      </c>
      <c r="BN1499" s="2">
        <v>47.57</v>
      </c>
      <c r="BO1499" s="2">
        <v>47.57</v>
      </c>
      <c r="BP1499" s="2"/>
      <c r="BQ1499" s="2" t="s">
        <v>129</v>
      </c>
      <c r="BR1499" s="2" t="s">
        <v>123</v>
      </c>
      <c r="BS1499" s="3">
        <v>42836</v>
      </c>
      <c r="BT1499" s="4">
        <v>0.4375</v>
      </c>
      <c r="BU1499" s="2" t="s">
        <v>1740</v>
      </c>
      <c r="BV1499" s="2" t="s">
        <v>111</v>
      </c>
      <c r="BW1499" s="2"/>
      <c r="BX1499" s="2"/>
      <c r="BY1499" s="2">
        <v>1200</v>
      </c>
      <c r="BZ1499" s="2" t="s">
        <v>27</v>
      </c>
      <c r="CA1499" s="2"/>
      <c r="CB1499" s="2"/>
      <c r="CC1499" s="2" t="s">
        <v>181</v>
      </c>
      <c r="CD1499" s="2">
        <v>4001</v>
      </c>
      <c r="CE1499" s="2" t="s">
        <v>144</v>
      </c>
      <c r="CF1499" s="5">
        <v>42837</v>
      </c>
      <c r="CG1499" s="2"/>
      <c r="CH1499" s="2"/>
      <c r="CI1499" s="2">
        <v>1</v>
      </c>
      <c r="CJ1499" s="2">
        <v>1</v>
      </c>
      <c r="CK1499" s="2">
        <v>21</v>
      </c>
      <c r="CL1499" s="2" t="s">
        <v>86</v>
      </c>
      <c r="CM1499" s="2"/>
    </row>
    <row r="1500" spans="1:91">
      <c r="A1500" s="2" t="s">
        <v>71</v>
      </c>
      <c r="B1500" s="2" t="s">
        <v>72</v>
      </c>
      <c r="C1500" s="2" t="s">
        <v>73</v>
      </c>
      <c r="D1500" s="2"/>
      <c r="E1500" s="2" t="str">
        <f>"FES1162542500"</f>
        <v>FES1162542500</v>
      </c>
      <c r="F1500" s="3">
        <v>42835</v>
      </c>
      <c r="G1500" s="2">
        <v>201710</v>
      </c>
      <c r="H1500" s="2" t="s">
        <v>74</v>
      </c>
      <c r="I1500" s="2" t="s">
        <v>75</v>
      </c>
      <c r="J1500" s="2" t="s">
        <v>76</v>
      </c>
      <c r="K1500" s="2" t="s">
        <v>77</v>
      </c>
      <c r="L1500" s="2" t="s">
        <v>112</v>
      </c>
      <c r="M1500" s="2" t="s">
        <v>113</v>
      </c>
      <c r="N1500" s="2" t="s">
        <v>454</v>
      </c>
      <c r="O1500" s="2" t="s">
        <v>115</v>
      </c>
      <c r="P1500" s="2" t="str">
        <f>"2170560571                    "</f>
        <v xml:space="preserve">2170560571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4.29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1</v>
      </c>
      <c r="BJ1500" s="2">
        <v>0.2</v>
      </c>
      <c r="BK1500" s="2">
        <v>1</v>
      </c>
      <c r="BL1500" s="2">
        <v>41.73</v>
      </c>
      <c r="BM1500" s="2">
        <v>5.84</v>
      </c>
      <c r="BN1500" s="2">
        <v>47.57</v>
      </c>
      <c r="BO1500" s="2">
        <v>47.57</v>
      </c>
      <c r="BP1500" s="2"/>
      <c r="BQ1500" s="2" t="s">
        <v>2040</v>
      </c>
      <c r="BR1500" s="2" t="s">
        <v>123</v>
      </c>
      <c r="BS1500" s="3">
        <v>42836</v>
      </c>
      <c r="BT1500" s="4">
        <v>0.40972222222222227</v>
      </c>
      <c r="BU1500" s="2" t="s">
        <v>2041</v>
      </c>
      <c r="BV1500" s="2" t="s">
        <v>111</v>
      </c>
      <c r="BW1500" s="2"/>
      <c r="BX1500" s="2"/>
      <c r="BY1500" s="2">
        <v>1200</v>
      </c>
      <c r="BZ1500" s="2" t="s">
        <v>27</v>
      </c>
      <c r="CA1500" s="2" t="s">
        <v>159</v>
      </c>
      <c r="CB1500" s="2"/>
      <c r="CC1500" s="2" t="s">
        <v>113</v>
      </c>
      <c r="CD1500" s="2">
        <v>3201</v>
      </c>
      <c r="CE1500" s="2" t="s">
        <v>144</v>
      </c>
      <c r="CF1500" s="5">
        <v>42837</v>
      </c>
      <c r="CG1500" s="2"/>
      <c r="CH1500" s="2"/>
      <c r="CI1500" s="2">
        <v>1</v>
      </c>
      <c r="CJ1500" s="2">
        <v>1</v>
      </c>
      <c r="CK1500" s="2">
        <v>21</v>
      </c>
      <c r="CL1500" s="2" t="s">
        <v>86</v>
      </c>
      <c r="CM1500" s="2"/>
    </row>
    <row r="1501" spans="1:91">
      <c r="A1501" s="2" t="s">
        <v>71</v>
      </c>
      <c r="B1501" s="2" t="s">
        <v>72</v>
      </c>
      <c r="C1501" s="2" t="s">
        <v>73</v>
      </c>
      <c r="D1501" s="2"/>
      <c r="E1501" s="2" t="str">
        <f>"FES1162542241"</f>
        <v>FES1162542241</v>
      </c>
      <c r="F1501" s="3">
        <v>42832</v>
      </c>
      <c r="G1501" s="2">
        <v>201710</v>
      </c>
      <c r="H1501" s="2" t="s">
        <v>74</v>
      </c>
      <c r="I1501" s="2" t="s">
        <v>75</v>
      </c>
      <c r="J1501" s="2" t="s">
        <v>76</v>
      </c>
      <c r="K1501" s="2" t="s">
        <v>77</v>
      </c>
      <c r="L1501" s="2" t="s">
        <v>591</v>
      </c>
      <c r="M1501" s="2" t="s">
        <v>592</v>
      </c>
      <c r="N1501" s="2" t="s">
        <v>675</v>
      </c>
      <c r="O1501" s="2" t="s">
        <v>115</v>
      </c>
      <c r="P1501" s="2" t="str">
        <f>"2170561145                    "</f>
        <v xml:space="preserve">2170561145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21.43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7</v>
      </c>
      <c r="BJ1501" s="2">
        <v>9.6999999999999993</v>
      </c>
      <c r="BK1501" s="2">
        <v>10</v>
      </c>
      <c r="BL1501" s="2">
        <v>208.63</v>
      </c>
      <c r="BM1501" s="2">
        <v>29.21</v>
      </c>
      <c r="BN1501" s="2">
        <v>237.84</v>
      </c>
      <c r="BO1501" s="2">
        <v>237.84</v>
      </c>
      <c r="BP1501" s="2"/>
      <c r="BQ1501" s="2" t="s">
        <v>129</v>
      </c>
      <c r="BR1501" s="2" t="s">
        <v>123</v>
      </c>
      <c r="BS1501" s="3">
        <v>42835</v>
      </c>
      <c r="BT1501" s="4">
        <v>0.41666666666666669</v>
      </c>
      <c r="BU1501" s="2" t="s">
        <v>130</v>
      </c>
      <c r="BV1501" s="2" t="s">
        <v>111</v>
      </c>
      <c r="BW1501" s="2"/>
      <c r="BX1501" s="2"/>
      <c r="BY1501" s="2">
        <v>48685.75</v>
      </c>
      <c r="BZ1501" s="2" t="s">
        <v>27</v>
      </c>
      <c r="CA1501" s="2"/>
      <c r="CB1501" s="2"/>
      <c r="CC1501" s="2" t="s">
        <v>592</v>
      </c>
      <c r="CD1501" s="2">
        <v>7600</v>
      </c>
      <c r="CE1501" s="2" t="s">
        <v>135</v>
      </c>
      <c r="CF1501" s="5">
        <v>42836</v>
      </c>
      <c r="CG1501" s="2"/>
      <c r="CH1501" s="2"/>
      <c r="CI1501" s="2">
        <v>1</v>
      </c>
      <c r="CJ1501" s="2">
        <v>1</v>
      </c>
      <c r="CK1501" s="2">
        <v>21</v>
      </c>
      <c r="CL1501" s="2" t="s">
        <v>86</v>
      </c>
      <c r="CM1501" s="2"/>
    </row>
    <row r="1502" spans="1:91">
      <c r="A1502" s="2" t="s">
        <v>71</v>
      </c>
      <c r="B1502" s="2" t="s">
        <v>72</v>
      </c>
      <c r="C1502" s="2" t="s">
        <v>73</v>
      </c>
      <c r="D1502" s="2"/>
      <c r="E1502" s="2" t="str">
        <f>"FES1162542501"</f>
        <v>FES1162542501</v>
      </c>
      <c r="F1502" s="3">
        <v>42835</v>
      </c>
      <c r="G1502" s="2">
        <v>201710</v>
      </c>
      <c r="H1502" s="2" t="s">
        <v>74</v>
      </c>
      <c r="I1502" s="2" t="s">
        <v>75</v>
      </c>
      <c r="J1502" s="2" t="s">
        <v>76</v>
      </c>
      <c r="K1502" s="2" t="s">
        <v>77</v>
      </c>
      <c r="L1502" s="2" t="s">
        <v>549</v>
      </c>
      <c r="M1502" s="2" t="s">
        <v>550</v>
      </c>
      <c r="N1502" s="2" t="s">
        <v>689</v>
      </c>
      <c r="O1502" s="2" t="s">
        <v>115</v>
      </c>
      <c r="P1502" s="2" t="str">
        <f>"2170560676                    "</f>
        <v xml:space="preserve">2170560676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4.29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1</v>
      </c>
      <c r="BJ1502" s="2">
        <v>0.2</v>
      </c>
      <c r="BK1502" s="2">
        <v>1</v>
      </c>
      <c r="BL1502" s="2">
        <v>41.73</v>
      </c>
      <c r="BM1502" s="2">
        <v>5.84</v>
      </c>
      <c r="BN1502" s="2">
        <v>47.57</v>
      </c>
      <c r="BO1502" s="2">
        <v>47.57</v>
      </c>
      <c r="BP1502" s="2"/>
      <c r="BQ1502" s="2" t="s">
        <v>690</v>
      </c>
      <c r="BR1502" s="2" t="s">
        <v>123</v>
      </c>
      <c r="BS1502" s="3">
        <v>42836</v>
      </c>
      <c r="BT1502" s="4">
        <v>0.41666666666666669</v>
      </c>
      <c r="BU1502" s="2" t="s">
        <v>1132</v>
      </c>
      <c r="BV1502" s="2" t="s">
        <v>111</v>
      </c>
      <c r="BW1502" s="2"/>
      <c r="BX1502" s="2"/>
      <c r="BY1502" s="2">
        <v>1200</v>
      </c>
      <c r="BZ1502" s="2" t="s">
        <v>27</v>
      </c>
      <c r="CA1502" s="2"/>
      <c r="CB1502" s="2"/>
      <c r="CC1502" s="2" t="s">
        <v>550</v>
      </c>
      <c r="CD1502" s="2">
        <v>3699</v>
      </c>
      <c r="CE1502" s="2" t="s">
        <v>144</v>
      </c>
      <c r="CF1502" s="5">
        <v>42837</v>
      </c>
      <c r="CG1502" s="2"/>
      <c r="CH1502" s="2"/>
      <c r="CI1502" s="2">
        <v>1</v>
      </c>
      <c r="CJ1502" s="2">
        <v>1</v>
      </c>
      <c r="CK1502" s="2">
        <v>21</v>
      </c>
      <c r="CL1502" s="2" t="s">
        <v>86</v>
      </c>
      <c r="CM1502" s="2"/>
    </row>
    <row r="1503" spans="1:91">
      <c r="A1503" s="2" t="s">
        <v>71</v>
      </c>
      <c r="B1503" s="2" t="s">
        <v>72</v>
      </c>
      <c r="C1503" s="2" t="s">
        <v>73</v>
      </c>
      <c r="D1503" s="2"/>
      <c r="E1503" s="2" t="str">
        <f>"FES1162542346"</f>
        <v>FES1162542346</v>
      </c>
      <c r="F1503" s="3">
        <v>42832</v>
      </c>
      <c r="G1503" s="2">
        <v>201710</v>
      </c>
      <c r="H1503" s="2" t="s">
        <v>74</v>
      </c>
      <c r="I1503" s="2" t="s">
        <v>75</v>
      </c>
      <c r="J1503" s="2" t="s">
        <v>76</v>
      </c>
      <c r="K1503" s="2" t="s">
        <v>77</v>
      </c>
      <c r="L1503" s="2" t="s">
        <v>396</v>
      </c>
      <c r="M1503" s="2" t="s">
        <v>397</v>
      </c>
      <c r="N1503" s="2" t="s">
        <v>398</v>
      </c>
      <c r="O1503" s="2" t="s">
        <v>115</v>
      </c>
      <c r="P1503" s="2" t="str">
        <f>"2170561230                    "</f>
        <v xml:space="preserve">2170561230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4.29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1</v>
      </c>
      <c r="BJ1503" s="2">
        <v>0.2</v>
      </c>
      <c r="BK1503" s="2">
        <v>1</v>
      </c>
      <c r="BL1503" s="2">
        <v>41.73</v>
      </c>
      <c r="BM1503" s="2">
        <v>5.84</v>
      </c>
      <c r="BN1503" s="2">
        <v>47.57</v>
      </c>
      <c r="BO1503" s="2">
        <v>47.57</v>
      </c>
      <c r="BP1503" s="2"/>
      <c r="BQ1503" s="2" t="s">
        <v>399</v>
      </c>
      <c r="BR1503" s="2" t="s">
        <v>123</v>
      </c>
      <c r="BS1503" s="3">
        <v>42835</v>
      </c>
      <c r="BT1503" s="4">
        <v>0.4375</v>
      </c>
      <c r="BU1503" s="2" t="s">
        <v>469</v>
      </c>
      <c r="BV1503" s="2" t="s">
        <v>111</v>
      </c>
      <c r="BW1503" s="2"/>
      <c r="BX1503" s="2"/>
      <c r="BY1503" s="2">
        <v>1200</v>
      </c>
      <c r="BZ1503" s="2" t="s">
        <v>27</v>
      </c>
      <c r="CA1503" s="2"/>
      <c r="CB1503" s="2"/>
      <c r="CC1503" s="2" t="s">
        <v>397</v>
      </c>
      <c r="CD1503" s="2">
        <v>4300</v>
      </c>
      <c r="CE1503" s="2" t="s">
        <v>144</v>
      </c>
      <c r="CF1503" s="5">
        <v>42836</v>
      </c>
      <c r="CG1503" s="2"/>
      <c r="CH1503" s="2"/>
      <c r="CI1503" s="2">
        <v>1</v>
      </c>
      <c r="CJ1503" s="2">
        <v>1</v>
      </c>
      <c r="CK1503" s="2">
        <v>21</v>
      </c>
      <c r="CL1503" s="2" t="s">
        <v>86</v>
      </c>
      <c r="CM1503" s="2"/>
    </row>
    <row r="1504" spans="1:91">
      <c r="A1504" s="2" t="s">
        <v>71</v>
      </c>
      <c r="B1504" s="2" t="s">
        <v>72</v>
      </c>
      <c r="C1504" s="2" t="s">
        <v>73</v>
      </c>
      <c r="D1504" s="2"/>
      <c r="E1504" s="2" t="str">
        <f>"FES1162542495"</f>
        <v>FES1162542495</v>
      </c>
      <c r="F1504" s="3">
        <v>42835</v>
      </c>
      <c r="G1504" s="2">
        <v>201710</v>
      </c>
      <c r="H1504" s="2" t="s">
        <v>74</v>
      </c>
      <c r="I1504" s="2" t="s">
        <v>75</v>
      </c>
      <c r="J1504" s="2" t="s">
        <v>76</v>
      </c>
      <c r="K1504" s="2" t="s">
        <v>77</v>
      </c>
      <c r="L1504" s="2" t="s">
        <v>180</v>
      </c>
      <c r="M1504" s="2" t="s">
        <v>181</v>
      </c>
      <c r="N1504" s="2" t="s">
        <v>2042</v>
      </c>
      <c r="O1504" s="2" t="s">
        <v>115</v>
      </c>
      <c r="P1504" s="2" t="str">
        <f>"2170560001                    "</f>
        <v xml:space="preserve">2170560001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4.29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1</v>
      </c>
      <c r="BJ1504" s="2">
        <v>0.2</v>
      </c>
      <c r="BK1504" s="2">
        <v>1</v>
      </c>
      <c r="BL1504" s="2">
        <v>41.73</v>
      </c>
      <c r="BM1504" s="2">
        <v>5.84</v>
      </c>
      <c r="BN1504" s="2">
        <v>47.57</v>
      </c>
      <c r="BO1504" s="2">
        <v>47.57</v>
      </c>
      <c r="BP1504" s="2"/>
      <c r="BQ1504" s="2" t="s">
        <v>2043</v>
      </c>
      <c r="BR1504" s="2" t="s">
        <v>123</v>
      </c>
      <c r="BS1504" s="3">
        <v>42836</v>
      </c>
      <c r="BT1504" s="4">
        <v>0.375</v>
      </c>
      <c r="BU1504" s="2" t="s">
        <v>2044</v>
      </c>
      <c r="BV1504" s="2" t="s">
        <v>111</v>
      </c>
      <c r="BW1504" s="2"/>
      <c r="BX1504" s="2"/>
      <c r="BY1504" s="2">
        <v>1200</v>
      </c>
      <c r="BZ1504" s="2" t="s">
        <v>27</v>
      </c>
      <c r="CA1504" s="2"/>
      <c r="CB1504" s="2"/>
      <c r="CC1504" s="2" t="s">
        <v>181</v>
      </c>
      <c r="CD1504" s="2">
        <v>4052</v>
      </c>
      <c r="CE1504" s="2" t="s">
        <v>144</v>
      </c>
      <c r="CF1504" s="5">
        <v>42837</v>
      </c>
      <c r="CG1504" s="2"/>
      <c r="CH1504" s="2"/>
      <c r="CI1504" s="2">
        <v>1</v>
      </c>
      <c r="CJ1504" s="2">
        <v>1</v>
      </c>
      <c r="CK1504" s="2">
        <v>21</v>
      </c>
      <c r="CL1504" s="2" t="s">
        <v>86</v>
      </c>
      <c r="CM1504" s="2"/>
    </row>
    <row r="1505" spans="1:91">
      <c r="A1505" s="2" t="s">
        <v>71</v>
      </c>
      <c r="B1505" s="2" t="s">
        <v>72</v>
      </c>
      <c r="C1505" s="2" t="s">
        <v>73</v>
      </c>
      <c r="D1505" s="2"/>
      <c r="E1505" s="2" t="str">
        <f>"FES1162542361"</f>
        <v>FES1162542361</v>
      </c>
      <c r="F1505" s="3">
        <v>42832</v>
      </c>
      <c r="G1505" s="2">
        <v>201710</v>
      </c>
      <c r="H1505" s="2" t="s">
        <v>74</v>
      </c>
      <c r="I1505" s="2" t="s">
        <v>75</v>
      </c>
      <c r="J1505" s="2" t="s">
        <v>76</v>
      </c>
      <c r="K1505" s="2" t="s">
        <v>77</v>
      </c>
      <c r="L1505" s="2" t="s">
        <v>1322</v>
      </c>
      <c r="M1505" s="2" t="s">
        <v>1323</v>
      </c>
      <c r="N1505" s="2" t="s">
        <v>1335</v>
      </c>
      <c r="O1505" s="2" t="s">
        <v>115</v>
      </c>
      <c r="P1505" s="2" t="str">
        <f>"2170561246                    "</f>
        <v xml:space="preserve">2170561246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8.31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1</v>
      </c>
      <c r="BJ1505" s="2">
        <v>0.2</v>
      </c>
      <c r="BK1505" s="2">
        <v>1</v>
      </c>
      <c r="BL1505" s="2">
        <v>80.849999999999994</v>
      </c>
      <c r="BM1505" s="2">
        <v>11.32</v>
      </c>
      <c r="BN1505" s="2">
        <v>92.17</v>
      </c>
      <c r="BO1505" s="2">
        <v>92.17</v>
      </c>
      <c r="BP1505" s="2"/>
      <c r="BQ1505" s="2" t="s">
        <v>2045</v>
      </c>
      <c r="BR1505" s="2" t="s">
        <v>123</v>
      </c>
      <c r="BS1505" s="3">
        <v>42835</v>
      </c>
      <c r="BT1505" s="4">
        <v>0.54166666666666663</v>
      </c>
      <c r="BU1505" s="2" t="s">
        <v>382</v>
      </c>
      <c r="BV1505" s="2" t="s">
        <v>111</v>
      </c>
      <c r="BW1505" s="2"/>
      <c r="BX1505" s="2"/>
      <c r="BY1505" s="2">
        <v>1200</v>
      </c>
      <c r="BZ1505" s="2" t="s">
        <v>27</v>
      </c>
      <c r="CA1505" s="2"/>
      <c r="CB1505" s="2"/>
      <c r="CC1505" s="2" t="s">
        <v>1323</v>
      </c>
      <c r="CD1505" s="2">
        <v>4170</v>
      </c>
      <c r="CE1505" s="2" t="s">
        <v>144</v>
      </c>
      <c r="CF1505" s="5">
        <v>42836</v>
      </c>
      <c r="CG1505" s="2"/>
      <c r="CH1505" s="2"/>
      <c r="CI1505" s="2">
        <v>1</v>
      </c>
      <c r="CJ1505" s="2">
        <v>1</v>
      </c>
      <c r="CK1505" s="2">
        <v>23</v>
      </c>
      <c r="CL1505" s="2" t="s">
        <v>86</v>
      </c>
      <c r="CM1505" s="2"/>
    </row>
    <row r="1506" spans="1:91">
      <c r="A1506" s="2" t="s">
        <v>71</v>
      </c>
      <c r="B1506" s="2" t="s">
        <v>72</v>
      </c>
      <c r="C1506" s="2" t="s">
        <v>73</v>
      </c>
      <c r="D1506" s="2"/>
      <c r="E1506" s="2" t="str">
        <f>"FES1162542511"</f>
        <v>FES1162542511</v>
      </c>
      <c r="F1506" s="3">
        <v>42835</v>
      </c>
      <c r="G1506" s="2">
        <v>201710</v>
      </c>
      <c r="H1506" s="2" t="s">
        <v>74</v>
      </c>
      <c r="I1506" s="2" t="s">
        <v>75</v>
      </c>
      <c r="J1506" s="2" t="s">
        <v>76</v>
      </c>
      <c r="K1506" s="2" t="s">
        <v>77</v>
      </c>
      <c r="L1506" s="2" t="s">
        <v>91</v>
      </c>
      <c r="M1506" s="2" t="s">
        <v>92</v>
      </c>
      <c r="N1506" s="2" t="s">
        <v>356</v>
      </c>
      <c r="O1506" s="2" t="s">
        <v>115</v>
      </c>
      <c r="P1506" s="2" t="str">
        <f>"2170561244                    "</f>
        <v xml:space="preserve">2170561244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3.35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1</v>
      </c>
      <c r="BJ1506" s="2">
        <v>0.2</v>
      </c>
      <c r="BK1506" s="2">
        <v>1</v>
      </c>
      <c r="BL1506" s="2">
        <v>32.6</v>
      </c>
      <c r="BM1506" s="2">
        <v>4.5599999999999996</v>
      </c>
      <c r="BN1506" s="2">
        <v>37.159999999999997</v>
      </c>
      <c r="BO1506" s="2">
        <v>37.159999999999997</v>
      </c>
      <c r="BP1506" s="2"/>
      <c r="BQ1506" s="2" t="s">
        <v>122</v>
      </c>
      <c r="BR1506" s="2" t="s">
        <v>123</v>
      </c>
      <c r="BS1506" s="3">
        <v>42836</v>
      </c>
      <c r="BT1506" s="4">
        <v>0.41666666666666669</v>
      </c>
      <c r="BU1506" s="2" t="s">
        <v>357</v>
      </c>
      <c r="BV1506" s="2" t="s">
        <v>111</v>
      </c>
      <c r="BW1506" s="2"/>
      <c r="BX1506" s="2"/>
      <c r="BY1506" s="2">
        <v>1200</v>
      </c>
      <c r="BZ1506" s="2" t="s">
        <v>27</v>
      </c>
      <c r="CA1506" s="2"/>
      <c r="CB1506" s="2"/>
      <c r="CC1506" s="2" t="s">
        <v>92</v>
      </c>
      <c r="CD1506" s="2">
        <v>1422</v>
      </c>
      <c r="CE1506" s="2" t="s">
        <v>118</v>
      </c>
      <c r="CF1506" s="5">
        <v>42838</v>
      </c>
      <c r="CG1506" s="2"/>
      <c r="CH1506" s="2"/>
      <c r="CI1506" s="2">
        <v>1</v>
      </c>
      <c r="CJ1506" s="2">
        <v>1</v>
      </c>
      <c r="CK1506" s="2">
        <v>22</v>
      </c>
      <c r="CL1506" s="2" t="s">
        <v>86</v>
      </c>
      <c r="CM1506" s="2"/>
    </row>
    <row r="1507" spans="1:91">
      <c r="A1507" s="2" t="s">
        <v>71</v>
      </c>
      <c r="B1507" s="2" t="s">
        <v>72</v>
      </c>
      <c r="C1507" s="2" t="s">
        <v>73</v>
      </c>
      <c r="D1507" s="2"/>
      <c r="E1507" s="2" t="str">
        <f>"FES1162542366"</f>
        <v>FES1162542366</v>
      </c>
      <c r="F1507" s="3">
        <v>42832</v>
      </c>
      <c r="G1507" s="2">
        <v>201710</v>
      </c>
      <c r="H1507" s="2" t="s">
        <v>74</v>
      </c>
      <c r="I1507" s="2" t="s">
        <v>75</v>
      </c>
      <c r="J1507" s="2" t="s">
        <v>76</v>
      </c>
      <c r="K1507" s="2" t="s">
        <v>77</v>
      </c>
      <c r="L1507" s="2" t="s">
        <v>659</v>
      </c>
      <c r="M1507" s="2" t="s">
        <v>660</v>
      </c>
      <c r="N1507" s="2" t="s">
        <v>2046</v>
      </c>
      <c r="O1507" s="2" t="s">
        <v>115</v>
      </c>
      <c r="P1507" s="2" t="str">
        <f>"2170561251                    "</f>
        <v xml:space="preserve">2170561251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4.29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1</v>
      </c>
      <c r="BJ1507" s="2">
        <v>0.2</v>
      </c>
      <c r="BK1507" s="2">
        <v>1</v>
      </c>
      <c r="BL1507" s="2">
        <v>41.73</v>
      </c>
      <c r="BM1507" s="2">
        <v>5.84</v>
      </c>
      <c r="BN1507" s="2">
        <v>47.57</v>
      </c>
      <c r="BO1507" s="2">
        <v>47.57</v>
      </c>
      <c r="BP1507" s="2"/>
      <c r="BQ1507" s="2" t="s">
        <v>116</v>
      </c>
      <c r="BR1507" s="2" t="s">
        <v>123</v>
      </c>
      <c r="BS1507" s="3">
        <v>42835</v>
      </c>
      <c r="BT1507" s="4">
        <v>0.41111111111111115</v>
      </c>
      <c r="BU1507" s="2" t="s">
        <v>2047</v>
      </c>
      <c r="BV1507" s="2" t="s">
        <v>111</v>
      </c>
      <c r="BW1507" s="2"/>
      <c r="BX1507" s="2"/>
      <c r="BY1507" s="2">
        <v>1200</v>
      </c>
      <c r="BZ1507" s="2" t="s">
        <v>27</v>
      </c>
      <c r="CA1507" s="2" t="s">
        <v>159</v>
      </c>
      <c r="CB1507" s="2"/>
      <c r="CC1507" s="2" t="s">
        <v>660</v>
      </c>
      <c r="CD1507" s="2">
        <v>3310</v>
      </c>
      <c r="CE1507" s="2" t="s">
        <v>144</v>
      </c>
      <c r="CF1507" s="5">
        <v>42836</v>
      </c>
      <c r="CG1507" s="2"/>
      <c r="CH1507" s="2"/>
      <c r="CI1507" s="2">
        <v>1</v>
      </c>
      <c r="CJ1507" s="2">
        <v>1</v>
      </c>
      <c r="CK1507" s="2">
        <v>21</v>
      </c>
      <c r="CL1507" s="2" t="s">
        <v>86</v>
      </c>
      <c r="CM1507" s="2"/>
    </row>
    <row r="1508" spans="1:91">
      <c r="A1508" s="2" t="s">
        <v>71</v>
      </c>
      <c r="B1508" s="2" t="s">
        <v>72</v>
      </c>
      <c r="C1508" s="2" t="s">
        <v>73</v>
      </c>
      <c r="D1508" s="2"/>
      <c r="E1508" s="2" t="str">
        <f>"FES1162542496"</f>
        <v>FES1162542496</v>
      </c>
      <c r="F1508" s="3">
        <v>42835</v>
      </c>
      <c r="G1508" s="2">
        <v>201710</v>
      </c>
      <c r="H1508" s="2" t="s">
        <v>74</v>
      </c>
      <c r="I1508" s="2" t="s">
        <v>75</v>
      </c>
      <c r="J1508" s="2" t="s">
        <v>76</v>
      </c>
      <c r="K1508" s="2" t="s">
        <v>77</v>
      </c>
      <c r="L1508" s="2" t="s">
        <v>187</v>
      </c>
      <c r="M1508" s="2" t="s">
        <v>146</v>
      </c>
      <c r="N1508" s="2" t="s">
        <v>1797</v>
      </c>
      <c r="O1508" s="2" t="s">
        <v>115</v>
      </c>
      <c r="P1508" s="2" t="str">
        <f>"2170560097                    "</f>
        <v xml:space="preserve">2170560097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4.29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1</v>
      </c>
      <c r="BJ1508" s="2">
        <v>0.2</v>
      </c>
      <c r="BK1508" s="2">
        <v>1</v>
      </c>
      <c r="BL1508" s="2">
        <v>41.73</v>
      </c>
      <c r="BM1508" s="2">
        <v>5.84</v>
      </c>
      <c r="BN1508" s="2">
        <v>47.57</v>
      </c>
      <c r="BO1508" s="2">
        <v>47.57</v>
      </c>
      <c r="BP1508" s="2"/>
      <c r="BQ1508" s="2" t="s">
        <v>1798</v>
      </c>
      <c r="BR1508" s="2" t="s">
        <v>123</v>
      </c>
      <c r="BS1508" s="3">
        <v>42836</v>
      </c>
      <c r="BT1508" s="4">
        <v>0.375</v>
      </c>
      <c r="BU1508" s="2" t="s">
        <v>2048</v>
      </c>
      <c r="BV1508" s="2" t="s">
        <v>111</v>
      </c>
      <c r="BW1508" s="2"/>
      <c r="BX1508" s="2"/>
      <c r="BY1508" s="2">
        <v>1200</v>
      </c>
      <c r="BZ1508" s="2" t="s">
        <v>27</v>
      </c>
      <c r="CA1508" s="2"/>
      <c r="CB1508" s="2"/>
      <c r="CC1508" s="2" t="s">
        <v>146</v>
      </c>
      <c r="CD1508" s="2">
        <v>81</v>
      </c>
      <c r="CE1508" s="2" t="s">
        <v>144</v>
      </c>
      <c r="CF1508" s="5">
        <v>42838</v>
      </c>
      <c r="CG1508" s="2"/>
      <c r="CH1508" s="2"/>
      <c r="CI1508" s="2">
        <v>0</v>
      </c>
      <c r="CJ1508" s="2">
        <v>0</v>
      </c>
      <c r="CK1508" s="2">
        <v>21</v>
      </c>
      <c r="CL1508" s="2" t="s">
        <v>86</v>
      </c>
      <c r="CM1508" s="2"/>
    </row>
    <row r="1509" spans="1:91">
      <c r="A1509" s="2" t="s">
        <v>71</v>
      </c>
      <c r="B1509" s="2" t="s">
        <v>72</v>
      </c>
      <c r="C1509" s="2" t="s">
        <v>73</v>
      </c>
      <c r="D1509" s="2"/>
      <c r="E1509" s="2" t="str">
        <f>"FES1162542333"</f>
        <v>FES1162542333</v>
      </c>
      <c r="F1509" s="3">
        <v>42832</v>
      </c>
      <c r="G1509" s="2">
        <v>201710</v>
      </c>
      <c r="H1509" s="2" t="s">
        <v>74</v>
      </c>
      <c r="I1509" s="2" t="s">
        <v>75</v>
      </c>
      <c r="J1509" s="2" t="s">
        <v>76</v>
      </c>
      <c r="K1509" s="2" t="s">
        <v>77</v>
      </c>
      <c r="L1509" s="2" t="s">
        <v>396</v>
      </c>
      <c r="M1509" s="2" t="s">
        <v>397</v>
      </c>
      <c r="N1509" s="2" t="s">
        <v>398</v>
      </c>
      <c r="O1509" s="2" t="s">
        <v>115</v>
      </c>
      <c r="P1509" s="2" t="str">
        <f>"2170561216                    "</f>
        <v xml:space="preserve">2170561216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4.29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1</v>
      </c>
      <c r="BJ1509" s="2">
        <v>0.2</v>
      </c>
      <c r="BK1509" s="2">
        <v>1</v>
      </c>
      <c r="BL1509" s="2">
        <v>41.73</v>
      </c>
      <c r="BM1509" s="2">
        <v>5.84</v>
      </c>
      <c r="BN1509" s="2">
        <v>47.57</v>
      </c>
      <c r="BO1509" s="2">
        <v>47.57</v>
      </c>
      <c r="BP1509" s="2"/>
      <c r="BQ1509" s="2" t="s">
        <v>399</v>
      </c>
      <c r="BR1509" s="2" t="s">
        <v>123</v>
      </c>
      <c r="BS1509" s="3">
        <v>42835</v>
      </c>
      <c r="BT1509" s="4">
        <v>0.4375</v>
      </c>
      <c r="BU1509" s="2" t="s">
        <v>469</v>
      </c>
      <c r="BV1509" s="2" t="s">
        <v>111</v>
      </c>
      <c r="BW1509" s="2"/>
      <c r="BX1509" s="2"/>
      <c r="BY1509" s="2">
        <v>1200</v>
      </c>
      <c r="BZ1509" s="2" t="s">
        <v>27</v>
      </c>
      <c r="CA1509" s="2"/>
      <c r="CB1509" s="2"/>
      <c r="CC1509" s="2" t="s">
        <v>397</v>
      </c>
      <c r="CD1509" s="2">
        <v>4300</v>
      </c>
      <c r="CE1509" s="2" t="s">
        <v>144</v>
      </c>
      <c r="CF1509" s="5">
        <v>42836</v>
      </c>
      <c r="CG1509" s="2"/>
      <c r="CH1509" s="2"/>
      <c r="CI1509" s="2">
        <v>1</v>
      </c>
      <c r="CJ1509" s="2">
        <v>1</v>
      </c>
      <c r="CK1509" s="2">
        <v>21</v>
      </c>
      <c r="CL1509" s="2" t="s">
        <v>86</v>
      </c>
      <c r="CM1509" s="2"/>
    </row>
    <row r="1510" spans="1:91">
      <c r="A1510" s="2" t="s">
        <v>71</v>
      </c>
      <c r="B1510" s="2" t="s">
        <v>72</v>
      </c>
      <c r="C1510" s="2" t="s">
        <v>73</v>
      </c>
      <c r="D1510" s="2"/>
      <c r="E1510" s="2" t="str">
        <f>"FES1162542582"</f>
        <v>FES1162542582</v>
      </c>
      <c r="F1510" s="3">
        <v>42835</v>
      </c>
      <c r="G1510" s="2">
        <v>201710</v>
      </c>
      <c r="H1510" s="2" t="s">
        <v>74</v>
      </c>
      <c r="I1510" s="2" t="s">
        <v>75</v>
      </c>
      <c r="J1510" s="2" t="s">
        <v>76</v>
      </c>
      <c r="K1510" s="2" t="s">
        <v>77</v>
      </c>
      <c r="L1510" s="2" t="s">
        <v>160</v>
      </c>
      <c r="M1510" s="2" t="s">
        <v>161</v>
      </c>
      <c r="N1510" s="2" t="s">
        <v>2049</v>
      </c>
      <c r="O1510" s="2" t="s">
        <v>115</v>
      </c>
      <c r="P1510" s="2" t="str">
        <f>"2170561435                    "</f>
        <v xml:space="preserve">2170561435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4.29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</v>
      </c>
      <c r="BJ1510" s="2">
        <v>0.2</v>
      </c>
      <c r="BK1510" s="2">
        <v>1</v>
      </c>
      <c r="BL1510" s="2">
        <v>41.73</v>
      </c>
      <c r="BM1510" s="2">
        <v>5.84</v>
      </c>
      <c r="BN1510" s="2">
        <v>47.57</v>
      </c>
      <c r="BO1510" s="2">
        <v>47.57</v>
      </c>
      <c r="BP1510" s="2"/>
      <c r="BQ1510" s="2" t="s">
        <v>129</v>
      </c>
      <c r="BR1510" s="2" t="s">
        <v>123</v>
      </c>
      <c r="BS1510" s="3">
        <v>42837</v>
      </c>
      <c r="BT1510" s="4">
        <v>0.41666666666666669</v>
      </c>
      <c r="BU1510" s="2" t="s">
        <v>452</v>
      </c>
      <c r="BV1510" s="2" t="s">
        <v>86</v>
      </c>
      <c r="BW1510" s="2" t="s">
        <v>164</v>
      </c>
      <c r="BX1510" s="2" t="s">
        <v>165</v>
      </c>
      <c r="BY1510" s="2">
        <v>1200</v>
      </c>
      <c r="BZ1510" s="2" t="s">
        <v>27</v>
      </c>
      <c r="CA1510" s="2"/>
      <c r="CB1510" s="2"/>
      <c r="CC1510" s="2" t="s">
        <v>161</v>
      </c>
      <c r="CD1510" s="2">
        <v>5201</v>
      </c>
      <c r="CE1510" s="2" t="s">
        <v>144</v>
      </c>
      <c r="CF1510" s="5">
        <v>42838</v>
      </c>
      <c r="CG1510" s="2"/>
      <c r="CH1510" s="2"/>
      <c r="CI1510" s="2">
        <v>1</v>
      </c>
      <c r="CJ1510" s="2">
        <v>2</v>
      </c>
      <c r="CK1510" s="2">
        <v>21</v>
      </c>
      <c r="CL1510" s="2" t="s">
        <v>86</v>
      </c>
      <c r="CM1510" s="2"/>
    </row>
    <row r="1511" spans="1:91">
      <c r="A1511" s="2" t="s">
        <v>71</v>
      </c>
      <c r="B1511" s="2" t="s">
        <v>72</v>
      </c>
      <c r="C1511" s="2" t="s">
        <v>73</v>
      </c>
      <c r="D1511" s="2"/>
      <c r="E1511" s="2" t="str">
        <f>"FES1162542275"</f>
        <v>FES1162542275</v>
      </c>
      <c r="F1511" s="3">
        <v>42832</v>
      </c>
      <c r="G1511" s="2">
        <v>201710</v>
      </c>
      <c r="H1511" s="2" t="s">
        <v>74</v>
      </c>
      <c r="I1511" s="2" t="s">
        <v>75</v>
      </c>
      <c r="J1511" s="2" t="s">
        <v>76</v>
      </c>
      <c r="K1511" s="2" t="s">
        <v>77</v>
      </c>
      <c r="L1511" s="2" t="s">
        <v>275</v>
      </c>
      <c r="M1511" s="2" t="s">
        <v>276</v>
      </c>
      <c r="N1511" s="2" t="s">
        <v>277</v>
      </c>
      <c r="O1511" s="2" t="s">
        <v>115</v>
      </c>
      <c r="P1511" s="2" t="str">
        <f>"2170558907                    "</f>
        <v xml:space="preserve">2170558907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4.29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1</v>
      </c>
      <c r="BJ1511" s="2">
        <v>0.2</v>
      </c>
      <c r="BK1511" s="2">
        <v>1</v>
      </c>
      <c r="BL1511" s="2">
        <v>41.73</v>
      </c>
      <c r="BM1511" s="2">
        <v>5.84</v>
      </c>
      <c r="BN1511" s="2">
        <v>47.57</v>
      </c>
      <c r="BO1511" s="2">
        <v>47.57</v>
      </c>
      <c r="BP1511" s="2"/>
      <c r="BQ1511" s="2" t="s">
        <v>278</v>
      </c>
      <c r="BR1511" s="2" t="s">
        <v>123</v>
      </c>
      <c r="BS1511" s="3">
        <v>42835</v>
      </c>
      <c r="BT1511" s="4">
        <v>0.34027777777777773</v>
      </c>
      <c r="BU1511" s="2" t="s">
        <v>279</v>
      </c>
      <c r="BV1511" s="2" t="s">
        <v>111</v>
      </c>
      <c r="BW1511" s="2"/>
      <c r="BX1511" s="2"/>
      <c r="BY1511" s="2">
        <v>1200</v>
      </c>
      <c r="BZ1511" s="2" t="s">
        <v>27</v>
      </c>
      <c r="CA1511" s="2"/>
      <c r="CB1511" s="2"/>
      <c r="CC1511" s="2" t="s">
        <v>276</v>
      </c>
      <c r="CD1511" s="2">
        <v>4126</v>
      </c>
      <c r="CE1511" s="2" t="s">
        <v>144</v>
      </c>
      <c r="CF1511" s="5">
        <v>42836</v>
      </c>
      <c r="CG1511" s="2"/>
      <c r="CH1511" s="2"/>
      <c r="CI1511" s="2">
        <v>1</v>
      </c>
      <c r="CJ1511" s="2">
        <v>1</v>
      </c>
      <c r="CK1511" s="2">
        <v>21</v>
      </c>
      <c r="CL1511" s="2" t="s">
        <v>86</v>
      </c>
      <c r="CM1511" s="2"/>
    </row>
    <row r="1512" spans="1:91">
      <c r="A1512" s="2" t="s">
        <v>71</v>
      </c>
      <c r="B1512" s="2" t="s">
        <v>72</v>
      </c>
      <c r="C1512" s="2" t="s">
        <v>73</v>
      </c>
      <c r="D1512" s="2"/>
      <c r="E1512" s="2" t="str">
        <f>"FES1162542580"</f>
        <v>FES1162542580</v>
      </c>
      <c r="F1512" s="3">
        <v>42835</v>
      </c>
      <c r="G1512" s="2">
        <v>201710</v>
      </c>
      <c r="H1512" s="2" t="s">
        <v>74</v>
      </c>
      <c r="I1512" s="2" t="s">
        <v>75</v>
      </c>
      <c r="J1512" s="2" t="s">
        <v>76</v>
      </c>
      <c r="K1512" s="2" t="s">
        <v>77</v>
      </c>
      <c r="L1512" s="2" t="s">
        <v>99</v>
      </c>
      <c r="M1512" s="2" t="s">
        <v>100</v>
      </c>
      <c r="N1512" s="2" t="s">
        <v>700</v>
      </c>
      <c r="O1512" s="2" t="s">
        <v>115</v>
      </c>
      <c r="P1512" s="2" t="str">
        <f>"2170561428                    "</f>
        <v xml:space="preserve">2170561428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4.29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1</v>
      </c>
      <c r="BJ1512" s="2">
        <v>0.2</v>
      </c>
      <c r="BK1512" s="2">
        <v>1</v>
      </c>
      <c r="BL1512" s="2">
        <v>41.73</v>
      </c>
      <c r="BM1512" s="2">
        <v>5.84</v>
      </c>
      <c r="BN1512" s="2">
        <v>47.57</v>
      </c>
      <c r="BO1512" s="2">
        <v>47.57</v>
      </c>
      <c r="BP1512" s="2"/>
      <c r="BQ1512" s="2" t="s">
        <v>701</v>
      </c>
      <c r="BR1512" s="2" t="s">
        <v>123</v>
      </c>
      <c r="BS1512" s="3">
        <v>42836</v>
      </c>
      <c r="BT1512" s="4">
        <v>0.40277777777777773</v>
      </c>
      <c r="BU1512" s="2" t="s">
        <v>702</v>
      </c>
      <c r="BV1512" s="2" t="s">
        <v>111</v>
      </c>
      <c r="BW1512" s="2"/>
      <c r="BX1512" s="2"/>
      <c r="BY1512" s="2">
        <v>1200</v>
      </c>
      <c r="BZ1512" s="2" t="s">
        <v>27</v>
      </c>
      <c r="CA1512" s="2" t="s">
        <v>106</v>
      </c>
      <c r="CB1512" s="2"/>
      <c r="CC1512" s="2" t="s">
        <v>100</v>
      </c>
      <c r="CD1512" s="2">
        <v>6001</v>
      </c>
      <c r="CE1512" s="2" t="s">
        <v>144</v>
      </c>
      <c r="CF1512" s="5">
        <v>42836</v>
      </c>
      <c r="CG1512" s="2"/>
      <c r="CH1512" s="2"/>
      <c r="CI1512" s="2">
        <v>1</v>
      </c>
      <c r="CJ1512" s="2">
        <v>1</v>
      </c>
      <c r="CK1512" s="2">
        <v>21</v>
      </c>
      <c r="CL1512" s="2" t="s">
        <v>86</v>
      </c>
      <c r="CM1512" s="2"/>
    </row>
    <row r="1513" spans="1:91">
      <c r="A1513" s="2" t="s">
        <v>71</v>
      </c>
      <c r="B1513" s="2" t="s">
        <v>72</v>
      </c>
      <c r="C1513" s="2" t="s">
        <v>73</v>
      </c>
      <c r="D1513" s="2"/>
      <c r="E1513" s="2" t="str">
        <f>"FES1162542261"</f>
        <v>FES1162542261</v>
      </c>
      <c r="F1513" s="3">
        <v>42832</v>
      </c>
      <c r="G1513" s="2">
        <v>201710</v>
      </c>
      <c r="H1513" s="2" t="s">
        <v>74</v>
      </c>
      <c r="I1513" s="2" t="s">
        <v>75</v>
      </c>
      <c r="J1513" s="2" t="s">
        <v>76</v>
      </c>
      <c r="K1513" s="2" t="s">
        <v>77</v>
      </c>
      <c r="L1513" s="2" t="s">
        <v>294</v>
      </c>
      <c r="M1513" s="2" t="s">
        <v>295</v>
      </c>
      <c r="N1513" s="2" t="s">
        <v>1282</v>
      </c>
      <c r="O1513" s="2" t="s">
        <v>115</v>
      </c>
      <c r="P1513" s="2" t="str">
        <f>"2170561171                    "</f>
        <v xml:space="preserve">2170561171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4.29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1</v>
      </c>
      <c r="BJ1513" s="2">
        <v>0.2</v>
      </c>
      <c r="BK1513" s="2">
        <v>1</v>
      </c>
      <c r="BL1513" s="2">
        <v>41.73</v>
      </c>
      <c r="BM1513" s="2">
        <v>5.84</v>
      </c>
      <c r="BN1513" s="2">
        <v>47.57</v>
      </c>
      <c r="BO1513" s="2">
        <v>47.57</v>
      </c>
      <c r="BP1513" s="2"/>
      <c r="BQ1513" s="2" t="s">
        <v>116</v>
      </c>
      <c r="BR1513" s="2" t="s">
        <v>123</v>
      </c>
      <c r="BS1513" s="3">
        <v>42835</v>
      </c>
      <c r="BT1513" s="4">
        <v>0.4375</v>
      </c>
      <c r="BU1513" s="2" t="s">
        <v>2050</v>
      </c>
      <c r="BV1513" s="2" t="s">
        <v>111</v>
      </c>
      <c r="BW1513" s="2"/>
      <c r="BX1513" s="2"/>
      <c r="BY1513" s="2">
        <v>1200</v>
      </c>
      <c r="BZ1513" s="2" t="s">
        <v>27</v>
      </c>
      <c r="CA1513" s="2" t="s">
        <v>159</v>
      </c>
      <c r="CB1513" s="2"/>
      <c r="CC1513" s="2" t="s">
        <v>295</v>
      </c>
      <c r="CD1513" s="2">
        <v>3610</v>
      </c>
      <c r="CE1513" s="2" t="s">
        <v>144</v>
      </c>
      <c r="CF1513" s="5">
        <v>42836</v>
      </c>
      <c r="CG1513" s="2"/>
      <c r="CH1513" s="2"/>
      <c r="CI1513" s="2">
        <v>1</v>
      </c>
      <c r="CJ1513" s="2">
        <v>1</v>
      </c>
      <c r="CK1513" s="2">
        <v>21</v>
      </c>
      <c r="CL1513" s="2" t="s">
        <v>86</v>
      </c>
      <c r="CM1513" s="2"/>
    </row>
    <row r="1514" spans="1:91">
      <c r="A1514" s="2" t="s">
        <v>71</v>
      </c>
      <c r="B1514" s="2" t="s">
        <v>72</v>
      </c>
      <c r="C1514" s="2" t="s">
        <v>73</v>
      </c>
      <c r="D1514" s="2"/>
      <c r="E1514" s="2" t="str">
        <f>"FES1162542459"</f>
        <v>FES1162542459</v>
      </c>
      <c r="F1514" s="3">
        <v>42835</v>
      </c>
      <c r="G1514" s="2">
        <v>201710</v>
      </c>
      <c r="H1514" s="2" t="s">
        <v>74</v>
      </c>
      <c r="I1514" s="2" t="s">
        <v>75</v>
      </c>
      <c r="J1514" s="2" t="s">
        <v>76</v>
      </c>
      <c r="K1514" s="2" t="s">
        <v>77</v>
      </c>
      <c r="L1514" s="2" t="s">
        <v>1322</v>
      </c>
      <c r="M1514" s="2" t="s">
        <v>1323</v>
      </c>
      <c r="N1514" s="2" t="s">
        <v>1324</v>
      </c>
      <c r="O1514" s="2" t="s">
        <v>115</v>
      </c>
      <c r="P1514" s="2" t="str">
        <f>"2170561349                    "</f>
        <v xml:space="preserve">2170561349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8.31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2</v>
      </c>
      <c r="BJ1514" s="2">
        <v>1</v>
      </c>
      <c r="BK1514" s="2">
        <v>2</v>
      </c>
      <c r="BL1514" s="2">
        <v>80.849999999999994</v>
      </c>
      <c r="BM1514" s="2">
        <v>11.32</v>
      </c>
      <c r="BN1514" s="2">
        <v>92.17</v>
      </c>
      <c r="BO1514" s="2">
        <v>92.17</v>
      </c>
      <c r="BP1514" s="2"/>
      <c r="BQ1514" s="2" t="s">
        <v>83</v>
      </c>
      <c r="BR1514" s="2" t="s">
        <v>123</v>
      </c>
      <c r="BS1514" s="3">
        <v>42836</v>
      </c>
      <c r="BT1514" s="4">
        <v>0.54166666666666663</v>
      </c>
      <c r="BU1514" s="2" t="s">
        <v>2051</v>
      </c>
      <c r="BV1514" s="2" t="s">
        <v>111</v>
      </c>
      <c r="BW1514" s="2"/>
      <c r="BX1514" s="2"/>
      <c r="BY1514" s="2">
        <v>5023.79</v>
      </c>
      <c r="BZ1514" s="2" t="s">
        <v>27</v>
      </c>
      <c r="CA1514" s="2"/>
      <c r="CB1514" s="2"/>
      <c r="CC1514" s="2" t="s">
        <v>1323</v>
      </c>
      <c r="CD1514" s="2">
        <v>4170</v>
      </c>
      <c r="CE1514" s="2" t="s">
        <v>135</v>
      </c>
      <c r="CF1514" s="5">
        <v>42837</v>
      </c>
      <c r="CG1514" s="2"/>
      <c r="CH1514" s="2"/>
      <c r="CI1514" s="2">
        <v>1</v>
      </c>
      <c r="CJ1514" s="2">
        <v>1</v>
      </c>
      <c r="CK1514" s="2">
        <v>23</v>
      </c>
      <c r="CL1514" s="2" t="s">
        <v>86</v>
      </c>
      <c r="CM1514" s="2"/>
    </row>
    <row r="1515" spans="1:91">
      <c r="A1515" s="2" t="s">
        <v>71</v>
      </c>
      <c r="B1515" s="2" t="s">
        <v>72</v>
      </c>
      <c r="C1515" s="2" t="s">
        <v>73</v>
      </c>
      <c r="D1515" s="2"/>
      <c r="E1515" s="2" t="str">
        <f>"FES1162542307"</f>
        <v>FES1162542307</v>
      </c>
      <c r="F1515" s="3">
        <v>42832</v>
      </c>
      <c r="G1515" s="2">
        <v>201710</v>
      </c>
      <c r="H1515" s="2" t="s">
        <v>74</v>
      </c>
      <c r="I1515" s="2" t="s">
        <v>75</v>
      </c>
      <c r="J1515" s="2" t="s">
        <v>76</v>
      </c>
      <c r="K1515" s="2" t="s">
        <v>77</v>
      </c>
      <c r="L1515" s="2" t="s">
        <v>166</v>
      </c>
      <c r="M1515" s="2" t="s">
        <v>167</v>
      </c>
      <c r="N1515" s="2" t="s">
        <v>2052</v>
      </c>
      <c r="O1515" s="2" t="s">
        <v>115</v>
      </c>
      <c r="P1515" s="2" t="str">
        <f>"2170561198                    "</f>
        <v xml:space="preserve">2170561198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3.35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1</v>
      </c>
      <c r="BJ1515" s="2">
        <v>0.2</v>
      </c>
      <c r="BK1515" s="2">
        <v>1</v>
      </c>
      <c r="BL1515" s="2">
        <v>32.6</v>
      </c>
      <c r="BM1515" s="2">
        <v>4.5599999999999996</v>
      </c>
      <c r="BN1515" s="2">
        <v>37.159999999999997</v>
      </c>
      <c r="BO1515" s="2">
        <v>37.159999999999997</v>
      </c>
      <c r="BP1515" s="2"/>
      <c r="BQ1515" s="2" t="s">
        <v>2053</v>
      </c>
      <c r="BR1515" s="2" t="s">
        <v>123</v>
      </c>
      <c r="BS1515" s="3">
        <v>42835</v>
      </c>
      <c r="BT1515" s="4">
        <v>0.41666666666666669</v>
      </c>
      <c r="BU1515" s="2" t="s">
        <v>2054</v>
      </c>
      <c r="BV1515" s="2" t="s">
        <v>111</v>
      </c>
      <c r="BW1515" s="2"/>
      <c r="BX1515" s="2"/>
      <c r="BY1515" s="2">
        <v>1200</v>
      </c>
      <c r="BZ1515" s="2" t="s">
        <v>27</v>
      </c>
      <c r="CA1515" s="2"/>
      <c r="CB1515" s="2"/>
      <c r="CC1515" s="2" t="s">
        <v>167</v>
      </c>
      <c r="CD1515" s="2">
        <v>2042</v>
      </c>
      <c r="CE1515" s="2" t="s">
        <v>118</v>
      </c>
      <c r="CF1515" s="5">
        <v>42836</v>
      </c>
      <c r="CG1515" s="2"/>
      <c r="CH1515" s="2"/>
      <c r="CI1515" s="2">
        <v>1</v>
      </c>
      <c r="CJ1515" s="2">
        <v>1</v>
      </c>
      <c r="CK1515" s="2">
        <v>22</v>
      </c>
      <c r="CL1515" s="2" t="s">
        <v>86</v>
      </c>
      <c r="CM1515" s="2"/>
    </row>
    <row r="1516" spans="1:91">
      <c r="A1516" s="2" t="s">
        <v>71</v>
      </c>
      <c r="B1516" s="2" t="s">
        <v>72</v>
      </c>
      <c r="C1516" s="2" t="s">
        <v>73</v>
      </c>
      <c r="D1516" s="2"/>
      <c r="E1516" s="2" t="str">
        <f>"FES1162542535"</f>
        <v>FES1162542535</v>
      </c>
      <c r="F1516" s="3">
        <v>42835</v>
      </c>
      <c r="G1516" s="2">
        <v>201710</v>
      </c>
      <c r="H1516" s="2" t="s">
        <v>74</v>
      </c>
      <c r="I1516" s="2" t="s">
        <v>75</v>
      </c>
      <c r="J1516" s="2" t="s">
        <v>76</v>
      </c>
      <c r="K1516" s="2" t="s">
        <v>77</v>
      </c>
      <c r="L1516" s="2" t="s">
        <v>1322</v>
      </c>
      <c r="M1516" s="2" t="s">
        <v>1323</v>
      </c>
      <c r="N1516" s="2" t="s">
        <v>2055</v>
      </c>
      <c r="O1516" s="2" t="s">
        <v>115</v>
      </c>
      <c r="P1516" s="2" t="str">
        <f>"2170561396                    "</f>
        <v xml:space="preserve">2170561396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8.31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1.6</v>
      </c>
      <c r="BJ1516" s="2">
        <v>1</v>
      </c>
      <c r="BK1516" s="2">
        <v>2</v>
      </c>
      <c r="BL1516" s="2">
        <v>80.849999999999994</v>
      </c>
      <c r="BM1516" s="2">
        <v>11.32</v>
      </c>
      <c r="BN1516" s="2">
        <v>92.17</v>
      </c>
      <c r="BO1516" s="2">
        <v>92.17</v>
      </c>
      <c r="BP1516" s="2"/>
      <c r="BQ1516" s="2" t="s">
        <v>116</v>
      </c>
      <c r="BR1516" s="2" t="s">
        <v>123</v>
      </c>
      <c r="BS1516" s="3">
        <v>42836</v>
      </c>
      <c r="BT1516" s="4">
        <v>0.54166666666666663</v>
      </c>
      <c r="BU1516" s="2" t="s">
        <v>679</v>
      </c>
      <c r="BV1516" s="2" t="s">
        <v>111</v>
      </c>
      <c r="BW1516" s="2"/>
      <c r="BX1516" s="2"/>
      <c r="BY1516" s="2">
        <v>4989.88</v>
      </c>
      <c r="BZ1516" s="2" t="s">
        <v>27</v>
      </c>
      <c r="CA1516" s="2"/>
      <c r="CB1516" s="2"/>
      <c r="CC1516" s="2" t="s">
        <v>1323</v>
      </c>
      <c r="CD1516" s="2">
        <v>4170</v>
      </c>
      <c r="CE1516" s="2" t="s">
        <v>135</v>
      </c>
      <c r="CF1516" s="5">
        <v>42837</v>
      </c>
      <c r="CG1516" s="2"/>
      <c r="CH1516" s="2"/>
      <c r="CI1516" s="2">
        <v>1</v>
      </c>
      <c r="CJ1516" s="2">
        <v>1</v>
      </c>
      <c r="CK1516" s="2">
        <v>23</v>
      </c>
      <c r="CL1516" s="2" t="s">
        <v>86</v>
      </c>
      <c r="CM1516" s="2"/>
    </row>
    <row r="1517" spans="1:91">
      <c r="A1517" s="2" t="s">
        <v>71</v>
      </c>
      <c r="B1517" s="2" t="s">
        <v>72</v>
      </c>
      <c r="C1517" s="2" t="s">
        <v>73</v>
      </c>
      <c r="D1517" s="2"/>
      <c r="E1517" s="2" t="str">
        <f>"FES1162542270"</f>
        <v>FES1162542270</v>
      </c>
      <c r="F1517" s="3">
        <v>42832</v>
      </c>
      <c r="G1517" s="2">
        <v>201710</v>
      </c>
      <c r="H1517" s="2" t="s">
        <v>74</v>
      </c>
      <c r="I1517" s="2" t="s">
        <v>75</v>
      </c>
      <c r="J1517" s="2" t="s">
        <v>76</v>
      </c>
      <c r="K1517" s="2" t="s">
        <v>77</v>
      </c>
      <c r="L1517" s="2" t="s">
        <v>131</v>
      </c>
      <c r="M1517" s="2" t="s">
        <v>132</v>
      </c>
      <c r="N1517" s="2" t="s">
        <v>1439</v>
      </c>
      <c r="O1517" s="2" t="s">
        <v>115</v>
      </c>
      <c r="P1517" s="2" t="str">
        <f>"2170550336                    "</f>
        <v xml:space="preserve">2170550336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18.22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7</v>
      </c>
      <c r="BJ1517" s="2">
        <v>8.4</v>
      </c>
      <c r="BK1517" s="2">
        <v>8.5</v>
      </c>
      <c r="BL1517" s="2">
        <v>177.34</v>
      </c>
      <c r="BM1517" s="2">
        <v>24.83</v>
      </c>
      <c r="BN1517" s="2">
        <v>202.17</v>
      </c>
      <c r="BO1517" s="2">
        <v>202.17</v>
      </c>
      <c r="BP1517" s="2"/>
      <c r="BQ1517" s="2" t="s">
        <v>1440</v>
      </c>
      <c r="BR1517" s="2" t="s">
        <v>123</v>
      </c>
      <c r="BS1517" s="3">
        <v>42835</v>
      </c>
      <c r="BT1517" s="4">
        <v>0.3611111111111111</v>
      </c>
      <c r="BU1517" s="2" t="s">
        <v>1441</v>
      </c>
      <c r="BV1517" s="2" t="s">
        <v>111</v>
      </c>
      <c r="BW1517" s="2"/>
      <c r="BX1517" s="2"/>
      <c r="BY1517" s="2">
        <v>41896.76</v>
      </c>
      <c r="BZ1517" s="2" t="s">
        <v>27</v>
      </c>
      <c r="CA1517" s="2"/>
      <c r="CB1517" s="2"/>
      <c r="CC1517" s="2" t="s">
        <v>132</v>
      </c>
      <c r="CD1517" s="2">
        <v>7490</v>
      </c>
      <c r="CE1517" s="2" t="s">
        <v>135</v>
      </c>
      <c r="CF1517" s="5">
        <v>42836</v>
      </c>
      <c r="CG1517" s="2"/>
      <c r="CH1517" s="2"/>
      <c r="CI1517" s="2">
        <v>1</v>
      </c>
      <c r="CJ1517" s="2">
        <v>1</v>
      </c>
      <c r="CK1517" s="2">
        <v>21</v>
      </c>
      <c r="CL1517" s="2" t="s">
        <v>86</v>
      </c>
      <c r="CM1517" s="2"/>
    </row>
    <row r="1518" spans="1:91">
      <c r="A1518" s="2" t="s">
        <v>71</v>
      </c>
      <c r="B1518" s="2" t="s">
        <v>72</v>
      </c>
      <c r="C1518" s="2" t="s">
        <v>73</v>
      </c>
      <c r="D1518" s="2"/>
      <c r="E1518" s="2" t="str">
        <f>"FES1162542506"</f>
        <v>FES1162542506</v>
      </c>
      <c r="F1518" s="3">
        <v>42835</v>
      </c>
      <c r="G1518" s="2">
        <v>201710</v>
      </c>
      <c r="H1518" s="2" t="s">
        <v>74</v>
      </c>
      <c r="I1518" s="2" t="s">
        <v>75</v>
      </c>
      <c r="J1518" s="2" t="s">
        <v>76</v>
      </c>
      <c r="K1518" s="2" t="s">
        <v>77</v>
      </c>
      <c r="L1518" s="2" t="s">
        <v>2056</v>
      </c>
      <c r="M1518" s="2" t="s">
        <v>2057</v>
      </c>
      <c r="N1518" s="2" t="s">
        <v>2058</v>
      </c>
      <c r="O1518" s="2" t="s">
        <v>115</v>
      </c>
      <c r="P1518" s="2" t="str">
        <f>"2170560855                    "</f>
        <v xml:space="preserve">2170560855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8.57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3.6</v>
      </c>
      <c r="BJ1518" s="2">
        <v>1.6</v>
      </c>
      <c r="BK1518" s="2">
        <v>4</v>
      </c>
      <c r="BL1518" s="2">
        <v>83.45</v>
      </c>
      <c r="BM1518" s="2">
        <v>11.68</v>
      </c>
      <c r="BN1518" s="2">
        <v>95.13</v>
      </c>
      <c r="BO1518" s="2">
        <v>95.13</v>
      </c>
      <c r="BP1518" s="2"/>
      <c r="BQ1518" s="2" t="s">
        <v>2059</v>
      </c>
      <c r="BR1518" s="2" t="s">
        <v>123</v>
      </c>
      <c r="BS1518" s="3">
        <v>42836</v>
      </c>
      <c r="BT1518" s="4">
        <v>0.375</v>
      </c>
      <c r="BU1518" s="2" t="s">
        <v>2060</v>
      </c>
      <c r="BV1518" s="2" t="s">
        <v>111</v>
      </c>
      <c r="BW1518" s="2"/>
      <c r="BX1518" s="2"/>
      <c r="BY1518" s="2">
        <v>8110.53</v>
      </c>
      <c r="BZ1518" s="2" t="s">
        <v>27</v>
      </c>
      <c r="CA1518" s="2"/>
      <c r="CB1518" s="2"/>
      <c r="CC1518" s="2" t="s">
        <v>2057</v>
      </c>
      <c r="CD1518" s="2">
        <v>1201</v>
      </c>
      <c r="CE1518" s="2" t="s">
        <v>135</v>
      </c>
      <c r="CF1518" s="5">
        <v>42837</v>
      </c>
      <c r="CG1518" s="2"/>
      <c r="CH1518" s="2"/>
      <c r="CI1518" s="2">
        <v>1</v>
      </c>
      <c r="CJ1518" s="2">
        <v>1</v>
      </c>
      <c r="CK1518" s="2">
        <v>21</v>
      </c>
      <c r="CL1518" s="2" t="s">
        <v>86</v>
      </c>
      <c r="CM1518" s="2"/>
    </row>
    <row r="1519" spans="1:91">
      <c r="A1519" s="2" t="s">
        <v>71</v>
      </c>
      <c r="B1519" s="2" t="s">
        <v>72</v>
      </c>
      <c r="C1519" s="2" t="s">
        <v>73</v>
      </c>
      <c r="D1519" s="2"/>
      <c r="E1519" s="2" t="str">
        <f>"FES1162542322"</f>
        <v>FES1162542322</v>
      </c>
      <c r="F1519" s="3">
        <v>42832</v>
      </c>
      <c r="G1519" s="2">
        <v>201710</v>
      </c>
      <c r="H1519" s="2" t="s">
        <v>74</v>
      </c>
      <c r="I1519" s="2" t="s">
        <v>75</v>
      </c>
      <c r="J1519" s="2" t="s">
        <v>76</v>
      </c>
      <c r="K1519" s="2" t="s">
        <v>77</v>
      </c>
      <c r="L1519" s="2" t="s">
        <v>160</v>
      </c>
      <c r="M1519" s="2" t="s">
        <v>161</v>
      </c>
      <c r="N1519" s="2" t="s">
        <v>463</v>
      </c>
      <c r="O1519" s="2" t="s">
        <v>115</v>
      </c>
      <c r="P1519" s="2" t="str">
        <f>"2170561209                    "</f>
        <v xml:space="preserve">2170561209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4.29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1</v>
      </c>
      <c r="BJ1519" s="2">
        <v>0.2</v>
      </c>
      <c r="BK1519" s="2">
        <v>1</v>
      </c>
      <c r="BL1519" s="2">
        <v>41.73</v>
      </c>
      <c r="BM1519" s="2">
        <v>5.84</v>
      </c>
      <c r="BN1519" s="2">
        <v>47.57</v>
      </c>
      <c r="BO1519" s="2">
        <v>47.57</v>
      </c>
      <c r="BP1519" s="2"/>
      <c r="BQ1519" s="2" t="s">
        <v>129</v>
      </c>
      <c r="BR1519" s="2" t="s">
        <v>123</v>
      </c>
      <c r="BS1519" s="3">
        <v>42835</v>
      </c>
      <c r="BT1519" s="4">
        <v>0.41666666666666669</v>
      </c>
      <c r="BU1519" s="2" t="s">
        <v>223</v>
      </c>
      <c r="BV1519" s="2" t="s">
        <v>111</v>
      </c>
      <c r="BW1519" s="2"/>
      <c r="BX1519" s="2"/>
      <c r="BY1519" s="2">
        <v>1200</v>
      </c>
      <c r="BZ1519" s="2" t="s">
        <v>27</v>
      </c>
      <c r="CA1519" s="2"/>
      <c r="CB1519" s="2"/>
      <c r="CC1519" s="2" t="s">
        <v>161</v>
      </c>
      <c r="CD1519" s="2">
        <v>5201</v>
      </c>
      <c r="CE1519" s="2" t="s">
        <v>144</v>
      </c>
      <c r="CF1519" s="5">
        <v>42836</v>
      </c>
      <c r="CG1519" s="2"/>
      <c r="CH1519" s="2"/>
      <c r="CI1519" s="2">
        <v>1</v>
      </c>
      <c r="CJ1519" s="2">
        <v>1</v>
      </c>
      <c r="CK1519" s="2">
        <v>21</v>
      </c>
      <c r="CL1519" s="2" t="s">
        <v>86</v>
      </c>
      <c r="CM1519" s="2"/>
    </row>
    <row r="1520" spans="1:91">
      <c r="A1520" s="2" t="s">
        <v>71</v>
      </c>
      <c r="B1520" s="2" t="s">
        <v>72</v>
      </c>
      <c r="C1520" s="2" t="s">
        <v>73</v>
      </c>
      <c r="D1520" s="2"/>
      <c r="E1520" s="2" t="str">
        <f>"FES1162542306"</f>
        <v>FES1162542306</v>
      </c>
      <c r="F1520" s="3">
        <v>42832</v>
      </c>
      <c r="G1520" s="2">
        <v>201710</v>
      </c>
      <c r="H1520" s="2" t="s">
        <v>74</v>
      </c>
      <c r="I1520" s="2" t="s">
        <v>75</v>
      </c>
      <c r="J1520" s="2" t="s">
        <v>76</v>
      </c>
      <c r="K1520" s="2" t="s">
        <v>77</v>
      </c>
      <c r="L1520" s="2" t="s">
        <v>180</v>
      </c>
      <c r="M1520" s="2" t="s">
        <v>181</v>
      </c>
      <c r="N1520" s="2" t="s">
        <v>2061</v>
      </c>
      <c r="O1520" s="2" t="s">
        <v>115</v>
      </c>
      <c r="P1520" s="2" t="str">
        <f>"2170561196                    "</f>
        <v xml:space="preserve">2170561196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4.29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1.5</v>
      </c>
      <c r="BJ1520" s="2">
        <v>1</v>
      </c>
      <c r="BK1520" s="2">
        <v>1.5</v>
      </c>
      <c r="BL1520" s="2">
        <v>41.73</v>
      </c>
      <c r="BM1520" s="2">
        <v>5.84</v>
      </c>
      <c r="BN1520" s="2">
        <v>47.57</v>
      </c>
      <c r="BO1520" s="2">
        <v>47.57</v>
      </c>
      <c r="BP1520" s="2"/>
      <c r="BQ1520" s="2" t="s">
        <v>129</v>
      </c>
      <c r="BR1520" s="2" t="s">
        <v>123</v>
      </c>
      <c r="BS1520" s="3">
        <v>42835</v>
      </c>
      <c r="BT1520" s="4">
        <v>0.33680555555555558</v>
      </c>
      <c r="BU1520" s="2" t="s">
        <v>2062</v>
      </c>
      <c r="BV1520" s="2" t="s">
        <v>111</v>
      </c>
      <c r="BW1520" s="2"/>
      <c r="BX1520" s="2"/>
      <c r="BY1520" s="2">
        <v>4928.26</v>
      </c>
      <c r="BZ1520" s="2" t="s">
        <v>27</v>
      </c>
      <c r="CA1520" s="2"/>
      <c r="CB1520" s="2"/>
      <c r="CC1520" s="2" t="s">
        <v>181</v>
      </c>
      <c r="CD1520" s="2">
        <v>4052</v>
      </c>
      <c r="CE1520" s="2" t="s">
        <v>135</v>
      </c>
      <c r="CF1520" s="5">
        <v>42836</v>
      </c>
      <c r="CG1520" s="2"/>
      <c r="CH1520" s="2"/>
      <c r="CI1520" s="2">
        <v>1</v>
      </c>
      <c r="CJ1520" s="2">
        <v>1</v>
      </c>
      <c r="CK1520" s="2">
        <v>21</v>
      </c>
      <c r="CL1520" s="2" t="s">
        <v>86</v>
      </c>
      <c r="CM1520" s="2"/>
    </row>
    <row r="1521" spans="1:91">
      <c r="A1521" s="2" t="s">
        <v>71</v>
      </c>
      <c r="B1521" s="2" t="s">
        <v>72</v>
      </c>
      <c r="C1521" s="2" t="s">
        <v>73</v>
      </c>
      <c r="D1521" s="2"/>
      <c r="E1521" s="2" t="str">
        <f>"FES1162542469"</f>
        <v>FES1162542469</v>
      </c>
      <c r="F1521" s="3">
        <v>42835</v>
      </c>
      <c r="G1521" s="2">
        <v>201710</v>
      </c>
      <c r="H1521" s="2" t="s">
        <v>74</v>
      </c>
      <c r="I1521" s="2" t="s">
        <v>75</v>
      </c>
      <c r="J1521" s="2" t="s">
        <v>76</v>
      </c>
      <c r="K1521" s="2" t="s">
        <v>77</v>
      </c>
      <c r="L1521" s="2" t="s">
        <v>91</v>
      </c>
      <c r="M1521" s="2" t="s">
        <v>92</v>
      </c>
      <c r="N1521" s="2" t="s">
        <v>1813</v>
      </c>
      <c r="O1521" s="2" t="s">
        <v>115</v>
      </c>
      <c r="P1521" s="2" t="str">
        <f>"2170561365                    "</f>
        <v xml:space="preserve">2170561365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3.35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1</v>
      </c>
      <c r="BJ1521" s="2">
        <v>0.2</v>
      </c>
      <c r="BK1521" s="2">
        <v>1</v>
      </c>
      <c r="BL1521" s="2">
        <v>32.6</v>
      </c>
      <c r="BM1521" s="2">
        <v>4.5599999999999996</v>
      </c>
      <c r="BN1521" s="2">
        <v>37.159999999999997</v>
      </c>
      <c r="BO1521" s="2">
        <v>37.159999999999997</v>
      </c>
      <c r="BP1521" s="2"/>
      <c r="BQ1521" s="2" t="s">
        <v>122</v>
      </c>
      <c r="BR1521" s="2" t="s">
        <v>123</v>
      </c>
      <c r="BS1521" s="3">
        <v>42836</v>
      </c>
      <c r="BT1521" s="4">
        <v>0.41666666666666669</v>
      </c>
      <c r="BU1521" s="2" t="s">
        <v>2063</v>
      </c>
      <c r="BV1521" s="2" t="s">
        <v>111</v>
      </c>
      <c r="BW1521" s="2"/>
      <c r="BX1521" s="2"/>
      <c r="BY1521" s="2">
        <v>1200</v>
      </c>
      <c r="BZ1521" s="2" t="s">
        <v>27</v>
      </c>
      <c r="CA1521" s="2"/>
      <c r="CB1521" s="2"/>
      <c r="CC1521" s="2" t="s">
        <v>92</v>
      </c>
      <c r="CD1521" s="2">
        <v>1422</v>
      </c>
      <c r="CE1521" s="2" t="s">
        <v>118</v>
      </c>
      <c r="CF1521" s="5">
        <v>42838</v>
      </c>
      <c r="CG1521" s="2"/>
      <c r="CH1521" s="2"/>
      <c r="CI1521" s="2">
        <v>1</v>
      </c>
      <c r="CJ1521" s="2">
        <v>1</v>
      </c>
      <c r="CK1521" s="2">
        <v>22</v>
      </c>
      <c r="CL1521" s="2" t="s">
        <v>86</v>
      </c>
      <c r="CM1521" s="2"/>
    </row>
    <row r="1522" spans="1:91">
      <c r="A1522" s="2" t="s">
        <v>71</v>
      </c>
      <c r="B1522" s="2" t="s">
        <v>72</v>
      </c>
      <c r="C1522" s="2" t="s">
        <v>73</v>
      </c>
      <c r="D1522" s="2"/>
      <c r="E1522" s="2" t="str">
        <f>"FES1162542319"</f>
        <v>FES1162542319</v>
      </c>
      <c r="F1522" s="3">
        <v>42832</v>
      </c>
      <c r="G1522" s="2">
        <v>201710</v>
      </c>
      <c r="H1522" s="2" t="s">
        <v>74</v>
      </c>
      <c r="I1522" s="2" t="s">
        <v>75</v>
      </c>
      <c r="J1522" s="2" t="s">
        <v>76</v>
      </c>
      <c r="K1522" s="2" t="s">
        <v>77</v>
      </c>
      <c r="L1522" s="2" t="s">
        <v>99</v>
      </c>
      <c r="M1522" s="2" t="s">
        <v>100</v>
      </c>
      <c r="N1522" s="2" t="s">
        <v>1442</v>
      </c>
      <c r="O1522" s="2" t="s">
        <v>115</v>
      </c>
      <c r="P1522" s="2" t="str">
        <f>"2170561207                    "</f>
        <v xml:space="preserve">2170561207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20.36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8.1999999999999993</v>
      </c>
      <c r="BJ1522" s="2">
        <v>9.1</v>
      </c>
      <c r="BK1522" s="2">
        <v>9.5</v>
      </c>
      <c r="BL1522" s="2">
        <v>198.2</v>
      </c>
      <c r="BM1522" s="2">
        <v>27.75</v>
      </c>
      <c r="BN1522" s="2">
        <v>225.95</v>
      </c>
      <c r="BO1522" s="2">
        <v>225.95</v>
      </c>
      <c r="BP1522" s="2"/>
      <c r="BQ1522" s="2" t="s">
        <v>2064</v>
      </c>
      <c r="BR1522" s="2" t="s">
        <v>123</v>
      </c>
      <c r="BS1522" s="3">
        <v>42835</v>
      </c>
      <c r="BT1522" s="4">
        <v>0.3666666666666667</v>
      </c>
      <c r="BU1522" s="2" t="s">
        <v>245</v>
      </c>
      <c r="BV1522" s="2" t="s">
        <v>111</v>
      </c>
      <c r="BW1522" s="2"/>
      <c r="BX1522" s="2"/>
      <c r="BY1522" s="2">
        <v>45620.19</v>
      </c>
      <c r="BZ1522" s="2" t="s">
        <v>27</v>
      </c>
      <c r="CA1522" s="2"/>
      <c r="CB1522" s="2"/>
      <c r="CC1522" s="2" t="s">
        <v>100</v>
      </c>
      <c r="CD1522" s="2">
        <v>6045</v>
      </c>
      <c r="CE1522" s="2" t="s">
        <v>135</v>
      </c>
      <c r="CF1522" s="5">
        <v>42836</v>
      </c>
      <c r="CG1522" s="2"/>
      <c r="CH1522" s="2"/>
      <c r="CI1522" s="2">
        <v>1</v>
      </c>
      <c r="CJ1522" s="2">
        <v>1</v>
      </c>
      <c r="CK1522" s="2">
        <v>21</v>
      </c>
      <c r="CL1522" s="2" t="s">
        <v>86</v>
      </c>
      <c r="CM1522" s="2"/>
    </row>
    <row r="1523" spans="1:91">
      <c r="A1523" s="2" t="s">
        <v>71</v>
      </c>
      <c r="B1523" s="2" t="s">
        <v>72</v>
      </c>
      <c r="C1523" s="2" t="s">
        <v>73</v>
      </c>
      <c r="D1523" s="2"/>
      <c r="E1523" s="2" t="str">
        <f>"FES1162542502"</f>
        <v>FES1162542502</v>
      </c>
      <c r="F1523" s="3">
        <v>42835</v>
      </c>
      <c r="G1523" s="2">
        <v>201710</v>
      </c>
      <c r="H1523" s="2" t="s">
        <v>74</v>
      </c>
      <c r="I1523" s="2" t="s">
        <v>75</v>
      </c>
      <c r="J1523" s="2" t="s">
        <v>76</v>
      </c>
      <c r="K1523" s="2" t="s">
        <v>77</v>
      </c>
      <c r="L1523" s="2" t="s">
        <v>187</v>
      </c>
      <c r="M1523" s="2" t="s">
        <v>146</v>
      </c>
      <c r="N1523" s="2" t="s">
        <v>2065</v>
      </c>
      <c r="O1523" s="2" t="s">
        <v>115</v>
      </c>
      <c r="P1523" s="2" t="str">
        <f>"2170560764                    "</f>
        <v xml:space="preserve">2170560764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4.29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1</v>
      </c>
      <c r="BJ1523" s="2">
        <v>0.2</v>
      </c>
      <c r="BK1523" s="2">
        <v>1</v>
      </c>
      <c r="BL1523" s="2">
        <v>41.73</v>
      </c>
      <c r="BM1523" s="2">
        <v>5.84</v>
      </c>
      <c r="BN1523" s="2">
        <v>47.57</v>
      </c>
      <c r="BO1523" s="2">
        <v>47.57</v>
      </c>
      <c r="BP1523" s="2"/>
      <c r="BQ1523" s="2" t="s">
        <v>2066</v>
      </c>
      <c r="BR1523" s="2" t="s">
        <v>123</v>
      </c>
      <c r="BS1523" s="3">
        <v>42836</v>
      </c>
      <c r="BT1523" s="4">
        <v>0.33333333333333331</v>
      </c>
      <c r="BU1523" s="2" t="s">
        <v>2067</v>
      </c>
      <c r="BV1523" s="2" t="s">
        <v>111</v>
      </c>
      <c r="BW1523" s="2"/>
      <c r="BX1523" s="2"/>
      <c r="BY1523" s="2">
        <v>1200</v>
      </c>
      <c r="BZ1523" s="2" t="s">
        <v>27</v>
      </c>
      <c r="CA1523" s="2" t="s">
        <v>159</v>
      </c>
      <c r="CB1523" s="2"/>
      <c r="CC1523" s="2" t="s">
        <v>146</v>
      </c>
      <c r="CD1523" s="2">
        <v>182</v>
      </c>
      <c r="CE1523" s="2" t="s">
        <v>144</v>
      </c>
      <c r="CF1523" s="5">
        <v>42838</v>
      </c>
      <c r="CG1523" s="2"/>
      <c r="CH1523" s="2"/>
      <c r="CI1523" s="2">
        <v>0</v>
      </c>
      <c r="CJ1523" s="2">
        <v>0</v>
      </c>
      <c r="CK1523" s="2">
        <v>21</v>
      </c>
      <c r="CL1523" s="2" t="s">
        <v>86</v>
      </c>
      <c r="CM1523" s="2"/>
    </row>
    <row r="1524" spans="1:91">
      <c r="A1524" s="2" t="s">
        <v>71</v>
      </c>
      <c r="B1524" s="2" t="s">
        <v>72</v>
      </c>
      <c r="C1524" s="2" t="s">
        <v>73</v>
      </c>
      <c r="D1524" s="2"/>
      <c r="E1524" s="2" t="str">
        <f>"FES1162542278"</f>
        <v>FES1162542278</v>
      </c>
      <c r="F1524" s="3">
        <v>42832</v>
      </c>
      <c r="G1524" s="2">
        <v>201710</v>
      </c>
      <c r="H1524" s="2" t="s">
        <v>74</v>
      </c>
      <c r="I1524" s="2" t="s">
        <v>75</v>
      </c>
      <c r="J1524" s="2" t="s">
        <v>76</v>
      </c>
      <c r="K1524" s="2" t="s">
        <v>77</v>
      </c>
      <c r="L1524" s="2" t="s">
        <v>1026</v>
      </c>
      <c r="M1524" s="2" t="s">
        <v>1027</v>
      </c>
      <c r="N1524" s="2" t="s">
        <v>1028</v>
      </c>
      <c r="O1524" s="2" t="s">
        <v>115</v>
      </c>
      <c r="P1524" s="2" t="str">
        <f>"2170558944                    "</f>
        <v xml:space="preserve">2170558944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45.82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2</v>
      </c>
      <c r="BI1524" s="2">
        <v>12</v>
      </c>
      <c r="BJ1524" s="2">
        <v>6.6</v>
      </c>
      <c r="BK1524" s="2">
        <v>12</v>
      </c>
      <c r="BL1524" s="2">
        <v>445.96</v>
      </c>
      <c r="BM1524" s="2">
        <v>62.43</v>
      </c>
      <c r="BN1524" s="2">
        <v>508.39</v>
      </c>
      <c r="BO1524" s="2">
        <v>508.39</v>
      </c>
      <c r="BP1524" s="2"/>
      <c r="BQ1524" s="2" t="s">
        <v>129</v>
      </c>
      <c r="BR1524" s="2" t="s">
        <v>123</v>
      </c>
      <c r="BS1524" s="3">
        <v>42835</v>
      </c>
      <c r="BT1524" s="4">
        <v>0.41666666666666669</v>
      </c>
      <c r="BU1524" s="2" t="s">
        <v>2068</v>
      </c>
      <c r="BV1524" s="2" t="s">
        <v>111</v>
      </c>
      <c r="BW1524" s="2"/>
      <c r="BX1524" s="2"/>
      <c r="BY1524" s="2">
        <v>33008.959999999999</v>
      </c>
      <c r="BZ1524" s="2" t="s">
        <v>27</v>
      </c>
      <c r="CA1524" s="2" t="s">
        <v>159</v>
      </c>
      <c r="CB1524" s="2"/>
      <c r="CC1524" s="2" t="s">
        <v>1027</v>
      </c>
      <c r="CD1524" s="2">
        <v>7349</v>
      </c>
      <c r="CE1524" s="2" t="s">
        <v>1232</v>
      </c>
      <c r="CF1524" s="5">
        <v>42836</v>
      </c>
      <c r="CG1524" s="2"/>
      <c r="CH1524" s="2"/>
      <c r="CI1524" s="2">
        <v>1</v>
      </c>
      <c r="CJ1524" s="2">
        <v>1</v>
      </c>
      <c r="CK1524" s="2">
        <v>23</v>
      </c>
      <c r="CL1524" s="2" t="s">
        <v>86</v>
      </c>
      <c r="CM1524" s="2"/>
    </row>
    <row r="1525" spans="1:91">
      <c r="A1525" s="2" t="s">
        <v>71</v>
      </c>
      <c r="B1525" s="2" t="s">
        <v>72</v>
      </c>
      <c r="C1525" s="2" t="s">
        <v>73</v>
      </c>
      <c r="D1525" s="2"/>
      <c r="E1525" s="2" t="str">
        <f>"FES1162542509"</f>
        <v>FES1162542509</v>
      </c>
      <c r="F1525" s="3">
        <v>42835</v>
      </c>
      <c r="G1525" s="2">
        <v>201710</v>
      </c>
      <c r="H1525" s="2" t="s">
        <v>74</v>
      </c>
      <c r="I1525" s="2" t="s">
        <v>75</v>
      </c>
      <c r="J1525" s="2" t="s">
        <v>76</v>
      </c>
      <c r="K1525" s="2" t="s">
        <v>77</v>
      </c>
      <c r="L1525" s="2" t="s">
        <v>187</v>
      </c>
      <c r="M1525" s="2" t="s">
        <v>146</v>
      </c>
      <c r="N1525" s="2" t="s">
        <v>850</v>
      </c>
      <c r="O1525" s="2" t="s">
        <v>115</v>
      </c>
      <c r="P1525" s="2" t="str">
        <f>"2170560939                    "</f>
        <v xml:space="preserve">2170560939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4.29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1</v>
      </c>
      <c r="BJ1525" s="2">
        <v>0.2</v>
      </c>
      <c r="BK1525" s="2">
        <v>1</v>
      </c>
      <c r="BL1525" s="2">
        <v>41.73</v>
      </c>
      <c r="BM1525" s="2">
        <v>5.84</v>
      </c>
      <c r="BN1525" s="2">
        <v>47.57</v>
      </c>
      <c r="BO1525" s="2">
        <v>47.57</v>
      </c>
      <c r="BP1525" s="2"/>
      <c r="BQ1525" s="2" t="s">
        <v>851</v>
      </c>
      <c r="BR1525" s="2" t="s">
        <v>123</v>
      </c>
      <c r="BS1525" s="3">
        <v>42836</v>
      </c>
      <c r="BT1525" s="4">
        <v>0.38541666666666669</v>
      </c>
      <c r="BU1525" s="2" t="s">
        <v>245</v>
      </c>
      <c r="BV1525" s="2" t="s">
        <v>111</v>
      </c>
      <c r="BW1525" s="2"/>
      <c r="BX1525" s="2"/>
      <c r="BY1525" s="2">
        <v>1200</v>
      </c>
      <c r="BZ1525" s="2" t="s">
        <v>27</v>
      </c>
      <c r="CA1525" s="2"/>
      <c r="CB1525" s="2"/>
      <c r="CC1525" s="2" t="s">
        <v>146</v>
      </c>
      <c r="CD1525" s="2">
        <v>200</v>
      </c>
      <c r="CE1525" s="2" t="s">
        <v>144</v>
      </c>
      <c r="CF1525" s="5">
        <v>42838</v>
      </c>
      <c r="CG1525" s="2"/>
      <c r="CH1525" s="2"/>
      <c r="CI1525" s="2">
        <v>0</v>
      </c>
      <c r="CJ1525" s="2">
        <v>0</v>
      </c>
      <c r="CK1525" s="2">
        <v>21</v>
      </c>
      <c r="CL1525" s="2" t="s">
        <v>86</v>
      </c>
      <c r="CM1525" s="2"/>
    </row>
    <row r="1526" spans="1:91">
      <c r="A1526" s="2" t="s">
        <v>71</v>
      </c>
      <c r="B1526" s="2" t="s">
        <v>72</v>
      </c>
      <c r="C1526" s="2" t="s">
        <v>73</v>
      </c>
      <c r="D1526" s="2"/>
      <c r="E1526" s="2" t="str">
        <f>"FES1162542272"</f>
        <v>FES1162542272</v>
      </c>
      <c r="F1526" s="3">
        <v>42832</v>
      </c>
      <c r="G1526" s="2">
        <v>201710</v>
      </c>
      <c r="H1526" s="2" t="s">
        <v>74</v>
      </c>
      <c r="I1526" s="2" t="s">
        <v>75</v>
      </c>
      <c r="J1526" s="2" t="s">
        <v>76</v>
      </c>
      <c r="K1526" s="2" t="s">
        <v>77</v>
      </c>
      <c r="L1526" s="2" t="s">
        <v>443</v>
      </c>
      <c r="M1526" s="2" t="s">
        <v>444</v>
      </c>
      <c r="N1526" s="2" t="s">
        <v>627</v>
      </c>
      <c r="O1526" s="2" t="s">
        <v>115</v>
      </c>
      <c r="P1526" s="2" t="str">
        <f>"2170558292                    "</f>
        <v xml:space="preserve">2170558292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18.22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8.1</v>
      </c>
      <c r="BJ1526" s="2">
        <v>3.3</v>
      </c>
      <c r="BK1526" s="2">
        <v>8.5</v>
      </c>
      <c r="BL1526" s="2">
        <v>177.34</v>
      </c>
      <c r="BM1526" s="2">
        <v>24.83</v>
      </c>
      <c r="BN1526" s="2">
        <v>202.17</v>
      </c>
      <c r="BO1526" s="2">
        <v>202.17</v>
      </c>
      <c r="BP1526" s="2"/>
      <c r="BQ1526" s="2" t="s">
        <v>628</v>
      </c>
      <c r="BR1526" s="2" t="s">
        <v>123</v>
      </c>
      <c r="BS1526" s="3">
        <v>42835</v>
      </c>
      <c r="BT1526" s="4">
        <v>0.41666666666666669</v>
      </c>
      <c r="BU1526" s="2" t="s">
        <v>1761</v>
      </c>
      <c r="BV1526" s="2" t="s">
        <v>111</v>
      </c>
      <c r="BW1526" s="2"/>
      <c r="BX1526" s="2"/>
      <c r="BY1526" s="2">
        <v>16568.66</v>
      </c>
      <c r="BZ1526" s="2" t="s">
        <v>27</v>
      </c>
      <c r="CA1526" s="2"/>
      <c r="CB1526" s="2"/>
      <c r="CC1526" s="2" t="s">
        <v>444</v>
      </c>
      <c r="CD1526" s="2">
        <v>7130</v>
      </c>
      <c r="CE1526" s="2" t="s">
        <v>135</v>
      </c>
      <c r="CF1526" s="5">
        <v>42836</v>
      </c>
      <c r="CG1526" s="2"/>
      <c r="CH1526" s="2"/>
      <c r="CI1526" s="2">
        <v>1</v>
      </c>
      <c r="CJ1526" s="2">
        <v>1</v>
      </c>
      <c r="CK1526" s="2">
        <v>21</v>
      </c>
      <c r="CL1526" s="2" t="s">
        <v>86</v>
      </c>
      <c r="CM1526" s="2"/>
    </row>
    <row r="1527" spans="1:91">
      <c r="A1527" s="2" t="s">
        <v>71</v>
      </c>
      <c r="B1527" s="2" t="s">
        <v>72</v>
      </c>
      <c r="C1527" s="2" t="s">
        <v>73</v>
      </c>
      <c r="D1527" s="2"/>
      <c r="E1527" s="2" t="str">
        <f>"FES1162542476"</f>
        <v>FES1162542476</v>
      </c>
      <c r="F1527" s="3">
        <v>42835</v>
      </c>
      <c r="G1527" s="2">
        <v>201710</v>
      </c>
      <c r="H1527" s="2" t="s">
        <v>74</v>
      </c>
      <c r="I1527" s="2" t="s">
        <v>75</v>
      </c>
      <c r="J1527" s="2" t="s">
        <v>76</v>
      </c>
      <c r="K1527" s="2" t="s">
        <v>77</v>
      </c>
      <c r="L1527" s="2" t="s">
        <v>294</v>
      </c>
      <c r="M1527" s="2" t="s">
        <v>295</v>
      </c>
      <c r="N1527" s="2" t="s">
        <v>779</v>
      </c>
      <c r="O1527" s="2" t="s">
        <v>115</v>
      </c>
      <c r="P1527" s="2" t="str">
        <f>"2170561376                    "</f>
        <v xml:space="preserve">2170561376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4.29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1</v>
      </c>
      <c r="BJ1527" s="2">
        <v>0.2</v>
      </c>
      <c r="BK1527" s="2">
        <v>1</v>
      </c>
      <c r="BL1527" s="2">
        <v>41.73</v>
      </c>
      <c r="BM1527" s="2">
        <v>5.84</v>
      </c>
      <c r="BN1527" s="2">
        <v>47.57</v>
      </c>
      <c r="BO1527" s="2">
        <v>47.57</v>
      </c>
      <c r="BP1527" s="2"/>
      <c r="BQ1527" s="2" t="s">
        <v>129</v>
      </c>
      <c r="BR1527" s="2" t="s">
        <v>123</v>
      </c>
      <c r="BS1527" s="3">
        <v>42836</v>
      </c>
      <c r="BT1527" s="4">
        <v>0.4375</v>
      </c>
      <c r="BU1527" s="2" t="s">
        <v>2069</v>
      </c>
      <c r="BV1527" s="2" t="s">
        <v>111</v>
      </c>
      <c r="BW1527" s="2"/>
      <c r="BX1527" s="2"/>
      <c r="BY1527" s="2">
        <v>1200</v>
      </c>
      <c r="BZ1527" s="2" t="s">
        <v>27</v>
      </c>
      <c r="CA1527" s="2" t="s">
        <v>159</v>
      </c>
      <c r="CB1527" s="2"/>
      <c r="CC1527" s="2" t="s">
        <v>295</v>
      </c>
      <c r="CD1527" s="2">
        <v>3610</v>
      </c>
      <c r="CE1527" s="2" t="s">
        <v>144</v>
      </c>
      <c r="CF1527" s="5">
        <v>42837</v>
      </c>
      <c r="CG1527" s="2"/>
      <c r="CH1527" s="2"/>
      <c r="CI1527" s="2">
        <v>1</v>
      </c>
      <c r="CJ1527" s="2">
        <v>1</v>
      </c>
      <c r="CK1527" s="2">
        <v>21</v>
      </c>
      <c r="CL1527" s="2" t="s">
        <v>86</v>
      </c>
      <c r="CM1527" s="2"/>
    </row>
    <row r="1528" spans="1:91">
      <c r="A1528" s="2" t="s">
        <v>71</v>
      </c>
      <c r="B1528" s="2" t="s">
        <v>72</v>
      </c>
      <c r="C1528" s="2" t="s">
        <v>73</v>
      </c>
      <c r="D1528" s="2"/>
      <c r="E1528" s="2" t="str">
        <f>"FES1162542268"</f>
        <v>FES1162542268</v>
      </c>
      <c r="F1528" s="3">
        <v>42832</v>
      </c>
      <c r="G1528" s="2">
        <v>201710</v>
      </c>
      <c r="H1528" s="2" t="s">
        <v>74</v>
      </c>
      <c r="I1528" s="2" t="s">
        <v>75</v>
      </c>
      <c r="J1528" s="2" t="s">
        <v>76</v>
      </c>
      <c r="K1528" s="2" t="s">
        <v>77</v>
      </c>
      <c r="L1528" s="2" t="s">
        <v>166</v>
      </c>
      <c r="M1528" s="2" t="s">
        <v>167</v>
      </c>
      <c r="N1528" s="2" t="s">
        <v>486</v>
      </c>
      <c r="O1528" s="2" t="s">
        <v>115</v>
      </c>
      <c r="P1528" s="2" t="str">
        <f>"2170561181                    "</f>
        <v xml:space="preserve">2170561181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3.35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1</v>
      </c>
      <c r="BI1528" s="2">
        <v>2</v>
      </c>
      <c r="BJ1528" s="2">
        <v>3.3</v>
      </c>
      <c r="BK1528" s="2">
        <v>4</v>
      </c>
      <c r="BL1528" s="2">
        <v>32.6</v>
      </c>
      <c r="BM1528" s="2">
        <v>4.5599999999999996</v>
      </c>
      <c r="BN1528" s="2">
        <v>37.159999999999997</v>
      </c>
      <c r="BO1528" s="2">
        <v>37.159999999999997</v>
      </c>
      <c r="BP1528" s="2"/>
      <c r="BQ1528" s="2" t="s">
        <v>487</v>
      </c>
      <c r="BR1528" s="2" t="s">
        <v>123</v>
      </c>
      <c r="BS1528" s="3">
        <v>42835</v>
      </c>
      <c r="BT1528" s="4">
        <v>0.35138888888888892</v>
      </c>
      <c r="BU1528" s="2" t="s">
        <v>2021</v>
      </c>
      <c r="BV1528" s="2" t="s">
        <v>111</v>
      </c>
      <c r="BW1528" s="2"/>
      <c r="BX1528" s="2"/>
      <c r="BY1528" s="2">
        <v>16257.98</v>
      </c>
      <c r="BZ1528" s="2" t="s">
        <v>27</v>
      </c>
      <c r="CA1528" s="2" t="s">
        <v>2022</v>
      </c>
      <c r="CB1528" s="2"/>
      <c r="CC1528" s="2" t="s">
        <v>167</v>
      </c>
      <c r="CD1528" s="2">
        <v>2013</v>
      </c>
      <c r="CE1528" s="2" t="s">
        <v>89</v>
      </c>
      <c r="CF1528" s="5">
        <v>42836</v>
      </c>
      <c r="CG1528" s="2"/>
      <c r="CH1528" s="2"/>
      <c r="CI1528" s="2">
        <v>1</v>
      </c>
      <c r="CJ1528" s="2">
        <v>1</v>
      </c>
      <c r="CK1528" s="2">
        <v>22</v>
      </c>
      <c r="CL1528" s="2" t="s">
        <v>86</v>
      </c>
      <c r="CM1528" s="2"/>
    </row>
    <row r="1529" spans="1:91">
      <c r="A1529" s="2" t="s">
        <v>71</v>
      </c>
      <c r="B1529" s="2" t="s">
        <v>72</v>
      </c>
      <c r="C1529" s="2" t="s">
        <v>73</v>
      </c>
      <c r="D1529" s="2"/>
      <c r="E1529" s="2" t="str">
        <f>"FES1162542552"</f>
        <v>FES1162542552</v>
      </c>
      <c r="F1529" s="3">
        <v>42835</v>
      </c>
      <c r="G1529" s="2">
        <v>201710</v>
      </c>
      <c r="H1529" s="2" t="s">
        <v>74</v>
      </c>
      <c r="I1529" s="2" t="s">
        <v>75</v>
      </c>
      <c r="J1529" s="2" t="s">
        <v>76</v>
      </c>
      <c r="K1529" s="2" t="s">
        <v>77</v>
      </c>
      <c r="L1529" s="2" t="s">
        <v>496</v>
      </c>
      <c r="M1529" s="2" t="s">
        <v>497</v>
      </c>
      <c r="N1529" s="2" t="s">
        <v>498</v>
      </c>
      <c r="O1529" s="2" t="s">
        <v>115</v>
      </c>
      <c r="P1529" s="2" t="str">
        <f>"2170561416                    "</f>
        <v xml:space="preserve">2170561416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3.35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1</v>
      </c>
      <c r="BJ1529" s="2">
        <v>0.2</v>
      </c>
      <c r="BK1529" s="2">
        <v>1</v>
      </c>
      <c r="BL1529" s="2">
        <v>32.6</v>
      </c>
      <c r="BM1529" s="2">
        <v>4.5599999999999996</v>
      </c>
      <c r="BN1529" s="2">
        <v>37.159999999999997</v>
      </c>
      <c r="BO1529" s="2">
        <v>37.159999999999997</v>
      </c>
      <c r="BP1529" s="2"/>
      <c r="BQ1529" s="2" t="s">
        <v>122</v>
      </c>
      <c r="BR1529" s="2" t="s">
        <v>123</v>
      </c>
      <c r="BS1529" s="3">
        <v>42836</v>
      </c>
      <c r="BT1529" s="4">
        <v>0.33680555555555558</v>
      </c>
      <c r="BU1529" s="2" t="s">
        <v>2070</v>
      </c>
      <c r="BV1529" s="2" t="s">
        <v>111</v>
      </c>
      <c r="BW1529" s="2"/>
      <c r="BX1529" s="2"/>
      <c r="BY1529" s="2">
        <v>1200</v>
      </c>
      <c r="BZ1529" s="2" t="s">
        <v>27</v>
      </c>
      <c r="CA1529" s="2" t="s">
        <v>1041</v>
      </c>
      <c r="CB1529" s="2"/>
      <c r="CC1529" s="2" t="s">
        <v>497</v>
      </c>
      <c r="CD1529" s="2">
        <v>1559</v>
      </c>
      <c r="CE1529" s="2" t="s">
        <v>118</v>
      </c>
      <c r="CF1529" s="5">
        <v>42836</v>
      </c>
      <c r="CG1529" s="2"/>
      <c r="CH1529" s="2"/>
      <c r="CI1529" s="2">
        <v>1</v>
      </c>
      <c r="CJ1529" s="2">
        <v>1</v>
      </c>
      <c r="CK1529" s="2">
        <v>22</v>
      </c>
      <c r="CL1529" s="2" t="s">
        <v>86</v>
      </c>
      <c r="CM1529" s="2"/>
    </row>
    <row r="1530" spans="1:91">
      <c r="A1530" s="2" t="s">
        <v>71</v>
      </c>
      <c r="B1530" s="2" t="s">
        <v>72</v>
      </c>
      <c r="C1530" s="2" t="s">
        <v>73</v>
      </c>
      <c r="D1530" s="2"/>
      <c r="E1530" s="2" t="str">
        <f>"FES1162542383"</f>
        <v>FES1162542383</v>
      </c>
      <c r="F1530" s="3">
        <v>42832</v>
      </c>
      <c r="G1530" s="2">
        <v>201710</v>
      </c>
      <c r="H1530" s="2" t="s">
        <v>74</v>
      </c>
      <c r="I1530" s="2" t="s">
        <v>75</v>
      </c>
      <c r="J1530" s="2" t="s">
        <v>76</v>
      </c>
      <c r="K1530" s="2" t="s">
        <v>77</v>
      </c>
      <c r="L1530" s="2" t="s">
        <v>190</v>
      </c>
      <c r="M1530" s="2" t="s">
        <v>191</v>
      </c>
      <c r="N1530" s="2" t="s">
        <v>870</v>
      </c>
      <c r="O1530" s="2" t="s">
        <v>115</v>
      </c>
      <c r="P1530" s="2" t="str">
        <f>"2170561276                    "</f>
        <v xml:space="preserve">2170561276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6.03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1.6</v>
      </c>
      <c r="BJ1530" s="2">
        <v>1.7</v>
      </c>
      <c r="BK1530" s="2">
        <v>2</v>
      </c>
      <c r="BL1530" s="2">
        <v>58.68</v>
      </c>
      <c r="BM1530" s="2">
        <v>8.2200000000000006</v>
      </c>
      <c r="BN1530" s="2">
        <v>66.900000000000006</v>
      </c>
      <c r="BO1530" s="2">
        <v>66.900000000000006</v>
      </c>
      <c r="BP1530" s="2"/>
      <c r="BQ1530" s="2" t="s">
        <v>871</v>
      </c>
      <c r="BR1530" s="2" t="s">
        <v>123</v>
      </c>
      <c r="BS1530" s="3">
        <v>42835</v>
      </c>
      <c r="BT1530" s="4">
        <v>0.33333333333333331</v>
      </c>
      <c r="BU1530" s="2" t="s">
        <v>841</v>
      </c>
      <c r="BV1530" s="2" t="s">
        <v>111</v>
      </c>
      <c r="BW1530" s="2"/>
      <c r="BX1530" s="2"/>
      <c r="BY1530" s="2">
        <v>8592.58</v>
      </c>
      <c r="BZ1530" s="2" t="s">
        <v>27</v>
      </c>
      <c r="CA1530" s="2"/>
      <c r="CB1530" s="2"/>
      <c r="CC1530" s="2" t="s">
        <v>191</v>
      </c>
      <c r="CD1530" s="2">
        <v>1754</v>
      </c>
      <c r="CE1530" s="2" t="s">
        <v>135</v>
      </c>
      <c r="CF1530" s="5">
        <v>42836</v>
      </c>
      <c r="CG1530" s="2"/>
      <c r="CH1530" s="2"/>
      <c r="CI1530" s="2">
        <v>1</v>
      </c>
      <c r="CJ1530" s="2">
        <v>1</v>
      </c>
      <c r="CK1530" s="2">
        <v>24</v>
      </c>
      <c r="CL1530" s="2" t="s">
        <v>86</v>
      </c>
      <c r="CM1530" s="2"/>
    </row>
    <row r="1531" spans="1:91">
      <c r="A1531" s="2" t="s">
        <v>71</v>
      </c>
      <c r="B1531" s="2" t="s">
        <v>72</v>
      </c>
      <c r="C1531" s="2" t="s">
        <v>73</v>
      </c>
      <c r="D1531" s="2"/>
      <c r="E1531" s="2" t="str">
        <f>"FES1162542503"</f>
        <v>FES1162542503</v>
      </c>
      <c r="F1531" s="3">
        <v>42835</v>
      </c>
      <c r="G1531" s="2">
        <v>201710</v>
      </c>
      <c r="H1531" s="2" t="s">
        <v>74</v>
      </c>
      <c r="I1531" s="2" t="s">
        <v>75</v>
      </c>
      <c r="J1531" s="2" t="s">
        <v>76</v>
      </c>
      <c r="K1531" s="2" t="s">
        <v>77</v>
      </c>
      <c r="L1531" s="2" t="s">
        <v>496</v>
      </c>
      <c r="M1531" s="2" t="s">
        <v>497</v>
      </c>
      <c r="N1531" s="2" t="s">
        <v>2071</v>
      </c>
      <c r="O1531" s="2" t="s">
        <v>115</v>
      </c>
      <c r="P1531" s="2" t="str">
        <f>"2170560795                    "</f>
        <v xml:space="preserve">2170560795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3.35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1</v>
      </c>
      <c r="BJ1531" s="2">
        <v>0.2</v>
      </c>
      <c r="BK1531" s="2">
        <v>1</v>
      </c>
      <c r="BL1531" s="2">
        <v>32.6</v>
      </c>
      <c r="BM1531" s="2">
        <v>4.5599999999999996</v>
      </c>
      <c r="BN1531" s="2">
        <v>37.159999999999997</v>
      </c>
      <c r="BO1531" s="2">
        <v>37.159999999999997</v>
      </c>
      <c r="BP1531" s="2"/>
      <c r="BQ1531" s="2" t="s">
        <v>2072</v>
      </c>
      <c r="BR1531" s="2" t="s">
        <v>123</v>
      </c>
      <c r="BS1531" s="3">
        <v>42836</v>
      </c>
      <c r="BT1531" s="4">
        <v>0.43055555555555558</v>
      </c>
      <c r="BU1531" s="2" t="s">
        <v>2073</v>
      </c>
      <c r="BV1531" s="2" t="s">
        <v>111</v>
      </c>
      <c r="BW1531" s="2"/>
      <c r="BX1531" s="2"/>
      <c r="BY1531" s="2">
        <v>1200</v>
      </c>
      <c r="BZ1531" s="2" t="s">
        <v>27</v>
      </c>
      <c r="CA1531" s="2" t="s">
        <v>159</v>
      </c>
      <c r="CB1531" s="2"/>
      <c r="CC1531" s="2" t="s">
        <v>497</v>
      </c>
      <c r="CD1531" s="2">
        <v>1559</v>
      </c>
      <c r="CE1531" s="2" t="s">
        <v>118</v>
      </c>
      <c r="CF1531" s="5">
        <v>42838</v>
      </c>
      <c r="CG1531" s="2"/>
      <c r="CH1531" s="2"/>
      <c r="CI1531" s="2">
        <v>1</v>
      </c>
      <c r="CJ1531" s="2">
        <v>1</v>
      </c>
      <c r="CK1531" s="2">
        <v>22</v>
      </c>
      <c r="CL1531" s="2" t="s">
        <v>86</v>
      </c>
      <c r="CM1531" s="2"/>
    </row>
    <row r="1532" spans="1:91">
      <c r="A1532" s="2" t="s">
        <v>71</v>
      </c>
      <c r="B1532" s="2" t="s">
        <v>72</v>
      </c>
      <c r="C1532" s="2" t="s">
        <v>73</v>
      </c>
      <c r="D1532" s="2"/>
      <c r="E1532" s="2" t="str">
        <f>"FES1162542401"</f>
        <v>FES1162542401</v>
      </c>
      <c r="F1532" s="3">
        <v>42832</v>
      </c>
      <c r="G1532" s="2">
        <v>201710</v>
      </c>
      <c r="H1532" s="2" t="s">
        <v>74</v>
      </c>
      <c r="I1532" s="2" t="s">
        <v>75</v>
      </c>
      <c r="J1532" s="2" t="s">
        <v>76</v>
      </c>
      <c r="K1532" s="2" t="s">
        <v>77</v>
      </c>
      <c r="L1532" s="2" t="s">
        <v>190</v>
      </c>
      <c r="M1532" s="2" t="s">
        <v>191</v>
      </c>
      <c r="N1532" s="2" t="s">
        <v>870</v>
      </c>
      <c r="O1532" s="2" t="s">
        <v>115</v>
      </c>
      <c r="P1532" s="2" t="str">
        <f>"2170561293                    "</f>
        <v xml:space="preserve">2170561293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6.03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1.6</v>
      </c>
      <c r="BJ1532" s="2">
        <v>1.7</v>
      </c>
      <c r="BK1532" s="2">
        <v>2</v>
      </c>
      <c r="BL1532" s="2">
        <v>58.68</v>
      </c>
      <c r="BM1532" s="2">
        <v>8.2200000000000006</v>
      </c>
      <c r="BN1532" s="2">
        <v>66.900000000000006</v>
      </c>
      <c r="BO1532" s="2">
        <v>66.900000000000006</v>
      </c>
      <c r="BP1532" s="2"/>
      <c r="BQ1532" s="2" t="s">
        <v>871</v>
      </c>
      <c r="BR1532" s="2" t="s">
        <v>123</v>
      </c>
      <c r="BS1532" s="3">
        <v>42835</v>
      </c>
      <c r="BT1532" s="4">
        <v>0.33333333333333331</v>
      </c>
      <c r="BU1532" s="2" t="s">
        <v>841</v>
      </c>
      <c r="BV1532" s="2" t="s">
        <v>111</v>
      </c>
      <c r="BW1532" s="2"/>
      <c r="BX1532" s="2"/>
      <c r="BY1532" s="2">
        <v>8697.7800000000007</v>
      </c>
      <c r="BZ1532" s="2" t="s">
        <v>27</v>
      </c>
      <c r="CA1532" s="2"/>
      <c r="CB1532" s="2"/>
      <c r="CC1532" s="2" t="s">
        <v>191</v>
      </c>
      <c r="CD1532" s="2">
        <v>1754</v>
      </c>
      <c r="CE1532" s="2" t="s">
        <v>135</v>
      </c>
      <c r="CF1532" s="5">
        <v>42836</v>
      </c>
      <c r="CG1532" s="2"/>
      <c r="CH1532" s="2"/>
      <c r="CI1532" s="2">
        <v>1</v>
      </c>
      <c r="CJ1532" s="2">
        <v>1</v>
      </c>
      <c r="CK1532" s="2">
        <v>24</v>
      </c>
      <c r="CL1532" s="2" t="s">
        <v>86</v>
      </c>
      <c r="CM1532" s="2"/>
    </row>
    <row r="1533" spans="1:91">
      <c r="A1533" s="2" t="s">
        <v>71</v>
      </c>
      <c r="B1533" s="2" t="s">
        <v>72</v>
      </c>
      <c r="C1533" s="2" t="s">
        <v>73</v>
      </c>
      <c r="D1533" s="2"/>
      <c r="E1533" s="2" t="str">
        <f>"FES1162542514"</f>
        <v>FES1162542514</v>
      </c>
      <c r="F1533" s="3">
        <v>42835</v>
      </c>
      <c r="G1533" s="2">
        <v>201710</v>
      </c>
      <c r="H1533" s="2" t="s">
        <v>74</v>
      </c>
      <c r="I1533" s="2" t="s">
        <v>75</v>
      </c>
      <c r="J1533" s="2" t="s">
        <v>76</v>
      </c>
      <c r="K1533" s="2" t="s">
        <v>77</v>
      </c>
      <c r="L1533" s="2" t="s">
        <v>294</v>
      </c>
      <c r="M1533" s="2" t="s">
        <v>295</v>
      </c>
      <c r="N1533" s="2" t="s">
        <v>813</v>
      </c>
      <c r="O1533" s="2" t="s">
        <v>115</v>
      </c>
      <c r="P1533" s="2" t="str">
        <f>"2170561375                    "</f>
        <v xml:space="preserve">2170561375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4.29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1</v>
      </c>
      <c r="BJ1533" s="2">
        <v>0.2</v>
      </c>
      <c r="BK1533" s="2">
        <v>1</v>
      </c>
      <c r="BL1533" s="2">
        <v>41.73</v>
      </c>
      <c r="BM1533" s="2">
        <v>5.84</v>
      </c>
      <c r="BN1533" s="2">
        <v>47.57</v>
      </c>
      <c r="BO1533" s="2">
        <v>47.57</v>
      </c>
      <c r="BP1533" s="2"/>
      <c r="BQ1533" s="2" t="s">
        <v>116</v>
      </c>
      <c r="BR1533" s="2" t="s">
        <v>123</v>
      </c>
      <c r="BS1533" s="3">
        <v>42836</v>
      </c>
      <c r="BT1533" s="4">
        <v>0.4375</v>
      </c>
      <c r="BU1533" s="2" t="s">
        <v>2034</v>
      </c>
      <c r="BV1533" s="2" t="s">
        <v>111</v>
      </c>
      <c r="BW1533" s="2"/>
      <c r="BX1533" s="2"/>
      <c r="BY1533" s="2">
        <v>1200</v>
      </c>
      <c r="BZ1533" s="2" t="s">
        <v>27</v>
      </c>
      <c r="CA1533" s="2"/>
      <c r="CB1533" s="2"/>
      <c r="CC1533" s="2" t="s">
        <v>295</v>
      </c>
      <c r="CD1533" s="2">
        <v>3610</v>
      </c>
      <c r="CE1533" s="2" t="s">
        <v>144</v>
      </c>
      <c r="CF1533" s="5">
        <v>42837</v>
      </c>
      <c r="CG1533" s="2"/>
      <c r="CH1533" s="2"/>
      <c r="CI1533" s="2">
        <v>1</v>
      </c>
      <c r="CJ1533" s="2">
        <v>1</v>
      </c>
      <c r="CK1533" s="2">
        <v>21</v>
      </c>
      <c r="CL1533" s="2" t="s">
        <v>86</v>
      </c>
      <c r="CM1533" s="2"/>
    </row>
    <row r="1534" spans="1:91">
      <c r="A1534" s="2" t="s">
        <v>71</v>
      </c>
      <c r="B1534" s="2" t="s">
        <v>72</v>
      </c>
      <c r="C1534" s="2" t="s">
        <v>73</v>
      </c>
      <c r="D1534" s="2"/>
      <c r="E1534" s="2" t="str">
        <f>"FES1162542499"</f>
        <v>FES1162542499</v>
      </c>
      <c r="F1534" s="3">
        <v>42835</v>
      </c>
      <c r="G1534" s="2">
        <v>201710</v>
      </c>
      <c r="H1534" s="2" t="s">
        <v>74</v>
      </c>
      <c r="I1534" s="2" t="s">
        <v>75</v>
      </c>
      <c r="J1534" s="2" t="s">
        <v>76</v>
      </c>
      <c r="K1534" s="2" t="s">
        <v>77</v>
      </c>
      <c r="L1534" s="2" t="s">
        <v>91</v>
      </c>
      <c r="M1534" s="2" t="s">
        <v>92</v>
      </c>
      <c r="N1534" s="2" t="s">
        <v>356</v>
      </c>
      <c r="O1534" s="2" t="s">
        <v>115</v>
      </c>
      <c r="P1534" s="2" t="str">
        <f>"2170560561                    "</f>
        <v xml:space="preserve">2170560561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3.35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1</v>
      </c>
      <c r="BI1534" s="2">
        <v>1</v>
      </c>
      <c r="BJ1534" s="2">
        <v>0.2</v>
      </c>
      <c r="BK1534" s="2">
        <v>1</v>
      </c>
      <c r="BL1534" s="2">
        <v>32.6</v>
      </c>
      <c r="BM1534" s="2">
        <v>4.5599999999999996</v>
      </c>
      <c r="BN1534" s="2">
        <v>37.159999999999997</v>
      </c>
      <c r="BO1534" s="2">
        <v>37.159999999999997</v>
      </c>
      <c r="BP1534" s="2"/>
      <c r="BQ1534" s="2" t="s">
        <v>122</v>
      </c>
      <c r="BR1534" s="2" t="s">
        <v>123</v>
      </c>
      <c r="BS1534" s="3">
        <v>42836</v>
      </c>
      <c r="BT1534" s="4">
        <v>0.41666666666666669</v>
      </c>
      <c r="BU1534" s="2" t="s">
        <v>357</v>
      </c>
      <c r="BV1534" s="2" t="s">
        <v>111</v>
      </c>
      <c r="BW1534" s="2"/>
      <c r="BX1534" s="2"/>
      <c r="BY1534" s="2">
        <v>1200</v>
      </c>
      <c r="BZ1534" s="2" t="s">
        <v>27</v>
      </c>
      <c r="CA1534" s="2"/>
      <c r="CB1534" s="2"/>
      <c r="CC1534" s="2" t="s">
        <v>92</v>
      </c>
      <c r="CD1534" s="2">
        <v>1422</v>
      </c>
      <c r="CE1534" s="2" t="s">
        <v>118</v>
      </c>
      <c r="CF1534" s="5">
        <v>42838</v>
      </c>
      <c r="CG1534" s="2"/>
      <c r="CH1534" s="2"/>
      <c r="CI1534" s="2">
        <v>1</v>
      </c>
      <c r="CJ1534" s="2">
        <v>1</v>
      </c>
      <c r="CK1534" s="2">
        <v>22</v>
      </c>
      <c r="CL1534" s="2" t="s">
        <v>86</v>
      </c>
      <c r="CM1534" s="2"/>
    </row>
    <row r="1535" spans="1:91">
      <c r="A1535" s="2" t="s">
        <v>71</v>
      </c>
      <c r="B1535" s="2" t="s">
        <v>72</v>
      </c>
      <c r="C1535" s="2" t="s">
        <v>73</v>
      </c>
      <c r="D1535" s="2"/>
      <c r="E1535" s="2" t="str">
        <f>"FES1162542347"</f>
        <v>FES1162542347</v>
      </c>
      <c r="F1535" s="3">
        <v>42832</v>
      </c>
      <c r="G1535" s="2">
        <v>201710</v>
      </c>
      <c r="H1535" s="2" t="s">
        <v>74</v>
      </c>
      <c r="I1535" s="2" t="s">
        <v>75</v>
      </c>
      <c r="J1535" s="2" t="s">
        <v>76</v>
      </c>
      <c r="K1535" s="2" t="s">
        <v>77</v>
      </c>
      <c r="L1535" s="2" t="s">
        <v>294</v>
      </c>
      <c r="M1535" s="2" t="s">
        <v>295</v>
      </c>
      <c r="N1535" s="2" t="s">
        <v>1015</v>
      </c>
      <c r="O1535" s="2" t="s">
        <v>115</v>
      </c>
      <c r="P1535" s="2" t="str">
        <f>"2170561231                    "</f>
        <v xml:space="preserve">2170561231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6.43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3</v>
      </c>
      <c r="BJ1535" s="2">
        <v>1.8</v>
      </c>
      <c r="BK1535" s="2">
        <v>3</v>
      </c>
      <c r="BL1535" s="2">
        <v>62.59</v>
      </c>
      <c r="BM1535" s="2">
        <v>8.76</v>
      </c>
      <c r="BN1535" s="2">
        <v>71.349999999999994</v>
      </c>
      <c r="BO1535" s="2">
        <v>71.349999999999994</v>
      </c>
      <c r="BP1535" s="2"/>
      <c r="BQ1535" s="2" t="s">
        <v>129</v>
      </c>
      <c r="BR1535" s="2" t="s">
        <v>123</v>
      </c>
      <c r="BS1535" s="3">
        <v>42835</v>
      </c>
      <c r="BT1535" s="4">
        <v>0.4375</v>
      </c>
      <c r="BU1535" s="2" t="s">
        <v>1957</v>
      </c>
      <c r="BV1535" s="2" t="s">
        <v>111</v>
      </c>
      <c r="BW1535" s="2"/>
      <c r="BX1535" s="2"/>
      <c r="BY1535" s="2">
        <v>9230.24</v>
      </c>
      <c r="BZ1535" s="2" t="s">
        <v>27</v>
      </c>
      <c r="CA1535" s="2" t="s">
        <v>159</v>
      </c>
      <c r="CB1535" s="2"/>
      <c r="CC1535" s="2" t="s">
        <v>295</v>
      </c>
      <c r="CD1535" s="2">
        <v>3610</v>
      </c>
      <c r="CE1535" s="2" t="s">
        <v>135</v>
      </c>
      <c r="CF1535" s="5">
        <v>42836</v>
      </c>
      <c r="CG1535" s="2"/>
      <c r="CH1535" s="2"/>
      <c r="CI1535" s="2">
        <v>1</v>
      </c>
      <c r="CJ1535" s="2">
        <v>1</v>
      </c>
      <c r="CK1535" s="2">
        <v>21</v>
      </c>
      <c r="CL1535" s="2" t="s">
        <v>86</v>
      </c>
      <c r="CM1535" s="2"/>
    </row>
    <row r="1536" spans="1:91">
      <c r="A1536" s="2" t="s">
        <v>71</v>
      </c>
      <c r="B1536" s="2" t="s">
        <v>72</v>
      </c>
      <c r="C1536" s="2" t="s">
        <v>73</v>
      </c>
      <c r="D1536" s="2"/>
      <c r="E1536" s="2" t="str">
        <f>"FES1162541517"</f>
        <v>FES1162541517</v>
      </c>
      <c r="F1536" s="3">
        <v>42835</v>
      </c>
      <c r="G1536" s="2">
        <v>201710</v>
      </c>
      <c r="H1536" s="2" t="s">
        <v>74</v>
      </c>
      <c r="I1536" s="2" t="s">
        <v>75</v>
      </c>
      <c r="J1536" s="2" t="s">
        <v>76</v>
      </c>
      <c r="K1536" s="2" t="s">
        <v>77</v>
      </c>
      <c r="L1536" s="2" t="s">
        <v>187</v>
      </c>
      <c r="M1536" s="2" t="s">
        <v>146</v>
      </c>
      <c r="N1536" s="2" t="s">
        <v>2074</v>
      </c>
      <c r="O1536" s="2" t="s">
        <v>115</v>
      </c>
      <c r="P1536" s="2" t="str">
        <f>"2170558476                    "</f>
        <v xml:space="preserve">2170558476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4.29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1</v>
      </c>
      <c r="BJ1536" s="2">
        <v>0.2</v>
      </c>
      <c r="BK1536" s="2">
        <v>1</v>
      </c>
      <c r="BL1536" s="2">
        <v>41.73</v>
      </c>
      <c r="BM1536" s="2">
        <v>5.84</v>
      </c>
      <c r="BN1536" s="2">
        <v>47.57</v>
      </c>
      <c r="BO1536" s="2">
        <v>47.57</v>
      </c>
      <c r="BP1536" s="2"/>
      <c r="BQ1536" s="2" t="s">
        <v>122</v>
      </c>
      <c r="BR1536" s="2" t="s">
        <v>123</v>
      </c>
      <c r="BS1536" s="3">
        <v>42836</v>
      </c>
      <c r="BT1536" s="4">
        <v>0.4375</v>
      </c>
      <c r="BU1536" s="2" t="s">
        <v>1080</v>
      </c>
      <c r="BV1536" s="2" t="s">
        <v>111</v>
      </c>
      <c r="BW1536" s="2"/>
      <c r="BX1536" s="2"/>
      <c r="BY1536" s="2">
        <v>1200</v>
      </c>
      <c r="BZ1536" s="2" t="s">
        <v>27</v>
      </c>
      <c r="CA1536" s="2"/>
      <c r="CB1536" s="2"/>
      <c r="CC1536" s="2" t="s">
        <v>146</v>
      </c>
      <c r="CD1536" s="2">
        <v>186</v>
      </c>
      <c r="CE1536" s="2" t="s">
        <v>144</v>
      </c>
      <c r="CF1536" s="5">
        <v>42838</v>
      </c>
      <c r="CG1536" s="2"/>
      <c r="CH1536" s="2"/>
      <c r="CI1536" s="2">
        <v>0</v>
      </c>
      <c r="CJ1536" s="2">
        <v>0</v>
      </c>
      <c r="CK1536" s="2">
        <v>21</v>
      </c>
      <c r="CL1536" s="2" t="s">
        <v>86</v>
      </c>
      <c r="CM1536" s="2"/>
    </row>
    <row r="1537" spans="1:91">
      <c r="A1537" s="2" t="s">
        <v>71</v>
      </c>
      <c r="B1537" s="2" t="s">
        <v>72</v>
      </c>
      <c r="C1537" s="2" t="s">
        <v>73</v>
      </c>
      <c r="D1537" s="2"/>
      <c r="E1537" s="2" t="str">
        <f>"FES1162542490"</f>
        <v>FES1162542490</v>
      </c>
      <c r="F1537" s="3">
        <v>42835</v>
      </c>
      <c r="G1537" s="2">
        <v>201710</v>
      </c>
      <c r="H1537" s="2" t="s">
        <v>74</v>
      </c>
      <c r="I1537" s="2" t="s">
        <v>75</v>
      </c>
      <c r="J1537" s="2" t="s">
        <v>76</v>
      </c>
      <c r="K1537" s="2" t="s">
        <v>77</v>
      </c>
      <c r="L1537" s="2" t="s">
        <v>74</v>
      </c>
      <c r="M1537" s="2" t="s">
        <v>75</v>
      </c>
      <c r="N1537" s="2" t="s">
        <v>2075</v>
      </c>
      <c r="O1537" s="2" t="s">
        <v>115</v>
      </c>
      <c r="P1537" s="2" t="str">
        <f>"2170559418                    "</f>
        <v xml:space="preserve">2170559418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3.35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1.2</v>
      </c>
      <c r="BJ1537" s="2">
        <v>0.2</v>
      </c>
      <c r="BK1537" s="2">
        <v>2</v>
      </c>
      <c r="BL1537" s="2">
        <v>32.6</v>
      </c>
      <c r="BM1537" s="2">
        <v>4.5599999999999996</v>
      </c>
      <c r="BN1537" s="2">
        <v>37.159999999999997</v>
      </c>
      <c r="BO1537" s="2">
        <v>37.159999999999997</v>
      </c>
      <c r="BP1537" s="2"/>
      <c r="BQ1537" s="2" t="s">
        <v>2076</v>
      </c>
      <c r="BR1537" s="2" t="s">
        <v>123</v>
      </c>
      <c r="BS1537" s="3">
        <v>42836</v>
      </c>
      <c r="BT1537" s="4">
        <v>0.4375</v>
      </c>
      <c r="BU1537" s="2" t="s">
        <v>1985</v>
      </c>
      <c r="BV1537" s="2" t="s">
        <v>111</v>
      </c>
      <c r="BW1537" s="2"/>
      <c r="BX1537" s="2"/>
      <c r="BY1537" s="2">
        <v>1200</v>
      </c>
      <c r="BZ1537" s="2" t="s">
        <v>27</v>
      </c>
      <c r="CA1537" s="2"/>
      <c r="CB1537" s="2"/>
      <c r="CC1537" s="2" t="s">
        <v>75</v>
      </c>
      <c r="CD1537" s="2">
        <v>1601</v>
      </c>
      <c r="CE1537" s="2" t="s">
        <v>118</v>
      </c>
      <c r="CF1537" s="5">
        <v>42838</v>
      </c>
      <c r="CG1537" s="2"/>
      <c r="CH1537" s="2"/>
      <c r="CI1537" s="2">
        <v>1</v>
      </c>
      <c r="CJ1537" s="2">
        <v>1</v>
      </c>
      <c r="CK1537" s="2">
        <v>22</v>
      </c>
      <c r="CL1537" s="2" t="s">
        <v>86</v>
      </c>
      <c r="CM1537" s="2"/>
    </row>
    <row r="1538" spans="1:91">
      <c r="A1538" s="2" t="s">
        <v>71</v>
      </c>
      <c r="B1538" s="2" t="s">
        <v>72</v>
      </c>
      <c r="C1538" s="2" t="s">
        <v>73</v>
      </c>
      <c r="D1538" s="2"/>
      <c r="E1538" s="2" t="str">
        <f>"FES1162542472"</f>
        <v>FES1162542472</v>
      </c>
      <c r="F1538" s="3">
        <v>42835</v>
      </c>
      <c r="G1538" s="2">
        <v>201710</v>
      </c>
      <c r="H1538" s="2" t="s">
        <v>74</v>
      </c>
      <c r="I1538" s="2" t="s">
        <v>75</v>
      </c>
      <c r="J1538" s="2" t="s">
        <v>76</v>
      </c>
      <c r="K1538" s="2" t="s">
        <v>77</v>
      </c>
      <c r="L1538" s="2" t="s">
        <v>99</v>
      </c>
      <c r="M1538" s="2" t="s">
        <v>100</v>
      </c>
      <c r="N1538" s="2" t="s">
        <v>108</v>
      </c>
      <c r="O1538" s="2" t="s">
        <v>115</v>
      </c>
      <c r="P1538" s="2" t="str">
        <f>"2170561370                    "</f>
        <v xml:space="preserve">2170561370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4.29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1</v>
      </c>
      <c r="BJ1538" s="2">
        <v>0.2</v>
      </c>
      <c r="BK1538" s="2">
        <v>1</v>
      </c>
      <c r="BL1538" s="2">
        <v>41.73</v>
      </c>
      <c r="BM1538" s="2">
        <v>5.84</v>
      </c>
      <c r="BN1538" s="2">
        <v>47.57</v>
      </c>
      <c r="BO1538" s="2">
        <v>47.57</v>
      </c>
      <c r="BP1538" s="2"/>
      <c r="BQ1538" s="2" t="s">
        <v>109</v>
      </c>
      <c r="BR1538" s="2" t="s">
        <v>123</v>
      </c>
      <c r="BS1538" s="3">
        <v>42836</v>
      </c>
      <c r="BT1538" s="4">
        <v>0.375</v>
      </c>
      <c r="BU1538" s="2" t="s">
        <v>110</v>
      </c>
      <c r="BV1538" s="2" t="s">
        <v>111</v>
      </c>
      <c r="BW1538" s="2"/>
      <c r="BX1538" s="2"/>
      <c r="BY1538" s="2">
        <v>1200</v>
      </c>
      <c r="BZ1538" s="2" t="s">
        <v>27</v>
      </c>
      <c r="CA1538" s="2" t="s">
        <v>106</v>
      </c>
      <c r="CB1538" s="2"/>
      <c r="CC1538" s="2" t="s">
        <v>100</v>
      </c>
      <c r="CD1538" s="2">
        <v>6001</v>
      </c>
      <c r="CE1538" s="2" t="s">
        <v>144</v>
      </c>
      <c r="CF1538" s="5">
        <v>42836</v>
      </c>
      <c r="CG1538" s="2"/>
      <c r="CH1538" s="2"/>
      <c r="CI1538" s="2">
        <v>1</v>
      </c>
      <c r="CJ1538" s="2">
        <v>1</v>
      </c>
      <c r="CK1538" s="2">
        <v>21</v>
      </c>
      <c r="CL1538" s="2" t="s">
        <v>86</v>
      </c>
      <c r="CM1538" s="2"/>
    </row>
    <row r="1539" spans="1:91">
      <c r="A1539" s="2" t="s">
        <v>71</v>
      </c>
      <c r="B1539" s="2" t="s">
        <v>72</v>
      </c>
      <c r="C1539" s="2" t="s">
        <v>73</v>
      </c>
      <c r="D1539" s="2"/>
      <c r="E1539" s="2" t="str">
        <f>"FES1162542519"</f>
        <v>FES1162542519</v>
      </c>
      <c r="F1539" s="3">
        <v>42835</v>
      </c>
      <c r="G1539" s="2">
        <v>201710</v>
      </c>
      <c r="H1539" s="2" t="s">
        <v>74</v>
      </c>
      <c r="I1539" s="2" t="s">
        <v>75</v>
      </c>
      <c r="J1539" s="2" t="s">
        <v>76</v>
      </c>
      <c r="K1539" s="2" t="s">
        <v>77</v>
      </c>
      <c r="L1539" s="2" t="s">
        <v>99</v>
      </c>
      <c r="M1539" s="2" t="s">
        <v>100</v>
      </c>
      <c r="N1539" s="2" t="s">
        <v>671</v>
      </c>
      <c r="O1539" s="2" t="s">
        <v>115</v>
      </c>
      <c r="P1539" s="2" t="str">
        <f>"2170561387                    "</f>
        <v xml:space="preserve">2170561387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4.29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1</v>
      </c>
      <c r="BJ1539" s="2">
        <v>0.2</v>
      </c>
      <c r="BK1539" s="2">
        <v>1</v>
      </c>
      <c r="BL1539" s="2">
        <v>41.73</v>
      </c>
      <c r="BM1539" s="2">
        <v>5.84</v>
      </c>
      <c r="BN1539" s="2">
        <v>47.57</v>
      </c>
      <c r="BO1539" s="2">
        <v>47.57</v>
      </c>
      <c r="BP1539" s="2"/>
      <c r="BQ1539" s="2" t="s">
        <v>672</v>
      </c>
      <c r="BR1539" s="2" t="s">
        <v>123</v>
      </c>
      <c r="BS1539" s="3">
        <v>42836</v>
      </c>
      <c r="BT1539" s="4">
        <v>0.33402777777777781</v>
      </c>
      <c r="BU1539" s="2" t="s">
        <v>672</v>
      </c>
      <c r="BV1539" s="2" t="s">
        <v>111</v>
      </c>
      <c r="BW1539" s="2"/>
      <c r="BX1539" s="2"/>
      <c r="BY1539" s="2">
        <v>1200</v>
      </c>
      <c r="BZ1539" s="2" t="s">
        <v>27</v>
      </c>
      <c r="CA1539" s="2" t="s">
        <v>106</v>
      </c>
      <c r="CB1539" s="2"/>
      <c r="CC1539" s="2" t="s">
        <v>100</v>
      </c>
      <c r="CD1539" s="2">
        <v>6001</v>
      </c>
      <c r="CE1539" s="2" t="s">
        <v>144</v>
      </c>
      <c r="CF1539" s="5">
        <v>42836</v>
      </c>
      <c r="CG1539" s="2"/>
      <c r="CH1539" s="2"/>
      <c r="CI1539" s="2">
        <v>1</v>
      </c>
      <c r="CJ1539" s="2">
        <v>1</v>
      </c>
      <c r="CK1539" s="2">
        <v>21</v>
      </c>
      <c r="CL1539" s="2" t="s">
        <v>86</v>
      </c>
      <c r="CM1539" s="2"/>
    </row>
    <row r="1540" spans="1:91">
      <c r="A1540" s="2" t="s">
        <v>71</v>
      </c>
      <c r="B1540" s="2" t="s">
        <v>72</v>
      </c>
      <c r="C1540" s="2" t="s">
        <v>73</v>
      </c>
      <c r="D1540" s="2"/>
      <c r="E1540" s="2" t="str">
        <f>"FES1162542391"</f>
        <v>FES1162542391</v>
      </c>
      <c r="F1540" s="3">
        <v>42832</v>
      </c>
      <c r="G1540" s="2">
        <v>201710</v>
      </c>
      <c r="H1540" s="2" t="s">
        <v>74</v>
      </c>
      <c r="I1540" s="2" t="s">
        <v>75</v>
      </c>
      <c r="J1540" s="2" t="s">
        <v>76</v>
      </c>
      <c r="K1540" s="2" t="s">
        <v>77</v>
      </c>
      <c r="L1540" s="2" t="s">
        <v>99</v>
      </c>
      <c r="M1540" s="2" t="s">
        <v>100</v>
      </c>
      <c r="N1540" s="2" t="s">
        <v>583</v>
      </c>
      <c r="O1540" s="2" t="s">
        <v>115</v>
      </c>
      <c r="P1540" s="2" t="str">
        <f>"2170561280                    "</f>
        <v xml:space="preserve">2170561280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8.57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4</v>
      </c>
      <c r="BJ1540" s="2">
        <v>3.2</v>
      </c>
      <c r="BK1540" s="2">
        <v>4</v>
      </c>
      <c r="BL1540" s="2">
        <v>83.45</v>
      </c>
      <c r="BM1540" s="2">
        <v>11.68</v>
      </c>
      <c r="BN1540" s="2">
        <v>95.13</v>
      </c>
      <c r="BO1540" s="2">
        <v>95.13</v>
      </c>
      <c r="BP1540" s="2"/>
      <c r="BQ1540" s="2" t="s">
        <v>584</v>
      </c>
      <c r="BR1540" s="2" t="s">
        <v>123</v>
      </c>
      <c r="BS1540" s="3">
        <v>42835</v>
      </c>
      <c r="BT1540" s="4">
        <v>0.30833333333333335</v>
      </c>
      <c r="BU1540" s="2" t="s">
        <v>585</v>
      </c>
      <c r="BV1540" s="2" t="s">
        <v>111</v>
      </c>
      <c r="BW1540" s="2"/>
      <c r="BX1540" s="2"/>
      <c r="BY1540" s="2">
        <v>15993.55</v>
      </c>
      <c r="BZ1540" s="2" t="s">
        <v>27</v>
      </c>
      <c r="CA1540" s="2" t="s">
        <v>154</v>
      </c>
      <c r="CB1540" s="2"/>
      <c r="CC1540" s="2" t="s">
        <v>100</v>
      </c>
      <c r="CD1540" s="2">
        <v>6001</v>
      </c>
      <c r="CE1540" s="2" t="s">
        <v>135</v>
      </c>
      <c r="CF1540" s="5">
        <v>42835</v>
      </c>
      <c r="CG1540" s="2"/>
      <c r="CH1540" s="2"/>
      <c r="CI1540" s="2">
        <v>1</v>
      </c>
      <c r="CJ1540" s="2">
        <v>1</v>
      </c>
      <c r="CK1540" s="2">
        <v>21</v>
      </c>
      <c r="CL1540" s="2" t="s">
        <v>86</v>
      </c>
      <c r="CM1540" s="2"/>
    </row>
    <row r="1541" spans="1:91">
      <c r="A1541" s="2" t="s">
        <v>71</v>
      </c>
      <c r="B1541" s="2" t="s">
        <v>72</v>
      </c>
      <c r="C1541" s="2" t="s">
        <v>73</v>
      </c>
      <c r="D1541" s="2"/>
      <c r="E1541" s="2" t="str">
        <f>"FES1162542487"</f>
        <v>FES1162542487</v>
      </c>
      <c r="F1541" s="3">
        <v>42835</v>
      </c>
      <c r="G1541" s="2">
        <v>201710</v>
      </c>
      <c r="H1541" s="2" t="s">
        <v>74</v>
      </c>
      <c r="I1541" s="2" t="s">
        <v>75</v>
      </c>
      <c r="J1541" s="2" t="s">
        <v>76</v>
      </c>
      <c r="K1541" s="2" t="s">
        <v>77</v>
      </c>
      <c r="L1541" s="2" t="s">
        <v>99</v>
      </c>
      <c r="M1541" s="2" t="s">
        <v>100</v>
      </c>
      <c r="N1541" s="2" t="s">
        <v>700</v>
      </c>
      <c r="O1541" s="2" t="s">
        <v>115</v>
      </c>
      <c r="P1541" s="2" t="str">
        <f>"2170559302                    "</f>
        <v xml:space="preserve">2170559302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4.29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1</v>
      </c>
      <c r="BJ1541" s="2">
        <v>0.2</v>
      </c>
      <c r="BK1541" s="2">
        <v>1</v>
      </c>
      <c r="BL1541" s="2">
        <v>41.73</v>
      </c>
      <c r="BM1541" s="2">
        <v>5.84</v>
      </c>
      <c r="BN1541" s="2">
        <v>47.57</v>
      </c>
      <c r="BO1541" s="2">
        <v>47.57</v>
      </c>
      <c r="BP1541" s="2"/>
      <c r="BQ1541" s="2" t="s">
        <v>701</v>
      </c>
      <c r="BR1541" s="2" t="s">
        <v>123</v>
      </c>
      <c r="BS1541" s="3">
        <v>42836</v>
      </c>
      <c r="BT1541" s="4">
        <v>0.40277777777777773</v>
      </c>
      <c r="BU1541" s="2" t="s">
        <v>702</v>
      </c>
      <c r="BV1541" s="2" t="s">
        <v>111</v>
      </c>
      <c r="BW1541" s="2"/>
      <c r="BX1541" s="2"/>
      <c r="BY1541" s="2">
        <v>1200</v>
      </c>
      <c r="BZ1541" s="2" t="s">
        <v>27</v>
      </c>
      <c r="CA1541" s="2" t="s">
        <v>106</v>
      </c>
      <c r="CB1541" s="2"/>
      <c r="CC1541" s="2" t="s">
        <v>100</v>
      </c>
      <c r="CD1541" s="2">
        <v>6001</v>
      </c>
      <c r="CE1541" s="2" t="s">
        <v>144</v>
      </c>
      <c r="CF1541" s="5">
        <v>42836</v>
      </c>
      <c r="CG1541" s="2"/>
      <c r="CH1541" s="2"/>
      <c r="CI1541" s="2">
        <v>1</v>
      </c>
      <c r="CJ1541" s="2">
        <v>1</v>
      </c>
      <c r="CK1541" s="2">
        <v>21</v>
      </c>
      <c r="CL1541" s="2" t="s">
        <v>86</v>
      </c>
      <c r="CM1541" s="2"/>
    </row>
    <row r="1542" spans="1:91">
      <c r="A1542" s="2" t="s">
        <v>71</v>
      </c>
      <c r="B1542" s="2" t="s">
        <v>72</v>
      </c>
      <c r="C1542" s="2" t="s">
        <v>73</v>
      </c>
      <c r="D1542" s="2"/>
      <c r="E1542" s="2" t="str">
        <f>"FES1162542294"</f>
        <v>FES1162542294</v>
      </c>
      <c r="F1542" s="3">
        <v>42832</v>
      </c>
      <c r="G1542" s="2">
        <v>201710</v>
      </c>
      <c r="H1542" s="2" t="s">
        <v>74</v>
      </c>
      <c r="I1542" s="2" t="s">
        <v>75</v>
      </c>
      <c r="J1542" s="2" t="s">
        <v>76</v>
      </c>
      <c r="K1542" s="2" t="s">
        <v>77</v>
      </c>
      <c r="L1542" s="2" t="s">
        <v>187</v>
      </c>
      <c r="M1542" s="2" t="s">
        <v>146</v>
      </c>
      <c r="N1542" s="2" t="s">
        <v>1989</v>
      </c>
      <c r="O1542" s="2" t="s">
        <v>115</v>
      </c>
      <c r="P1542" s="2" t="str">
        <f>"2170560577                    "</f>
        <v xml:space="preserve">2170560577  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4.29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1</v>
      </c>
      <c r="BJ1542" s="2">
        <v>0.2</v>
      </c>
      <c r="BK1542" s="2">
        <v>1</v>
      </c>
      <c r="BL1542" s="2">
        <v>41.73</v>
      </c>
      <c r="BM1542" s="2">
        <v>5.84</v>
      </c>
      <c r="BN1542" s="2">
        <v>47.57</v>
      </c>
      <c r="BO1542" s="2">
        <v>47.57</v>
      </c>
      <c r="BP1542" s="2"/>
      <c r="BQ1542" s="2" t="s">
        <v>1990</v>
      </c>
      <c r="BR1542" s="2" t="s">
        <v>123</v>
      </c>
      <c r="BS1542" s="3">
        <v>42835</v>
      </c>
      <c r="BT1542" s="4">
        <v>0.3611111111111111</v>
      </c>
      <c r="BU1542" s="2" t="s">
        <v>986</v>
      </c>
      <c r="BV1542" s="2" t="s">
        <v>111</v>
      </c>
      <c r="BW1542" s="2"/>
      <c r="BX1542" s="2"/>
      <c r="BY1542" s="2">
        <v>1200</v>
      </c>
      <c r="BZ1542" s="2" t="s">
        <v>27</v>
      </c>
      <c r="CA1542" s="2"/>
      <c r="CB1542" s="2"/>
      <c r="CC1542" s="2" t="s">
        <v>146</v>
      </c>
      <c r="CD1542" s="2">
        <v>184</v>
      </c>
      <c r="CE1542" s="2" t="s">
        <v>144</v>
      </c>
      <c r="CF1542" s="5">
        <v>42837</v>
      </c>
      <c r="CG1542" s="2"/>
      <c r="CH1542" s="2"/>
      <c r="CI1542" s="2">
        <v>0</v>
      </c>
      <c r="CJ1542" s="2">
        <v>0</v>
      </c>
      <c r="CK1542" s="2">
        <v>21</v>
      </c>
      <c r="CL1542" s="2" t="s">
        <v>86</v>
      </c>
      <c r="CM1542" s="2"/>
    </row>
    <row r="1543" spans="1:91">
      <c r="A1543" s="2" t="s">
        <v>71</v>
      </c>
      <c r="B1543" s="2" t="s">
        <v>72</v>
      </c>
      <c r="C1543" s="2" t="s">
        <v>73</v>
      </c>
      <c r="D1543" s="2"/>
      <c r="E1543" s="2" t="str">
        <f>"FES1162542554"</f>
        <v>FES1162542554</v>
      </c>
      <c r="F1543" s="3">
        <v>42835</v>
      </c>
      <c r="G1543" s="2">
        <v>201710</v>
      </c>
      <c r="H1543" s="2" t="s">
        <v>74</v>
      </c>
      <c r="I1543" s="2" t="s">
        <v>75</v>
      </c>
      <c r="J1543" s="2" t="s">
        <v>76</v>
      </c>
      <c r="K1543" s="2" t="s">
        <v>77</v>
      </c>
      <c r="L1543" s="2" t="s">
        <v>160</v>
      </c>
      <c r="M1543" s="2" t="s">
        <v>161</v>
      </c>
      <c r="N1543" s="2" t="s">
        <v>1489</v>
      </c>
      <c r="O1543" s="2" t="s">
        <v>115</v>
      </c>
      <c r="P1543" s="2" t="str">
        <f>"2170561418                    "</f>
        <v xml:space="preserve">2170561418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4.29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1</v>
      </c>
      <c r="BJ1543" s="2">
        <v>0.2</v>
      </c>
      <c r="BK1543" s="2">
        <v>1</v>
      </c>
      <c r="BL1543" s="2">
        <v>41.73</v>
      </c>
      <c r="BM1543" s="2">
        <v>5.84</v>
      </c>
      <c r="BN1543" s="2">
        <v>47.57</v>
      </c>
      <c r="BO1543" s="2">
        <v>47.57</v>
      </c>
      <c r="BP1543" s="2"/>
      <c r="BQ1543" s="2" t="s">
        <v>129</v>
      </c>
      <c r="BR1543" s="2" t="s">
        <v>123</v>
      </c>
      <c r="BS1543" s="3">
        <v>42836</v>
      </c>
      <c r="BT1543" s="4">
        <v>0.41666666666666669</v>
      </c>
      <c r="BU1543" s="2" t="s">
        <v>2077</v>
      </c>
      <c r="BV1543" s="2" t="s">
        <v>111</v>
      </c>
      <c r="BW1543" s="2"/>
      <c r="BX1543" s="2"/>
      <c r="BY1543" s="2">
        <v>1200</v>
      </c>
      <c r="BZ1543" s="2" t="s">
        <v>27</v>
      </c>
      <c r="CA1543" s="2"/>
      <c r="CB1543" s="2"/>
      <c r="CC1543" s="2" t="s">
        <v>161</v>
      </c>
      <c r="CD1543" s="2">
        <v>5201</v>
      </c>
      <c r="CE1543" s="2" t="s">
        <v>144</v>
      </c>
      <c r="CF1543" s="5">
        <v>42838</v>
      </c>
      <c r="CG1543" s="2"/>
      <c r="CH1543" s="2"/>
      <c r="CI1543" s="2">
        <v>1</v>
      </c>
      <c r="CJ1543" s="2">
        <v>1</v>
      </c>
      <c r="CK1543" s="2">
        <v>21</v>
      </c>
      <c r="CL1543" s="2" t="s">
        <v>86</v>
      </c>
      <c r="CM1543" s="2"/>
    </row>
    <row r="1544" spans="1:91">
      <c r="A1544" s="2" t="s">
        <v>71</v>
      </c>
      <c r="B1544" s="2" t="s">
        <v>72</v>
      </c>
      <c r="C1544" s="2" t="s">
        <v>73</v>
      </c>
      <c r="D1544" s="2"/>
      <c r="E1544" s="2" t="str">
        <f>"FES1162542271"</f>
        <v>FES1162542271</v>
      </c>
      <c r="F1544" s="3">
        <v>42832</v>
      </c>
      <c r="G1544" s="2">
        <v>201710</v>
      </c>
      <c r="H1544" s="2" t="s">
        <v>74</v>
      </c>
      <c r="I1544" s="2" t="s">
        <v>75</v>
      </c>
      <c r="J1544" s="2" t="s">
        <v>76</v>
      </c>
      <c r="K1544" s="2" t="s">
        <v>77</v>
      </c>
      <c r="L1544" s="2" t="s">
        <v>187</v>
      </c>
      <c r="M1544" s="2" t="s">
        <v>146</v>
      </c>
      <c r="N1544" s="2" t="s">
        <v>427</v>
      </c>
      <c r="O1544" s="2" t="s">
        <v>115</v>
      </c>
      <c r="P1544" s="2" t="str">
        <f>"2170557119                    "</f>
        <v xml:space="preserve">2170557119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4.29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1</v>
      </c>
      <c r="BI1544" s="2">
        <v>1</v>
      </c>
      <c r="BJ1544" s="2">
        <v>0.2</v>
      </c>
      <c r="BK1544" s="2">
        <v>1</v>
      </c>
      <c r="BL1544" s="2">
        <v>41.73</v>
      </c>
      <c r="BM1544" s="2">
        <v>5.84</v>
      </c>
      <c r="BN1544" s="2">
        <v>47.57</v>
      </c>
      <c r="BO1544" s="2">
        <v>47.57</v>
      </c>
      <c r="BP1544" s="2"/>
      <c r="BQ1544" s="2" t="s">
        <v>428</v>
      </c>
      <c r="BR1544" s="2" t="s">
        <v>123</v>
      </c>
      <c r="BS1544" s="3">
        <v>42835</v>
      </c>
      <c r="BT1544" s="4">
        <v>0.3263888888888889</v>
      </c>
      <c r="BU1544" s="2" t="s">
        <v>2078</v>
      </c>
      <c r="BV1544" s="2" t="s">
        <v>111</v>
      </c>
      <c r="BW1544" s="2"/>
      <c r="BX1544" s="2"/>
      <c r="BY1544" s="2">
        <v>1200</v>
      </c>
      <c r="BZ1544" s="2" t="s">
        <v>27</v>
      </c>
      <c r="CA1544" s="2"/>
      <c r="CB1544" s="2"/>
      <c r="CC1544" s="2" t="s">
        <v>146</v>
      </c>
      <c r="CD1544" s="2">
        <v>184</v>
      </c>
      <c r="CE1544" s="2" t="s">
        <v>144</v>
      </c>
      <c r="CF1544" s="5">
        <v>42837</v>
      </c>
      <c r="CG1544" s="2"/>
      <c r="CH1544" s="2"/>
      <c r="CI1544" s="2">
        <v>0</v>
      </c>
      <c r="CJ1544" s="2">
        <v>0</v>
      </c>
      <c r="CK1544" s="2">
        <v>21</v>
      </c>
      <c r="CL1544" s="2" t="s">
        <v>86</v>
      </c>
      <c r="CM1544" s="2"/>
    </row>
    <row r="1545" spans="1:91">
      <c r="A1545" s="2" t="s">
        <v>71</v>
      </c>
      <c r="B1545" s="2" t="s">
        <v>72</v>
      </c>
      <c r="C1545" s="2" t="s">
        <v>73</v>
      </c>
      <c r="D1545" s="2"/>
      <c r="E1545" s="2" t="str">
        <f>"FES1162542483"</f>
        <v>FES1162542483</v>
      </c>
      <c r="F1545" s="3">
        <v>42835</v>
      </c>
      <c r="G1545" s="2">
        <v>201710</v>
      </c>
      <c r="H1545" s="2" t="s">
        <v>74</v>
      </c>
      <c r="I1545" s="2" t="s">
        <v>75</v>
      </c>
      <c r="J1545" s="2" t="s">
        <v>76</v>
      </c>
      <c r="K1545" s="2" t="s">
        <v>77</v>
      </c>
      <c r="L1545" s="2" t="s">
        <v>99</v>
      </c>
      <c r="M1545" s="2" t="s">
        <v>100</v>
      </c>
      <c r="N1545" s="2" t="s">
        <v>583</v>
      </c>
      <c r="O1545" s="2" t="s">
        <v>115</v>
      </c>
      <c r="P1545" s="2" t="str">
        <f>"2170558777                    "</f>
        <v xml:space="preserve">2170558777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4.29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1</v>
      </c>
      <c r="BJ1545" s="2">
        <v>0.2</v>
      </c>
      <c r="BK1545" s="2">
        <v>1</v>
      </c>
      <c r="BL1545" s="2">
        <v>41.73</v>
      </c>
      <c r="BM1545" s="2">
        <v>5.84</v>
      </c>
      <c r="BN1545" s="2">
        <v>47.57</v>
      </c>
      <c r="BO1545" s="2">
        <v>47.57</v>
      </c>
      <c r="BP1545" s="2"/>
      <c r="BQ1545" s="2" t="s">
        <v>584</v>
      </c>
      <c r="BR1545" s="2" t="s">
        <v>123</v>
      </c>
      <c r="BS1545" s="3">
        <v>42836</v>
      </c>
      <c r="BT1545" s="4">
        <v>0.30416666666666664</v>
      </c>
      <c r="BU1545" s="2" t="s">
        <v>585</v>
      </c>
      <c r="BV1545" s="2" t="s">
        <v>111</v>
      </c>
      <c r="BW1545" s="2"/>
      <c r="BX1545" s="2"/>
      <c r="BY1545" s="2">
        <v>1200</v>
      </c>
      <c r="BZ1545" s="2" t="s">
        <v>27</v>
      </c>
      <c r="CA1545" s="2" t="s">
        <v>154</v>
      </c>
      <c r="CB1545" s="2"/>
      <c r="CC1545" s="2" t="s">
        <v>100</v>
      </c>
      <c r="CD1545" s="2">
        <v>6001</v>
      </c>
      <c r="CE1545" s="2" t="s">
        <v>144</v>
      </c>
      <c r="CF1545" s="5">
        <v>42836</v>
      </c>
      <c r="CG1545" s="2"/>
      <c r="CH1545" s="2"/>
      <c r="CI1545" s="2">
        <v>1</v>
      </c>
      <c r="CJ1545" s="2">
        <v>1</v>
      </c>
      <c r="CK1545" s="2">
        <v>21</v>
      </c>
      <c r="CL1545" s="2" t="s">
        <v>86</v>
      </c>
      <c r="CM1545" s="2"/>
    </row>
    <row r="1546" spans="1:91">
      <c r="A1546" s="2" t="s">
        <v>71</v>
      </c>
      <c r="B1546" s="2" t="s">
        <v>72</v>
      </c>
      <c r="C1546" s="2" t="s">
        <v>73</v>
      </c>
      <c r="D1546" s="2"/>
      <c r="E1546" s="2" t="str">
        <f>"FES1162542373"</f>
        <v>FES1162542373</v>
      </c>
      <c r="F1546" s="3">
        <v>42832</v>
      </c>
      <c r="G1546" s="2">
        <v>201710</v>
      </c>
      <c r="H1546" s="2" t="s">
        <v>74</v>
      </c>
      <c r="I1546" s="2" t="s">
        <v>75</v>
      </c>
      <c r="J1546" s="2" t="s">
        <v>76</v>
      </c>
      <c r="K1546" s="2" t="s">
        <v>77</v>
      </c>
      <c r="L1546" s="2" t="s">
        <v>396</v>
      </c>
      <c r="M1546" s="2" t="s">
        <v>397</v>
      </c>
      <c r="N1546" s="2" t="s">
        <v>398</v>
      </c>
      <c r="O1546" s="2" t="s">
        <v>115</v>
      </c>
      <c r="P1546" s="2" t="str">
        <f>"2170561259                    "</f>
        <v xml:space="preserve">2170561259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4.29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1</v>
      </c>
      <c r="BJ1546" s="2">
        <v>0.2</v>
      </c>
      <c r="BK1546" s="2">
        <v>1</v>
      </c>
      <c r="BL1546" s="2">
        <v>41.73</v>
      </c>
      <c r="BM1546" s="2">
        <v>5.84</v>
      </c>
      <c r="BN1546" s="2">
        <v>47.57</v>
      </c>
      <c r="BO1546" s="2">
        <v>47.57</v>
      </c>
      <c r="BP1546" s="2"/>
      <c r="BQ1546" s="2" t="s">
        <v>399</v>
      </c>
      <c r="BR1546" s="2" t="s">
        <v>123</v>
      </c>
      <c r="BS1546" s="3">
        <v>42835</v>
      </c>
      <c r="BT1546" s="4">
        <v>0.4375</v>
      </c>
      <c r="BU1546" s="2" t="s">
        <v>469</v>
      </c>
      <c r="BV1546" s="2" t="s">
        <v>111</v>
      </c>
      <c r="BW1546" s="2"/>
      <c r="BX1546" s="2"/>
      <c r="BY1546" s="2">
        <v>1200</v>
      </c>
      <c r="BZ1546" s="2" t="s">
        <v>27</v>
      </c>
      <c r="CA1546" s="2"/>
      <c r="CB1546" s="2"/>
      <c r="CC1546" s="2" t="s">
        <v>397</v>
      </c>
      <c r="CD1546" s="2">
        <v>4300</v>
      </c>
      <c r="CE1546" s="2" t="s">
        <v>144</v>
      </c>
      <c r="CF1546" s="5">
        <v>42836</v>
      </c>
      <c r="CG1546" s="2"/>
      <c r="CH1546" s="2"/>
      <c r="CI1546" s="2">
        <v>1</v>
      </c>
      <c r="CJ1546" s="2">
        <v>1</v>
      </c>
      <c r="CK1546" s="2">
        <v>21</v>
      </c>
      <c r="CL1546" s="2" t="s">
        <v>86</v>
      </c>
      <c r="CM1546" s="2"/>
    </row>
    <row r="1547" spans="1:91">
      <c r="A1547" s="2" t="s">
        <v>71</v>
      </c>
      <c r="B1547" s="2" t="s">
        <v>72</v>
      </c>
      <c r="C1547" s="2" t="s">
        <v>73</v>
      </c>
      <c r="D1547" s="2"/>
      <c r="E1547" s="2" t="str">
        <f>"FES1162542474"</f>
        <v>FES1162542474</v>
      </c>
      <c r="F1547" s="3">
        <v>42835</v>
      </c>
      <c r="G1547" s="2">
        <v>201710</v>
      </c>
      <c r="H1547" s="2" t="s">
        <v>74</v>
      </c>
      <c r="I1547" s="2" t="s">
        <v>75</v>
      </c>
      <c r="J1547" s="2" t="s">
        <v>76</v>
      </c>
      <c r="K1547" s="2" t="s">
        <v>77</v>
      </c>
      <c r="L1547" s="2" t="s">
        <v>99</v>
      </c>
      <c r="M1547" s="2" t="s">
        <v>100</v>
      </c>
      <c r="N1547" s="2" t="s">
        <v>108</v>
      </c>
      <c r="O1547" s="2" t="s">
        <v>115</v>
      </c>
      <c r="P1547" s="2" t="str">
        <f>"2170561372                    "</f>
        <v xml:space="preserve">2170561372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4.29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1</v>
      </c>
      <c r="BJ1547" s="2">
        <v>0.2</v>
      </c>
      <c r="BK1547" s="2">
        <v>1</v>
      </c>
      <c r="BL1547" s="2">
        <v>41.73</v>
      </c>
      <c r="BM1547" s="2">
        <v>5.84</v>
      </c>
      <c r="BN1547" s="2">
        <v>47.57</v>
      </c>
      <c r="BO1547" s="2">
        <v>47.57</v>
      </c>
      <c r="BP1547" s="2"/>
      <c r="BQ1547" s="2" t="s">
        <v>109</v>
      </c>
      <c r="BR1547" s="2" t="s">
        <v>123</v>
      </c>
      <c r="BS1547" s="3">
        <v>42836</v>
      </c>
      <c r="BT1547" s="4">
        <v>0.375</v>
      </c>
      <c r="BU1547" s="2" t="s">
        <v>110</v>
      </c>
      <c r="BV1547" s="2" t="s">
        <v>111</v>
      </c>
      <c r="BW1547" s="2"/>
      <c r="BX1547" s="2"/>
      <c r="BY1547" s="2">
        <v>1200</v>
      </c>
      <c r="BZ1547" s="2" t="s">
        <v>27</v>
      </c>
      <c r="CA1547" s="2"/>
      <c r="CB1547" s="2"/>
      <c r="CC1547" s="2" t="s">
        <v>100</v>
      </c>
      <c r="CD1547" s="2">
        <v>6001</v>
      </c>
      <c r="CE1547" s="2" t="s">
        <v>144</v>
      </c>
      <c r="CF1547" s="5">
        <v>42836</v>
      </c>
      <c r="CG1547" s="2"/>
      <c r="CH1547" s="2"/>
      <c r="CI1547" s="2">
        <v>1</v>
      </c>
      <c r="CJ1547" s="2">
        <v>1</v>
      </c>
      <c r="CK1547" s="2">
        <v>21</v>
      </c>
      <c r="CL1547" s="2" t="s">
        <v>86</v>
      </c>
      <c r="CM1547" s="2"/>
    </row>
    <row r="1548" spans="1:91">
      <c r="A1548" s="2" t="s">
        <v>71</v>
      </c>
      <c r="B1548" s="2" t="s">
        <v>72</v>
      </c>
      <c r="C1548" s="2" t="s">
        <v>73</v>
      </c>
      <c r="D1548" s="2"/>
      <c r="E1548" s="2" t="str">
        <f>"FES1162542372"</f>
        <v>FES1162542372</v>
      </c>
      <c r="F1548" s="3">
        <v>42832</v>
      </c>
      <c r="G1548" s="2">
        <v>201710</v>
      </c>
      <c r="H1548" s="2" t="s">
        <v>74</v>
      </c>
      <c r="I1548" s="2" t="s">
        <v>75</v>
      </c>
      <c r="J1548" s="2" t="s">
        <v>76</v>
      </c>
      <c r="K1548" s="2" t="s">
        <v>77</v>
      </c>
      <c r="L1548" s="2" t="s">
        <v>294</v>
      </c>
      <c r="M1548" s="2" t="s">
        <v>295</v>
      </c>
      <c r="N1548" s="2" t="s">
        <v>2079</v>
      </c>
      <c r="O1548" s="2" t="s">
        <v>115</v>
      </c>
      <c r="P1548" s="2" t="str">
        <f>"2170561257                    "</f>
        <v xml:space="preserve">2170561257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4.29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1</v>
      </c>
      <c r="BI1548" s="2">
        <v>1</v>
      </c>
      <c r="BJ1548" s="2">
        <v>0.2</v>
      </c>
      <c r="BK1548" s="2">
        <v>1</v>
      </c>
      <c r="BL1548" s="2">
        <v>41.73</v>
      </c>
      <c r="BM1548" s="2">
        <v>5.84</v>
      </c>
      <c r="BN1548" s="2">
        <v>47.57</v>
      </c>
      <c r="BO1548" s="2">
        <v>47.57</v>
      </c>
      <c r="BP1548" s="2"/>
      <c r="BQ1548" s="2" t="s">
        <v>2080</v>
      </c>
      <c r="BR1548" s="2" t="s">
        <v>123</v>
      </c>
      <c r="BS1548" s="3">
        <v>42835</v>
      </c>
      <c r="BT1548" s="4">
        <v>0.40277777777777773</v>
      </c>
      <c r="BU1548" s="2" t="s">
        <v>2081</v>
      </c>
      <c r="BV1548" s="2" t="s">
        <v>111</v>
      </c>
      <c r="BW1548" s="2"/>
      <c r="BX1548" s="2"/>
      <c r="BY1548" s="2">
        <v>1200</v>
      </c>
      <c r="BZ1548" s="2" t="s">
        <v>27</v>
      </c>
      <c r="CA1548" s="2"/>
      <c r="CB1548" s="2"/>
      <c r="CC1548" s="2" t="s">
        <v>295</v>
      </c>
      <c r="CD1548" s="2">
        <v>4037</v>
      </c>
      <c r="CE1548" s="2" t="s">
        <v>144</v>
      </c>
      <c r="CF1548" s="5">
        <v>42836</v>
      </c>
      <c r="CG1548" s="2"/>
      <c r="CH1548" s="2"/>
      <c r="CI1548" s="2">
        <v>1</v>
      </c>
      <c r="CJ1548" s="2">
        <v>1</v>
      </c>
      <c r="CK1548" s="2">
        <v>21</v>
      </c>
      <c r="CL1548" s="2" t="s">
        <v>86</v>
      </c>
      <c r="CM1548" s="2"/>
    </row>
    <row r="1549" spans="1:91">
      <c r="A1549" s="2" t="s">
        <v>71</v>
      </c>
      <c r="B1549" s="2" t="s">
        <v>72</v>
      </c>
      <c r="C1549" s="2" t="s">
        <v>73</v>
      </c>
      <c r="D1549" s="2"/>
      <c r="E1549" s="2" t="str">
        <f>"FES1162542550"</f>
        <v>FES1162542550</v>
      </c>
      <c r="F1549" s="3">
        <v>42835</v>
      </c>
      <c r="G1549" s="2">
        <v>201710</v>
      </c>
      <c r="H1549" s="2" t="s">
        <v>74</v>
      </c>
      <c r="I1549" s="2" t="s">
        <v>75</v>
      </c>
      <c r="J1549" s="2" t="s">
        <v>76</v>
      </c>
      <c r="K1549" s="2" t="s">
        <v>77</v>
      </c>
      <c r="L1549" s="2" t="s">
        <v>99</v>
      </c>
      <c r="M1549" s="2" t="s">
        <v>100</v>
      </c>
      <c r="N1549" s="2" t="s">
        <v>583</v>
      </c>
      <c r="O1549" s="2" t="s">
        <v>115</v>
      </c>
      <c r="P1549" s="2" t="str">
        <f>"2170561413                    "</f>
        <v xml:space="preserve">2170561413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4.29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1</v>
      </c>
      <c r="BI1549" s="2">
        <v>1</v>
      </c>
      <c r="BJ1549" s="2">
        <v>0.2</v>
      </c>
      <c r="BK1549" s="2">
        <v>1</v>
      </c>
      <c r="BL1549" s="2">
        <v>41.73</v>
      </c>
      <c r="BM1549" s="2">
        <v>5.84</v>
      </c>
      <c r="BN1549" s="2">
        <v>47.57</v>
      </c>
      <c r="BO1549" s="2">
        <v>47.57</v>
      </c>
      <c r="BP1549" s="2"/>
      <c r="BQ1549" s="2" t="s">
        <v>584</v>
      </c>
      <c r="BR1549" s="2" t="s">
        <v>123</v>
      </c>
      <c r="BS1549" s="3">
        <v>42836</v>
      </c>
      <c r="BT1549" s="4">
        <v>0.3034722222222222</v>
      </c>
      <c r="BU1549" s="2" t="s">
        <v>585</v>
      </c>
      <c r="BV1549" s="2" t="s">
        <v>111</v>
      </c>
      <c r="BW1549" s="2"/>
      <c r="BX1549" s="2"/>
      <c r="BY1549" s="2">
        <v>1200</v>
      </c>
      <c r="BZ1549" s="2" t="s">
        <v>27</v>
      </c>
      <c r="CA1549" s="2" t="s">
        <v>154</v>
      </c>
      <c r="CB1549" s="2"/>
      <c r="CC1549" s="2" t="s">
        <v>100</v>
      </c>
      <c r="CD1549" s="2">
        <v>6001</v>
      </c>
      <c r="CE1549" s="2" t="s">
        <v>144</v>
      </c>
      <c r="CF1549" s="5">
        <v>42836</v>
      </c>
      <c r="CG1549" s="2"/>
      <c r="CH1549" s="2"/>
      <c r="CI1549" s="2">
        <v>1</v>
      </c>
      <c r="CJ1549" s="2">
        <v>1</v>
      </c>
      <c r="CK1549" s="2">
        <v>21</v>
      </c>
      <c r="CL1549" s="2" t="s">
        <v>86</v>
      </c>
      <c r="CM1549" s="2"/>
    </row>
    <row r="1550" spans="1:91">
      <c r="A1550" s="2" t="s">
        <v>71</v>
      </c>
      <c r="B1550" s="2" t="s">
        <v>72</v>
      </c>
      <c r="C1550" s="2" t="s">
        <v>73</v>
      </c>
      <c r="D1550" s="2"/>
      <c r="E1550" s="2" t="str">
        <f>"FES1162542404"</f>
        <v>FES1162542404</v>
      </c>
      <c r="F1550" s="3">
        <v>42832</v>
      </c>
      <c r="G1550" s="2">
        <v>201710</v>
      </c>
      <c r="H1550" s="2" t="s">
        <v>74</v>
      </c>
      <c r="I1550" s="2" t="s">
        <v>75</v>
      </c>
      <c r="J1550" s="2" t="s">
        <v>76</v>
      </c>
      <c r="K1550" s="2" t="s">
        <v>77</v>
      </c>
      <c r="L1550" s="2" t="s">
        <v>396</v>
      </c>
      <c r="M1550" s="2" t="s">
        <v>397</v>
      </c>
      <c r="N1550" s="2" t="s">
        <v>398</v>
      </c>
      <c r="O1550" s="2" t="s">
        <v>115</v>
      </c>
      <c r="P1550" s="2" t="str">
        <f>"2170561302                    "</f>
        <v xml:space="preserve">2170561302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4.29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1</v>
      </c>
      <c r="BJ1550" s="2">
        <v>0.2</v>
      </c>
      <c r="BK1550" s="2">
        <v>1</v>
      </c>
      <c r="BL1550" s="2">
        <v>41.73</v>
      </c>
      <c r="BM1550" s="2">
        <v>5.84</v>
      </c>
      <c r="BN1550" s="2">
        <v>47.57</v>
      </c>
      <c r="BO1550" s="2">
        <v>47.57</v>
      </c>
      <c r="BP1550" s="2"/>
      <c r="BQ1550" s="2" t="s">
        <v>399</v>
      </c>
      <c r="BR1550" s="2" t="s">
        <v>123</v>
      </c>
      <c r="BS1550" s="3">
        <v>42835</v>
      </c>
      <c r="BT1550" s="4">
        <v>0.4375</v>
      </c>
      <c r="BU1550" s="2" t="s">
        <v>469</v>
      </c>
      <c r="BV1550" s="2" t="s">
        <v>111</v>
      </c>
      <c r="BW1550" s="2"/>
      <c r="BX1550" s="2"/>
      <c r="BY1550" s="2">
        <v>1200</v>
      </c>
      <c r="BZ1550" s="2" t="s">
        <v>27</v>
      </c>
      <c r="CA1550" s="2"/>
      <c r="CB1550" s="2"/>
      <c r="CC1550" s="2" t="s">
        <v>397</v>
      </c>
      <c r="CD1550" s="2">
        <v>4300</v>
      </c>
      <c r="CE1550" s="2" t="s">
        <v>144</v>
      </c>
      <c r="CF1550" s="5">
        <v>42836</v>
      </c>
      <c r="CG1550" s="2"/>
      <c r="CH1550" s="2"/>
      <c r="CI1550" s="2">
        <v>1</v>
      </c>
      <c r="CJ1550" s="2">
        <v>1</v>
      </c>
      <c r="CK1550" s="2">
        <v>21</v>
      </c>
      <c r="CL1550" s="2" t="s">
        <v>86</v>
      </c>
      <c r="CM1550" s="2"/>
    </row>
    <row r="1551" spans="1:91">
      <c r="A1551" s="2" t="s">
        <v>71</v>
      </c>
      <c r="B1551" s="2" t="s">
        <v>72</v>
      </c>
      <c r="C1551" s="2" t="s">
        <v>73</v>
      </c>
      <c r="D1551" s="2"/>
      <c r="E1551" s="2" t="str">
        <f>"FES1162542365"</f>
        <v>FES1162542365</v>
      </c>
      <c r="F1551" s="3">
        <v>42832</v>
      </c>
      <c r="G1551" s="2">
        <v>201710</v>
      </c>
      <c r="H1551" s="2" t="s">
        <v>74</v>
      </c>
      <c r="I1551" s="2" t="s">
        <v>75</v>
      </c>
      <c r="J1551" s="2" t="s">
        <v>76</v>
      </c>
      <c r="K1551" s="2" t="s">
        <v>77</v>
      </c>
      <c r="L1551" s="2" t="s">
        <v>112</v>
      </c>
      <c r="M1551" s="2" t="s">
        <v>113</v>
      </c>
      <c r="N1551" s="2" t="s">
        <v>386</v>
      </c>
      <c r="O1551" s="2" t="s">
        <v>115</v>
      </c>
      <c r="P1551" s="2" t="str">
        <f>"2170561250                    "</f>
        <v xml:space="preserve">2170561250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39.65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16.600000000000001</v>
      </c>
      <c r="BJ1551" s="2">
        <v>18.2</v>
      </c>
      <c r="BK1551" s="2">
        <v>18.5</v>
      </c>
      <c r="BL1551" s="2">
        <v>385.97</v>
      </c>
      <c r="BM1551" s="2">
        <v>54.04</v>
      </c>
      <c r="BN1551" s="2">
        <v>440.01</v>
      </c>
      <c r="BO1551" s="2">
        <v>440.01</v>
      </c>
      <c r="BP1551" s="2"/>
      <c r="BQ1551" s="2" t="s">
        <v>122</v>
      </c>
      <c r="BR1551" s="2" t="s">
        <v>123</v>
      </c>
      <c r="BS1551" s="3">
        <v>42835</v>
      </c>
      <c r="BT1551" s="4">
        <v>0.40972222222222227</v>
      </c>
      <c r="BU1551" s="2" t="s">
        <v>387</v>
      </c>
      <c r="BV1551" s="2" t="s">
        <v>111</v>
      </c>
      <c r="BW1551" s="2"/>
      <c r="BX1551" s="2"/>
      <c r="BY1551" s="2">
        <v>91185.54</v>
      </c>
      <c r="BZ1551" s="2" t="s">
        <v>27</v>
      </c>
      <c r="CA1551" s="2" t="s">
        <v>159</v>
      </c>
      <c r="CB1551" s="2"/>
      <c r="CC1551" s="2" t="s">
        <v>113</v>
      </c>
      <c r="CD1551" s="2">
        <v>3200</v>
      </c>
      <c r="CE1551" s="2" t="s">
        <v>135</v>
      </c>
      <c r="CF1551" s="5">
        <v>42836</v>
      </c>
      <c r="CG1551" s="2"/>
      <c r="CH1551" s="2"/>
      <c r="CI1551" s="2">
        <v>1</v>
      </c>
      <c r="CJ1551" s="2">
        <v>1</v>
      </c>
      <c r="CK1551" s="2">
        <v>21</v>
      </c>
      <c r="CL1551" s="2" t="s">
        <v>86</v>
      </c>
      <c r="CM1551" s="2"/>
    </row>
    <row r="1552" spans="1:91">
      <c r="A1552" s="2" t="s">
        <v>71</v>
      </c>
      <c r="B1552" s="2" t="s">
        <v>72</v>
      </c>
      <c r="C1552" s="2" t="s">
        <v>73</v>
      </c>
      <c r="D1552" s="2"/>
      <c r="E1552" s="2" t="str">
        <f>"FES1162542453"</f>
        <v>FES1162542453</v>
      </c>
      <c r="F1552" s="3">
        <v>42835</v>
      </c>
      <c r="G1552" s="2">
        <v>201710</v>
      </c>
      <c r="H1552" s="2" t="s">
        <v>74</v>
      </c>
      <c r="I1552" s="2" t="s">
        <v>75</v>
      </c>
      <c r="J1552" s="2" t="s">
        <v>76</v>
      </c>
      <c r="K1552" s="2" t="s">
        <v>77</v>
      </c>
      <c r="L1552" s="2" t="s">
        <v>609</v>
      </c>
      <c r="M1552" s="2" t="s">
        <v>610</v>
      </c>
      <c r="N1552" s="2" t="s">
        <v>1120</v>
      </c>
      <c r="O1552" s="2" t="s">
        <v>115</v>
      </c>
      <c r="P1552" s="2" t="str">
        <f>"2170561341                    "</f>
        <v xml:space="preserve">2170561341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4.29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1</v>
      </c>
      <c r="BJ1552" s="2">
        <v>0.2</v>
      </c>
      <c r="BK1552" s="2">
        <v>1</v>
      </c>
      <c r="BL1552" s="2">
        <v>41.73</v>
      </c>
      <c r="BM1552" s="2">
        <v>5.84</v>
      </c>
      <c r="BN1552" s="2">
        <v>47.57</v>
      </c>
      <c r="BO1552" s="2">
        <v>47.57</v>
      </c>
      <c r="BP1552" s="2"/>
      <c r="BQ1552" s="2" t="s">
        <v>1121</v>
      </c>
      <c r="BR1552" s="2" t="s">
        <v>123</v>
      </c>
      <c r="BS1552" s="3">
        <v>42836</v>
      </c>
      <c r="BT1552" s="4">
        <v>0.55902777777777779</v>
      </c>
      <c r="BU1552" s="2" t="s">
        <v>983</v>
      </c>
      <c r="BV1552" s="2" t="s">
        <v>86</v>
      </c>
      <c r="BW1552" s="2"/>
      <c r="BX1552" s="2"/>
      <c r="BY1552" s="2">
        <v>1200</v>
      </c>
      <c r="BZ1552" s="2" t="s">
        <v>27</v>
      </c>
      <c r="CA1552" s="2"/>
      <c r="CB1552" s="2"/>
      <c r="CC1552" s="2" t="s">
        <v>610</v>
      </c>
      <c r="CD1552" s="2">
        <v>1911</v>
      </c>
      <c r="CE1552" s="2" t="s">
        <v>144</v>
      </c>
      <c r="CF1552" s="5">
        <v>42837</v>
      </c>
      <c r="CG1552" s="2"/>
      <c r="CH1552" s="2"/>
      <c r="CI1552" s="2">
        <v>1</v>
      </c>
      <c r="CJ1552" s="2">
        <v>1</v>
      </c>
      <c r="CK1552" s="2">
        <v>21</v>
      </c>
      <c r="CL1552" s="2" t="s">
        <v>86</v>
      </c>
      <c r="CM1552" s="2"/>
    </row>
    <row r="1553" spans="1:91">
      <c r="A1553" s="2" t="s">
        <v>71</v>
      </c>
      <c r="B1553" s="2" t="s">
        <v>72</v>
      </c>
      <c r="C1553" s="2" t="s">
        <v>73</v>
      </c>
      <c r="D1553" s="2"/>
      <c r="E1553" s="2" t="str">
        <f>"FES1162542402"</f>
        <v>FES1162542402</v>
      </c>
      <c r="F1553" s="3">
        <v>42832</v>
      </c>
      <c r="G1553" s="2">
        <v>201710</v>
      </c>
      <c r="H1553" s="2" t="s">
        <v>74</v>
      </c>
      <c r="I1553" s="2" t="s">
        <v>75</v>
      </c>
      <c r="J1553" s="2" t="s">
        <v>76</v>
      </c>
      <c r="K1553" s="2" t="s">
        <v>77</v>
      </c>
      <c r="L1553" s="2" t="s">
        <v>180</v>
      </c>
      <c r="M1553" s="2" t="s">
        <v>181</v>
      </c>
      <c r="N1553" s="2" t="s">
        <v>1247</v>
      </c>
      <c r="O1553" s="2" t="s">
        <v>115</v>
      </c>
      <c r="P1553" s="2" t="str">
        <f>"2170561296                    "</f>
        <v xml:space="preserve">2170561296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4.29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1</v>
      </c>
      <c r="BJ1553" s="2">
        <v>0.2</v>
      </c>
      <c r="BK1553" s="2">
        <v>1</v>
      </c>
      <c r="BL1553" s="2">
        <v>41.73</v>
      </c>
      <c r="BM1553" s="2">
        <v>5.84</v>
      </c>
      <c r="BN1553" s="2">
        <v>47.57</v>
      </c>
      <c r="BO1553" s="2">
        <v>47.57</v>
      </c>
      <c r="BP1553" s="2"/>
      <c r="BQ1553" s="2" t="s">
        <v>129</v>
      </c>
      <c r="BR1553" s="2" t="s">
        <v>123</v>
      </c>
      <c r="BS1553" s="3">
        <v>42835</v>
      </c>
      <c r="BT1553" s="4">
        <v>0.4375</v>
      </c>
      <c r="BU1553" s="2" t="s">
        <v>1740</v>
      </c>
      <c r="BV1553" s="2" t="s">
        <v>111</v>
      </c>
      <c r="BW1553" s="2"/>
      <c r="BX1553" s="2"/>
      <c r="BY1553" s="2">
        <v>1200</v>
      </c>
      <c r="BZ1553" s="2" t="s">
        <v>27</v>
      </c>
      <c r="CA1553" s="2"/>
      <c r="CB1553" s="2"/>
      <c r="CC1553" s="2" t="s">
        <v>181</v>
      </c>
      <c r="CD1553" s="2">
        <v>4001</v>
      </c>
      <c r="CE1553" s="2" t="s">
        <v>144</v>
      </c>
      <c r="CF1553" s="5">
        <v>42836</v>
      </c>
      <c r="CG1553" s="2"/>
      <c r="CH1553" s="2"/>
      <c r="CI1553" s="2">
        <v>1</v>
      </c>
      <c r="CJ1553" s="2">
        <v>1</v>
      </c>
      <c r="CK1553" s="2">
        <v>21</v>
      </c>
      <c r="CL1553" s="2" t="s">
        <v>86</v>
      </c>
      <c r="CM1553" s="2"/>
    </row>
    <row r="1554" spans="1:91">
      <c r="A1554" s="2" t="s">
        <v>71</v>
      </c>
      <c r="B1554" s="2" t="s">
        <v>72</v>
      </c>
      <c r="C1554" s="2" t="s">
        <v>73</v>
      </c>
      <c r="D1554" s="2"/>
      <c r="E1554" s="2" t="str">
        <f>"FES1162542467"</f>
        <v>FES1162542467</v>
      </c>
      <c r="F1554" s="3">
        <v>42835</v>
      </c>
      <c r="G1554" s="2">
        <v>201710</v>
      </c>
      <c r="H1554" s="2" t="s">
        <v>74</v>
      </c>
      <c r="I1554" s="2" t="s">
        <v>75</v>
      </c>
      <c r="J1554" s="2" t="s">
        <v>76</v>
      </c>
      <c r="K1554" s="2" t="s">
        <v>77</v>
      </c>
      <c r="L1554" s="2" t="s">
        <v>1333</v>
      </c>
      <c r="M1554" s="2" t="s">
        <v>1334</v>
      </c>
      <c r="N1554" s="2" t="s">
        <v>1335</v>
      </c>
      <c r="O1554" s="2" t="s">
        <v>115</v>
      </c>
      <c r="P1554" s="2" t="str">
        <f>"2170561363                    "</f>
        <v xml:space="preserve">2170561363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8.31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1</v>
      </c>
      <c r="BJ1554" s="2">
        <v>0.2</v>
      </c>
      <c r="BK1554" s="2">
        <v>1</v>
      </c>
      <c r="BL1554" s="2">
        <v>80.849999999999994</v>
      </c>
      <c r="BM1554" s="2">
        <v>11.32</v>
      </c>
      <c r="BN1554" s="2">
        <v>92.17</v>
      </c>
      <c r="BO1554" s="2">
        <v>92.17</v>
      </c>
      <c r="BP1554" s="2"/>
      <c r="BQ1554" s="2" t="s">
        <v>116</v>
      </c>
      <c r="BR1554" s="2" t="s">
        <v>123</v>
      </c>
      <c r="BS1554" s="3">
        <v>42836</v>
      </c>
      <c r="BT1554" s="4">
        <v>0.4375</v>
      </c>
      <c r="BU1554" s="2" t="s">
        <v>266</v>
      </c>
      <c r="BV1554" s="2" t="s">
        <v>111</v>
      </c>
      <c r="BW1554" s="2"/>
      <c r="BX1554" s="2"/>
      <c r="BY1554" s="2">
        <v>1200</v>
      </c>
      <c r="BZ1554" s="2" t="s">
        <v>27</v>
      </c>
      <c r="CA1554" s="2"/>
      <c r="CB1554" s="2"/>
      <c r="CC1554" s="2" t="s">
        <v>1334</v>
      </c>
      <c r="CD1554" s="2">
        <v>4449</v>
      </c>
      <c r="CE1554" s="2" t="s">
        <v>144</v>
      </c>
      <c r="CF1554" s="5">
        <v>42837</v>
      </c>
      <c r="CG1554" s="2"/>
      <c r="CH1554" s="2"/>
      <c r="CI1554" s="2">
        <v>1</v>
      </c>
      <c r="CJ1554" s="2">
        <v>1</v>
      </c>
      <c r="CK1554" s="2">
        <v>23</v>
      </c>
      <c r="CL1554" s="2" t="s">
        <v>86</v>
      </c>
      <c r="CM1554" s="2"/>
    </row>
    <row r="1555" spans="1:91">
      <c r="A1555" s="2" t="s">
        <v>71</v>
      </c>
      <c r="B1555" s="2" t="s">
        <v>72</v>
      </c>
      <c r="C1555" s="2" t="s">
        <v>73</v>
      </c>
      <c r="D1555" s="2"/>
      <c r="E1555" s="2" t="str">
        <f>"FES1162542394"</f>
        <v>FES1162542394</v>
      </c>
      <c r="F1555" s="3">
        <v>42832</v>
      </c>
      <c r="G1555" s="2">
        <v>201710</v>
      </c>
      <c r="H1555" s="2" t="s">
        <v>74</v>
      </c>
      <c r="I1555" s="2" t="s">
        <v>75</v>
      </c>
      <c r="J1555" s="2" t="s">
        <v>76</v>
      </c>
      <c r="K1555" s="2" t="s">
        <v>77</v>
      </c>
      <c r="L1555" s="2" t="s">
        <v>396</v>
      </c>
      <c r="M1555" s="2" t="s">
        <v>397</v>
      </c>
      <c r="N1555" s="2" t="s">
        <v>398</v>
      </c>
      <c r="O1555" s="2" t="s">
        <v>115</v>
      </c>
      <c r="P1555" s="2" t="str">
        <f>"2170561284                    "</f>
        <v xml:space="preserve">2170561284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4.29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1</v>
      </c>
      <c r="BJ1555" s="2">
        <v>0.2</v>
      </c>
      <c r="BK1555" s="2">
        <v>1</v>
      </c>
      <c r="BL1555" s="2">
        <v>41.73</v>
      </c>
      <c r="BM1555" s="2">
        <v>5.84</v>
      </c>
      <c r="BN1555" s="2">
        <v>47.57</v>
      </c>
      <c r="BO1555" s="2">
        <v>47.57</v>
      </c>
      <c r="BP1555" s="2"/>
      <c r="BQ1555" s="2" t="s">
        <v>399</v>
      </c>
      <c r="BR1555" s="2" t="s">
        <v>123</v>
      </c>
      <c r="BS1555" s="3">
        <v>42835</v>
      </c>
      <c r="BT1555" s="4">
        <v>0.4375</v>
      </c>
      <c r="BU1555" s="2" t="s">
        <v>469</v>
      </c>
      <c r="BV1555" s="2" t="s">
        <v>111</v>
      </c>
      <c r="BW1555" s="2"/>
      <c r="BX1555" s="2"/>
      <c r="BY1555" s="2">
        <v>1200</v>
      </c>
      <c r="BZ1555" s="2" t="s">
        <v>27</v>
      </c>
      <c r="CA1555" s="2"/>
      <c r="CB1555" s="2"/>
      <c r="CC1555" s="2" t="s">
        <v>397</v>
      </c>
      <c r="CD1555" s="2">
        <v>4300</v>
      </c>
      <c r="CE1555" s="2" t="s">
        <v>144</v>
      </c>
      <c r="CF1555" s="5">
        <v>42836</v>
      </c>
      <c r="CG1555" s="2"/>
      <c r="CH1555" s="2"/>
      <c r="CI1555" s="2">
        <v>1</v>
      </c>
      <c r="CJ1555" s="2">
        <v>1</v>
      </c>
      <c r="CK1555" s="2">
        <v>21</v>
      </c>
      <c r="CL1555" s="2" t="s">
        <v>86</v>
      </c>
      <c r="CM1555" s="2"/>
    </row>
    <row r="1556" spans="1:91">
      <c r="A1556" s="2" t="s">
        <v>71</v>
      </c>
      <c r="B1556" s="2" t="s">
        <v>72</v>
      </c>
      <c r="C1556" s="2" t="s">
        <v>73</v>
      </c>
      <c r="D1556" s="2"/>
      <c r="E1556" s="2" t="str">
        <f>"FES1162542471"</f>
        <v>FES1162542471</v>
      </c>
      <c r="F1556" s="3">
        <v>42835</v>
      </c>
      <c r="G1556" s="2">
        <v>201710</v>
      </c>
      <c r="H1556" s="2" t="s">
        <v>74</v>
      </c>
      <c r="I1556" s="2" t="s">
        <v>75</v>
      </c>
      <c r="J1556" s="2" t="s">
        <v>76</v>
      </c>
      <c r="K1556" s="2" t="s">
        <v>77</v>
      </c>
      <c r="L1556" s="2" t="s">
        <v>180</v>
      </c>
      <c r="M1556" s="2" t="s">
        <v>181</v>
      </c>
      <c r="N1556" s="2" t="s">
        <v>1247</v>
      </c>
      <c r="O1556" s="2" t="s">
        <v>115</v>
      </c>
      <c r="P1556" s="2" t="str">
        <f>"2170561369                    "</f>
        <v xml:space="preserve">2170561369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4.29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1</v>
      </c>
      <c r="BJ1556" s="2">
        <v>0.2</v>
      </c>
      <c r="BK1556" s="2">
        <v>1</v>
      </c>
      <c r="BL1556" s="2">
        <v>41.73</v>
      </c>
      <c r="BM1556" s="2">
        <v>5.84</v>
      </c>
      <c r="BN1556" s="2">
        <v>47.57</v>
      </c>
      <c r="BO1556" s="2">
        <v>47.57</v>
      </c>
      <c r="BP1556" s="2"/>
      <c r="BQ1556" s="2" t="s">
        <v>129</v>
      </c>
      <c r="BR1556" s="2" t="s">
        <v>123</v>
      </c>
      <c r="BS1556" s="3">
        <v>42836</v>
      </c>
      <c r="BT1556" s="4">
        <v>0.4375</v>
      </c>
      <c r="BU1556" s="2" t="s">
        <v>1740</v>
      </c>
      <c r="BV1556" s="2" t="s">
        <v>111</v>
      </c>
      <c r="BW1556" s="2"/>
      <c r="BX1556" s="2"/>
      <c r="BY1556" s="2">
        <v>1200</v>
      </c>
      <c r="BZ1556" s="2" t="s">
        <v>27</v>
      </c>
      <c r="CA1556" s="2"/>
      <c r="CB1556" s="2"/>
      <c r="CC1556" s="2" t="s">
        <v>181</v>
      </c>
      <c r="CD1556" s="2">
        <v>4001</v>
      </c>
      <c r="CE1556" s="2" t="s">
        <v>144</v>
      </c>
      <c r="CF1556" s="5">
        <v>42837</v>
      </c>
      <c r="CG1556" s="2"/>
      <c r="CH1556" s="2"/>
      <c r="CI1556" s="2">
        <v>1</v>
      </c>
      <c r="CJ1556" s="2">
        <v>1</v>
      </c>
      <c r="CK1556" s="2">
        <v>21</v>
      </c>
      <c r="CL1556" s="2" t="s">
        <v>86</v>
      </c>
      <c r="CM1556" s="2"/>
    </row>
    <row r="1557" spans="1:91">
      <c r="A1557" s="2" t="s">
        <v>71</v>
      </c>
      <c r="B1557" s="2" t="s">
        <v>72</v>
      </c>
      <c r="C1557" s="2" t="s">
        <v>73</v>
      </c>
      <c r="D1557" s="2"/>
      <c r="E1557" s="2" t="str">
        <f>"FES1162542516"</f>
        <v>FES1162542516</v>
      </c>
      <c r="F1557" s="3">
        <v>42835</v>
      </c>
      <c r="G1557" s="2">
        <v>201710</v>
      </c>
      <c r="H1557" s="2" t="s">
        <v>74</v>
      </c>
      <c r="I1557" s="2" t="s">
        <v>75</v>
      </c>
      <c r="J1557" s="2" t="s">
        <v>76</v>
      </c>
      <c r="K1557" s="2" t="s">
        <v>77</v>
      </c>
      <c r="L1557" s="2" t="s">
        <v>234</v>
      </c>
      <c r="M1557" s="2" t="s">
        <v>235</v>
      </c>
      <c r="N1557" s="2" t="s">
        <v>236</v>
      </c>
      <c r="O1557" s="2" t="s">
        <v>115</v>
      </c>
      <c r="P1557" s="2" t="str">
        <f>"2170561384                    "</f>
        <v xml:space="preserve">2170561384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4.29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2</v>
      </c>
      <c r="BJ1557" s="2">
        <v>1.8</v>
      </c>
      <c r="BK1557" s="2">
        <v>2</v>
      </c>
      <c r="BL1557" s="2">
        <v>41.73</v>
      </c>
      <c r="BM1557" s="2">
        <v>5.84</v>
      </c>
      <c r="BN1557" s="2">
        <v>47.57</v>
      </c>
      <c r="BO1557" s="2">
        <v>47.57</v>
      </c>
      <c r="BP1557" s="2"/>
      <c r="BQ1557" s="2" t="s">
        <v>285</v>
      </c>
      <c r="BR1557" s="2" t="s">
        <v>123</v>
      </c>
      <c r="BS1557" s="3">
        <v>42836</v>
      </c>
      <c r="BT1557" s="4">
        <v>0.30555555555555552</v>
      </c>
      <c r="BU1557" s="2" t="s">
        <v>2033</v>
      </c>
      <c r="BV1557" s="2" t="s">
        <v>111</v>
      </c>
      <c r="BW1557" s="2"/>
      <c r="BX1557" s="2"/>
      <c r="BY1557" s="2">
        <v>8989.99</v>
      </c>
      <c r="BZ1557" s="2" t="s">
        <v>27</v>
      </c>
      <c r="CA1557" s="2" t="s">
        <v>159</v>
      </c>
      <c r="CB1557" s="2"/>
      <c r="CC1557" s="2" t="s">
        <v>235</v>
      </c>
      <c r="CD1557" s="2">
        <v>6220</v>
      </c>
      <c r="CE1557" s="2" t="s">
        <v>135</v>
      </c>
      <c r="CF1557" s="5">
        <v>42837</v>
      </c>
      <c r="CG1557" s="2"/>
      <c r="CH1557" s="2"/>
      <c r="CI1557" s="2">
        <v>1</v>
      </c>
      <c r="CJ1557" s="2">
        <v>1</v>
      </c>
      <c r="CK1557" s="2">
        <v>21</v>
      </c>
      <c r="CL1557" s="2" t="s">
        <v>86</v>
      </c>
      <c r="CM1557" s="2"/>
    </row>
    <row r="1558" spans="1:91">
      <c r="A1558" s="2" t="s">
        <v>71</v>
      </c>
      <c r="B1558" s="2" t="s">
        <v>72</v>
      </c>
      <c r="C1558" s="2" t="s">
        <v>73</v>
      </c>
      <c r="D1558" s="2"/>
      <c r="E1558" s="2" t="str">
        <f>"FES1162542520"</f>
        <v>FES1162542520</v>
      </c>
      <c r="F1558" s="3">
        <v>42835</v>
      </c>
      <c r="G1558" s="2">
        <v>201710</v>
      </c>
      <c r="H1558" s="2" t="s">
        <v>74</v>
      </c>
      <c r="I1558" s="2" t="s">
        <v>75</v>
      </c>
      <c r="J1558" s="2" t="s">
        <v>76</v>
      </c>
      <c r="K1558" s="2" t="s">
        <v>77</v>
      </c>
      <c r="L1558" s="2" t="s">
        <v>99</v>
      </c>
      <c r="M1558" s="2" t="s">
        <v>100</v>
      </c>
      <c r="N1558" s="2" t="s">
        <v>433</v>
      </c>
      <c r="O1558" s="2" t="s">
        <v>115</v>
      </c>
      <c r="P1558" s="2" t="str">
        <f>"2170561389                    "</f>
        <v xml:space="preserve">2170561389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4.29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2</v>
      </c>
      <c r="BJ1558" s="2">
        <v>1.7</v>
      </c>
      <c r="BK1558" s="2">
        <v>2</v>
      </c>
      <c r="BL1558" s="2">
        <v>41.73</v>
      </c>
      <c r="BM1558" s="2">
        <v>5.84</v>
      </c>
      <c r="BN1558" s="2">
        <v>47.57</v>
      </c>
      <c r="BO1558" s="2">
        <v>47.57</v>
      </c>
      <c r="BP1558" s="2"/>
      <c r="BQ1558" s="2" t="s">
        <v>434</v>
      </c>
      <c r="BR1558" s="2" t="s">
        <v>123</v>
      </c>
      <c r="BS1558" s="3">
        <v>42836</v>
      </c>
      <c r="BT1558" s="4">
        <v>0.38958333333333334</v>
      </c>
      <c r="BU1558" s="2" t="s">
        <v>2082</v>
      </c>
      <c r="BV1558" s="2" t="s">
        <v>111</v>
      </c>
      <c r="BW1558" s="2"/>
      <c r="BX1558" s="2"/>
      <c r="BY1558" s="2">
        <v>8672.25</v>
      </c>
      <c r="BZ1558" s="2" t="s">
        <v>27</v>
      </c>
      <c r="CA1558" s="2"/>
      <c r="CB1558" s="2"/>
      <c r="CC1558" s="2" t="s">
        <v>100</v>
      </c>
      <c r="CD1558" s="2">
        <v>6001</v>
      </c>
      <c r="CE1558" s="2" t="s">
        <v>135</v>
      </c>
      <c r="CF1558" s="5">
        <v>42837</v>
      </c>
      <c r="CG1558" s="2"/>
      <c r="CH1558" s="2"/>
      <c r="CI1558" s="2">
        <v>1</v>
      </c>
      <c r="CJ1558" s="2">
        <v>1</v>
      </c>
      <c r="CK1558" s="2">
        <v>21</v>
      </c>
      <c r="CL1558" s="2" t="s">
        <v>86</v>
      </c>
      <c r="CM1558" s="2"/>
    </row>
    <row r="1559" spans="1:91">
      <c r="A1559" s="2" t="s">
        <v>71</v>
      </c>
      <c r="B1559" s="2" t="s">
        <v>72</v>
      </c>
      <c r="C1559" s="2" t="s">
        <v>73</v>
      </c>
      <c r="D1559" s="2"/>
      <c r="E1559" s="2" t="str">
        <f>"FES1162542488"</f>
        <v>FES1162542488</v>
      </c>
      <c r="F1559" s="3">
        <v>42835</v>
      </c>
      <c r="G1559" s="2">
        <v>201710</v>
      </c>
      <c r="H1559" s="2" t="s">
        <v>74</v>
      </c>
      <c r="I1559" s="2" t="s">
        <v>75</v>
      </c>
      <c r="J1559" s="2" t="s">
        <v>76</v>
      </c>
      <c r="K1559" s="2" t="s">
        <v>77</v>
      </c>
      <c r="L1559" s="2" t="s">
        <v>180</v>
      </c>
      <c r="M1559" s="2" t="s">
        <v>181</v>
      </c>
      <c r="N1559" s="2" t="s">
        <v>1090</v>
      </c>
      <c r="O1559" s="2" t="s">
        <v>115</v>
      </c>
      <c r="P1559" s="2" t="str">
        <f>"2170559331                    "</f>
        <v xml:space="preserve">2170559331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4.29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1</v>
      </c>
      <c r="BJ1559" s="2">
        <v>0.2</v>
      </c>
      <c r="BK1559" s="2">
        <v>1</v>
      </c>
      <c r="BL1559" s="2">
        <v>41.73</v>
      </c>
      <c r="BM1559" s="2">
        <v>5.84</v>
      </c>
      <c r="BN1559" s="2">
        <v>47.57</v>
      </c>
      <c r="BO1559" s="2">
        <v>47.57</v>
      </c>
      <c r="BP1559" s="2"/>
      <c r="BQ1559" s="2" t="s">
        <v>129</v>
      </c>
      <c r="BR1559" s="2" t="s">
        <v>123</v>
      </c>
      <c r="BS1559" s="3">
        <v>42836</v>
      </c>
      <c r="BT1559" s="4">
        <v>0.4375</v>
      </c>
      <c r="BU1559" s="2" t="s">
        <v>266</v>
      </c>
      <c r="BV1559" s="2" t="s">
        <v>111</v>
      </c>
      <c r="BW1559" s="2"/>
      <c r="BX1559" s="2"/>
      <c r="BY1559" s="2">
        <v>1200</v>
      </c>
      <c r="BZ1559" s="2" t="s">
        <v>27</v>
      </c>
      <c r="CA1559" s="2"/>
      <c r="CB1559" s="2"/>
      <c r="CC1559" s="2" t="s">
        <v>181</v>
      </c>
      <c r="CD1559" s="2">
        <v>4052</v>
      </c>
      <c r="CE1559" s="2" t="s">
        <v>144</v>
      </c>
      <c r="CF1559" s="5">
        <v>42837</v>
      </c>
      <c r="CG1559" s="2"/>
      <c r="CH1559" s="2"/>
      <c r="CI1559" s="2">
        <v>1</v>
      </c>
      <c r="CJ1559" s="2">
        <v>1</v>
      </c>
      <c r="CK1559" s="2">
        <v>21</v>
      </c>
      <c r="CL1559" s="2" t="s">
        <v>86</v>
      </c>
      <c r="CM1559" s="2"/>
    </row>
    <row r="1560" spans="1:91">
      <c r="A1560" s="2" t="s">
        <v>71</v>
      </c>
      <c r="B1560" s="2" t="s">
        <v>72</v>
      </c>
      <c r="C1560" s="2" t="s">
        <v>73</v>
      </c>
      <c r="D1560" s="2"/>
      <c r="E1560" s="2" t="str">
        <f>"FES1162542542"</f>
        <v>FES1162542542</v>
      </c>
      <c r="F1560" s="3">
        <v>42835</v>
      </c>
      <c r="G1560" s="2">
        <v>201710</v>
      </c>
      <c r="H1560" s="2" t="s">
        <v>74</v>
      </c>
      <c r="I1560" s="2" t="s">
        <v>75</v>
      </c>
      <c r="J1560" s="2" t="s">
        <v>76</v>
      </c>
      <c r="K1560" s="2" t="s">
        <v>77</v>
      </c>
      <c r="L1560" s="2" t="s">
        <v>99</v>
      </c>
      <c r="M1560" s="2" t="s">
        <v>100</v>
      </c>
      <c r="N1560" s="2" t="s">
        <v>848</v>
      </c>
      <c r="O1560" s="2" t="s">
        <v>115</v>
      </c>
      <c r="P1560" s="2" t="str">
        <f>"2170561401                    "</f>
        <v xml:space="preserve">2170561401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4.29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1</v>
      </c>
      <c r="BJ1560" s="2">
        <v>0.2</v>
      </c>
      <c r="BK1560" s="2">
        <v>1</v>
      </c>
      <c r="BL1560" s="2">
        <v>41.73</v>
      </c>
      <c r="BM1560" s="2">
        <v>5.84</v>
      </c>
      <c r="BN1560" s="2">
        <v>47.57</v>
      </c>
      <c r="BO1560" s="2">
        <v>47.57</v>
      </c>
      <c r="BP1560" s="2"/>
      <c r="BQ1560" s="2" t="s">
        <v>849</v>
      </c>
      <c r="BR1560" s="2" t="s">
        <v>123</v>
      </c>
      <c r="BS1560" s="3">
        <v>42836</v>
      </c>
      <c r="BT1560" s="4">
        <v>0.2951388888888889</v>
      </c>
      <c r="BU1560" s="2" t="s">
        <v>2083</v>
      </c>
      <c r="BV1560" s="2" t="s">
        <v>111</v>
      </c>
      <c r="BW1560" s="2"/>
      <c r="BX1560" s="2"/>
      <c r="BY1560" s="2">
        <v>1200</v>
      </c>
      <c r="BZ1560" s="2" t="s">
        <v>27</v>
      </c>
      <c r="CA1560" s="2" t="s">
        <v>106</v>
      </c>
      <c r="CB1560" s="2"/>
      <c r="CC1560" s="2" t="s">
        <v>100</v>
      </c>
      <c r="CD1560" s="2">
        <v>6012</v>
      </c>
      <c r="CE1560" s="2" t="s">
        <v>144</v>
      </c>
      <c r="CF1560" s="5">
        <v>42836</v>
      </c>
      <c r="CG1560" s="2"/>
      <c r="CH1560" s="2"/>
      <c r="CI1560" s="2">
        <v>1</v>
      </c>
      <c r="CJ1560" s="2">
        <v>1</v>
      </c>
      <c r="CK1560" s="2">
        <v>21</v>
      </c>
      <c r="CL1560" s="2" t="s">
        <v>86</v>
      </c>
      <c r="CM1560" s="2"/>
    </row>
    <row r="1561" spans="1:91">
      <c r="A1561" s="2" t="s">
        <v>71</v>
      </c>
      <c r="B1561" s="2" t="s">
        <v>72</v>
      </c>
      <c r="C1561" s="2" t="s">
        <v>73</v>
      </c>
      <c r="D1561" s="2"/>
      <c r="E1561" s="2" t="str">
        <f>"FES1162542608"</f>
        <v>FES1162542608</v>
      </c>
      <c r="F1561" s="3">
        <v>42835</v>
      </c>
      <c r="G1561" s="2">
        <v>201710</v>
      </c>
      <c r="H1561" s="2" t="s">
        <v>74</v>
      </c>
      <c r="I1561" s="2" t="s">
        <v>75</v>
      </c>
      <c r="J1561" s="2" t="s">
        <v>76</v>
      </c>
      <c r="K1561" s="2" t="s">
        <v>77</v>
      </c>
      <c r="L1561" s="2" t="s">
        <v>176</v>
      </c>
      <c r="M1561" s="2" t="s">
        <v>176</v>
      </c>
      <c r="N1561" s="2" t="s">
        <v>1413</v>
      </c>
      <c r="O1561" s="2" t="s">
        <v>115</v>
      </c>
      <c r="P1561" s="2" t="str">
        <f>"2170561467                    "</f>
        <v xml:space="preserve">2170561467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4.29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1</v>
      </c>
      <c r="BJ1561" s="2">
        <v>0.2</v>
      </c>
      <c r="BK1561" s="2">
        <v>1</v>
      </c>
      <c r="BL1561" s="2">
        <v>41.73</v>
      </c>
      <c r="BM1561" s="2">
        <v>5.84</v>
      </c>
      <c r="BN1561" s="2">
        <v>47.57</v>
      </c>
      <c r="BO1561" s="2">
        <v>47.57</v>
      </c>
      <c r="BP1561" s="2"/>
      <c r="BQ1561" s="2" t="s">
        <v>83</v>
      </c>
      <c r="BR1561" s="2" t="s">
        <v>123</v>
      </c>
      <c r="BS1561" s="3">
        <v>42836</v>
      </c>
      <c r="BT1561" s="4">
        <v>0.52361111111111114</v>
      </c>
      <c r="BU1561" s="2" t="s">
        <v>1414</v>
      </c>
      <c r="BV1561" s="2" t="s">
        <v>111</v>
      </c>
      <c r="BW1561" s="2"/>
      <c r="BX1561" s="2"/>
      <c r="BY1561" s="2">
        <v>1200</v>
      </c>
      <c r="BZ1561" s="2" t="s">
        <v>27</v>
      </c>
      <c r="CA1561" s="2"/>
      <c r="CB1561" s="2"/>
      <c r="CC1561" s="2" t="s">
        <v>176</v>
      </c>
      <c r="CD1561" s="2">
        <v>7620</v>
      </c>
      <c r="CE1561" s="2" t="s">
        <v>118</v>
      </c>
      <c r="CF1561" s="5">
        <v>42837</v>
      </c>
      <c r="CG1561" s="2"/>
      <c r="CH1561" s="2"/>
      <c r="CI1561" s="2">
        <v>1</v>
      </c>
      <c r="CJ1561" s="2">
        <v>1</v>
      </c>
      <c r="CK1561" s="2">
        <v>21</v>
      </c>
      <c r="CL1561" s="2" t="s">
        <v>86</v>
      </c>
      <c r="CM1561" s="2"/>
    </row>
    <row r="1562" spans="1:91">
      <c r="A1562" s="2" t="s">
        <v>71</v>
      </c>
      <c r="B1562" s="2" t="s">
        <v>72</v>
      </c>
      <c r="C1562" s="2" t="s">
        <v>73</v>
      </c>
      <c r="D1562" s="2"/>
      <c r="E1562" s="2" t="str">
        <f>"FES1162542711"</f>
        <v>FES1162542711</v>
      </c>
      <c r="F1562" s="3">
        <v>42835</v>
      </c>
      <c r="G1562" s="2">
        <v>201710</v>
      </c>
      <c r="H1562" s="2" t="s">
        <v>74</v>
      </c>
      <c r="I1562" s="2" t="s">
        <v>75</v>
      </c>
      <c r="J1562" s="2" t="s">
        <v>76</v>
      </c>
      <c r="K1562" s="2" t="s">
        <v>77</v>
      </c>
      <c r="L1562" s="2" t="s">
        <v>131</v>
      </c>
      <c r="M1562" s="2" t="s">
        <v>132</v>
      </c>
      <c r="N1562" s="2" t="s">
        <v>155</v>
      </c>
      <c r="O1562" s="2" t="s">
        <v>115</v>
      </c>
      <c r="P1562" s="2" t="str">
        <f>"2170561596                    "</f>
        <v xml:space="preserve">2170561596 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4.29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1</v>
      </c>
      <c r="BJ1562" s="2">
        <v>0.2</v>
      </c>
      <c r="BK1562" s="2">
        <v>1</v>
      </c>
      <c r="BL1562" s="2">
        <v>41.73</v>
      </c>
      <c r="BM1562" s="2">
        <v>5.84</v>
      </c>
      <c r="BN1562" s="2">
        <v>47.57</v>
      </c>
      <c r="BO1562" s="2">
        <v>47.57</v>
      </c>
      <c r="BP1562" s="2"/>
      <c r="BQ1562" s="2" t="s">
        <v>116</v>
      </c>
      <c r="BR1562" s="2" t="s">
        <v>123</v>
      </c>
      <c r="BS1562" s="3">
        <v>42836</v>
      </c>
      <c r="BT1562" s="4">
        <v>0.46180555555555558</v>
      </c>
      <c r="BU1562" s="2" t="s">
        <v>156</v>
      </c>
      <c r="BV1562" s="2" t="s">
        <v>86</v>
      </c>
      <c r="BW1562" s="2" t="s">
        <v>157</v>
      </c>
      <c r="BX1562" s="2" t="s">
        <v>158</v>
      </c>
      <c r="BY1562" s="2">
        <v>1200</v>
      </c>
      <c r="BZ1562" s="2" t="s">
        <v>27</v>
      </c>
      <c r="CA1562" s="2" t="s">
        <v>159</v>
      </c>
      <c r="CB1562" s="2"/>
      <c r="CC1562" s="2" t="s">
        <v>132</v>
      </c>
      <c r="CD1562" s="2">
        <v>7441</v>
      </c>
      <c r="CE1562" s="2" t="s">
        <v>118</v>
      </c>
      <c r="CF1562" s="5">
        <v>42837</v>
      </c>
      <c r="CG1562" s="2"/>
      <c r="CH1562" s="2"/>
      <c r="CI1562" s="2">
        <v>1</v>
      </c>
      <c r="CJ1562" s="2">
        <v>1</v>
      </c>
      <c r="CK1562" s="2">
        <v>21</v>
      </c>
      <c r="CL1562" s="2" t="s">
        <v>86</v>
      </c>
      <c r="CM1562" s="2"/>
    </row>
    <row r="1563" spans="1:91">
      <c r="A1563" s="2" t="s">
        <v>71</v>
      </c>
      <c r="B1563" s="2" t="s">
        <v>72</v>
      </c>
      <c r="C1563" s="2" t="s">
        <v>73</v>
      </c>
      <c r="D1563" s="2"/>
      <c r="E1563" s="2" t="str">
        <f>"FES1162542631"</f>
        <v>FES1162542631</v>
      </c>
      <c r="F1563" s="3">
        <v>42835</v>
      </c>
      <c r="G1563" s="2">
        <v>201710</v>
      </c>
      <c r="H1563" s="2" t="s">
        <v>74</v>
      </c>
      <c r="I1563" s="2" t="s">
        <v>75</v>
      </c>
      <c r="J1563" s="2" t="s">
        <v>76</v>
      </c>
      <c r="K1563" s="2" t="s">
        <v>77</v>
      </c>
      <c r="L1563" s="2" t="s">
        <v>131</v>
      </c>
      <c r="M1563" s="2" t="s">
        <v>132</v>
      </c>
      <c r="N1563" s="2" t="s">
        <v>1824</v>
      </c>
      <c r="O1563" s="2" t="s">
        <v>115</v>
      </c>
      <c r="P1563" s="2" t="str">
        <f>"2170561467                    "</f>
        <v xml:space="preserve">2170561467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5.36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1</v>
      </c>
      <c r="BJ1563" s="2">
        <v>2.1</v>
      </c>
      <c r="BK1563" s="2">
        <v>2.5</v>
      </c>
      <c r="BL1563" s="2">
        <v>52.16</v>
      </c>
      <c r="BM1563" s="2">
        <v>7.3</v>
      </c>
      <c r="BN1563" s="2">
        <v>59.46</v>
      </c>
      <c r="BO1563" s="2">
        <v>59.46</v>
      </c>
      <c r="BP1563" s="2"/>
      <c r="BQ1563" s="2"/>
      <c r="BR1563" s="2" t="s">
        <v>123</v>
      </c>
      <c r="BS1563" s="3">
        <v>42836</v>
      </c>
      <c r="BT1563" s="4">
        <v>0.36180555555555555</v>
      </c>
      <c r="BU1563" s="2" t="s">
        <v>2084</v>
      </c>
      <c r="BV1563" s="2" t="s">
        <v>111</v>
      </c>
      <c r="BW1563" s="2"/>
      <c r="BX1563" s="2"/>
      <c r="BY1563" s="2">
        <v>10566.08</v>
      </c>
      <c r="BZ1563" s="2" t="s">
        <v>27</v>
      </c>
      <c r="CA1563" s="2"/>
      <c r="CB1563" s="2"/>
      <c r="CC1563" s="2" t="s">
        <v>132</v>
      </c>
      <c r="CD1563" s="2">
        <v>7530</v>
      </c>
      <c r="CE1563" s="2" t="s">
        <v>118</v>
      </c>
      <c r="CF1563" s="5">
        <v>42837</v>
      </c>
      <c r="CG1563" s="2"/>
      <c r="CH1563" s="2"/>
      <c r="CI1563" s="2">
        <v>1</v>
      </c>
      <c r="CJ1563" s="2">
        <v>1</v>
      </c>
      <c r="CK1563" s="2">
        <v>21</v>
      </c>
      <c r="CL1563" s="2" t="s">
        <v>86</v>
      </c>
      <c r="CM1563" s="2"/>
    </row>
    <row r="1564" spans="1:91">
      <c r="A1564" s="2" t="s">
        <v>71</v>
      </c>
      <c r="B1564" s="2" t="s">
        <v>72</v>
      </c>
      <c r="C1564" s="2" t="s">
        <v>73</v>
      </c>
      <c r="D1564" s="2"/>
      <c r="E1564" s="2" t="str">
        <f>"FES1162542709"</f>
        <v>FES1162542709</v>
      </c>
      <c r="F1564" s="3">
        <v>42835</v>
      </c>
      <c r="G1564" s="2">
        <v>201710</v>
      </c>
      <c r="H1564" s="2" t="s">
        <v>74</v>
      </c>
      <c r="I1564" s="2" t="s">
        <v>75</v>
      </c>
      <c r="J1564" s="2" t="s">
        <v>76</v>
      </c>
      <c r="K1564" s="2" t="s">
        <v>77</v>
      </c>
      <c r="L1564" s="2" t="s">
        <v>220</v>
      </c>
      <c r="M1564" s="2" t="s">
        <v>221</v>
      </c>
      <c r="N1564" s="2" t="s">
        <v>222</v>
      </c>
      <c r="O1564" s="2" t="s">
        <v>115</v>
      </c>
      <c r="P1564" s="2" t="str">
        <f>"2170561590 3                  "</f>
        <v xml:space="preserve">2170561590 3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4.29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1</v>
      </c>
      <c r="BJ1564" s="2">
        <v>0.2</v>
      </c>
      <c r="BK1564" s="2">
        <v>1</v>
      </c>
      <c r="BL1564" s="2">
        <v>41.73</v>
      </c>
      <c r="BM1564" s="2">
        <v>5.84</v>
      </c>
      <c r="BN1564" s="2">
        <v>47.57</v>
      </c>
      <c r="BO1564" s="2">
        <v>47.57</v>
      </c>
      <c r="BP1564" s="2"/>
      <c r="BQ1564" s="2" t="s">
        <v>223</v>
      </c>
      <c r="BR1564" s="2" t="s">
        <v>123</v>
      </c>
      <c r="BS1564" s="3">
        <v>42836</v>
      </c>
      <c r="BT1564" s="4">
        <v>0.40069444444444446</v>
      </c>
      <c r="BU1564" s="2" t="s">
        <v>224</v>
      </c>
      <c r="BV1564" s="2" t="s">
        <v>111</v>
      </c>
      <c r="BW1564" s="2"/>
      <c r="BX1564" s="2"/>
      <c r="BY1564" s="2">
        <v>1200</v>
      </c>
      <c r="BZ1564" s="2" t="s">
        <v>27</v>
      </c>
      <c r="CA1564" s="2" t="s">
        <v>159</v>
      </c>
      <c r="CB1564" s="2"/>
      <c r="CC1564" s="2" t="s">
        <v>221</v>
      </c>
      <c r="CD1564" s="2">
        <v>6536</v>
      </c>
      <c r="CE1564" s="2" t="s">
        <v>118</v>
      </c>
      <c r="CF1564" s="5">
        <v>42837</v>
      </c>
      <c r="CG1564" s="2"/>
      <c r="CH1564" s="2"/>
      <c r="CI1564" s="2">
        <v>1</v>
      </c>
      <c r="CJ1564" s="2">
        <v>1</v>
      </c>
      <c r="CK1564" s="2">
        <v>21</v>
      </c>
      <c r="CL1564" s="2" t="s">
        <v>86</v>
      </c>
      <c r="CM1564" s="2"/>
    </row>
    <row r="1565" spans="1:91">
      <c r="A1565" s="2" t="s">
        <v>71</v>
      </c>
      <c r="B1565" s="2" t="s">
        <v>72</v>
      </c>
      <c r="C1565" s="2" t="s">
        <v>73</v>
      </c>
      <c r="D1565" s="2"/>
      <c r="E1565" s="2" t="str">
        <f>"FES1162542690"</f>
        <v>FES1162542690</v>
      </c>
      <c r="F1565" s="3">
        <v>42835</v>
      </c>
      <c r="G1565" s="2">
        <v>201710</v>
      </c>
      <c r="H1565" s="2" t="s">
        <v>74</v>
      </c>
      <c r="I1565" s="2" t="s">
        <v>75</v>
      </c>
      <c r="J1565" s="2" t="s">
        <v>76</v>
      </c>
      <c r="K1565" s="2" t="s">
        <v>77</v>
      </c>
      <c r="L1565" s="2" t="s">
        <v>190</v>
      </c>
      <c r="M1565" s="2" t="s">
        <v>191</v>
      </c>
      <c r="N1565" s="2" t="s">
        <v>192</v>
      </c>
      <c r="O1565" s="2" t="s">
        <v>115</v>
      </c>
      <c r="P1565" s="2" t="str">
        <f>"2170561572                    "</f>
        <v xml:space="preserve">2170561572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6.03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2</v>
      </c>
      <c r="BJ1565" s="2">
        <v>1</v>
      </c>
      <c r="BK1565" s="2">
        <v>2</v>
      </c>
      <c r="BL1565" s="2">
        <v>58.68</v>
      </c>
      <c r="BM1565" s="2">
        <v>8.2200000000000006</v>
      </c>
      <c r="BN1565" s="2">
        <v>66.900000000000006</v>
      </c>
      <c r="BO1565" s="2">
        <v>66.900000000000006</v>
      </c>
      <c r="BP1565" s="2"/>
      <c r="BQ1565" s="2" t="s">
        <v>193</v>
      </c>
      <c r="BR1565" s="2" t="s">
        <v>123</v>
      </c>
      <c r="BS1565" s="3">
        <v>42836</v>
      </c>
      <c r="BT1565" s="4">
        <v>0.40833333333333338</v>
      </c>
      <c r="BU1565" s="2" t="s">
        <v>2085</v>
      </c>
      <c r="BV1565" s="2" t="s">
        <v>111</v>
      </c>
      <c r="BW1565" s="2"/>
      <c r="BX1565" s="2"/>
      <c r="BY1565" s="2">
        <v>5034.24</v>
      </c>
      <c r="BZ1565" s="2" t="s">
        <v>27</v>
      </c>
      <c r="CA1565" s="2"/>
      <c r="CB1565" s="2"/>
      <c r="CC1565" s="2" t="s">
        <v>191</v>
      </c>
      <c r="CD1565" s="2">
        <v>1739</v>
      </c>
      <c r="CE1565" s="2" t="s">
        <v>89</v>
      </c>
      <c r="CF1565" s="5">
        <v>42838</v>
      </c>
      <c r="CG1565" s="2"/>
      <c r="CH1565" s="2"/>
      <c r="CI1565" s="2">
        <v>1</v>
      </c>
      <c r="CJ1565" s="2">
        <v>1</v>
      </c>
      <c r="CK1565" s="2">
        <v>24</v>
      </c>
      <c r="CL1565" s="2" t="s">
        <v>86</v>
      </c>
      <c r="CM1565" s="2"/>
    </row>
    <row r="1566" spans="1:91">
      <c r="A1566" s="2" t="s">
        <v>71</v>
      </c>
      <c r="B1566" s="2" t="s">
        <v>72</v>
      </c>
      <c r="C1566" s="2" t="s">
        <v>73</v>
      </c>
      <c r="D1566" s="2"/>
      <c r="E1566" s="2" t="str">
        <f>"FES1162542660"</f>
        <v>FES1162542660</v>
      </c>
      <c r="F1566" s="3">
        <v>42835</v>
      </c>
      <c r="G1566" s="2">
        <v>201710</v>
      </c>
      <c r="H1566" s="2" t="s">
        <v>74</v>
      </c>
      <c r="I1566" s="2" t="s">
        <v>75</v>
      </c>
      <c r="J1566" s="2" t="s">
        <v>76</v>
      </c>
      <c r="K1566" s="2" t="s">
        <v>77</v>
      </c>
      <c r="L1566" s="2" t="s">
        <v>74</v>
      </c>
      <c r="M1566" s="2" t="s">
        <v>75</v>
      </c>
      <c r="N1566" s="2" t="s">
        <v>488</v>
      </c>
      <c r="O1566" s="2" t="s">
        <v>115</v>
      </c>
      <c r="P1566" s="2" t="str">
        <f>"2170561530                    "</f>
        <v xml:space="preserve">2170561530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3.35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1</v>
      </c>
      <c r="BJ1566" s="2">
        <v>1.5</v>
      </c>
      <c r="BK1566" s="2">
        <v>2</v>
      </c>
      <c r="BL1566" s="2">
        <v>32.6</v>
      </c>
      <c r="BM1566" s="2">
        <v>4.5599999999999996</v>
      </c>
      <c r="BN1566" s="2">
        <v>37.159999999999997</v>
      </c>
      <c r="BO1566" s="2">
        <v>37.159999999999997</v>
      </c>
      <c r="BP1566" s="2"/>
      <c r="BQ1566" s="2" t="s">
        <v>489</v>
      </c>
      <c r="BR1566" s="2" t="s">
        <v>123</v>
      </c>
      <c r="BS1566" s="3">
        <v>42836</v>
      </c>
      <c r="BT1566" s="4">
        <v>0.4375</v>
      </c>
      <c r="BU1566" s="2" t="s">
        <v>1750</v>
      </c>
      <c r="BV1566" s="2" t="s">
        <v>111</v>
      </c>
      <c r="BW1566" s="2"/>
      <c r="BX1566" s="2"/>
      <c r="BY1566" s="2">
        <v>7320.78</v>
      </c>
      <c r="BZ1566" s="2" t="s">
        <v>27</v>
      </c>
      <c r="CA1566" s="2"/>
      <c r="CB1566" s="2"/>
      <c r="CC1566" s="2" t="s">
        <v>75</v>
      </c>
      <c r="CD1566" s="2">
        <v>1645</v>
      </c>
      <c r="CE1566" s="2" t="s">
        <v>118</v>
      </c>
      <c r="CF1566" s="5">
        <v>42838</v>
      </c>
      <c r="CG1566" s="2"/>
      <c r="CH1566" s="2"/>
      <c r="CI1566" s="2">
        <v>1</v>
      </c>
      <c r="CJ1566" s="2">
        <v>1</v>
      </c>
      <c r="CK1566" s="2">
        <v>22</v>
      </c>
      <c r="CL1566" s="2" t="s">
        <v>86</v>
      </c>
      <c r="CM1566" s="2"/>
    </row>
    <row r="1567" spans="1:91">
      <c r="A1567" s="2" t="s">
        <v>71</v>
      </c>
      <c r="B1567" s="2" t="s">
        <v>72</v>
      </c>
      <c r="C1567" s="2" t="s">
        <v>73</v>
      </c>
      <c r="D1567" s="2"/>
      <c r="E1567" s="2" t="str">
        <f>"FES1162542684"</f>
        <v>FES1162542684</v>
      </c>
      <c r="F1567" s="3">
        <v>42835</v>
      </c>
      <c r="G1567" s="2">
        <v>201710</v>
      </c>
      <c r="H1567" s="2" t="s">
        <v>74</v>
      </c>
      <c r="I1567" s="2" t="s">
        <v>75</v>
      </c>
      <c r="J1567" s="2" t="s">
        <v>76</v>
      </c>
      <c r="K1567" s="2" t="s">
        <v>77</v>
      </c>
      <c r="L1567" s="2" t="s">
        <v>474</v>
      </c>
      <c r="M1567" s="2" t="s">
        <v>475</v>
      </c>
      <c r="N1567" s="2" t="s">
        <v>476</v>
      </c>
      <c r="O1567" s="2" t="s">
        <v>115</v>
      </c>
      <c r="P1567" s="2" t="str">
        <f>"2170561561                    "</f>
        <v xml:space="preserve">2170561561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4.29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1</v>
      </c>
      <c r="BJ1567" s="2">
        <v>0.2</v>
      </c>
      <c r="BK1567" s="2">
        <v>1</v>
      </c>
      <c r="BL1567" s="2">
        <v>41.73</v>
      </c>
      <c r="BM1567" s="2">
        <v>5.84</v>
      </c>
      <c r="BN1567" s="2">
        <v>47.57</v>
      </c>
      <c r="BO1567" s="2">
        <v>47.57</v>
      </c>
      <c r="BP1567" s="2"/>
      <c r="BQ1567" s="2" t="s">
        <v>116</v>
      </c>
      <c r="BR1567" s="2" t="s">
        <v>123</v>
      </c>
      <c r="BS1567" s="3">
        <v>42836</v>
      </c>
      <c r="BT1567" s="4">
        <v>0.63541666666666663</v>
      </c>
      <c r="BU1567" s="2" t="s">
        <v>2086</v>
      </c>
      <c r="BV1567" s="2" t="s">
        <v>111</v>
      </c>
      <c r="BW1567" s="2"/>
      <c r="BX1567" s="2"/>
      <c r="BY1567" s="2">
        <v>1200</v>
      </c>
      <c r="BZ1567" s="2" t="s">
        <v>27</v>
      </c>
      <c r="CA1567" s="2"/>
      <c r="CB1567" s="2"/>
      <c r="CC1567" s="2" t="s">
        <v>475</v>
      </c>
      <c r="CD1567" s="2">
        <v>3280</v>
      </c>
      <c r="CE1567" s="2" t="s">
        <v>118</v>
      </c>
      <c r="CF1567" s="5">
        <v>42837</v>
      </c>
      <c r="CG1567" s="2"/>
      <c r="CH1567" s="2"/>
      <c r="CI1567" s="2">
        <v>1</v>
      </c>
      <c r="CJ1567" s="2">
        <v>1</v>
      </c>
      <c r="CK1567" s="2">
        <v>21</v>
      </c>
      <c r="CL1567" s="2" t="s">
        <v>86</v>
      </c>
      <c r="CM1567" s="2"/>
    </row>
    <row r="1568" spans="1:91">
      <c r="A1568" s="2" t="s">
        <v>71</v>
      </c>
      <c r="B1568" s="2" t="s">
        <v>72</v>
      </c>
      <c r="C1568" s="2" t="s">
        <v>73</v>
      </c>
      <c r="D1568" s="2"/>
      <c r="E1568" s="2" t="str">
        <f>"FES1162542655"</f>
        <v>FES1162542655</v>
      </c>
      <c r="F1568" s="3">
        <v>42835</v>
      </c>
      <c r="G1568" s="2">
        <v>201710</v>
      </c>
      <c r="H1568" s="2" t="s">
        <v>74</v>
      </c>
      <c r="I1568" s="2" t="s">
        <v>75</v>
      </c>
      <c r="J1568" s="2" t="s">
        <v>76</v>
      </c>
      <c r="K1568" s="2" t="s">
        <v>77</v>
      </c>
      <c r="L1568" s="2" t="s">
        <v>299</v>
      </c>
      <c r="M1568" s="2" t="s">
        <v>300</v>
      </c>
      <c r="N1568" s="2" t="s">
        <v>301</v>
      </c>
      <c r="O1568" s="2" t="s">
        <v>115</v>
      </c>
      <c r="P1568" s="2" t="str">
        <f>"2170561519                    "</f>
        <v xml:space="preserve">2170561519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6.03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58.68</v>
      </c>
      <c r="BM1568" s="2">
        <v>8.2200000000000006</v>
      </c>
      <c r="BN1568" s="2">
        <v>66.900000000000006</v>
      </c>
      <c r="BO1568" s="2">
        <v>66.900000000000006</v>
      </c>
      <c r="BP1568" s="2"/>
      <c r="BQ1568" s="2" t="s">
        <v>302</v>
      </c>
      <c r="BR1568" s="2" t="s">
        <v>123</v>
      </c>
      <c r="BS1568" s="3">
        <v>42836</v>
      </c>
      <c r="BT1568" s="4">
        <v>0.49861111111111112</v>
      </c>
      <c r="BU1568" s="2" t="s">
        <v>2087</v>
      </c>
      <c r="BV1568" s="2" t="s">
        <v>111</v>
      </c>
      <c r="BW1568" s="2"/>
      <c r="BX1568" s="2"/>
      <c r="BY1568" s="2">
        <v>1200</v>
      </c>
      <c r="BZ1568" s="2" t="s">
        <v>27</v>
      </c>
      <c r="CA1568" s="2"/>
      <c r="CB1568" s="2"/>
      <c r="CC1568" s="2" t="s">
        <v>300</v>
      </c>
      <c r="CD1568" s="2">
        <v>208</v>
      </c>
      <c r="CE1568" s="2" t="s">
        <v>118</v>
      </c>
      <c r="CF1568" s="5">
        <v>42838</v>
      </c>
      <c r="CG1568" s="2"/>
      <c r="CH1568" s="2"/>
      <c r="CI1568" s="2">
        <v>0</v>
      </c>
      <c r="CJ1568" s="2">
        <v>0</v>
      </c>
      <c r="CK1568" s="2">
        <v>24</v>
      </c>
      <c r="CL1568" s="2" t="s">
        <v>86</v>
      </c>
      <c r="CM1568" s="2"/>
    </row>
    <row r="1569" spans="1:91">
      <c r="A1569" s="2" t="s">
        <v>71</v>
      </c>
      <c r="B1569" s="2" t="s">
        <v>72</v>
      </c>
      <c r="C1569" s="2" t="s">
        <v>73</v>
      </c>
      <c r="D1569" s="2"/>
      <c r="E1569" s="2" t="str">
        <f>"FES1162542707"</f>
        <v>FES1162542707</v>
      </c>
      <c r="F1569" s="3">
        <v>42835</v>
      </c>
      <c r="G1569" s="2">
        <v>201710</v>
      </c>
      <c r="H1569" s="2" t="s">
        <v>74</v>
      </c>
      <c r="I1569" s="2" t="s">
        <v>75</v>
      </c>
      <c r="J1569" s="2" t="s">
        <v>76</v>
      </c>
      <c r="K1569" s="2" t="s">
        <v>77</v>
      </c>
      <c r="L1569" s="2" t="s">
        <v>99</v>
      </c>
      <c r="M1569" s="2" t="s">
        <v>100</v>
      </c>
      <c r="N1569" s="2" t="s">
        <v>384</v>
      </c>
      <c r="O1569" s="2" t="s">
        <v>115</v>
      </c>
      <c r="P1569" s="2" t="str">
        <f>"2170561588                    "</f>
        <v xml:space="preserve">2170561588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8.57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3</v>
      </c>
      <c r="BJ1569" s="2">
        <v>3.8</v>
      </c>
      <c r="BK1569" s="2">
        <v>4</v>
      </c>
      <c r="BL1569" s="2">
        <v>83.45</v>
      </c>
      <c r="BM1569" s="2">
        <v>11.68</v>
      </c>
      <c r="BN1569" s="2">
        <v>95.13</v>
      </c>
      <c r="BO1569" s="2">
        <v>95.13</v>
      </c>
      <c r="BP1569" s="2"/>
      <c r="BQ1569" s="2" t="s">
        <v>129</v>
      </c>
      <c r="BR1569" s="2" t="s">
        <v>123</v>
      </c>
      <c r="BS1569" s="3">
        <v>42836</v>
      </c>
      <c r="BT1569" s="4">
        <v>0.31944444444444448</v>
      </c>
      <c r="BU1569" s="2" t="s">
        <v>576</v>
      </c>
      <c r="BV1569" s="2" t="s">
        <v>111</v>
      </c>
      <c r="BW1569" s="2"/>
      <c r="BX1569" s="2"/>
      <c r="BY1569" s="2">
        <v>18889.04</v>
      </c>
      <c r="BZ1569" s="2" t="s">
        <v>27</v>
      </c>
      <c r="CA1569" s="2" t="s">
        <v>154</v>
      </c>
      <c r="CB1569" s="2"/>
      <c r="CC1569" s="2" t="s">
        <v>100</v>
      </c>
      <c r="CD1569" s="2">
        <v>6020</v>
      </c>
      <c r="CE1569" s="2" t="s">
        <v>172</v>
      </c>
      <c r="CF1569" s="5">
        <v>42836</v>
      </c>
      <c r="CG1569" s="2"/>
      <c r="CH1569" s="2"/>
      <c r="CI1569" s="2">
        <v>1</v>
      </c>
      <c r="CJ1569" s="2">
        <v>1</v>
      </c>
      <c r="CK1569" s="2">
        <v>21</v>
      </c>
      <c r="CL1569" s="2" t="s">
        <v>86</v>
      </c>
      <c r="CM1569" s="2"/>
    </row>
    <row r="1570" spans="1:91">
      <c r="A1570" s="2" t="s">
        <v>71</v>
      </c>
      <c r="B1570" s="2" t="s">
        <v>72</v>
      </c>
      <c r="C1570" s="2" t="s">
        <v>73</v>
      </c>
      <c r="D1570" s="2"/>
      <c r="E1570" s="2" t="str">
        <f>"FES1162542623"</f>
        <v>FES1162542623</v>
      </c>
      <c r="F1570" s="3">
        <v>42835</v>
      </c>
      <c r="G1570" s="2">
        <v>201710</v>
      </c>
      <c r="H1570" s="2" t="s">
        <v>74</v>
      </c>
      <c r="I1570" s="2" t="s">
        <v>75</v>
      </c>
      <c r="J1570" s="2" t="s">
        <v>76</v>
      </c>
      <c r="K1570" s="2" t="s">
        <v>77</v>
      </c>
      <c r="L1570" s="2" t="s">
        <v>91</v>
      </c>
      <c r="M1570" s="2" t="s">
        <v>92</v>
      </c>
      <c r="N1570" s="2" t="s">
        <v>1411</v>
      </c>
      <c r="O1570" s="2" t="s">
        <v>115</v>
      </c>
      <c r="P1570" s="2" t="str">
        <f>"2170561482                    "</f>
        <v xml:space="preserve">2170561482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3.35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1</v>
      </c>
      <c r="BJ1570" s="2">
        <v>0.2</v>
      </c>
      <c r="BK1570" s="2">
        <v>1</v>
      </c>
      <c r="BL1570" s="2">
        <v>32.6</v>
      </c>
      <c r="BM1570" s="2">
        <v>4.5599999999999996</v>
      </c>
      <c r="BN1570" s="2">
        <v>37.159999999999997</v>
      </c>
      <c r="BO1570" s="2">
        <v>37.159999999999997</v>
      </c>
      <c r="BP1570" s="2"/>
      <c r="BQ1570" s="2" t="s">
        <v>1412</v>
      </c>
      <c r="BR1570" s="2" t="s">
        <v>123</v>
      </c>
      <c r="BS1570" s="3">
        <v>42836</v>
      </c>
      <c r="BT1570" s="4">
        <v>0.41666666666666669</v>
      </c>
      <c r="BU1570" s="2" t="s">
        <v>841</v>
      </c>
      <c r="BV1570" s="2" t="s">
        <v>111</v>
      </c>
      <c r="BW1570" s="2"/>
      <c r="BX1570" s="2"/>
      <c r="BY1570" s="2">
        <v>1200</v>
      </c>
      <c r="BZ1570" s="2" t="s">
        <v>27</v>
      </c>
      <c r="CA1570" s="2"/>
      <c r="CB1570" s="2"/>
      <c r="CC1570" s="2" t="s">
        <v>92</v>
      </c>
      <c r="CD1570" s="2">
        <v>1422</v>
      </c>
      <c r="CE1570" s="2" t="s">
        <v>118</v>
      </c>
      <c r="CF1570" s="5">
        <v>42838</v>
      </c>
      <c r="CG1570" s="2"/>
      <c r="CH1570" s="2"/>
      <c r="CI1570" s="2">
        <v>1</v>
      </c>
      <c r="CJ1570" s="2">
        <v>1</v>
      </c>
      <c r="CK1570" s="2">
        <v>22</v>
      </c>
      <c r="CL1570" s="2" t="s">
        <v>86</v>
      </c>
      <c r="CM1570" s="2"/>
    </row>
    <row r="1571" spans="1:91">
      <c r="A1571" s="2" t="s">
        <v>71</v>
      </c>
      <c r="B1571" s="2" t="s">
        <v>72</v>
      </c>
      <c r="C1571" s="2" t="s">
        <v>73</v>
      </c>
      <c r="D1571" s="2"/>
      <c r="E1571" s="2" t="str">
        <f>"FES1162542612"</f>
        <v>FES1162542612</v>
      </c>
      <c r="F1571" s="3">
        <v>42835</v>
      </c>
      <c r="G1571" s="2">
        <v>201710</v>
      </c>
      <c r="H1571" s="2" t="s">
        <v>74</v>
      </c>
      <c r="I1571" s="2" t="s">
        <v>75</v>
      </c>
      <c r="J1571" s="2" t="s">
        <v>76</v>
      </c>
      <c r="K1571" s="2" t="s">
        <v>77</v>
      </c>
      <c r="L1571" s="2" t="s">
        <v>166</v>
      </c>
      <c r="M1571" s="2" t="s">
        <v>167</v>
      </c>
      <c r="N1571" s="2" t="s">
        <v>1177</v>
      </c>
      <c r="O1571" s="2" t="s">
        <v>115</v>
      </c>
      <c r="P1571" s="2" t="str">
        <f>"2170561474                    "</f>
        <v xml:space="preserve">2170561474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3.35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1</v>
      </c>
      <c r="BJ1571" s="2">
        <v>0.2</v>
      </c>
      <c r="BK1571" s="2">
        <v>1</v>
      </c>
      <c r="BL1571" s="2">
        <v>32.6</v>
      </c>
      <c r="BM1571" s="2">
        <v>4.5599999999999996</v>
      </c>
      <c r="BN1571" s="2">
        <v>37.159999999999997</v>
      </c>
      <c r="BO1571" s="2">
        <v>37.159999999999997</v>
      </c>
      <c r="BP1571" s="2"/>
      <c r="BQ1571" s="2" t="s">
        <v>1178</v>
      </c>
      <c r="BR1571" s="2" t="s">
        <v>123</v>
      </c>
      <c r="BS1571" s="3">
        <v>42836</v>
      </c>
      <c r="BT1571" s="4">
        <v>0.4375</v>
      </c>
      <c r="BU1571" s="2" t="s">
        <v>1179</v>
      </c>
      <c r="BV1571" s="2" t="s">
        <v>111</v>
      </c>
      <c r="BW1571" s="2"/>
      <c r="BX1571" s="2"/>
      <c r="BY1571" s="2">
        <v>1200</v>
      </c>
      <c r="BZ1571" s="2" t="s">
        <v>27</v>
      </c>
      <c r="CA1571" s="2"/>
      <c r="CB1571" s="2"/>
      <c r="CC1571" s="2" t="s">
        <v>167</v>
      </c>
      <c r="CD1571" s="2">
        <v>2093</v>
      </c>
      <c r="CE1571" s="2" t="s">
        <v>118</v>
      </c>
      <c r="CF1571" s="5">
        <v>42838</v>
      </c>
      <c r="CG1571" s="2"/>
      <c r="CH1571" s="2"/>
      <c r="CI1571" s="2">
        <v>1</v>
      </c>
      <c r="CJ1571" s="2">
        <v>1</v>
      </c>
      <c r="CK1571" s="2">
        <v>22</v>
      </c>
      <c r="CL1571" s="2" t="s">
        <v>86</v>
      </c>
      <c r="CM1571" s="2"/>
    </row>
    <row r="1572" spans="1:91">
      <c r="A1572" s="2" t="s">
        <v>71</v>
      </c>
      <c r="B1572" s="2" t="s">
        <v>72</v>
      </c>
      <c r="C1572" s="2" t="s">
        <v>73</v>
      </c>
      <c r="D1572" s="2"/>
      <c r="E1572" s="2" t="str">
        <f>"FES1162542628"</f>
        <v>FES1162542628</v>
      </c>
      <c r="F1572" s="3">
        <v>42835</v>
      </c>
      <c r="G1572" s="2">
        <v>201710</v>
      </c>
      <c r="H1572" s="2" t="s">
        <v>74</v>
      </c>
      <c r="I1572" s="2" t="s">
        <v>75</v>
      </c>
      <c r="J1572" s="2" t="s">
        <v>76</v>
      </c>
      <c r="K1572" s="2" t="s">
        <v>77</v>
      </c>
      <c r="L1572" s="2" t="s">
        <v>166</v>
      </c>
      <c r="M1572" s="2" t="s">
        <v>167</v>
      </c>
      <c r="N1572" s="2" t="s">
        <v>168</v>
      </c>
      <c r="O1572" s="2" t="s">
        <v>115</v>
      </c>
      <c r="P1572" s="2" t="str">
        <f>"2170561488                    "</f>
        <v xml:space="preserve">2170561488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3.35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1</v>
      </c>
      <c r="BJ1572" s="2">
        <v>0.2</v>
      </c>
      <c r="BK1572" s="2">
        <v>1</v>
      </c>
      <c r="BL1572" s="2">
        <v>32.6</v>
      </c>
      <c r="BM1572" s="2">
        <v>4.5599999999999996</v>
      </c>
      <c r="BN1572" s="2">
        <v>37.159999999999997</v>
      </c>
      <c r="BO1572" s="2">
        <v>37.159999999999997</v>
      </c>
      <c r="BP1572" s="2"/>
      <c r="BQ1572" s="2" t="s">
        <v>169</v>
      </c>
      <c r="BR1572" s="2" t="s">
        <v>123</v>
      </c>
      <c r="BS1572" s="3">
        <v>42836</v>
      </c>
      <c r="BT1572" s="4">
        <v>0.40763888888888888</v>
      </c>
      <c r="BU1572" s="2" t="s">
        <v>170</v>
      </c>
      <c r="BV1572" s="2" t="s">
        <v>111</v>
      </c>
      <c r="BW1572" s="2"/>
      <c r="BX1572" s="2"/>
      <c r="BY1572" s="2">
        <v>1200</v>
      </c>
      <c r="BZ1572" s="2" t="s">
        <v>27</v>
      </c>
      <c r="CA1572" s="2" t="s">
        <v>171</v>
      </c>
      <c r="CB1572" s="2"/>
      <c r="CC1572" s="2" t="s">
        <v>167</v>
      </c>
      <c r="CD1572" s="2">
        <v>2094</v>
      </c>
      <c r="CE1572" s="2" t="s">
        <v>118</v>
      </c>
      <c r="CF1572" s="5">
        <v>42836</v>
      </c>
      <c r="CG1572" s="2"/>
      <c r="CH1572" s="2"/>
      <c r="CI1572" s="2">
        <v>1</v>
      </c>
      <c r="CJ1572" s="2">
        <v>1</v>
      </c>
      <c r="CK1572" s="2">
        <v>22</v>
      </c>
      <c r="CL1572" s="2" t="s">
        <v>86</v>
      </c>
      <c r="CM1572" s="2"/>
    </row>
    <row r="1573" spans="1:91">
      <c r="A1573" s="2" t="s">
        <v>71</v>
      </c>
      <c r="B1573" s="2" t="s">
        <v>72</v>
      </c>
      <c r="C1573" s="2" t="s">
        <v>73</v>
      </c>
      <c r="D1573" s="2"/>
      <c r="E1573" s="2" t="str">
        <f>"FES1162542686"</f>
        <v>FES1162542686</v>
      </c>
      <c r="F1573" s="3">
        <v>42835</v>
      </c>
      <c r="G1573" s="2">
        <v>201710</v>
      </c>
      <c r="H1573" s="2" t="s">
        <v>74</v>
      </c>
      <c r="I1573" s="2" t="s">
        <v>75</v>
      </c>
      <c r="J1573" s="2" t="s">
        <v>76</v>
      </c>
      <c r="K1573" s="2" t="s">
        <v>77</v>
      </c>
      <c r="L1573" s="2" t="s">
        <v>180</v>
      </c>
      <c r="M1573" s="2" t="s">
        <v>181</v>
      </c>
      <c r="N1573" s="2" t="s">
        <v>424</v>
      </c>
      <c r="O1573" s="2" t="s">
        <v>115</v>
      </c>
      <c r="P1573" s="2" t="str">
        <f>"2170561563                    "</f>
        <v xml:space="preserve">2170561563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4.29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1.3</v>
      </c>
      <c r="BJ1573" s="2">
        <v>1.8</v>
      </c>
      <c r="BK1573" s="2">
        <v>2</v>
      </c>
      <c r="BL1573" s="2">
        <v>41.73</v>
      </c>
      <c r="BM1573" s="2">
        <v>5.84</v>
      </c>
      <c r="BN1573" s="2">
        <v>47.57</v>
      </c>
      <c r="BO1573" s="2">
        <v>47.57</v>
      </c>
      <c r="BP1573" s="2"/>
      <c r="BQ1573" s="2" t="s">
        <v>425</v>
      </c>
      <c r="BR1573" s="2" t="s">
        <v>123</v>
      </c>
      <c r="BS1573" s="3">
        <v>42836</v>
      </c>
      <c r="BT1573" s="4">
        <v>0.4375</v>
      </c>
      <c r="BU1573" s="2" t="s">
        <v>2010</v>
      </c>
      <c r="BV1573" s="2" t="s">
        <v>111</v>
      </c>
      <c r="BW1573" s="2"/>
      <c r="BX1573" s="2"/>
      <c r="BY1573" s="2">
        <v>9129.2900000000009</v>
      </c>
      <c r="BZ1573" s="2" t="s">
        <v>27</v>
      </c>
      <c r="CA1573" s="2" t="s">
        <v>159</v>
      </c>
      <c r="CB1573" s="2"/>
      <c r="CC1573" s="2" t="s">
        <v>181</v>
      </c>
      <c r="CD1573" s="2">
        <v>4001</v>
      </c>
      <c r="CE1573" s="2" t="s">
        <v>118</v>
      </c>
      <c r="CF1573" s="5">
        <v>42837</v>
      </c>
      <c r="CG1573" s="2"/>
      <c r="CH1573" s="2"/>
      <c r="CI1573" s="2">
        <v>1</v>
      </c>
      <c r="CJ1573" s="2">
        <v>1</v>
      </c>
      <c r="CK1573" s="2">
        <v>21</v>
      </c>
      <c r="CL1573" s="2" t="s">
        <v>86</v>
      </c>
      <c r="CM1573" s="2"/>
    </row>
    <row r="1574" spans="1:91">
      <c r="A1574" s="2" t="s">
        <v>71</v>
      </c>
      <c r="B1574" s="2" t="s">
        <v>72</v>
      </c>
      <c r="C1574" s="2" t="s">
        <v>73</v>
      </c>
      <c r="D1574" s="2"/>
      <c r="E1574" s="2" t="str">
        <f>"FES1162542719"</f>
        <v>FES1162542719</v>
      </c>
      <c r="F1574" s="3">
        <v>42835</v>
      </c>
      <c r="G1574" s="2">
        <v>201710</v>
      </c>
      <c r="H1574" s="2" t="s">
        <v>74</v>
      </c>
      <c r="I1574" s="2" t="s">
        <v>75</v>
      </c>
      <c r="J1574" s="2" t="s">
        <v>76</v>
      </c>
      <c r="K1574" s="2" t="s">
        <v>77</v>
      </c>
      <c r="L1574" s="2" t="s">
        <v>180</v>
      </c>
      <c r="M1574" s="2" t="s">
        <v>181</v>
      </c>
      <c r="N1574" s="2" t="s">
        <v>1270</v>
      </c>
      <c r="O1574" s="2" t="s">
        <v>115</v>
      </c>
      <c r="P1574" s="2" t="str">
        <f>"2170561602                    "</f>
        <v xml:space="preserve">2170561602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4.29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1.4</v>
      </c>
      <c r="BJ1574" s="2">
        <v>0.9</v>
      </c>
      <c r="BK1574" s="2">
        <v>1.5</v>
      </c>
      <c r="BL1574" s="2">
        <v>41.73</v>
      </c>
      <c r="BM1574" s="2">
        <v>5.84</v>
      </c>
      <c r="BN1574" s="2">
        <v>47.57</v>
      </c>
      <c r="BO1574" s="2">
        <v>47.57</v>
      </c>
      <c r="BP1574" s="2"/>
      <c r="BQ1574" s="2" t="s">
        <v>122</v>
      </c>
      <c r="BR1574" s="2" t="s">
        <v>123</v>
      </c>
      <c r="BS1574" s="3">
        <v>42836</v>
      </c>
      <c r="BT1574" s="4">
        <v>0.41666666666666669</v>
      </c>
      <c r="BU1574" s="2" t="s">
        <v>2088</v>
      </c>
      <c r="BV1574" s="2" t="s">
        <v>111</v>
      </c>
      <c r="BW1574" s="2"/>
      <c r="BX1574" s="2"/>
      <c r="BY1574" s="2">
        <v>4368.67</v>
      </c>
      <c r="BZ1574" s="2" t="s">
        <v>27</v>
      </c>
      <c r="CA1574" s="2"/>
      <c r="CB1574" s="2"/>
      <c r="CC1574" s="2" t="s">
        <v>181</v>
      </c>
      <c r="CD1574" s="2">
        <v>4052</v>
      </c>
      <c r="CE1574" s="2" t="s">
        <v>172</v>
      </c>
      <c r="CF1574" s="5">
        <v>42837</v>
      </c>
      <c r="CG1574" s="2"/>
      <c r="CH1574" s="2"/>
      <c r="CI1574" s="2">
        <v>1</v>
      </c>
      <c r="CJ1574" s="2">
        <v>1</v>
      </c>
      <c r="CK1574" s="2">
        <v>21</v>
      </c>
      <c r="CL1574" s="2" t="s">
        <v>86</v>
      </c>
      <c r="CM1574" s="2"/>
    </row>
    <row r="1575" spans="1:91">
      <c r="A1575" s="2" t="s">
        <v>71</v>
      </c>
      <c r="B1575" s="2" t="s">
        <v>72</v>
      </c>
      <c r="C1575" s="2" t="s">
        <v>73</v>
      </c>
      <c r="D1575" s="2"/>
      <c r="E1575" s="2" t="str">
        <f>"FES1162542688"</f>
        <v>FES1162542688</v>
      </c>
      <c r="F1575" s="3">
        <v>42835</v>
      </c>
      <c r="G1575" s="2">
        <v>201710</v>
      </c>
      <c r="H1575" s="2" t="s">
        <v>74</v>
      </c>
      <c r="I1575" s="2" t="s">
        <v>75</v>
      </c>
      <c r="J1575" s="2" t="s">
        <v>76</v>
      </c>
      <c r="K1575" s="2" t="s">
        <v>77</v>
      </c>
      <c r="L1575" s="2" t="s">
        <v>190</v>
      </c>
      <c r="M1575" s="2" t="s">
        <v>191</v>
      </c>
      <c r="N1575" s="2" t="s">
        <v>192</v>
      </c>
      <c r="O1575" s="2" t="s">
        <v>115</v>
      </c>
      <c r="P1575" s="2" t="str">
        <f>"2170561566                    "</f>
        <v xml:space="preserve">2170561566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6.03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2</v>
      </c>
      <c r="BJ1575" s="2">
        <v>1</v>
      </c>
      <c r="BK1575" s="2">
        <v>2</v>
      </c>
      <c r="BL1575" s="2">
        <v>58.68</v>
      </c>
      <c r="BM1575" s="2">
        <v>8.2200000000000006</v>
      </c>
      <c r="BN1575" s="2">
        <v>66.900000000000006</v>
      </c>
      <c r="BO1575" s="2">
        <v>66.900000000000006</v>
      </c>
      <c r="BP1575" s="2"/>
      <c r="BQ1575" s="2" t="s">
        <v>193</v>
      </c>
      <c r="BR1575" s="2" t="s">
        <v>123</v>
      </c>
      <c r="BS1575" s="3">
        <v>42836</v>
      </c>
      <c r="BT1575" s="4">
        <v>0.40833333333333338</v>
      </c>
      <c r="BU1575" s="2" t="s">
        <v>194</v>
      </c>
      <c r="BV1575" s="2" t="s">
        <v>111</v>
      </c>
      <c r="BW1575" s="2"/>
      <c r="BX1575" s="2"/>
      <c r="BY1575" s="2">
        <v>5026.17</v>
      </c>
      <c r="BZ1575" s="2" t="s">
        <v>27</v>
      </c>
      <c r="CA1575" s="2"/>
      <c r="CB1575" s="2"/>
      <c r="CC1575" s="2" t="s">
        <v>191</v>
      </c>
      <c r="CD1575" s="2">
        <v>1739</v>
      </c>
      <c r="CE1575" s="2" t="s">
        <v>89</v>
      </c>
      <c r="CF1575" s="5">
        <v>42838</v>
      </c>
      <c r="CG1575" s="2"/>
      <c r="CH1575" s="2"/>
      <c r="CI1575" s="2">
        <v>1</v>
      </c>
      <c r="CJ1575" s="2">
        <v>1</v>
      </c>
      <c r="CK1575" s="2">
        <v>24</v>
      </c>
      <c r="CL1575" s="2" t="s">
        <v>86</v>
      </c>
      <c r="CM1575" s="2"/>
    </row>
    <row r="1576" spans="1:91">
      <c r="A1576" s="2" t="s">
        <v>71</v>
      </c>
      <c r="B1576" s="2" t="s">
        <v>72</v>
      </c>
      <c r="C1576" s="2" t="s">
        <v>73</v>
      </c>
      <c r="D1576" s="2"/>
      <c r="E1576" s="2" t="str">
        <f>"FES1162542716"</f>
        <v>FES1162542716</v>
      </c>
      <c r="F1576" s="3">
        <v>42835</v>
      </c>
      <c r="G1576" s="2">
        <v>201710</v>
      </c>
      <c r="H1576" s="2" t="s">
        <v>74</v>
      </c>
      <c r="I1576" s="2" t="s">
        <v>75</v>
      </c>
      <c r="J1576" s="2" t="s">
        <v>76</v>
      </c>
      <c r="K1576" s="2" t="s">
        <v>77</v>
      </c>
      <c r="L1576" s="2" t="s">
        <v>99</v>
      </c>
      <c r="M1576" s="2" t="s">
        <v>100</v>
      </c>
      <c r="N1576" s="2" t="s">
        <v>671</v>
      </c>
      <c r="O1576" s="2" t="s">
        <v>115</v>
      </c>
      <c r="P1576" s="2" t="str">
        <f>"2170561597                    "</f>
        <v xml:space="preserve">2170561597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4.29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1</v>
      </c>
      <c r="BJ1576" s="2">
        <v>0.2</v>
      </c>
      <c r="BK1576" s="2">
        <v>1</v>
      </c>
      <c r="BL1576" s="2">
        <v>41.73</v>
      </c>
      <c r="BM1576" s="2">
        <v>5.84</v>
      </c>
      <c r="BN1576" s="2">
        <v>47.57</v>
      </c>
      <c r="BO1576" s="2">
        <v>47.57</v>
      </c>
      <c r="BP1576" s="2"/>
      <c r="BQ1576" s="2" t="s">
        <v>672</v>
      </c>
      <c r="BR1576" s="2" t="s">
        <v>123</v>
      </c>
      <c r="BS1576" s="3">
        <v>42836</v>
      </c>
      <c r="BT1576" s="4">
        <v>0.33402777777777781</v>
      </c>
      <c r="BU1576" s="2" t="s">
        <v>672</v>
      </c>
      <c r="BV1576" s="2" t="s">
        <v>111</v>
      </c>
      <c r="BW1576" s="2"/>
      <c r="BX1576" s="2"/>
      <c r="BY1576" s="2">
        <v>1200</v>
      </c>
      <c r="BZ1576" s="2" t="s">
        <v>27</v>
      </c>
      <c r="CA1576" s="2" t="s">
        <v>106</v>
      </c>
      <c r="CB1576" s="2"/>
      <c r="CC1576" s="2" t="s">
        <v>100</v>
      </c>
      <c r="CD1576" s="2">
        <v>6001</v>
      </c>
      <c r="CE1576" s="2" t="s">
        <v>118</v>
      </c>
      <c r="CF1576" s="5">
        <v>42836</v>
      </c>
      <c r="CG1576" s="2"/>
      <c r="CH1576" s="2"/>
      <c r="CI1576" s="2">
        <v>1</v>
      </c>
      <c r="CJ1576" s="2">
        <v>1</v>
      </c>
      <c r="CK1576" s="2">
        <v>21</v>
      </c>
      <c r="CL1576" s="2" t="s">
        <v>86</v>
      </c>
      <c r="CM1576" s="2"/>
    </row>
    <row r="1577" spans="1:91">
      <c r="A1577" s="2" t="s">
        <v>71</v>
      </c>
      <c r="B1577" s="2" t="s">
        <v>72</v>
      </c>
      <c r="C1577" s="2" t="s">
        <v>73</v>
      </c>
      <c r="D1577" s="2"/>
      <c r="E1577" s="2" t="str">
        <f>"FES1162542718"</f>
        <v>FES1162542718</v>
      </c>
      <c r="F1577" s="3">
        <v>42835</v>
      </c>
      <c r="G1577" s="2">
        <v>201710</v>
      </c>
      <c r="H1577" s="2" t="s">
        <v>74</v>
      </c>
      <c r="I1577" s="2" t="s">
        <v>75</v>
      </c>
      <c r="J1577" s="2" t="s">
        <v>76</v>
      </c>
      <c r="K1577" s="2" t="s">
        <v>77</v>
      </c>
      <c r="L1577" s="2" t="s">
        <v>99</v>
      </c>
      <c r="M1577" s="2" t="s">
        <v>100</v>
      </c>
      <c r="N1577" s="2" t="s">
        <v>2089</v>
      </c>
      <c r="O1577" s="2" t="s">
        <v>115</v>
      </c>
      <c r="P1577" s="2" t="str">
        <f>"2170561599                    "</f>
        <v xml:space="preserve">2170561599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4.29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1</v>
      </c>
      <c r="BJ1577" s="2">
        <v>0.2</v>
      </c>
      <c r="BK1577" s="2">
        <v>1</v>
      </c>
      <c r="BL1577" s="2">
        <v>41.73</v>
      </c>
      <c r="BM1577" s="2">
        <v>5.84</v>
      </c>
      <c r="BN1577" s="2">
        <v>47.57</v>
      </c>
      <c r="BO1577" s="2">
        <v>47.57</v>
      </c>
      <c r="BP1577" s="2"/>
      <c r="BQ1577" s="2" t="s">
        <v>2090</v>
      </c>
      <c r="BR1577" s="2" t="s">
        <v>123</v>
      </c>
      <c r="BS1577" s="3">
        <v>42836</v>
      </c>
      <c r="BT1577" s="4">
        <v>0.32777777777777778</v>
      </c>
      <c r="BU1577" s="2" t="s">
        <v>2091</v>
      </c>
      <c r="BV1577" s="2" t="s">
        <v>111</v>
      </c>
      <c r="BW1577" s="2"/>
      <c r="BX1577" s="2"/>
      <c r="BY1577" s="2">
        <v>1200</v>
      </c>
      <c r="BZ1577" s="2" t="s">
        <v>27</v>
      </c>
      <c r="CA1577" s="2" t="s">
        <v>154</v>
      </c>
      <c r="CB1577" s="2"/>
      <c r="CC1577" s="2" t="s">
        <v>100</v>
      </c>
      <c r="CD1577" s="2">
        <v>6001</v>
      </c>
      <c r="CE1577" s="2" t="s">
        <v>118</v>
      </c>
      <c r="CF1577" s="5">
        <v>42836</v>
      </c>
      <c r="CG1577" s="2"/>
      <c r="CH1577" s="2"/>
      <c r="CI1577" s="2">
        <v>1</v>
      </c>
      <c r="CJ1577" s="2">
        <v>1</v>
      </c>
      <c r="CK1577" s="2">
        <v>21</v>
      </c>
      <c r="CL1577" s="2" t="s">
        <v>86</v>
      </c>
      <c r="CM1577" s="2"/>
    </row>
    <row r="1578" spans="1:91">
      <c r="A1578" s="2" t="s">
        <v>71</v>
      </c>
      <c r="B1578" s="2" t="s">
        <v>72</v>
      </c>
      <c r="C1578" s="2" t="s">
        <v>73</v>
      </c>
      <c r="D1578" s="2"/>
      <c r="E1578" s="2" t="str">
        <f>"FES1162542731"</f>
        <v>FES1162542731</v>
      </c>
      <c r="F1578" s="3">
        <v>42835</v>
      </c>
      <c r="G1578" s="2">
        <v>201710</v>
      </c>
      <c r="H1578" s="2" t="s">
        <v>74</v>
      </c>
      <c r="I1578" s="2" t="s">
        <v>75</v>
      </c>
      <c r="J1578" s="2" t="s">
        <v>76</v>
      </c>
      <c r="K1578" s="2" t="s">
        <v>77</v>
      </c>
      <c r="L1578" s="2" t="s">
        <v>294</v>
      </c>
      <c r="M1578" s="2" t="s">
        <v>295</v>
      </c>
      <c r="N1578" s="2" t="s">
        <v>873</v>
      </c>
      <c r="O1578" s="2" t="s">
        <v>115</v>
      </c>
      <c r="P1578" s="2" t="str">
        <f>"2170561614                    "</f>
        <v xml:space="preserve">2170561614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4.29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1.9</v>
      </c>
      <c r="BJ1578" s="2">
        <v>1.1000000000000001</v>
      </c>
      <c r="BK1578" s="2">
        <v>2</v>
      </c>
      <c r="BL1578" s="2">
        <v>41.73</v>
      </c>
      <c r="BM1578" s="2">
        <v>5.84</v>
      </c>
      <c r="BN1578" s="2">
        <v>47.57</v>
      </c>
      <c r="BO1578" s="2">
        <v>47.57</v>
      </c>
      <c r="BP1578" s="2"/>
      <c r="BQ1578" s="2" t="s">
        <v>874</v>
      </c>
      <c r="BR1578" s="2" t="s">
        <v>123</v>
      </c>
      <c r="BS1578" s="3">
        <v>42836</v>
      </c>
      <c r="BT1578" s="4">
        <v>0.4375</v>
      </c>
      <c r="BU1578" s="2" t="s">
        <v>2092</v>
      </c>
      <c r="BV1578" s="2" t="s">
        <v>111</v>
      </c>
      <c r="BW1578" s="2"/>
      <c r="BX1578" s="2"/>
      <c r="BY1578" s="2">
        <v>5284.22</v>
      </c>
      <c r="BZ1578" s="2" t="s">
        <v>27</v>
      </c>
      <c r="CA1578" s="2" t="s">
        <v>159</v>
      </c>
      <c r="CB1578" s="2"/>
      <c r="CC1578" s="2" t="s">
        <v>295</v>
      </c>
      <c r="CD1578" s="2">
        <v>3600</v>
      </c>
      <c r="CE1578" s="2" t="s">
        <v>89</v>
      </c>
      <c r="CF1578" s="5">
        <v>42837</v>
      </c>
      <c r="CG1578" s="2"/>
      <c r="CH1578" s="2"/>
      <c r="CI1578" s="2">
        <v>1</v>
      </c>
      <c r="CJ1578" s="2">
        <v>1</v>
      </c>
      <c r="CK1578" s="2">
        <v>21</v>
      </c>
      <c r="CL1578" s="2" t="s">
        <v>86</v>
      </c>
      <c r="CM1578" s="2"/>
    </row>
    <row r="1579" spans="1:91">
      <c r="A1579" s="2" t="s">
        <v>71</v>
      </c>
      <c r="B1579" s="2" t="s">
        <v>72</v>
      </c>
      <c r="C1579" s="2" t="s">
        <v>73</v>
      </c>
      <c r="D1579" s="2"/>
      <c r="E1579" s="2" t="str">
        <f>"FES1162542685"</f>
        <v>FES1162542685</v>
      </c>
      <c r="F1579" s="3">
        <v>42835</v>
      </c>
      <c r="G1579" s="2">
        <v>201710</v>
      </c>
      <c r="H1579" s="2" t="s">
        <v>74</v>
      </c>
      <c r="I1579" s="2" t="s">
        <v>75</v>
      </c>
      <c r="J1579" s="2" t="s">
        <v>76</v>
      </c>
      <c r="K1579" s="2" t="s">
        <v>77</v>
      </c>
      <c r="L1579" s="2" t="s">
        <v>180</v>
      </c>
      <c r="M1579" s="2" t="s">
        <v>181</v>
      </c>
      <c r="N1579" s="2" t="s">
        <v>424</v>
      </c>
      <c r="O1579" s="2" t="s">
        <v>115</v>
      </c>
      <c r="P1579" s="2" t="str">
        <f>"217056152                     "</f>
        <v xml:space="preserve">217056152 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4.29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1.1000000000000001</v>
      </c>
      <c r="BJ1579" s="2">
        <v>0.2</v>
      </c>
      <c r="BK1579" s="2">
        <v>1.5</v>
      </c>
      <c r="BL1579" s="2">
        <v>41.73</v>
      </c>
      <c r="BM1579" s="2">
        <v>5.84</v>
      </c>
      <c r="BN1579" s="2">
        <v>47.57</v>
      </c>
      <c r="BO1579" s="2">
        <v>47.57</v>
      </c>
      <c r="BP1579" s="2"/>
      <c r="BQ1579" s="2" t="s">
        <v>425</v>
      </c>
      <c r="BR1579" s="2" t="s">
        <v>123</v>
      </c>
      <c r="BS1579" s="3">
        <v>42836</v>
      </c>
      <c r="BT1579" s="4">
        <v>0.4375</v>
      </c>
      <c r="BU1579" s="2" t="s">
        <v>2010</v>
      </c>
      <c r="BV1579" s="2" t="s">
        <v>111</v>
      </c>
      <c r="BW1579" s="2"/>
      <c r="BX1579" s="2"/>
      <c r="BY1579" s="2">
        <v>1200</v>
      </c>
      <c r="BZ1579" s="2" t="s">
        <v>27</v>
      </c>
      <c r="CA1579" s="2" t="s">
        <v>159</v>
      </c>
      <c r="CB1579" s="2"/>
      <c r="CC1579" s="2" t="s">
        <v>181</v>
      </c>
      <c r="CD1579" s="2">
        <v>4001</v>
      </c>
      <c r="CE1579" s="2" t="s">
        <v>118</v>
      </c>
      <c r="CF1579" s="5">
        <v>42837</v>
      </c>
      <c r="CG1579" s="2"/>
      <c r="CH1579" s="2"/>
      <c r="CI1579" s="2">
        <v>1</v>
      </c>
      <c r="CJ1579" s="2">
        <v>1</v>
      </c>
      <c r="CK1579" s="2">
        <v>21</v>
      </c>
      <c r="CL1579" s="2" t="s">
        <v>86</v>
      </c>
      <c r="CM1579" s="2"/>
    </row>
    <row r="1580" spans="1:91">
      <c r="A1580" s="2" t="s">
        <v>71</v>
      </c>
      <c r="B1580" s="2" t="s">
        <v>72</v>
      </c>
      <c r="C1580" s="2" t="s">
        <v>73</v>
      </c>
      <c r="D1580" s="2"/>
      <c r="E1580" s="2" t="str">
        <f>"FES1162542695"</f>
        <v>FES1162542695</v>
      </c>
      <c r="F1580" s="3">
        <v>42835</v>
      </c>
      <c r="G1580" s="2">
        <v>201710</v>
      </c>
      <c r="H1580" s="2" t="s">
        <v>74</v>
      </c>
      <c r="I1580" s="2" t="s">
        <v>75</v>
      </c>
      <c r="J1580" s="2" t="s">
        <v>76</v>
      </c>
      <c r="K1580" s="2" t="s">
        <v>77</v>
      </c>
      <c r="L1580" s="2" t="s">
        <v>190</v>
      </c>
      <c r="M1580" s="2" t="s">
        <v>191</v>
      </c>
      <c r="N1580" s="2" t="s">
        <v>192</v>
      </c>
      <c r="O1580" s="2" t="s">
        <v>115</v>
      </c>
      <c r="P1580" s="2" t="str">
        <f>"2170561579                    "</f>
        <v xml:space="preserve">2170561579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6.03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1</v>
      </c>
      <c r="BJ1580" s="2">
        <v>0.2</v>
      </c>
      <c r="BK1580" s="2">
        <v>1</v>
      </c>
      <c r="BL1580" s="2">
        <v>58.68</v>
      </c>
      <c r="BM1580" s="2">
        <v>8.2200000000000006</v>
      </c>
      <c r="BN1580" s="2">
        <v>66.900000000000006</v>
      </c>
      <c r="BO1580" s="2">
        <v>66.900000000000006</v>
      </c>
      <c r="BP1580" s="2"/>
      <c r="BQ1580" s="2" t="s">
        <v>193</v>
      </c>
      <c r="BR1580" s="2" t="s">
        <v>123</v>
      </c>
      <c r="BS1580" s="3">
        <v>42836</v>
      </c>
      <c r="BT1580" s="4">
        <v>0.40833333333333338</v>
      </c>
      <c r="BU1580" s="2" t="s">
        <v>2085</v>
      </c>
      <c r="BV1580" s="2" t="s">
        <v>111</v>
      </c>
      <c r="BW1580" s="2"/>
      <c r="BX1580" s="2"/>
      <c r="BY1580" s="2">
        <v>1200</v>
      </c>
      <c r="BZ1580" s="2" t="s">
        <v>27</v>
      </c>
      <c r="CA1580" s="2"/>
      <c r="CB1580" s="2"/>
      <c r="CC1580" s="2" t="s">
        <v>191</v>
      </c>
      <c r="CD1580" s="2">
        <v>1739</v>
      </c>
      <c r="CE1580" s="2" t="s">
        <v>118</v>
      </c>
      <c r="CF1580" s="5">
        <v>42838</v>
      </c>
      <c r="CG1580" s="2"/>
      <c r="CH1580" s="2"/>
      <c r="CI1580" s="2">
        <v>1</v>
      </c>
      <c r="CJ1580" s="2">
        <v>1</v>
      </c>
      <c r="CK1580" s="2">
        <v>24</v>
      </c>
      <c r="CL1580" s="2" t="s">
        <v>86</v>
      </c>
      <c r="CM1580" s="2"/>
    </row>
    <row r="1581" spans="1:91">
      <c r="A1581" s="2" t="s">
        <v>71</v>
      </c>
      <c r="B1581" s="2" t="s">
        <v>72</v>
      </c>
      <c r="C1581" s="2" t="s">
        <v>73</v>
      </c>
      <c r="D1581" s="2"/>
      <c r="E1581" s="2" t="str">
        <f>"FES1162542717"</f>
        <v>FES1162542717</v>
      </c>
      <c r="F1581" s="3">
        <v>42835</v>
      </c>
      <c r="G1581" s="2">
        <v>201710</v>
      </c>
      <c r="H1581" s="2" t="s">
        <v>74</v>
      </c>
      <c r="I1581" s="2" t="s">
        <v>75</v>
      </c>
      <c r="J1581" s="2" t="s">
        <v>76</v>
      </c>
      <c r="K1581" s="2" t="s">
        <v>77</v>
      </c>
      <c r="L1581" s="2" t="s">
        <v>396</v>
      </c>
      <c r="M1581" s="2" t="s">
        <v>397</v>
      </c>
      <c r="N1581" s="2" t="s">
        <v>398</v>
      </c>
      <c r="O1581" s="2" t="s">
        <v>115</v>
      </c>
      <c r="P1581" s="2" t="str">
        <f>"2170561598                    "</f>
        <v xml:space="preserve">2170561598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4.29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1</v>
      </c>
      <c r="BJ1581" s="2">
        <v>0.2</v>
      </c>
      <c r="BK1581" s="2">
        <v>1</v>
      </c>
      <c r="BL1581" s="2">
        <v>41.73</v>
      </c>
      <c r="BM1581" s="2">
        <v>5.84</v>
      </c>
      <c r="BN1581" s="2">
        <v>47.57</v>
      </c>
      <c r="BO1581" s="2">
        <v>47.57</v>
      </c>
      <c r="BP1581" s="2"/>
      <c r="BQ1581" s="2" t="s">
        <v>399</v>
      </c>
      <c r="BR1581" s="2" t="s">
        <v>123</v>
      </c>
      <c r="BS1581" s="3">
        <v>42836</v>
      </c>
      <c r="BT1581" s="4">
        <v>0.4375</v>
      </c>
      <c r="BU1581" s="2" t="s">
        <v>1832</v>
      </c>
      <c r="BV1581" s="2" t="s">
        <v>111</v>
      </c>
      <c r="BW1581" s="2"/>
      <c r="BX1581" s="2"/>
      <c r="BY1581" s="2">
        <v>1200</v>
      </c>
      <c r="BZ1581" s="2" t="s">
        <v>27</v>
      </c>
      <c r="CA1581" s="2" t="s">
        <v>159</v>
      </c>
      <c r="CB1581" s="2"/>
      <c r="CC1581" s="2" t="s">
        <v>397</v>
      </c>
      <c r="CD1581" s="2">
        <v>4300</v>
      </c>
      <c r="CE1581" s="2" t="s">
        <v>118</v>
      </c>
      <c r="CF1581" s="5">
        <v>42837</v>
      </c>
      <c r="CG1581" s="2"/>
      <c r="CH1581" s="2"/>
      <c r="CI1581" s="2">
        <v>1</v>
      </c>
      <c r="CJ1581" s="2">
        <v>1</v>
      </c>
      <c r="CK1581" s="2">
        <v>21</v>
      </c>
      <c r="CL1581" s="2" t="s">
        <v>86</v>
      </c>
      <c r="CM1581" s="2"/>
    </row>
    <row r="1582" spans="1:91">
      <c r="A1582" s="2" t="s">
        <v>71</v>
      </c>
      <c r="B1582" s="2" t="s">
        <v>72</v>
      </c>
      <c r="C1582" s="2" t="s">
        <v>73</v>
      </c>
      <c r="D1582" s="2"/>
      <c r="E1582" s="2" t="str">
        <f>"FES1162542708"</f>
        <v>FES1162542708</v>
      </c>
      <c r="F1582" s="3">
        <v>42835</v>
      </c>
      <c r="G1582" s="2">
        <v>201710</v>
      </c>
      <c r="H1582" s="2" t="s">
        <v>74</v>
      </c>
      <c r="I1582" s="2" t="s">
        <v>75</v>
      </c>
      <c r="J1582" s="2" t="s">
        <v>76</v>
      </c>
      <c r="K1582" s="2" t="s">
        <v>77</v>
      </c>
      <c r="L1582" s="2" t="s">
        <v>99</v>
      </c>
      <c r="M1582" s="2" t="s">
        <v>100</v>
      </c>
      <c r="N1582" s="2" t="s">
        <v>384</v>
      </c>
      <c r="O1582" s="2" t="s">
        <v>115</v>
      </c>
      <c r="P1582" s="2" t="str">
        <f>"2170561589                    "</f>
        <v xml:space="preserve">2170561589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4.29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1</v>
      </c>
      <c r="BJ1582" s="2">
        <v>1.4</v>
      </c>
      <c r="BK1582" s="2">
        <v>1.5</v>
      </c>
      <c r="BL1582" s="2">
        <v>41.73</v>
      </c>
      <c r="BM1582" s="2">
        <v>5.84</v>
      </c>
      <c r="BN1582" s="2">
        <v>47.57</v>
      </c>
      <c r="BO1582" s="2">
        <v>47.57</v>
      </c>
      <c r="BP1582" s="2"/>
      <c r="BQ1582" s="2" t="s">
        <v>129</v>
      </c>
      <c r="BR1582" s="2" t="s">
        <v>123</v>
      </c>
      <c r="BS1582" s="3">
        <v>42836</v>
      </c>
      <c r="BT1582" s="4">
        <v>0.31944444444444448</v>
      </c>
      <c r="BU1582" s="2" t="s">
        <v>576</v>
      </c>
      <c r="BV1582" s="2" t="s">
        <v>111</v>
      </c>
      <c r="BW1582" s="2"/>
      <c r="BX1582" s="2"/>
      <c r="BY1582" s="2">
        <v>7194.1</v>
      </c>
      <c r="BZ1582" s="2" t="s">
        <v>27</v>
      </c>
      <c r="CA1582" s="2" t="s">
        <v>154</v>
      </c>
      <c r="CB1582" s="2"/>
      <c r="CC1582" s="2" t="s">
        <v>100</v>
      </c>
      <c r="CD1582" s="2">
        <v>6020</v>
      </c>
      <c r="CE1582" s="2" t="s">
        <v>118</v>
      </c>
      <c r="CF1582" s="5">
        <v>42836</v>
      </c>
      <c r="CG1582" s="2"/>
      <c r="CH1582" s="2"/>
      <c r="CI1582" s="2">
        <v>1</v>
      </c>
      <c r="CJ1582" s="2">
        <v>1</v>
      </c>
      <c r="CK1582" s="2">
        <v>21</v>
      </c>
      <c r="CL1582" s="2" t="s">
        <v>86</v>
      </c>
      <c r="CM1582" s="2"/>
    </row>
    <row r="1583" spans="1:91">
      <c r="A1583" s="2" t="s">
        <v>71</v>
      </c>
      <c r="B1583" s="2" t="s">
        <v>72</v>
      </c>
      <c r="C1583" s="2" t="s">
        <v>73</v>
      </c>
      <c r="D1583" s="2"/>
      <c r="E1583" s="2" t="str">
        <f>"FES1162542671"</f>
        <v>FES1162542671</v>
      </c>
      <c r="F1583" s="3">
        <v>42835</v>
      </c>
      <c r="G1583" s="2">
        <v>201710</v>
      </c>
      <c r="H1583" s="2" t="s">
        <v>74</v>
      </c>
      <c r="I1583" s="2" t="s">
        <v>75</v>
      </c>
      <c r="J1583" s="2" t="s">
        <v>76</v>
      </c>
      <c r="K1583" s="2" t="s">
        <v>77</v>
      </c>
      <c r="L1583" s="2" t="s">
        <v>187</v>
      </c>
      <c r="M1583" s="2" t="s">
        <v>146</v>
      </c>
      <c r="N1583" s="2" t="s">
        <v>2093</v>
      </c>
      <c r="O1583" s="2" t="s">
        <v>115</v>
      </c>
      <c r="P1583" s="2" t="str">
        <f>"2170561541                    "</f>
        <v xml:space="preserve">2170561541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4.29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1</v>
      </c>
      <c r="BJ1583" s="2">
        <v>1.1000000000000001</v>
      </c>
      <c r="BK1583" s="2">
        <v>1.5</v>
      </c>
      <c r="BL1583" s="2">
        <v>41.73</v>
      </c>
      <c r="BM1583" s="2">
        <v>5.84</v>
      </c>
      <c r="BN1583" s="2">
        <v>47.57</v>
      </c>
      <c r="BO1583" s="2">
        <v>47.57</v>
      </c>
      <c r="BP1583" s="2"/>
      <c r="BQ1583" s="2" t="s">
        <v>2094</v>
      </c>
      <c r="BR1583" s="2" t="s">
        <v>123</v>
      </c>
      <c r="BS1583" s="3">
        <v>42836</v>
      </c>
      <c r="BT1583" s="4">
        <v>0.37152777777777773</v>
      </c>
      <c r="BU1583" s="2" t="s">
        <v>407</v>
      </c>
      <c r="BV1583" s="2" t="s">
        <v>111</v>
      </c>
      <c r="BW1583" s="2"/>
      <c r="BX1583" s="2"/>
      <c r="BY1583" s="2">
        <v>5698.62</v>
      </c>
      <c r="BZ1583" s="2" t="s">
        <v>27</v>
      </c>
      <c r="CA1583" s="2"/>
      <c r="CB1583" s="2"/>
      <c r="CC1583" s="2" t="s">
        <v>146</v>
      </c>
      <c r="CD1583" s="2">
        <v>200</v>
      </c>
      <c r="CE1583" s="2" t="s">
        <v>118</v>
      </c>
      <c r="CF1583" s="5">
        <v>42838</v>
      </c>
      <c r="CG1583" s="2"/>
      <c r="CH1583" s="2"/>
      <c r="CI1583" s="2">
        <v>0</v>
      </c>
      <c r="CJ1583" s="2">
        <v>0</v>
      </c>
      <c r="CK1583" s="2">
        <v>21</v>
      </c>
      <c r="CL1583" s="2" t="s">
        <v>86</v>
      </c>
      <c r="CM1583" s="2"/>
    </row>
    <row r="1584" spans="1:91">
      <c r="A1584" s="2" t="s">
        <v>71</v>
      </c>
      <c r="B1584" s="2" t="s">
        <v>72</v>
      </c>
      <c r="C1584" s="2" t="s">
        <v>73</v>
      </c>
      <c r="D1584" s="2"/>
      <c r="E1584" s="2" t="str">
        <f>"FES1162542692"</f>
        <v>FES1162542692</v>
      </c>
      <c r="F1584" s="3">
        <v>42835</v>
      </c>
      <c r="G1584" s="2">
        <v>201710</v>
      </c>
      <c r="H1584" s="2" t="s">
        <v>74</v>
      </c>
      <c r="I1584" s="2" t="s">
        <v>75</v>
      </c>
      <c r="J1584" s="2" t="s">
        <v>76</v>
      </c>
      <c r="K1584" s="2" t="s">
        <v>77</v>
      </c>
      <c r="L1584" s="2" t="s">
        <v>166</v>
      </c>
      <c r="M1584" s="2" t="s">
        <v>167</v>
      </c>
      <c r="N1584" s="2" t="s">
        <v>168</v>
      </c>
      <c r="O1584" s="2" t="s">
        <v>115</v>
      </c>
      <c r="P1584" s="2" t="str">
        <f>"2170561574                    "</f>
        <v xml:space="preserve">2170561574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3.35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1</v>
      </c>
      <c r="BJ1584" s="2">
        <v>1.1000000000000001</v>
      </c>
      <c r="BK1584" s="2">
        <v>2</v>
      </c>
      <c r="BL1584" s="2">
        <v>32.6</v>
      </c>
      <c r="BM1584" s="2">
        <v>4.5599999999999996</v>
      </c>
      <c r="BN1584" s="2">
        <v>37.159999999999997</v>
      </c>
      <c r="BO1584" s="2">
        <v>37.159999999999997</v>
      </c>
      <c r="BP1584" s="2"/>
      <c r="BQ1584" s="2" t="s">
        <v>169</v>
      </c>
      <c r="BR1584" s="2" t="s">
        <v>123</v>
      </c>
      <c r="BS1584" s="3">
        <v>42836</v>
      </c>
      <c r="BT1584" s="4">
        <v>0.40763888888888888</v>
      </c>
      <c r="BU1584" s="2" t="s">
        <v>170</v>
      </c>
      <c r="BV1584" s="2" t="s">
        <v>111</v>
      </c>
      <c r="BW1584" s="2"/>
      <c r="BX1584" s="2"/>
      <c r="BY1584" s="2">
        <v>5436.83</v>
      </c>
      <c r="BZ1584" s="2" t="s">
        <v>27</v>
      </c>
      <c r="CA1584" s="2" t="s">
        <v>171</v>
      </c>
      <c r="CB1584" s="2"/>
      <c r="CC1584" s="2" t="s">
        <v>167</v>
      </c>
      <c r="CD1584" s="2">
        <v>2094</v>
      </c>
      <c r="CE1584" s="2" t="s">
        <v>118</v>
      </c>
      <c r="CF1584" s="5">
        <v>42836</v>
      </c>
      <c r="CG1584" s="2"/>
      <c r="CH1584" s="2"/>
      <c r="CI1584" s="2">
        <v>1</v>
      </c>
      <c r="CJ1584" s="2">
        <v>1</v>
      </c>
      <c r="CK1584" s="2">
        <v>22</v>
      </c>
      <c r="CL1584" s="2" t="s">
        <v>86</v>
      </c>
      <c r="CM1584" s="2"/>
    </row>
    <row r="1585" spans="1:91">
      <c r="A1585" s="2" t="s">
        <v>71</v>
      </c>
      <c r="B1585" s="2" t="s">
        <v>72</v>
      </c>
      <c r="C1585" s="2" t="s">
        <v>73</v>
      </c>
      <c r="D1585" s="2"/>
      <c r="E1585" s="2" t="str">
        <f>"FES1162542725"</f>
        <v>FES1162542725</v>
      </c>
      <c r="F1585" s="3">
        <v>42835</v>
      </c>
      <c r="G1585" s="2">
        <v>201710</v>
      </c>
      <c r="H1585" s="2" t="s">
        <v>74</v>
      </c>
      <c r="I1585" s="2" t="s">
        <v>75</v>
      </c>
      <c r="J1585" s="2" t="s">
        <v>76</v>
      </c>
      <c r="K1585" s="2" t="s">
        <v>77</v>
      </c>
      <c r="L1585" s="2" t="s">
        <v>99</v>
      </c>
      <c r="M1585" s="2" t="s">
        <v>100</v>
      </c>
      <c r="N1585" s="2" t="s">
        <v>151</v>
      </c>
      <c r="O1585" s="2" t="s">
        <v>115</v>
      </c>
      <c r="P1585" s="2" t="str">
        <f>"2170561603                    "</f>
        <v xml:space="preserve">2170561603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4.29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1</v>
      </c>
      <c r="BJ1585" s="2">
        <v>1.4</v>
      </c>
      <c r="BK1585" s="2">
        <v>1.5</v>
      </c>
      <c r="BL1585" s="2">
        <v>41.73</v>
      </c>
      <c r="BM1585" s="2">
        <v>5.84</v>
      </c>
      <c r="BN1585" s="2">
        <v>47.57</v>
      </c>
      <c r="BO1585" s="2">
        <v>47.57</v>
      </c>
      <c r="BP1585" s="2"/>
      <c r="BQ1585" s="2" t="s">
        <v>152</v>
      </c>
      <c r="BR1585" s="2" t="s">
        <v>123</v>
      </c>
      <c r="BS1585" s="3">
        <v>42836</v>
      </c>
      <c r="BT1585" s="4">
        <v>0.34513888888888888</v>
      </c>
      <c r="BU1585" s="2" t="s">
        <v>153</v>
      </c>
      <c r="BV1585" s="2" t="s">
        <v>111</v>
      </c>
      <c r="BW1585" s="2"/>
      <c r="BX1585" s="2"/>
      <c r="BY1585" s="2">
        <v>6768.75</v>
      </c>
      <c r="BZ1585" s="2" t="s">
        <v>27</v>
      </c>
      <c r="CA1585" s="2" t="s">
        <v>154</v>
      </c>
      <c r="CB1585" s="2"/>
      <c r="CC1585" s="2" t="s">
        <v>100</v>
      </c>
      <c r="CD1585" s="2">
        <v>6001</v>
      </c>
      <c r="CE1585" s="2" t="s">
        <v>118</v>
      </c>
      <c r="CF1585" s="5">
        <v>42836</v>
      </c>
      <c r="CG1585" s="2"/>
      <c r="CH1585" s="2"/>
      <c r="CI1585" s="2">
        <v>1</v>
      </c>
      <c r="CJ1585" s="2">
        <v>1</v>
      </c>
      <c r="CK1585" s="2">
        <v>21</v>
      </c>
      <c r="CL1585" s="2" t="s">
        <v>86</v>
      </c>
      <c r="CM1585" s="2"/>
    </row>
    <row r="1586" spans="1:91">
      <c r="A1586" s="2" t="s">
        <v>71</v>
      </c>
      <c r="B1586" s="2" t="s">
        <v>72</v>
      </c>
      <c r="C1586" s="2" t="s">
        <v>73</v>
      </c>
      <c r="D1586" s="2"/>
      <c r="E1586" s="2" t="str">
        <f>"FES1162542677"</f>
        <v>FES1162542677</v>
      </c>
      <c r="F1586" s="3">
        <v>42835</v>
      </c>
      <c r="G1586" s="2">
        <v>201710</v>
      </c>
      <c r="H1586" s="2" t="s">
        <v>74</v>
      </c>
      <c r="I1586" s="2" t="s">
        <v>75</v>
      </c>
      <c r="J1586" s="2" t="s">
        <v>76</v>
      </c>
      <c r="K1586" s="2" t="s">
        <v>77</v>
      </c>
      <c r="L1586" s="2" t="s">
        <v>139</v>
      </c>
      <c r="M1586" s="2" t="s">
        <v>140</v>
      </c>
      <c r="N1586" s="2" t="s">
        <v>2095</v>
      </c>
      <c r="O1586" s="2" t="s">
        <v>115</v>
      </c>
      <c r="P1586" s="2" t="str">
        <f>"2170561553                    "</f>
        <v xml:space="preserve">2170561553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6.43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2.8</v>
      </c>
      <c r="BJ1586" s="2">
        <v>0.2</v>
      </c>
      <c r="BK1586" s="2">
        <v>3</v>
      </c>
      <c r="BL1586" s="2">
        <v>62.59</v>
      </c>
      <c r="BM1586" s="2">
        <v>8.76</v>
      </c>
      <c r="BN1586" s="2">
        <v>71.349999999999994</v>
      </c>
      <c r="BO1586" s="2">
        <v>71.349999999999994</v>
      </c>
      <c r="BP1586" s="2"/>
      <c r="BQ1586" s="2" t="s">
        <v>2096</v>
      </c>
      <c r="BR1586" s="2" t="s">
        <v>123</v>
      </c>
      <c r="BS1586" s="3">
        <v>42836</v>
      </c>
      <c r="BT1586" s="4">
        <v>0.40972222222222227</v>
      </c>
      <c r="BU1586" s="2" t="s">
        <v>245</v>
      </c>
      <c r="BV1586" s="2" t="s">
        <v>111</v>
      </c>
      <c r="BW1586" s="2"/>
      <c r="BX1586" s="2"/>
      <c r="BY1586" s="2">
        <v>1200</v>
      </c>
      <c r="BZ1586" s="2" t="s">
        <v>27</v>
      </c>
      <c r="CA1586" s="2"/>
      <c r="CB1586" s="2"/>
      <c r="CC1586" s="2" t="s">
        <v>140</v>
      </c>
      <c r="CD1586" s="2">
        <v>157</v>
      </c>
      <c r="CE1586" s="2" t="s">
        <v>118</v>
      </c>
      <c r="CF1586" s="5">
        <v>42838</v>
      </c>
      <c r="CG1586" s="2"/>
      <c r="CH1586" s="2"/>
      <c r="CI1586" s="2">
        <v>0</v>
      </c>
      <c r="CJ1586" s="2">
        <v>0</v>
      </c>
      <c r="CK1586" s="2">
        <v>21</v>
      </c>
      <c r="CL1586" s="2" t="s">
        <v>86</v>
      </c>
      <c r="CM1586" s="2"/>
    </row>
    <row r="1587" spans="1:91">
      <c r="A1587" s="2" t="s">
        <v>71</v>
      </c>
      <c r="B1587" s="2" t="s">
        <v>72</v>
      </c>
      <c r="C1587" s="2" t="s">
        <v>73</v>
      </c>
      <c r="D1587" s="2"/>
      <c r="E1587" s="2" t="str">
        <f>"FES1162542729"</f>
        <v>FES1162542729</v>
      </c>
      <c r="F1587" s="3">
        <v>42835</v>
      </c>
      <c r="G1587" s="2">
        <v>201710</v>
      </c>
      <c r="H1587" s="2" t="s">
        <v>74</v>
      </c>
      <c r="I1587" s="2" t="s">
        <v>75</v>
      </c>
      <c r="J1587" s="2" t="s">
        <v>76</v>
      </c>
      <c r="K1587" s="2" t="s">
        <v>77</v>
      </c>
      <c r="L1587" s="2" t="s">
        <v>358</v>
      </c>
      <c r="M1587" s="2" t="s">
        <v>359</v>
      </c>
      <c r="N1587" s="2" t="s">
        <v>776</v>
      </c>
      <c r="O1587" s="2" t="s">
        <v>115</v>
      </c>
      <c r="P1587" s="2" t="str">
        <f>"2170561610                    "</f>
        <v xml:space="preserve">2170561610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5.36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1</v>
      </c>
      <c r="BJ1587" s="2">
        <v>2.4</v>
      </c>
      <c r="BK1587" s="2">
        <v>2.5</v>
      </c>
      <c r="BL1587" s="2">
        <v>52.16</v>
      </c>
      <c r="BM1587" s="2">
        <v>7.3</v>
      </c>
      <c r="BN1587" s="2">
        <v>59.46</v>
      </c>
      <c r="BO1587" s="2">
        <v>59.46</v>
      </c>
      <c r="BP1587" s="2"/>
      <c r="BQ1587" s="2" t="s">
        <v>170</v>
      </c>
      <c r="BR1587" s="2" t="s">
        <v>123</v>
      </c>
      <c r="BS1587" s="3">
        <v>42836</v>
      </c>
      <c r="BT1587" s="4">
        <v>0.42499999999999999</v>
      </c>
      <c r="BU1587" s="2" t="s">
        <v>1886</v>
      </c>
      <c r="BV1587" s="2" t="s">
        <v>111</v>
      </c>
      <c r="BW1587" s="2"/>
      <c r="BX1587" s="2"/>
      <c r="BY1587" s="2">
        <v>12096.59</v>
      </c>
      <c r="BZ1587" s="2" t="s">
        <v>27</v>
      </c>
      <c r="CA1587" s="2"/>
      <c r="CB1587" s="2"/>
      <c r="CC1587" s="2" t="s">
        <v>359</v>
      </c>
      <c r="CD1587" s="2">
        <v>6229</v>
      </c>
      <c r="CE1587" s="2" t="s">
        <v>118</v>
      </c>
      <c r="CF1587" s="5">
        <v>42837</v>
      </c>
      <c r="CG1587" s="2"/>
      <c r="CH1587" s="2"/>
      <c r="CI1587" s="2">
        <v>1</v>
      </c>
      <c r="CJ1587" s="2">
        <v>1</v>
      </c>
      <c r="CK1587" s="2">
        <v>21</v>
      </c>
      <c r="CL1587" s="2" t="s">
        <v>86</v>
      </c>
      <c r="CM1587" s="2"/>
    </row>
    <row r="1588" spans="1:91">
      <c r="A1588" s="2" t="s">
        <v>71</v>
      </c>
      <c r="B1588" s="2" t="s">
        <v>72</v>
      </c>
      <c r="C1588" s="2" t="s">
        <v>73</v>
      </c>
      <c r="D1588" s="2"/>
      <c r="E1588" s="2" t="str">
        <f>"009932187248"</f>
        <v>009932187248</v>
      </c>
      <c r="F1588" s="3">
        <v>42835</v>
      </c>
      <c r="G1588" s="2">
        <v>201710</v>
      </c>
      <c r="H1588" s="2" t="s">
        <v>74</v>
      </c>
      <c r="I1588" s="2" t="s">
        <v>75</v>
      </c>
      <c r="J1588" s="2" t="s">
        <v>76</v>
      </c>
      <c r="K1588" s="2" t="s">
        <v>77</v>
      </c>
      <c r="L1588" s="2" t="s">
        <v>176</v>
      </c>
      <c r="M1588" s="2" t="s">
        <v>176</v>
      </c>
      <c r="N1588" s="2" t="s">
        <v>339</v>
      </c>
      <c r="O1588" s="2" t="s">
        <v>115</v>
      </c>
      <c r="P1588" s="2" t="str">
        <f>"1162538835                    "</f>
        <v xml:space="preserve">1162538835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4.29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1</v>
      </c>
      <c r="BJ1588" s="2">
        <v>0.2</v>
      </c>
      <c r="BK1588" s="2">
        <v>1</v>
      </c>
      <c r="BL1588" s="2">
        <v>41.73</v>
      </c>
      <c r="BM1588" s="2">
        <v>5.84</v>
      </c>
      <c r="BN1588" s="2">
        <v>47.57</v>
      </c>
      <c r="BO1588" s="2">
        <v>47.57</v>
      </c>
      <c r="BP1588" s="2" t="s">
        <v>2097</v>
      </c>
      <c r="BQ1588" s="2" t="s">
        <v>340</v>
      </c>
      <c r="BR1588" s="2" t="s">
        <v>123</v>
      </c>
      <c r="BS1588" s="3">
        <v>42836</v>
      </c>
      <c r="BT1588" s="4">
        <v>0.51388888888888895</v>
      </c>
      <c r="BU1588" s="2" t="s">
        <v>899</v>
      </c>
      <c r="BV1588" s="2" t="s">
        <v>111</v>
      </c>
      <c r="BW1588" s="2"/>
      <c r="BX1588" s="2"/>
      <c r="BY1588" s="2">
        <v>1200</v>
      </c>
      <c r="BZ1588" s="2" t="s">
        <v>27</v>
      </c>
      <c r="CA1588" s="2"/>
      <c r="CB1588" s="2"/>
      <c r="CC1588" s="2" t="s">
        <v>176</v>
      </c>
      <c r="CD1588" s="2">
        <v>7646</v>
      </c>
      <c r="CE1588" s="2" t="s">
        <v>118</v>
      </c>
      <c r="CF1588" s="2"/>
      <c r="CG1588" s="2"/>
      <c r="CH1588" s="2"/>
      <c r="CI1588" s="2">
        <v>1</v>
      </c>
      <c r="CJ1588" s="2">
        <v>1</v>
      </c>
      <c r="CK1588" s="2">
        <v>21</v>
      </c>
      <c r="CL1588" s="2" t="s">
        <v>86</v>
      </c>
      <c r="CM1588" s="2"/>
    </row>
    <row r="1589" spans="1:91">
      <c r="A1589" s="2" t="s">
        <v>71</v>
      </c>
      <c r="B1589" s="2" t="s">
        <v>72</v>
      </c>
      <c r="C1589" s="2" t="s">
        <v>73</v>
      </c>
      <c r="D1589" s="2"/>
      <c r="E1589" s="2" t="str">
        <f>"FES1162542636"</f>
        <v>FES1162542636</v>
      </c>
      <c r="F1589" s="3">
        <v>42835</v>
      </c>
      <c r="G1589" s="2">
        <v>201710</v>
      </c>
      <c r="H1589" s="2" t="s">
        <v>74</v>
      </c>
      <c r="I1589" s="2" t="s">
        <v>75</v>
      </c>
      <c r="J1589" s="2" t="s">
        <v>76</v>
      </c>
      <c r="K1589" s="2" t="s">
        <v>77</v>
      </c>
      <c r="L1589" s="2" t="s">
        <v>496</v>
      </c>
      <c r="M1589" s="2" t="s">
        <v>497</v>
      </c>
      <c r="N1589" s="2" t="s">
        <v>879</v>
      </c>
      <c r="O1589" s="2" t="s">
        <v>115</v>
      </c>
      <c r="P1589" s="2" t="str">
        <f>"2170561496                    "</f>
        <v xml:space="preserve">2170561496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3.35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1</v>
      </c>
      <c r="BJ1589" s="2">
        <v>0.2</v>
      </c>
      <c r="BK1589" s="2">
        <v>1</v>
      </c>
      <c r="BL1589" s="2">
        <v>32.6</v>
      </c>
      <c r="BM1589" s="2">
        <v>4.5599999999999996</v>
      </c>
      <c r="BN1589" s="2">
        <v>37.159999999999997</v>
      </c>
      <c r="BO1589" s="2">
        <v>37.159999999999997</v>
      </c>
      <c r="BP1589" s="2"/>
      <c r="BQ1589" s="2" t="s">
        <v>880</v>
      </c>
      <c r="BR1589" s="2" t="s">
        <v>123</v>
      </c>
      <c r="BS1589" s="3">
        <v>42836</v>
      </c>
      <c r="BT1589" s="4">
        <v>0.37083333333333335</v>
      </c>
      <c r="BU1589" s="2" t="s">
        <v>2098</v>
      </c>
      <c r="BV1589" s="2" t="s">
        <v>111</v>
      </c>
      <c r="BW1589" s="2"/>
      <c r="BX1589" s="2"/>
      <c r="BY1589" s="2">
        <v>1200</v>
      </c>
      <c r="BZ1589" s="2" t="s">
        <v>27</v>
      </c>
      <c r="CA1589" s="2" t="s">
        <v>1041</v>
      </c>
      <c r="CB1589" s="2"/>
      <c r="CC1589" s="2" t="s">
        <v>497</v>
      </c>
      <c r="CD1589" s="2">
        <v>1559</v>
      </c>
      <c r="CE1589" s="2" t="s">
        <v>118</v>
      </c>
      <c r="CF1589" s="5">
        <v>42836</v>
      </c>
      <c r="CG1589" s="2"/>
      <c r="CH1589" s="2"/>
      <c r="CI1589" s="2">
        <v>1</v>
      </c>
      <c r="CJ1589" s="2">
        <v>1</v>
      </c>
      <c r="CK1589" s="2">
        <v>22</v>
      </c>
      <c r="CL1589" s="2" t="s">
        <v>86</v>
      </c>
      <c r="CM1589" s="2"/>
    </row>
    <row r="1590" spans="1:91">
      <c r="A1590" s="2" t="s">
        <v>71</v>
      </c>
      <c r="B1590" s="2" t="s">
        <v>72</v>
      </c>
      <c r="C1590" s="2" t="s">
        <v>73</v>
      </c>
      <c r="D1590" s="2"/>
      <c r="E1590" s="2" t="str">
        <f>"FES1162542577"</f>
        <v>FES1162542577</v>
      </c>
      <c r="F1590" s="3">
        <v>42835</v>
      </c>
      <c r="G1590" s="2">
        <v>201710</v>
      </c>
      <c r="H1590" s="2" t="s">
        <v>74</v>
      </c>
      <c r="I1590" s="2" t="s">
        <v>75</v>
      </c>
      <c r="J1590" s="2" t="s">
        <v>76</v>
      </c>
      <c r="K1590" s="2" t="s">
        <v>77</v>
      </c>
      <c r="L1590" s="2" t="s">
        <v>260</v>
      </c>
      <c r="M1590" s="2" t="s">
        <v>261</v>
      </c>
      <c r="N1590" s="2" t="s">
        <v>2099</v>
      </c>
      <c r="O1590" s="2" t="s">
        <v>115</v>
      </c>
      <c r="P1590" s="2" t="str">
        <f>"2170557925                    "</f>
        <v xml:space="preserve">2170557925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3.35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7</v>
      </c>
      <c r="BJ1590" s="2">
        <v>1.5</v>
      </c>
      <c r="BK1590" s="2">
        <v>7</v>
      </c>
      <c r="BL1590" s="2">
        <v>32.6</v>
      </c>
      <c r="BM1590" s="2">
        <v>4.5599999999999996</v>
      </c>
      <c r="BN1590" s="2">
        <v>37.159999999999997</v>
      </c>
      <c r="BO1590" s="2">
        <v>37.159999999999997</v>
      </c>
      <c r="BP1590" s="2"/>
      <c r="BQ1590" s="2" t="s">
        <v>122</v>
      </c>
      <c r="BR1590" s="2" t="s">
        <v>123</v>
      </c>
      <c r="BS1590" s="3">
        <v>42836</v>
      </c>
      <c r="BT1590" s="4">
        <v>0.4375</v>
      </c>
      <c r="BU1590" s="2" t="s">
        <v>2100</v>
      </c>
      <c r="BV1590" s="2" t="s">
        <v>111</v>
      </c>
      <c r="BW1590" s="2"/>
      <c r="BX1590" s="2"/>
      <c r="BY1590" s="2">
        <v>7271.98</v>
      </c>
      <c r="BZ1590" s="2" t="s">
        <v>27</v>
      </c>
      <c r="CA1590" s="2"/>
      <c r="CB1590" s="2"/>
      <c r="CC1590" s="2" t="s">
        <v>261</v>
      </c>
      <c r="CD1590" s="2">
        <v>1451</v>
      </c>
      <c r="CE1590" s="2" t="s">
        <v>775</v>
      </c>
      <c r="CF1590" s="5">
        <v>42838</v>
      </c>
      <c r="CG1590" s="2"/>
      <c r="CH1590" s="2"/>
      <c r="CI1590" s="2">
        <v>1</v>
      </c>
      <c r="CJ1590" s="2">
        <v>1</v>
      </c>
      <c r="CK1590" s="2">
        <v>22</v>
      </c>
      <c r="CL1590" s="2" t="s">
        <v>86</v>
      </c>
      <c r="CM1590" s="2"/>
    </row>
    <row r="1591" spans="1:91">
      <c r="A1591" s="2" t="s">
        <v>71</v>
      </c>
      <c r="B1591" s="2" t="s">
        <v>72</v>
      </c>
      <c r="C1591" s="2" t="s">
        <v>73</v>
      </c>
      <c r="D1591" s="2"/>
      <c r="E1591" s="2" t="str">
        <f>"FES1162542728"</f>
        <v>FES1162542728</v>
      </c>
      <c r="F1591" s="3">
        <v>42835</v>
      </c>
      <c r="G1591" s="2">
        <v>201710</v>
      </c>
      <c r="H1591" s="2" t="s">
        <v>74</v>
      </c>
      <c r="I1591" s="2" t="s">
        <v>75</v>
      </c>
      <c r="J1591" s="2" t="s">
        <v>76</v>
      </c>
      <c r="K1591" s="2" t="s">
        <v>77</v>
      </c>
      <c r="L1591" s="2" t="s">
        <v>166</v>
      </c>
      <c r="M1591" s="2" t="s">
        <v>167</v>
      </c>
      <c r="N1591" s="2" t="s">
        <v>168</v>
      </c>
      <c r="O1591" s="2" t="s">
        <v>115</v>
      </c>
      <c r="P1591" s="2" t="str">
        <f>"2170561608                    "</f>
        <v xml:space="preserve">2170561608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3.35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1</v>
      </c>
      <c r="BJ1591" s="2">
        <v>0.2</v>
      </c>
      <c r="BK1591" s="2">
        <v>1</v>
      </c>
      <c r="BL1591" s="2">
        <v>32.6</v>
      </c>
      <c r="BM1591" s="2">
        <v>4.5599999999999996</v>
      </c>
      <c r="BN1591" s="2">
        <v>37.159999999999997</v>
      </c>
      <c r="BO1591" s="2">
        <v>37.159999999999997</v>
      </c>
      <c r="BP1591" s="2"/>
      <c r="BQ1591" s="2" t="s">
        <v>169</v>
      </c>
      <c r="BR1591" s="2" t="s">
        <v>123</v>
      </c>
      <c r="BS1591" s="3">
        <v>42836</v>
      </c>
      <c r="BT1591" s="4">
        <v>0.40763888888888888</v>
      </c>
      <c r="BU1591" s="2" t="s">
        <v>170</v>
      </c>
      <c r="BV1591" s="2" t="s">
        <v>111</v>
      </c>
      <c r="BW1591" s="2"/>
      <c r="BX1591" s="2"/>
      <c r="BY1591" s="2">
        <v>1200</v>
      </c>
      <c r="BZ1591" s="2" t="s">
        <v>27</v>
      </c>
      <c r="CA1591" s="2" t="s">
        <v>171</v>
      </c>
      <c r="CB1591" s="2"/>
      <c r="CC1591" s="2" t="s">
        <v>167</v>
      </c>
      <c r="CD1591" s="2">
        <v>2094</v>
      </c>
      <c r="CE1591" s="2" t="s">
        <v>118</v>
      </c>
      <c r="CF1591" s="5">
        <v>42836</v>
      </c>
      <c r="CG1591" s="2"/>
      <c r="CH1591" s="2"/>
      <c r="CI1591" s="2">
        <v>1</v>
      </c>
      <c r="CJ1591" s="2">
        <v>1</v>
      </c>
      <c r="CK1591" s="2">
        <v>22</v>
      </c>
      <c r="CL1591" s="2" t="s">
        <v>86</v>
      </c>
      <c r="CM1591" s="2"/>
    </row>
    <row r="1592" spans="1:91">
      <c r="A1592" s="2" t="s">
        <v>71</v>
      </c>
      <c r="B1592" s="2" t="s">
        <v>72</v>
      </c>
      <c r="C1592" s="2" t="s">
        <v>73</v>
      </c>
      <c r="D1592" s="2"/>
      <c r="E1592" s="2" t="str">
        <f>"FES1162542642"</f>
        <v>FES1162542642</v>
      </c>
      <c r="F1592" s="3">
        <v>42835</v>
      </c>
      <c r="G1592" s="2">
        <v>201710</v>
      </c>
      <c r="H1592" s="2" t="s">
        <v>74</v>
      </c>
      <c r="I1592" s="2" t="s">
        <v>75</v>
      </c>
      <c r="J1592" s="2" t="s">
        <v>76</v>
      </c>
      <c r="K1592" s="2" t="s">
        <v>77</v>
      </c>
      <c r="L1592" s="2" t="s">
        <v>187</v>
      </c>
      <c r="M1592" s="2" t="s">
        <v>146</v>
      </c>
      <c r="N1592" s="2" t="s">
        <v>1989</v>
      </c>
      <c r="O1592" s="2" t="s">
        <v>115</v>
      </c>
      <c r="P1592" s="2" t="str">
        <f>"2170561502                    "</f>
        <v xml:space="preserve">2170561502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4.29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1</v>
      </c>
      <c r="BJ1592" s="2">
        <v>0.9</v>
      </c>
      <c r="BK1592" s="2">
        <v>1</v>
      </c>
      <c r="BL1592" s="2">
        <v>41.73</v>
      </c>
      <c r="BM1592" s="2">
        <v>5.84</v>
      </c>
      <c r="BN1592" s="2">
        <v>47.57</v>
      </c>
      <c r="BO1592" s="2">
        <v>47.57</v>
      </c>
      <c r="BP1592" s="2"/>
      <c r="BQ1592" s="2" t="s">
        <v>1990</v>
      </c>
      <c r="BR1592" s="2" t="s">
        <v>123</v>
      </c>
      <c r="BS1592" s="3">
        <v>42836</v>
      </c>
      <c r="BT1592" s="4">
        <v>0.3263888888888889</v>
      </c>
      <c r="BU1592" s="2" t="s">
        <v>245</v>
      </c>
      <c r="BV1592" s="2" t="s">
        <v>111</v>
      </c>
      <c r="BW1592" s="2"/>
      <c r="BX1592" s="2"/>
      <c r="BY1592" s="2">
        <v>4499.71</v>
      </c>
      <c r="BZ1592" s="2" t="s">
        <v>27</v>
      </c>
      <c r="CA1592" s="2"/>
      <c r="CB1592" s="2"/>
      <c r="CC1592" s="2" t="s">
        <v>146</v>
      </c>
      <c r="CD1592" s="2">
        <v>184</v>
      </c>
      <c r="CE1592" s="2" t="s">
        <v>118</v>
      </c>
      <c r="CF1592" s="5">
        <v>42838</v>
      </c>
      <c r="CG1592" s="2"/>
      <c r="CH1592" s="2"/>
      <c r="CI1592" s="2">
        <v>0</v>
      </c>
      <c r="CJ1592" s="2">
        <v>0</v>
      </c>
      <c r="CK1592" s="2">
        <v>21</v>
      </c>
      <c r="CL1592" s="2" t="s">
        <v>86</v>
      </c>
      <c r="CM1592" s="2"/>
    </row>
    <row r="1593" spans="1:91">
      <c r="A1593" s="2" t="s">
        <v>71</v>
      </c>
      <c r="B1593" s="2" t="s">
        <v>72</v>
      </c>
      <c r="C1593" s="2" t="s">
        <v>73</v>
      </c>
      <c r="D1593" s="2"/>
      <c r="E1593" s="2" t="str">
        <f>"FES1162542595"</f>
        <v>FES1162542595</v>
      </c>
      <c r="F1593" s="3">
        <v>42835</v>
      </c>
      <c r="G1593" s="2">
        <v>201710</v>
      </c>
      <c r="H1593" s="2" t="s">
        <v>74</v>
      </c>
      <c r="I1593" s="2" t="s">
        <v>75</v>
      </c>
      <c r="J1593" s="2" t="s">
        <v>76</v>
      </c>
      <c r="K1593" s="2" t="s">
        <v>77</v>
      </c>
      <c r="L1593" s="2" t="s">
        <v>2101</v>
      </c>
      <c r="M1593" s="2" t="s">
        <v>2102</v>
      </c>
      <c r="N1593" s="2" t="s">
        <v>2103</v>
      </c>
      <c r="O1593" s="2" t="s">
        <v>115</v>
      </c>
      <c r="P1593" s="2" t="str">
        <f>"2170561448                    "</f>
        <v xml:space="preserve">2170561448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3.35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7</v>
      </c>
      <c r="BJ1593" s="2">
        <v>1.7</v>
      </c>
      <c r="BK1593" s="2">
        <v>7</v>
      </c>
      <c r="BL1593" s="2">
        <v>32.6</v>
      </c>
      <c r="BM1593" s="2">
        <v>4.5599999999999996</v>
      </c>
      <c r="BN1593" s="2">
        <v>37.159999999999997</v>
      </c>
      <c r="BO1593" s="2">
        <v>37.159999999999997</v>
      </c>
      <c r="BP1593" s="2"/>
      <c r="BQ1593" s="2"/>
      <c r="BR1593" s="2" t="s">
        <v>123</v>
      </c>
      <c r="BS1593" s="3">
        <v>42836</v>
      </c>
      <c r="BT1593" s="4">
        <v>0.41666666666666669</v>
      </c>
      <c r="BU1593" s="2" t="s">
        <v>2104</v>
      </c>
      <c r="BV1593" s="2" t="s">
        <v>111</v>
      </c>
      <c r="BW1593" s="2"/>
      <c r="BX1593" s="2"/>
      <c r="BY1593" s="2">
        <v>8514</v>
      </c>
      <c r="BZ1593" s="2" t="s">
        <v>27</v>
      </c>
      <c r="CA1593" s="2"/>
      <c r="CB1593" s="2"/>
      <c r="CC1593" s="2" t="s">
        <v>2102</v>
      </c>
      <c r="CD1593" s="2">
        <v>2146</v>
      </c>
      <c r="CE1593" s="2" t="s">
        <v>172</v>
      </c>
      <c r="CF1593" s="5">
        <v>42838</v>
      </c>
      <c r="CG1593" s="2"/>
      <c r="CH1593" s="2"/>
      <c r="CI1593" s="2">
        <v>1</v>
      </c>
      <c r="CJ1593" s="2">
        <v>1</v>
      </c>
      <c r="CK1593" s="2">
        <v>22</v>
      </c>
      <c r="CL1593" s="2" t="s">
        <v>86</v>
      </c>
      <c r="CM1593" s="2"/>
    </row>
    <row r="1594" spans="1:91">
      <c r="A1594" s="2" t="s">
        <v>71</v>
      </c>
      <c r="B1594" s="2" t="s">
        <v>72</v>
      </c>
      <c r="C1594" s="2" t="s">
        <v>73</v>
      </c>
      <c r="D1594" s="2"/>
      <c r="E1594" s="2" t="str">
        <f>"FES1162542273"</f>
        <v>FES1162542273</v>
      </c>
      <c r="F1594" s="3">
        <v>42832</v>
      </c>
      <c r="G1594" s="2">
        <v>201710</v>
      </c>
      <c r="H1594" s="2" t="s">
        <v>74</v>
      </c>
      <c r="I1594" s="2" t="s">
        <v>75</v>
      </c>
      <c r="J1594" s="2" t="s">
        <v>76</v>
      </c>
      <c r="K1594" s="2" t="s">
        <v>77</v>
      </c>
      <c r="L1594" s="2" t="s">
        <v>474</v>
      </c>
      <c r="M1594" s="2" t="s">
        <v>475</v>
      </c>
      <c r="N1594" s="2" t="s">
        <v>1001</v>
      </c>
      <c r="O1594" s="2" t="s">
        <v>115</v>
      </c>
      <c r="P1594" s="2" t="str">
        <f>"2170558602                    "</f>
        <v xml:space="preserve">2170558602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4.29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1</v>
      </c>
      <c r="BJ1594" s="2">
        <v>0.2</v>
      </c>
      <c r="BK1594" s="2">
        <v>1</v>
      </c>
      <c r="BL1594" s="2">
        <v>41.73</v>
      </c>
      <c r="BM1594" s="2">
        <v>5.84</v>
      </c>
      <c r="BN1594" s="2">
        <v>47.57</v>
      </c>
      <c r="BO1594" s="2">
        <v>47.57</v>
      </c>
      <c r="BP1594" s="2"/>
      <c r="BQ1594" s="2" t="s">
        <v>472</v>
      </c>
      <c r="BR1594" s="2" t="s">
        <v>123</v>
      </c>
      <c r="BS1594" s="3">
        <v>42835</v>
      </c>
      <c r="BT1594" s="4">
        <v>0.39027777777777778</v>
      </c>
      <c r="BU1594" s="2" t="s">
        <v>1002</v>
      </c>
      <c r="BV1594" s="2" t="s">
        <v>111</v>
      </c>
      <c r="BW1594" s="2"/>
      <c r="BX1594" s="2"/>
      <c r="BY1594" s="2">
        <v>1200</v>
      </c>
      <c r="BZ1594" s="2" t="s">
        <v>27</v>
      </c>
      <c r="CA1594" s="2"/>
      <c r="CB1594" s="2"/>
      <c r="CC1594" s="2" t="s">
        <v>475</v>
      </c>
      <c r="CD1594" s="2">
        <v>3290</v>
      </c>
      <c r="CE1594" s="2" t="s">
        <v>144</v>
      </c>
      <c r="CF1594" s="5">
        <v>42836</v>
      </c>
      <c r="CG1594" s="2"/>
      <c r="CH1594" s="2"/>
      <c r="CI1594" s="2">
        <v>1</v>
      </c>
      <c r="CJ1594" s="2">
        <v>1</v>
      </c>
      <c r="CK1594" s="2">
        <v>21</v>
      </c>
      <c r="CL1594" s="2" t="s">
        <v>86</v>
      </c>
      <c r="CM1594" s="2"/>
    </row>
    <row r="1595" spans="1:91">
      <c r="A1595" s="2" t="s">
        <v>71</v>
      </c>
      <c r="B1595" s="2" t="s">
        <v>72</v>
      </c>
      <c r="C1595" s="2" t="s">
        <v>73</v>
      </c>
      <c r="D1595" s="2"/>
      <c r="E1595" s="2" t="str">
        <f>"FES1162542454"</f>
        <v>FES1162542454</v>
      </c>
      <c r="F1595" s="3">
        <v>42835</v>
      </c>
      <c r="G1595" s="2">
        <v>201710</v>
      </c>
      <c r="H1595" s="2" t="s">
        <v>74</v>
      </c>
      <c r="I1595" s="2" t="s">
        <v>75</v>
      </c>
      <c r="J1595" s="2" t="s">
        <v>76</v>
      </c>
      <c r="K1595" s="2" t="s">
        <v>77</v>
      </c>
      <c r="L1595" s="2" t="s">
        <v>1161</v>
      </c>
      <c r="M1595" s="2" t="s">
        <v>1162</v>
      </c>
      <c r="N1595" s="2" t="s">
        <v>2105</v>
      </c>
      <c r="O1595" s="2" t="s">
        <v>115</v>
      </c>
      <c r="P1595" s="2" t="str">
        <f>"2170561342                    "</f>
        <v xml:space="preserve">2170561342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6.03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1</v>
      </c>
      <c r="BJ1595" s="2">
        <v>0.2</v>
      </c>
      <c r="BK1595" s="2">
        <v>1</v>
      </c>
      <c r="BL1595" s="2">
        <v>58.68</v>
      </c>
      <c r="BM1595" s="2">
        <v>8.2200000000000006</v>
      </c>
      <c r="BN1595" s="2">
        <v>66.900000000000006</v>
      </c>
      <c r="BO1595" s="2">
        <v>66.900000000000006</v>
      </c>
      <c r="BP1595" s="2"/>
      <c r="BQ1595" s="2" t="s">
        <v>2106</v>
      </c>
      <c r="BR1595" s="2" t="s">
        <v>123</v>
      </c>
      <c r="BS1595" s="3">
        <v>42836</v>
      </c>
      <c r="BT1595" s="4">
        <v>0.52083333333333337</v>
      </c>
      <c r="BU1595" s="2" t="s">
        <v>245</v>
      </c>
      <c r="BV1595" s="2" t="s">
        <v>111</v>
      </c>
      <c r="BW1595" s="2"/>
      <c r="BX1595" s="2"/>
      <c r="BY1595" s="2">
        <v>1200</v>
      </c>
      <c r="BZ1595" s="2" t="s">
        <v>27</v>
      </c>
      <c r="CA1595" s="2"/>
      <c r="CB1595" s="2"/>
      <c r="CC1595" s="2" t="s">
        <v>1162</v>
      </c>
      <c r="CD1595" s="2">
        <v>1028</v>
      </c>
      <c r="CE1595" s="2" t="s">
        <v>144</v>
      </c>
      <c r="CF1595" s="5">
        <v>42838</v>
      </c>
      <c r="CG1595" s="2"/>
      <c r="CH1595" s="2"/>
      <c r="CI1595" s="2">
        <v>0</v>
      </c>
      <c r="CJ1595" s="2">
        <v>0</v>
      </c>
      <c r="CK1595" s="2">
        <v>24</v>
      </c>
      <c r="CL1595" s="2" t="s">
        <v>86</v>
      </c>
      <c r="CM1595" s="2"/>
    </row>
    <row r="1596" spans="1:91">
      <c r="A1596" s="2" t="s">
        <v>71</v>
      </c>
      <c r="B1596" s="2" t="s">
        <v>72</v>
      </c>
      <c r="C1596" s="2" t="s">
        <v>73</v>
      </c>
      <c r="D1596" s="2"/>
      <c r="E1596" s="2" t="str">
        <f>"FES1162542276"</f>
        <v>FES1162542276</v>
      </c>
      <c r="F1596" s="3">
        <v>42832</v>
      </c>
      <c r="G1596" s="2">
        <v>201710</v>
      </c>
      <c r="H1596" s="2" t="s">
        <v>74</v>
      </c>
      <c r="I1596" s="2" t="s">
        <v>75</v>
      </c>
      <c r="J1596" s="2" t="s">
        <v>76</v>
      </c>
      <c r="K1596" s="2" t="s">
        <v>77</v>
      </c>
      <c r="L1596" s="2" t="s">
        <v>112</v>
      </c>
      <c r="M1596" s="2" t="s">
        <v>113</v>
      </c>
      <c r="N1596" s="2" t="s">
        <v>114</v>
      </c>
      <c r="O1596" s="2" t="s">
        <v>115</v>
      </c>
      <c r="P1596" s="2" t="str">
        <f>"2170558920                    "</f>
        <v xml:space="preserve">2170558920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16.079999999999998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7.1</v>
      </c>
      <c r="BJ1596" s="2">
        <v>2.4</v>
      </c>
      <c r="BK1596" s="2">
        <v>7.5</v>
      </c>
      <c r="BL1596" s="2">
        <v>156.47999999999999</v>
      </c>
      <c r="BM1596" s="2">
        <v>21.91</v>
      </c>
      <c r="BN1596" s="2">
        <v>178.39</v>
      </c>
      <c r="BO1596" s="2">
        <v>178.39</v>
      </c>
      <c r="BP1596" s="2"/>
      <c r="BQ1596" s="2" t="s">
        <v>116</v>
      </c>
      <c r="BR1596" s="2" t="s">
        <v>123</v>
      </c>
      <c r="BS1596" s="3">
        <v>42835</v>
      </c>
      <c r="BT1596" s="4">
        <v>0.41041666666666665</v>
      </c>
      <c r="BU1596" s="2" t="s">
        <v>1036</v>
      </c>
      <c r="BV1596" s="2" t="s">
        <v>111</v>
      </c>
      <c r="BW1596" s="2"/>
      <c r="BX1596" s="2"/>
      <c r="BY1596" s="2">
        <v>12138.73</v>
      </c>
      <c r="BZ1596" s="2" t="s">
        <v>27</v>
      </c>
      <c r="CA1596" s="2" t="s">
        <v>159</v>
      </c>
      <c r="CB1596" s="2"/>
      <c r="CC1596" s="2" t="s">
        <v>113</v>
      </c>
      <c r="CD1596" s="2">
        <v>3201</v>
      </c>
      <c r="CE1596" s="2" t="s">
        <v>287</v>
      </c>
      <c r="CF1596" s="5">
        <v>42836</v>
      </c>
      <c r="CG1596" s="2"/>
      <c r="CH1596" s="2"/>
      <c r="CI1596" s="2">
        <v>1</v>
      </c>
      <c r="CJ1596" s="2">
        <v>1</v>
      </c>
      <c r="CK1596" s="2">
        <v>21</v>
      </c>
      <c r="CL1596" s="2" t="s">
        <v>86</v>
      </c>
      <c r="CM1596" s="2"/>
    </row>
    <row r="1597" spans="1:91">
      <c r="A1597" s="2" t="s">
        <v>71</v>
      </c>
      <c r="B1597" s="2" t="s">
        <v>72</v>
      </c>
      <c r="C1597" s="2" t="s">
        <v>73</v>
      </c>
      <c r="D1597" s="2"/>
      <c r="E1597" s="2" t="str">
        <f>"FES1162542299"</f>
        <v>FES1162542299</v>
      </c>
      <c r="F1597" s="3">
        <v>42832</v>
      </c>
      <c r="G1597" s="2">
        <v>201710</v>
      </c>
      <c r="H1597" s="2" t="s">
        <v>74</v>
      </c>
      <c r="I1597" s="2" t="s">
        <v>75</v>
      </c>
      <c r="J1597" s="2" t="s">
        <v>76</v>
      </c>
      <c r="K1597" s="2" t="s">
        <v>77</v>
      </c>
      <c r="L1597" s="2" t="s">
        <v>180</v>
      </c>
      <c r="M1597" s="2" t="s">
        <v>181</v>
      </c>
      <c r="N1597" s="2" t="s">
        <v>2107</v>
      </c>
      <c r="O1597" s="2" t="s">
        <v>115</v>
      </c>
      <c r="P1597" s="2" t="str">
        <f>"2170561187                    "</f>
        <v xml:space="preserve">2170561187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20.36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9.3000000000000007</v>
      </c>
      <c r="BJ1597" s="2">
        <v>3.3</v>
      </c>
      <c r="BK1597" s="2">
        <v>9.5</v>
      </c>
      <c r="BL1597" s="2">
        <v>198.2</v>
      </c>
      <c r="BM1597" s="2">
        <v>27.75</v>
      </c>
      <c r="BN1597" s="2">
        <v>225.95</v>
      </c>
      <c r="BO1597" s="2">
        <v>225.95</v>
      </c>
      <c r="BP1597" s="2"/>
      <c r="BQ1597" s="2" t="s">
        <v>129</v>
      </c>
      <c r="BR1597" s="2" t="s">
        <v>123</v>
      </c>
      <c r="BS1597" s="3">
        <v>42835</v>
      </c>
      <c r="BT1597" s="4">
        <v>0.4375</v>
      </c>
      <c r="BU1597" s="2" t="s">
        <v>2108</v>
      </c>
      <c r="BV1597" s="2" t="s">
        <v>111</v>
      </c>
      <c r="BW1597" s="2"/>
      <c r="BX1597" s="2"/>
      <c r="BY1597" s="2">
        <v>16338.9</v>
      </c>
      <c r="BZ1597" s="2" t="s">
        <v>27</v>
      </c>
      <c r="CA1597" s="2"/>
      <c r="CB1597" s="2"/>
      <c r="CC1597" s="2" t="s">
        <v>181</v>
      </c>
      <c r="CD1597" s="2">
        <v>4001</v>
      </c>
      <c r="CE1597" s="2" t="s">
        <v>135</v>
      </c>
      <c r="CF1597" s="5">
        <v>42836</v>
      </c>
      <c r="CG1597" s="2"/>
      <c r="CH1597" s="2"/>
      <c r="CI1597" s="2">
        <v>1</v>
      </c>
      <c r="CJ1597" s="2">
        <v>1</v>
      </c>
      <c r="CK1597" s="2">
        <v>21</v>
      </c>
      <c r="CL1597" s="2" t="s">
        <v>86</v>
      </c>
      <c r="CM1597" s="2"/>
    </row>
    <row r="1598" spans="1:91">
      <c r="A1598" s="2" t="s">
        <v>71</v>
      </c>
      <c r="B1598" s="2" t="s">
        <v>72</v>
      </c>
      <c r="C1598" s="2" t="s">
        <v>73</v>
      </c>
      <c r="D1598" s="2"/>
      <c r="E1598" s="2" t="str">
        <f>"FES1162542292"</f>
        <v>FES1162542292</v>
      </c>
      <c r="F1598" s="3">
        <v>42832</v>
      </c>
      <c r="G1598" s="2">
        <v>201710</v>
      </c>
      <c r="H1598" s="2" t="s">
        <v>74</v>
      </c>
      <c r="I1598" s="2" t="s">
        <v>75</v>
      </c>
      <c r="J1598" s="2" t="s">
        <v>76</v>
      </c>
      <c r="K1598" s="2" t="s">
        <v>77</v>
      </c>
      <c r="L1598" s="2" t="s">
        <v>74</v>
      </c>
      <c r="M1598" s="2" t="s">
        <v>75</v>
      </c>
      <c r="N1598" s="2" t="s">
        <v>1684</v>
      </c>
      <c r="O1598" s="2" t="s">
        <v>115</v>
      </c>
      <c r="P1598" s="2" t="str">
        <f>"2170560311                    "</f>
        <v xml:space="preserve">2170560311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3.35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1</v>
      </c>
      <c r="BJ1598" s="2">
        <v>1.4</v>
      </c>
      <c r="BK1598" s="2">
        <v>2</v>
      </c>
      <c r="BL1598" s="2">
        <v>32.6</v>
      </c>
      <c r="BM1598" s="2">
        <v>4.5599999999999996</v>
      </c>
      <c r="BN1598" s="2">
        <v>37.159999999999997</v>
      </c>
      <c r="BO1598" s="2">
        <v>37.159999999999997</v>
      </c>
      <c r="BP1598" s="2"/>
      <c r="BQ1598" s="2" t="s">
        <v>1685</v>
      </c>
      <c r="BR1598" s="2" t="s">
        <v>123</v>
      </c>
      <c r="BS1598" s="3">
        <v>42835</v>
      </c>
      <c r="BT1598" s="4">
        <v>0.41666666666666669</v>
      </c>
      <c r="BU1598" s="2" t="s">
        <v>2109</v>
      </c>
      <c r="BV1598" s="2" t="s">
        <v>111</v>
      </c>
      <c r="BW1598" s="2"/>
      <c r="BX1598" s="2"/>
      <c r="BY1598" s="2">
        <v>6847.5</v>
      </c>
      <c r="BZ1598" s="2" t="s">
        <v>27</v>
      </c>
      <c r="CA1598" s="2"/>
      <c r="CB1598" s="2"/>
      <c r="CC1598" s="2" t="s">
        <v>75</v>
      </c>
      <c r="CD1598" s="2">
        <v>1609</v>
      </c>
      <c r="CE1598" s="2" t="s">
        <v>89</v>
      </c>
      <c r="CF1598" s="5">
        <v>42836</v>
      </c>
      <c r="CG1598" s="2"/>
      <c r="CH1598" s="2"/>
      <c r="CI1598" s="2">
        <v>1</v>
      </c>
      <c r="CJ1598" s="2">
        <v>1</v>
      </c>
      <c r="CK1598" s="2">
        <v>22</v>
      </c>
      <c r="CL1598" s="2" t="s">
        <v>86</v>
      </c>
      <c r="CM1598" s="2"/>
    </row>
    <row r="1599" spans="1:91">
      <c r="A1599" s="2" t="s">
        <v>71</v>
      </c>
      <c r="B1599" s="2" t="s">
        <v>72</v>
      </c>
      <c r="C1599" s="2" t="s">
        <v>73</v>
      </c>
      <c r="D1599" s="2"/>
      <c r="E1599" s="2" t="str">
        <f>"FES1162542264"</f>
        <v>FES1162542264</v>
      </c>
      <c r="F1599" s="3">
        <v>42832</v>
      </c>
      <c r="G1599" s="2">
        <v>201710</v>
      </c>
      <c r="H1599" s="2" t="s">
        <v>74</v>
      </c>
      <c r="I1599" s="2" t="s">
        <v>75</v>
      </c>
      <c r="J1599" s="2" t="s">
        <v>76</v>
      </c>
      <c r="K1599" s="2" t="s">
        <v>77</v>
      </c>
      <c r="L1599" s="2" t="s">
        <v>180</v>
      </c>
      <c r="M1599" s="2" t="s">
        <v>181</v>
      </c>
      <c r="N1599" s="2" t="s">
        <v>320</v>
      </c>
      <c r="O1599" s="2" t="s">
        <v>115</v>
      </c>
      <c r="P1599" s="2" t="str">
        <f>"2170561176                    "</f>
        <v xml:space="preserve">2170561176 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4.29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1</v>
      </c>
      <c r="BJ1599" s="2">
        <v>0.2</v>
      </c>
      <c r="BK1599" s="2">
        <v>1</v>
      </c>
      <c r="BL1599" s="2">
        <v>41.73</v>
      </c>
      <c r="BM1599" s="2">
        <v>5.84</v>
      </c>
      <c r="BN1599" s="2">
        <v>47.57</v>
      </c>
      <c r="BO1599" s="2">
        <v>47.57</v>
      </c>
      <c r="BP1599" s="2"/>
      <c r="BQ1599" s="2" t="s">
        <v>129</v>
      </c>
      <c r="BR1599" s="2" t="s">
        <v>123</v>
      </c>
      <c r="BS1599" s="3">
        <v>42835</v>
      </c>
      <c r="BT1599" s="4">
        <v>0.43055555555555558</v>
      </c>
      <c r="BU1599" s="2" t="s">
        <v>2024</v>
      </c>
      <c r="BV1599" s="2" t="s">
        <v>111</v>
      </c>
      <c r="BW1599" s="2"/>
      <c r="BX1599" s="2"/>
      <c r="BY1599" s="2">
        <v>1200</v>
      </c>
      <c r="BZ1599" s="2" t="s">
        <v>27</v>
      </c>
      <c r="CA1599" s="2"/>
      <c r="CB1599" s="2"/>
      <c r="CC1599" s="2" t="s">
        <v>181</v>
      </c>
      <c r="CD1599" s="2">
        <v>4051</v>
      </c>
      <c r="CE1599" s="2" t="s">
        <v>144</v>
      </c>
      <c r="CF1599" s="5">
        <v>42836</v>
      </c>
      <c r="CG1599" s="2"/>
      <c r="CH1599" s="2"/>
      <c r="CI1599" s="2">
        <v>1</v>
      </c>
      <c r="CJ1599" s="2">
        <v>1</v>
      </c>
      <c r="CK1599" s="2">
        <v>21</v>
      </c>
      <c r="CL1599" s="2" t="s">
        <v>86</v>
      </c>
      <c r="CM1599" s="2"/>
    </row>
    <row r="1600" spans="1:91">
      <c r="A1600" s="2" t="s">
        <v>71</v>
      </c>
      <c r="B1600" s="2" t="s">
        <v>72</v>
      </c>
      <c r="C1600" s="2" t="s">
        <v>73</v>
      </c>
      <c r="D1600" s="2"/>
      <c r="E1600" s="2" t="str">
        <f>"FES1162542314"</f>
        <v>FES1162542314</v>
      </c>
      <c r="F1600" s="3">
        <v>42832</v>
      </c>
      <c r="G1600" s="2">
        <v>201710</v>
      </c>
      <c r="H1600" s="2" t="s">
        <v>74</v>
      </c>
      <c r="I1600" s="2" t="s">
        <v>75</v>
      </c>
      <c r="J1600" s="2" t="s">
        <v>76</v>
      </c>
      <c r="K1600" s="2" t="s">
        <v>77</v>
      </c>
      <c r="L1600" s="2" t="s">
        <v>180</v>
      </c>
      <c r="M1600" s="2" t="s">
        <v>181</v>
      </c>
      <c r="N1600" s="2" t="s">
        <v>982</v>
      </c>
      <c r="O1600" s="2" t="s">
        <v>115</v>
      </c>
      <c r="P1600" s="2" t="str">
        <f>"2170561184                    "</f>
        <v xml:space="preserve">2170561184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4.29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1</v>
      </c>
      <c r="BJ1600" s="2">
        <v>0.2</v>
      </c>
      <c r="BK1600" s="2">
        <v>1</v>
      </c>
      <c r="BL1600" s="2">
        <v>41.73</v>
      </c>
      <c r="BM1600" s="2">
        <v>5.84</v>
      </c>
      <c r="BN1600" s="2">
        <v>47.57</v>
      </c>
      <c r="BO1600" s="2">
        <v>47.57</v>
      </c>
      <c r="BP1600" s="2"/>
      <c r="BQ1600" s="2" t="s">
        <v>1168</v>
      </c>
      <c r="BR1600" s="2" t="s">
        <v>123</v>
      </c>
      <c r="BS1600" s="3">
        <v>42835</v>
      </c>
      <c r="BT1600" s="4">
        <v>0.4375</v>
      </c>
      <c r="BU1600" s="2" t="s">
        <v>245</v>
      </c>
      <c r="BV1600" s="2" t="s">
        <v>111</v>
      </c>
      <c r="BW1600" s="2"/>
      <c r="BX1600" s="2"/>
      <c r="BY1600" s="2">
        <v>1200</v>
      </c>
      <c r="BZ1600" s="2" t="s">
        <v>27</v>
      </c>
      <c r="CA1600" s="2"/>
      <c r="CB1600" s="2"/>
      <c r="CC1600" s="2" t="s">
        <v>181</v>
      </c>
      <c r="CD1600" s="2">
        <v>4052</v>
      </c>
      <c r="CE1600" s="2" t="s">
        <v>144</v>
      </c>
      <c r="CF1600" s="5">
        <v>42836</v>
      </c>
      <c r="CG1600" s="2"/>
      <c r="CH1600" s="2"/>
      <c r="CI1600" s="2">
        <v>1</v>
      </c>
      <c r="CJ1600" s="2">
        <v>1</v>
      </c>
      <c r="CK1600" s="2">
        <v>21</v>
      </c>
      <c r="CL1600" s="2" t="s">
        <v>86</v>
      </c>
      <c r="CM1600" s="2"/>
    </row>
    <row r="1601" spans="1:91">
      <c r="A1601" s="2" t="s">
        <v>71</v>
      </c>
      <c r="B1601" s="2" t="s">
        <v>72</v>
      </c>
      <c r="C1601" s="2" t="s">
        <v>73</v>
      </c>
      <c r="D1601" s="2"/>
      <c r="E1601" s="2" t="str">
        <f>"FES1162542532"</f>
        <v>FES1162542532</v>
      </c>
      <c r="F1601" s="3">
        <v>42835</v>
      </c>
      <c r="G1601" s="2">
        <v>201710</v>
      </c>
      <c r="H1601" s="2" t="s">
        <v>74</v>
      </c>
      <c r="I1601" s="2" t="s">
        <v>75</v>
      </c>
      <c r="J1601" s="2" t="s">
        <v>76</v>
      </c>
      <c r="K1601" s="2" t="s">
        <v>77</v>
      </c>
      <c r="L1601" s="2" t="s">
        <v>294</v>
      </c>
      <c r="M1601" s="2" t="s">
        <v>295</v>
      </c>
      <c r="N1601" s="2" t="s">
        <v>813</v>
      </c>
      <c r="O1601" s="2" t="s">
        <v>115</v>
      </c>
      <c r="P1601" s="2" t="str">
        <f>"2170561375                    "</f>
        <v xml:space="preserve">2170561375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4.29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1</v>
      </c>
      <c r="BJ1601" s="2">
        <v>0.2</v>
      </c>
      <c r="BK1601" s="2">
        <v>1</v>
      </c>
      <c r="BL1601" s="2">
        <v>41.73</v>
      </c>
      <c r="BM1601" s="2">
        <v>5.84</v>
      </c>
      <c r="BN1601" s="2">
        <v>47.57</v>
      </c>
      <c r="BO1601" s="2">
        <v>47.57</v>
      </c>
      <c r="BP1601" s="2"/>
      <c r="BQ1601" s="2" t="s">
        <v>116</v>
      </c>
      <c r="BR1601" s="2" t="s">
        <v>123</v>
      </c>
      <c r="BS1601" s="3">
        <v>42836</v>
      </c>
      <c r="BT1601" s="4">
        <v>0.42569444444444443</v>
      </c>
      <c r="BU1601" s="2" t="s">
        <v>2034</v>
      </c>
      <c r="BV1601" s="2" t="s">
        <v>111</v>
      </c>
      <c r="BW1601" s="2"/>
      <c r="BX1601" s="2"/>
      <c r="BY1601" s="2">
        <v>1200</v>
      </c>
      <c r="BZ1601" s="2" t="s">
        <v>27</v>
      </c>
      <c r="CA1601" s="2"/>
      <c r="CB1601" s="2"/>
      <c r="CC1601" s="2" t="s">
        <v>295</v>
      </c>
      <c r="CD1601" s="2">
        <v>3610</v>
      </c>
      <c r="CE1601" s="2" t="s">
        <v>144</v>
      </c>
      <c r="CF1601" s="5">
        <v>42837</v>
      </c>
      <c r="CG1601" s="2"/>
      <c r="CH1601" s="2"/>
      <c r="CI1601" s="2">
        <v>1</v>
      </c>
      <c r="CJ1601" s="2">
        <v>1</v>
      </c>
      <c r="CK1601" s="2">
        <v>21</v>
      </c>
      <c r="CL1601" s="2" t="s">
        <v>86</v>
      </c>
      <c r="CM1601" s="2"/>
    </row>
    <row r="1602" spans="1:91">
      <c r="A1602" s="2" t="s">
        <v>71</v>
      </c>
      <c r="B1602" s="2" t="s">
        <v>72</v>
      </c>
      <c r="C1602" s="2" t="s">
        <v>73</v>
      </c>
      <c r="D1602" s="2"/>
      <c r="E1602" s="2" t="str">
        <f>"FES1162542293"</f>
        <v>FES1162542293</v>
      </c>
      <c r="F1602" s="3">
        <v>42832</v>
      </c>
      <c r="G1602" s="2">
        <v>201710</v>
      </c>
      <c r="H1602" s="2" t="s">
        <v>74</v>
      </c>
      <c r="I1602" s="2" t="s">
        <v>75</v>
      </c>
      <c r="J1602" s="2" t="s">
        <v>76</v>
      </c>
      <c r="K1602" s="2" t="s">
        <v>77</v>
      </c>
      <c r="L1602" s="2" t="s">
        <v>549</v>
      </c>
      <c r="M1602" s="2" t="s">
        <v>550</v>
      </c>
      <c r="N1602" s="2" t="s">
        <v>689</v>
      </c>
      <c r="O1602" s="2" t="s">
        <v>115</v>
      </c>
      <c r="P1602" s="2" t="str">
        <f>"2170560468                    "</f>
        <v xml:space="preserve">2170560468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4.29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</v>
      </c>
      <c r="BJ1602" s="2">
        <v>0.2</v>
      </c>
      <c r="BK1602" s="2">
        <v>1</v>
      </c>
      <c r="BL1602" s="2">
        <v>41.73</v>
      </c>
      <c r="BM1602" s="2">
        <v>5.84</v>
      </c>
      <c r="BN1602" s="2">
        <v>47.57</v>
      </c>
      <c r="BO1602" s="2">
        <v>47.57</v>
      </c>
      <c r="BP1602" s="2"/>
      <c r="BQ1602" s="2" t="s">
        <v>690</v>
      </c>
      <c r="BR1602" s="2" t="s">
        <v>123</v>
      </c>
      <c r="BS1602" s="3">
        <v>42835</v>
      </c>
      <c r="BT1602" s="4">
        <v>0.40625</v>
      </c>
      <c r="BU1602" s="2" t="s">
        <v>1132</v>
      </c>
      <c r="BV1602" s="2" t="s">
        <v>111</v>
      </c>
      <c r="BW1602" s="2"/>
      <c r="BX1602" s="2"/>
      <c r="BY1602" s="2">
        <v>1200</v>
      </c>
      <c r="BZ1602" s="2" t="s">
        <v>27</v>
      </c>
      <c r="CA1602" s="2"/>
      <c r="CB1602" s="2"/>
      <c r="CC1602" s="2" t="s">
        <v>550</v>
      </c>
      <c r="CD1602" s="2">
        <v>3699</v>
      </c>
      <c r="CE1602" s="2" t="s">
        <v>144</v>
      </c>
      <c r="CF1602" s="5">
        <v>42836</v>
      </c>
      <c r="CG1602" s="2"/>
      <c r="CH1602" s="2"/>
      <c r="CI1602" s="2">
        <v>1</v>
      </c>
      <c r="CJ1602" s="2">
        <v>1</v>
      </c>
      <c r="CK1602" s="2">
        <v>21</v>
      </c>
      <c r="CL1602" s="2" t="s">
        <v>86</v>
      </c>
      <c r="CM1602" s="2"/>
    </row>
    <row r="1603" spans="1:91">
      <c r="A1603" s="2" t="s">
        <v>71</v>
      </c>
      <c r="B1603" s="2" t="s">
        <v>72</v>
      </c>
      <c r="C1603" s="2" t="s">
        <v>73</v>
      </c>
      <c r="D1603" s="2"/>
      <c r="E1603" s="2" t="str">
        <f>"FES1162542543"</f>
        <v>FES1162542543</v>
      </c>
      <c r="F1603" s="3">
        <v>42835</v>
      </c>
      <c r="G1603" s="2">
        <v>201710</v>
      </c>
      <c r="H1603" s="2" t="s">
        <v>74</v>
      </c>
      <c r="I1603" s="2" t="s">
        <v>75</v>
      </c>
      <c r="J1603" s="2" t="s">
        <v>76</v>
      </c>
      <c r="K1603" s="2" t="s">
        <v>77</v>
      </c>
      <c r="L1603" s="2" t="s">
        <v>99</v>
      </c>
      <c r="M1603" s="2" t="s">
        <v>100</v>
      </c>
      <c r="N1603" s="2" t="s">
        <v>555</v>
      </c>
      <c r="O1603" s="2" t="s">
        <v>115</v>
      </c>
      <c r="P1603" s="2" t="str">
        <f>"2170561403                    "</f>
        <v xml:space="preserve">2170561403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7.5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3.2</v>
      </c>
      <c r="BJ1603" s="2">
        <v>3.4</v>
      </c>
      <c r="BK1603" s="2">
        <v>3.5</v>
      </c>
      <c r="BL1603" s="2">
        <v>73.02</v>
      </c>
      <c r="BM1603" s="2">
        <v>10.220000000000001</v>
      </c>
      <c r="BN1603" s="2">
        <v>83.24</v>
      </c>
      <c r="BO1603" s="2">
        <v>83.24</v>
      </c>
      <c r="BP1603" s="2"/>
      <c r="BQ1603" s="2" t="s">
        <v>556</v>
      </c>
      <c r="BR1603" s="2" t="s">
        <v>123</v>
      </c>
      <c r="BS1603" s="3">
        <v>42836</v>
      </c>
      <c r="BT1603" s="4">
        <v>0.375</v>
      </c>
      <c r="BU1603" s="2" t="s">
        <v>2110</v>
      </c>
      <c r="BV1603" s="2" t="s">
        <v>111</v>
      </c>
      <c r="BW1603" s="2"/>
      <c r="BX1603" s="2"/>
      <c r="BY1603" s="2">
        <v>16765.98</v>
      </c>
      <c r="BZ1603" s="2" t="s">
        <v>27</v>
      </c>
      <c r="CA1603" s="2" t="s">
        <v>106</v>
      </c>
      <c r="CB1603" s="2"/>
      <c r="CC1603" s="2" t="s">
        <v>100</v>
      </c>
      <c r="CD1603" s="2">
        <v>6001</v>
      </c>
      <c r="CE1603" s="2" t="s">
        <v>135</v>
      </c>
      <c r="CF1603" s="5">
        <v>42836</v>
      </c>
      <c r="CG1603" s="2"/>
      <c r="CH1603" s="2"/>
      <c r="CI1603" s="2">
        <v>1</v>
      </c>
      <c r="CJ1603" s="2">
        <v>1</v>
      </c>
      <c r="CK1603" s="2">
        <v>21</v>
      </c>
      <c r="CL1603" s="2" t="s">
        <v>86</v>
      </c>
      <c r="CM1603" s="2"/>
    </row>
    <row r="1604" spans="1:91">
      <c r="A1604" s="2" t="s">
        <v>71</v>
      </c>
      <c r="B1604" s="2" t="s">
        <v>72</v>
      </c>
      <c r="C1604" s="2" t="s">
        <v>73</v>
      </c>
      <c r="D1604" s="2"/>
      <c r="E1604" s="2" t="str">
        <f>"FES1162542196"</f>
        <v>FES1162542196</v>
      </c>
      <c r="F1604" s="3">
        <v>42832</v>
      </c>
      <c r="G1604" s="2">
        <v>201710</v>
      </c>
      <c r="H1604" s="2" t="s">
        <v>74</v>
      </c>
      <c r="I1604" s="2" t="s">
        <v>75</v>
      </c>
      <c r="J1604" s="2" t="s">
        <v>76</v>
      </c>
      <c r="K1604" s="2" t="s">
        <v>77</v>
      </c>
      <c r="L1604" s="2" t="s">
        <v>187</v>
      </c>
      <c r="M1604" s="2" t="s">
        <v>146</v>
      </c>
      <c r="N1604" s="2" t="s">
        <v>2111</v>
      </c>
      <c r="O1604" s="2" t="s">
        <v>115</v>
      </c>
      <c r="P1604" s="2" t="str">
        <f>"2170561096                    "</f>
        <v xml:space="preserve">2170561096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4.29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1</v>
      </c>
      <c r="BJ1604" s="2">
        <v>0.2</v>
      </c>
      <c r="BK1604" s="2">
        <v>1</v>
      </c>
      <c r="BL1604" s="2">
        <v>41.73</v>
      </c>
      <c r="BM1604" s="2">
        <v>5.84</v>
      </c>
      <c r="BN1604" s="2">
        <v>47.57</v>
      </c>
      <c r="BO1604" s="2">
        <v>47.57</v>
      </c>
      <c r="BP1604" s="2"/>
      <c r="BQ1604" s="2">
        <v>1162542196</v>
      </c>
      <c r="BR1604" s="2" t="s">
        <v>123</v>
      </c>
      <c r="BS1604" s="3">
        <v>42835</v>
      </c>
      <c r="BT1604" s="4">
        <v>0.40277777777777773</v>
      </c>
      <c r="BU1604" s="2" t="s">
        <v>2112</v>
      </c>
      <c r="BV1604" s="2" t="s">
        <v>111</v>
      </c>
      <c r="BW1604" s="2"/>
      <c r="BX1604" s="2"/>
      <c r="BY1604" s="2">
        <v>1200</v>
      </c>
      <c r="BZ1604" s="2" t="s">
        <v>27</v>
      </c>
      <c r="CA1604" s="2"/>
      <c r="CB1604" s="2"/>
      <c r="CC1604" s="2" t="s">
        <v>146</v>
      </c>
      <c r="CD1604" s="2">
        <v>127</v>
      </c>
      <c r="CE1604" s="2" t="s">
        <v>144</v>
      </c>
      <c r="CF1604" s="5">
        <v>42837</v>
      </c>
      <c r="CG1604" s="2"/>
      <c r="CH1604" s="2"/>
      <c r="CI1604" s="2">
        <v>0</v>
      </c>
      <c r="CJ1604" s="2">
        <v>0</v>
      </c>
      <c r="CK1604" s="2">
        <v>21</v>
      </c>
      <c r="CL1604" s="2" t="s">
        <v>86</v>
      </c>
      <c r="CM1604" s="2"/>
    </row>
    <row r="1605" spans="1:91">
      <c r="A1605" s="2" t="s">
        <v>71</v>
      </c>
      <c r="B1605" s="2" t="s">
        <v>72</v>
      </c>
      <c r="C1605" s="2" t="s">
        <v>73</v>
      </c>
      <c r="D1605" s="2"/>
      <c r="E1605" s="2" t="str">
        <f>"FES1162542470"</f>
        <v>FES1162542470</v>
      </c>
      <c r="F1605" s="3">
        <v>42835</v>
      </c>
      <c r="G1605" s="2">
        <v>201710</v>
      </c>
      <c r="H1605" s="2" t="s">
        <v>74</v>
      </c>
      <c r="I1605" s="2" t="s">
        <v>75</v>
      </c>
      <c r="J1605" s="2" t="s">
        <v>76</v>
      </c>
      <c r="K1605" s="2" t="s">
        <v>77</v>
      </c>
      <c r="L1605" s="2" t="s">
        <v>99</v>
      </c>
      <c r="M1605" s="2" t="s">
        <v>100</v>
      </c>
      <c r="N1605" s="2" t="s">
        <v>583</v>
      </c>
      <c r="O1605" s="2" t="s">
        <v>115</v>
      </c>
      <c r="P1605" s="2" t="str">
        <f>"2170561366                    "</f>
        <v xml:space="preserve">2170561366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4.29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1.3</v>
      </c>
      <c r="BJ1605" s="2">
        <v>0.2</v>
      </c>
      <c r="BK1605" s="2">
        <v>1.5</v>
      </c>
      <c r="BL1605" s="2">
        <v>41.73</v>
      </c>
      <c r="BM1605" s="2">
        <v>5.84</v>
      </c>
      <c r="BN1605" s="2">
        <v>47.57</v>
      </c>
      <c r="BO1605" s="2">
        <v>47.57</v>
      </c>
      <c r="BP1605" s="2"/>
      <c r="BQ1605" s="2" t="s">
        <v>584</v>
      </c>
      <c r="BR1605" s="2" t="s">
        <v>123</v>
      </c>
      <c r="BS1605" s="3">
        <v>42836</v>
      </c>
      <c r="BT1605" s="4">
        <v>0.30416666666666664</v>
      </c>
      <c r="BU1605" s="2" t="s">
        <v>585</v>
      </c>
      <c r="BV1605" s="2" t="s">
        <v>111</v>
      </c>
      <c r="BW1605" s="2"/>
      <c r="BX1605" s="2"/>
      <c r="BY1605" s="2">
        <v>1200</v>
      </c>
      <c r="BZ1605" s="2" t="s">
        <v>27</v>
      </c>
      <c r="CA1605" s="2" t="s">
        <v>154</v>
      </c>
      <c r="CB1605" s="2"/>
      <c r="CC1605" s="2" t="s">
        <v>100</v>
      </c>
      <c r="CD1605" s="2">
        <v>6001</v>
      </c>
      <c r="CE1605" s="2" t="s">
        <v>144</v>
      </c>
      <c r="CF1605" s="5">
        <v>42836</v>
      </c>
      <c r="CG1605" s="2"/>
      <c r="CH1605" s="2"/>
      <c r="CI1605" s="2">
        <v>1</v>
      </c>
      <c r="CJ1605" s="2">
        <v>1</v>
      </c>
      <c r="CK1605" s="2">
        <v>21</v>
      </c>
      <c r="CL1605" s="2" t="s">
        <v>86</v>
      </c>
      <c r="CM1605" s="2"/>
    </row>
    <row r="1606" spans="1:91">
      <c r="A1606" s="2" t="s">
        <v>71</v>
      </c>
      <c r="B1606" s="2" t="s">
        <v>72</v>
      </c>
      <c r="C1606" s="2" t="s">
        <v>73</v>
      </c>
      <c r="D1606" s="2"/>
      <c r="E1606" s="2" t="str">
        <f>"FES1162542528"</f>
        <v>FES1162542528</v>
      </c>
      <c r="F1606" s="3">
        <v>42835</v>
      </c>
      <c r="G1606" s="2">
        <v>201710</v>
      </c>
      <c r="H1606" s="2" t="s">
        <v>74</v>
      </c>
      <c r="I1606" s="2" t="s">
        <v>75</v>
      </c>
      <c r="J1606" s="2" t="s">
        <v>76</v>
      </c>
      <c r="K1606" s="2" t="s">
        <v>77</v>
      </c>
      <c r="L1606" s="2" t="s">
        <v>396</v>
      </c>
      <c r="M1606" s="2" t="s">
        <v>397</v>
      </c>
      <c r="N1606" s="2" t="s">
        <v>398</v>
      </c>
      <c r="O1606" s="2" t="s">
        <v>115</v>
      </c>
      <c r="P1606" s="2" t="str">
        <f>"2170560643                    "</f>
        <v xml:space="preserve">2170560643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21.43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2</v>
      </c>
      <c r="BI1606" s="2">
        <v>10</v>
      </c>
      <c r="BJ1606" s="2">
        <v>5.3</v>
      </c>
      <c r="BK1606" s="2">
        <v>10</v>
      </c>
      <c r="BL1606" s="2">
        <v>208.63</v>
      </c>
      <c r="BM1606" s="2">
        <v>29.21</v>
      </c>
      <c r="BN1606" s="2">
        <v>237.84</v>
      </c>
      <c r="BO1606" s="2">
        <v>237.84</v>
      </c>
      <c r="BP1606" s="2"/>
      <c r="BQ1606" s="2" t="s">
        <v>399</v>
      </c>
      <c r="BR1606" s="2" t="s">
        <v>123</v>
      </c>
      <c r="BS1606" s="3">
        <v>42836</v>
      </c>
      <c r="BT1606" s="4">
        <v>0.4375</v>
      </c>
      <c r="BU1606" s="2" t="s">
        <v>1832</v>
      </c>
      <c r="BV1606" s="2" t="s">
        <v>111</v>
      </c>
      <c r="BW1606" s="2"/>
      <c r="BX1606" s="2"/>
      <c r="BY1606" s="2">
        <v>26568</v>
      </c>
      <c r="BZ1606" s="2" t="s">
        <v>27</v>
      </c>
      <c r="CA1606" s="2" t="s">
        <v>159</v>
      </c>
      <c r="CB1606" s="2"/>
      <c r="CC1606" s="2" t="s">
        <v>397</v>
      </c>
      <c r="CD1606" s="2">
        <v>4300</v>
      </c>
      <c r="CE1606" s="2" t="s">
        <v>1988</v>
      </c>
      <c r="CF1606" s="5">
        <v>42837</v>
      </c>
      <c r="CG1606" s="2"/>
      <c r="CH1606" s="2"/>
      <c r="CI1606" s="2">
        <v>1</v>
      </c>
      <c r="CJ1606" s="2">
        <v>1</v>
      </c>
      <c r="CK1606" s="2">
        <v>21</v>
      </c>
      <c r="CL1606" s="2" t="s">
        <v>86</v>
      </c>
      <c r="CM1606" s="2"/>
    </row>
    <row r="1607" spans="1:91">
      <c r="A1607" s="2" t="s">
        <v>71</v>
      </c>
      <c r="B1607" s="2" t="s">
        <v>72</v>
      </c>
      <c r="C1607" s="2" t="s">
        <v>73</v>
      </c>
      <c r="D1607" s="2"/>
      <c r="E1607" s="2" t="str">
        <f>"FES1162542283"</f>
        <v>FES1162542283</v>
      </c>
      <c r="F1607" s="3">
        <v>42832</v>
      </c>
      <c r="G1607" s="2">
        <v>201710</v>
      </c>
      <c r="H1607" s="2" t="s">
        <v>74</v>
      </c>
      <c r="I1607" s="2" t="s">
        <v>75</v>
      </c>
      <c r="J1607" s="2" t="s">
        <v>76</v>
      </c>
      <c r="K1607" s="2" t="s">
        <v>77</v>
      </c>
      <c r="L1607" s="2" t="s">
        <v>275</v>
      </c>
      <c r="M1607" s="2" t="s">
        <v>276</v>
      </c>
      <c r="N1607" s="2" t="s">
        <v>277</v>
      </c>
      <c r="O1607" s="2" t="s">
        <v>115</v>
      </c>
      <c r="P1607" s="2" t="str">
        <f>"2170559055                    "</f>
        <v xml:space="preserve">2170559055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4.29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1</v>
      </c>
      <c r="BJ1607" s="2">
        <v>0.2</v>
      </c>
      <c r="BK1607" s="2">
        <v>1</v>
      </c>
      <c r="BL1607" s="2">
        <v>41.73</v>
      </c>
      <c r="BM1607" s="2">
        <v>5.84</v>
      </c>
      <c r="BN1607" s="2">
        <v>47.57</v>
      </c>
      <c r="BO1607" s="2">
        <v>47.57</v>
      </c>
      <c r="BP1607" s="2"/>
      <c r="BQ1607" s="2" t="s">
        <v>278</v>
      </c>
      <c r="BR1607" s="2" t="s">
        <v>123</v>
      </c>
      <c r="BS1607" s="3">
        <v>42835</v>
      </c>
      <c r="BT1607" s="4">
        <v>0.34027777777777773</v>
      </c>
      <c r="BU1607" s="2" t="s">
        <v>973</v>
      </c>
      <c r="BV1607" s="2" t="s">
        <v>111</v>
      </c>
      <c r="BW1607" s="2"/>
      <c r="BX1607" s="2"/>
      <c r="BY1607" s="2">
        <v>1200</v>
      </c>
      <c r="BZ1607" s="2" t="s">
        <v>27</v>
      </c>
      <c r="CA1607" s="2" t="s">
        <v>159</v>
      </c>
      <c r="CB1607" s="2"/>
      <c r="CC1607" s="2" t="s">
        <v>276</v>
      </c>
      <c r="CD1607" s="2">
        <v>4126</v>
      </c>
      <c r="CE1607" s="2" t="s">
        <v>144</v>
      </c>
      <c r="CF1607" s="5">
        <v>42836</v>
      </c>
      <c r="CG1607" s="2"/>
      <c r="CH1607" s="2"/>
      <c r="CI1607" s="2">
        <v>1</v>
      </c>
      <c r="CJ1607" s="2">
        <v>1</v>
      </c>
      <c r="CK1607" s="2">
        <v>21</v>
      </c>
      <c r="CL1607" s="2" t="s">
        <v>86</v>
      </c>
      <c r="CM1607" s="2"/>
    </row>
    <row r="1608" spans="1:91">
      <c r="A1608" s="2" t="s">
        <v>71</v>
      </c>
      <c r="B1608" s="2" t="s">
        <v>72</v>
      </c>
      <c r="C1608" s="2" t="s">
        <v>73</v>
      </c>
      <c r="D1608" s="2"/>
      <c r="E1608" s="2" t="str">
        <f>"FES1162542515"</f>
        <v>FES1162542515</v>
      </c>
      <c r="F1608" s="3">
        <v>42835</v>
      </c>
      <c r="G1608" s="2">
        <v>201710</v>
      </c>
      <c r="H1608" s="2" t="s">
        <v>74</v>
      </c>
      <c r="I1608" s="2" t="s">
        <v>75</v>
      </c>
      <c r="J1608" s="2" t="s">
        <v>76</v>
      </c>
      <c r="K1608" s="2" t="s">
        <v>77</v>
      </c>
      <c r="L1608" s="2" t="s">
        <v>99</v>
      </c>
      <c r="M1608" s="2" t="s">
        <v>100</v>
      </c>
      <c r="N1608" s="2" t="s">
        <v>413</v>
      </c>
      <c r="O1608" s="2" t="s">
        <v>115</v>
      </c>
      <c r="P1608" s="2" t="str">
        <f>"2170561382                    "</f>
        <v xml:space="preserve">2170561382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4.29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1</v>
      </c>
      <c r="BJ1608" s="2">
        <v>0.2</v>
      </c>
      <c r="BK1608" s="2">
        <v>1</v>
      </c>
      <c r="BL1608" s="2">
        <v>41.73</v>
      </c>
      <c r="BM1608" s="2">
        <v>5.84</v>
      </c>
      <c r="BN1608" s="2">
        <v>47.57</v>
      </c>
      <c r="BO1608" s="2">
        <v>47.57</v>
      </c>
      <c r="BP1608" s="2"/>
      <c r="BQ1608" s="2" t="s">
        <v>414</v>
      </c>
      <c r="BR1608" s="2" t="s">
        <v>123</v>
      </c>
      <c r="BS1608" s="3">
        <v>42836</v>
      </c>
      <c r="BT1608" s="4">
        <v>0.35347222222222219</v>
      </c>
      <c r="BU1608" s="2" t="s">
        <v>415</v>
      </c>
      <c r="BV1608" s="2" t="s">
        <v>111</v>
      </c>
      <c r="BW1608" s="2"/>
      <c r="BX1608" s="2"/>
      <c r="BY1608" s="2">
        <v>1200</v>
      </c>
      <c r="BZ1608" s="2" t="s">
        <v>27</v>
      </c>
      <c r="CA1608" s="2" t="s">
        <v>154</v>
      </c>
      <c r="CB1608" s="2"/>
      <c r="CC1608" s="2" t="s">
        <v>100</v>
      </c>
      <c r="CD1608" s="2">
        <v>6001</v>
      </c>
      <c r="CE1608" s="2" t="s">
        <v>144</v>
      </c>
      <c r="CF1608" s="5">
        <v>42836</v>
      </c>
      <c r="CG1608" s="2"/>
      <c r="CH1608" s="2"/>
      <c r="CI1608" s="2">
        <v>1</v>
      </c>
      <c r="CJ1608" s="2">
        <v>1</v>
      </c>
      <c r="CK1608" s="2">
        <v>21</v>
      </c>
      <c r="CL1608" s="2" t="s">
        <v>86</v>
      </c>
      <c r="CM1608" s="2"/>
    </row>
    <row r="1609" spans="1:91">
      <c r="A1609" s="2" t="s">
        <v>71</v>
      </c>
      <c r="B1609" s="2" t="s">
        <v>72</v>
      </c>
      <c r="C1609" s="2" t="s">
        <v>73</v>
      </c>
      <c r="D1609" s="2"/>
      <c r="E1609" s="2" t="str">
        <f>"FES1162542290"</f>
        <v>FES1162542290</v>
      </c>
      <c r="F1609" s="3">
        <v>42832</v>
      </c>
      <c r="G1609" s="2">
        <v>201710</v>
      </c>
      <c r="H1609" s="2" t="s">
        <v>74</v>
      </c>
      <c r="I1609" s="2" t="s">
        <v>75</v>
      </c>
      <c r="J1609" s="2" t="s">
        <v>76</v>
      </c>
      <c r="K1609" s="2" t="s">
        <v>77</v>
      </c>
      <c r="L1609" s="2" t="s">
        <v>112</v>
      </c>
      <c r="M1609" s="2" t="s">
        <v>113</v>
      </c>
      <c r="N1609" s="2" t="s">
        <v>1697</v>
      </c>
      <c r="O1609" s="2" t="s">
        <v>115</v>
      </c>
      <c r="P1609" s="2" t="str">
        <f>"2170559927                    "</f>
        <v xml:space="preserve">2170559927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4.29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1</v>
      </c>
      <c r="BJ1609" s="2">
        <v>0.9</v>
      </c>
      <c r="BK1609" s="2">
        <v>1</v>
      </c>
      <c r="BL1609" s="2">
        <v>41.73</v>
      </c>
      <c r="BM1609" s="2">
        <v>5.84</v>
      </c>
      <c r="BN1609" s="2">
        <v>47.57</v>
      </c>
      <c r="BO1609" s="2">
        <v>47.57</v>
      </c>
      <c r="BP1609" s="2"/>
      <c r="BQ1609" s="2" t="s">
        <v>1698</v>
      </c>
      <c r="BR1609" s="2" t="s">
        <v>123</v>
      </c>
      <c r="BS1609" s="3">
        <v>42835</v>
      </c>
      <c r="BT1609" s="4">
        <v>0.39513888888888887</v>
      </c>
      <c r="BU1609" s="2" t="s">
        <v>2113</v>
      </c>
      <c r="BV1609" s="2" t="s">
        <v>111</v>
      </c>
      <c r="BW1609" s="2"/>
      <c r="BX1609" s="2"/>
      <c r="BY1609" s="2">
        <v>4285.4399999999996</v>
      </c>
      <c r="BZ1609" s="2" t="s">
        <v>27</v>
      </c>
      <c r="CA1609" s="2" t="s">
        <v>159</v>
      </c>
      <c r="CB1609" s="2"/>
      <c r="CC1609" s="2" t="s">
        <v>113</v>
      </c>
      <c r="CD1609" s="2">
        <v>3201</v>
      </c>
      <c r="CE1609" s="2" t="s">
        <v>135</v>
      </c>
      <c r="CF1609" s="5">
        <v>42836</v>
      </c>
      <c r="CG1609" s="2"/>
      <c r="CH1609" s="2"/>
      <c r="CI1609" s="2">
        <v>1</v>
      </c>
      <c r="CJ1609" s="2">
        <v>1</v>
      </c>
      <c r="CK1609" s="2">
        <v>21</v>
      </c>
      <c r="CL1609" s="2" t="s">
        <v>86</v>
      </c>
      <c r="CM1609" s="2"/>
    </row>
    <row r="1610" spans="1:91">
      <c r="A1610" s="2" t="s">
        <v>71</v>
      </c>
      <c r="B1610" s="2" t="s">
        <v>72</v>
      </c>
      <c r="C1610" s="2" t="s">
        <v>73</v>
      </c>
      <c r="D1610" s="2"/>
      <c r="E1610" s="2" t="str">
        <f>"FES1162542460"</f>
        <v>FES1162542460</v>
      </c>
      <c r="F1610" s="3">
        <v>42835</v>
      </c>
      <c r="G1610" s="2">
        <v>201710</v>
      </c>
      <c r="H1610" s="2" t="s">
        <v>74</v>
      </c>
      <c r="I1610" s="2" t="s">
        <v>75</v>
      </c>
      <c r="J1610" s="2" t="s">
        <v>76</v>
      </c>
      <c r="K1610" s="2" t="s">
        <v>77</v>
      </c>
      <c r="L1610" s="2" t="s">
        <v>112</v>
      </c>
      <c r="M1610" s="2" t="s">
        <v>113</v>
      </c>
      <c r="N1610" s="2" t="s">
        <v>114</v>
      </c>
      <c r="O1610" s="2" t="s">
        <v>115</v>
      </c>
      <c r="P1610" s="2" t="str">
        <f>"2170561351                    "</f>
        <v xml:space="preserve">2170561351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4.29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41.73</v>
      </c>
      <c r="BM1610" s="2">
        <v>5.84</v>
      </c>
      <c r="BN1610" s="2">
        <v>47.57</v>
      </c>
      <c r="BO1610" s="2">
        <v>47.57</v>
      </c>
      <c r="BP1610" s="2"/>
      <c r="BQ1610" s="2" t="s">
        <v>116</v>
      </c>
      <c r="BR1610" s="2" t="s">
        <v>123</v>
      </c>
      <c r="BS1610" s="3">
        <v>42836</v>
      </c>
      <c r="BT1610" s="4">
        <v>0.39583333333333331</v>
      </c>
      <c r="BU1610" s="2" t="s">
        <v>1036</v>
      </c>
      <c r="BV1610" s="2" t="s">
        <v>111</v>
      </c>
      <c r="BW1610" s="2"/>
      <c r="BX1610" s="2"/>
      <c r="BY1610" s="2">
        <v>1200</v>
      </c>
      <c r="BZ1610" s="2" t="s">
        <v>27</v>
      </c>
      <c r="CA1610" s="2" t="s">
        <v>159</v>
      </c>
      <c r="CB1610" s="2"/>
      <c r="CC1610" s="2" t="s">
        <v>113</v>
      </c>
      <c r="CD1610" s="2">
        <v>3201</v>
      </c>
      <c r="CE1610" s="2" t="s">
        <v>144</v>
      </c>
      <c r="CF1610" s="5">
        <v>42837</v>
      </c>
      <c r="CG1610" s="2"/>
      <c r="CH1610" s="2"/>
      <c r="CI1610" s="2">
        <v>1</v>
      </c>
      <c r="CJ1610" s="2">
        <v>1</v>
      </c>
      <c r="CK1610" s="2">
        <v>21</v>
      </c>
      <c r="CL1610" s="2" t="s">
        <v>86</v>
      </c>
      <c r="CM1610" s="2"/>
    </row>
    <row r="1611" spans="1:91">
      <c r="A1611" s="2" t="s">
        <v>71</v>
      </c>
      <c r="B1611" s="2" t="s">
        <v>72</v>
      </c>
      <c r="C1611" s="2" t="s">
        <v>73</v>
      </c>
      <c r="D1611" s="2"/>
      <c r="E1611" s="2" t="str">
        <f>"FES1162542341"</f>
        <v>FES1162542341</v>
      </c>
      <c r="F1611" s="3">
        <v>42832</v>
      </c>
      <c r="G1611" s="2">
        <v>201710</v>
      </c>
      <c r="H1611" s="2" t="s">
        <v>74</v>
      </c>
      <c r="I1611" s="2" t="s">
        <v>75</v>
      </c>
      <c r="J1611" s="2" t="s">
        <v>76</v>
      </c>
      <c r="K1611" s="2" t="s">
        <v>77</v>
      </c>
      <c r="L1611" s="2" t="s">
        <v>99</v>
      </c>
      <c r="M1611" s="2" t="s">
        <v>100</v>
      </c>
      <c r="N1611" s="2" t="s">
        <v>2114</v>
      </c>
      <c r="O1611" s="2" t="s">
        <v>115</v>
      </c>
      <c r="P1611" s="2" t="str">
        <f>"2170561223                    "</f>
        <v xml:space="preserve">2170561223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4.29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2</v>
      </c>
      <c r="BJ1611" s="2">
        <v>0.8</v>
      </c>
      <c r="BK1611" s="2">
        <v>2</v>
      </c>
      <c r="BL1611" s="2">
        <v>41.73</v>
      </c>
      <c r="BM1611" s="2">
        <v>5.84</v>
      </c>
      <c r="BN1611" s="2">
        <v>47.57</v>
      </c>
      <c r="BO1611" s="2">
        <v>47.57</v>
      </c>
      <c r="BP1611" s="2"/>
      <c r="BQ1611" s="2" t="s">
        <v>2115</v>
      </c>
      <c r="BR1611" s="2" t="s">
        <v>123</v>
      </c>
      <c r="BS1611" s="3">
        <v>42835</v>
      </c>
      <c r="BT1611" s="4">
        <v>0.28680555555555554</v>
      </c>
      <c r="BU1611" s="2" t="s">
        <v>2116</v>
      </c>
      <c r="BV1611" s="2" t="s">
        <v>111</v>
      </c>
      <c r="BW1611" s="2"/>
      <c r="BX1611" s="2"/>
      <c r="BY1611" s="2">
        <v>3970.72</v>
      </c>
      <c r="BZ1611" s="2" t="s">
        <v>27</v>
      </c>
      <c r="CA1611" s="2" t="s">
        <v>106</v>
      </c>
      <c r="CB1611" s="2"/>
      <c r="CC1611" s="2" t="s">
        <v>100</v>
      </c>
      <c r="CD1611" s="2">
        <v>6012</v>
      </c>
      <c r="CE1611" s="2" t="s">
        <v>135</v>
      </c>
      <c r="CF1611" s="5">
        <v>42835</v>
      </c>
      <c r="CG1611" s="2"/>
      <c r="CH1611" s="2"/>
      <c r="CI1611" s="2">
        <v>1</v>
      </c>
      <c r="CJ1611" s="2">
        <v>1</v>
      </c>
      <c r="CK1611" s="2">
        <v>21</v>
      </c>
      <c r="CL1611" s="2" t="s">
        <v>86</v>
      </c>
      <c r="CM1611" s="2"/>
    </row>
    <row r="1612" spans="1:91">
      <c r="A1612" s="2" t="s">
        <v>71</v>
      </c>
      <c r="B1612" s="2" t="s">
        <v>72</v>
      </c>
      <c r="C1612" s="2" t="s">
        <v>73</v>
      </c>
      <c r="D1612" s="2"/>
      <c r="E1612" s="2" t="str">
        <f>"FES1162542481"</f>
        <v>FES1162542481</v>
      </c>
      <c r="F1612" s="3">
        <v>42835</v>
      </c>
      <c r="G1612" s="2">
        <v>201710</v>
      </c>
      <c r="H1612" s="2" t="s">
        <v>74</v>
      </c>
      <c r="I1612" s="2" t="s">
        <v>75</v>
      </c>
      <c r="J1612" s="2" t="s">
        <v>76</v>
      </c>
      <c r="K1612" s="2" t="s">
        <v>77</v>
      </c>
      <c r="L1612" s="2" t="s">
        <v>99</v>
      </c>
      <c r="M1612" s="2" t="s">
        <v>100</v>
      </c>
      <c r="N1612" s="2" t="s">
        <v>2117</v>
      </c>
      <c r="O1612" s="2" t="s">
        <v>115</v>
      </c>
      <c r="P1612" s="2" t="str">
        <f>"2170558416                    "</f>
        <v xml:space="preserve">2170558416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4.29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</v>
      </c>
      <c r="BJ1612" s="2">
        <v>0.2</v>
      </c>
      <c r="BK1612" s="2">
        <v>1</v>
      </c>
      <c r="BL1612" s="2">
        <v>41.73</v>
      </c>
      <c r="BM1612" s="2">
        <v>5.84</v>
      </c>
      <c r="BN1612" s="2">
        <v>47.57</v>
      </c>
      <c r="BO1612" s="2">
        <v>47.57</v>
      </c>
      <c r="BP1612" s="2"/>
      <c r="BQ1612" s="2" t="s">
        <v>2118</v>
      </c>
      <c r="BR1612" s="2" t="s">
        <v>123</v>
      </c>
      <c r="BS1612" s="3">
        <v>42836</v>
      </c>
      <c r="BT1612" s="4">
        <v>0.31041666666666667</v>
      </c>
      <c r="BU1612" s="2" t="s">
        <v>2119</v>
      </c>
      <c r="BV1612" s="2" t="s">
        <v>111</v>
      </c>
      <c r="BW1612" s="2"/>
      <c r="BX1612" s="2"/>
      <c r="BY1612" s="2">
        <v>1200</v>
      </c>
      <c r="BZ1612" s="2" t="s">
        <v>27</v>
      </c>
      <c r="CA1612" s="2" t="s">
        <v>154</v>
      </c>
      <c r="CB1612" s="2"/>
      <c r="CC1612" s="2" t="s">
        <v>100</v>
      </c>
      <c r="CD1612" s="2">
        <v>6001</v>
      </c>
      <c r="CE1612" s="2" t="s">
        <v>144</v>
      </c>
      <c r="CF1612" s="5">
        <v>42836</v>
      </c>
      <c r="CG1612" s="2"/>
      <c r="CH1612" s="2"/>
      <c r="CI1612" s="2">
        <v>1</v>
      </c>
      <c r="CJ1612" s="2">
        <v>1</v>
      </c>
      <c r="CK1612" s="2">
        <v>21</v>
      </c>
      <c r="CL1612" s="2" t="s">
        <v>86</v>
      </c>
      <c r="CM1612" s="2"/>
    </row>
    <row r="1613" spans="1:91">
      <c r="A1613" s="2" t="s">
        <v>71</v>
      </c>
      <c r="B1613" s="2" t="s">
        <v>72</v>
      </c>
      <c r="C1613" s="2" t="s">
        <v>73</v>
      </c>
      <c r="D1613" s="2"/>
      <c r="E1613" s="2" t="str">
        <f>"FES1162542367"</f>
        <v>FES1162542367</v>
      </c>
      <c r="F1613" s="3">
        <v>42832</v>
      </c>
      <c r="G1613" s="2">
        <v>201710</v>
      </c>
      <c r="H1613" s="2" t="s">
        <v>74</v>
      </c>
      <c r="I1613" s="2" t="s">
        <v>75</v>
      </c>
      <c r="J1613" s="2" t="s">
        <v>76</v>
      </c>
      <c r="K1613" s="2" t="s">
        <v>77</v>
      </c>
      <c r="L1613" s="2" t="s">
        <v>99</v>
      </c>
      <c r="M1613" s="2" t="s">
        <v>100</v>
      </c>
      <c r="N1613" s="2" t="s">
        <v>910</v>
      </c>
      <c r="O1613" s="2" t="s">
        <v>115</v>
      </c>
      <c r="P1613" s="2" t="str">
        <f>"2170561252                    "</f>
        <v xml:space="preserve">2170561252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4.29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1</v>
      </c>
      <c r="BJ1613" s="2">
        <v>0.2</v>
      </c>
      <c r="BK1613" s="2">
        <v>1</v>
      </c>
      <c r="BL1613" s="2">
        <v>41.73</v>
      </c>
      <c r="BM1613" s="2">
        <v>5.84</v>
      </c>
      <c r="BN1613" s="2">
        <v>47.57</v>
      </c>
      <c r="BO1613" s="2">
        <v>47.57</v>
      </c>
      <c r="BP1613" s="2"/>
      <c r="BQ1613" s="2" t="s">
        <v>911</v>
      </c>
      <c r="BR1613" s="2" t="s">
        <v>123</v>
      </c>
      <c r="BS1613" s="3">
        <v>42835</v>
      </c>
      <c r="BT1613" s="4">
        <v>0.34027777777777773</v>
      </c>
      <c r="BU1613" s="2" t="s">
        <v>912</v>
      </c>
      <c r="BV1613" s="2" t="s">
        <v>111</v>
      </c>
      <c r="BW1613" s="2"/>
      <c r="BX1613" s="2"/>
      <c r="BY1613" s="2">
        <v>1200</v>
      </c>
      <c r="BZ1613" s="2" t="s">
        <v>27</v>
      </c>
      <c r="CA1613" s="2" t="s">
        <v>913</v>
      </c>
      <c r="CB1613" s="2"/>
      <c r="CC1613" s="2" t="s">
        <v>100</v>
      </c>
      <c r="CD1613" s="2">
        <v>6065</v>
      </c>
      <c r="CE1613" s="2" t="s">
        <v>144</v>
      </c>
      <c r="CF1613" s="5">
        <v>42835</v>
      </c>
      <c r="CG1613" s="2"/>
      <c r="CH1613" s="2"/>
      <c r="CI1613" s="2">
        <v>1</v>
      </c>
      <c r="CJ1613" s="2">
        <v>1</v>
      </c>
      <c r="CK1613" s="2">
        <v>21</v>
      </c>
      <c r="CL1613" s="2" t="s">
        <v>86</v>
      </c>
      <c r="CM1613" s="2"/>
    </row>
    <row r="1614" spans="1:91">
      <c r="A1614" s="2" t="s">
        <v>71</v>
      </c>
      <c r="B1614" s="2" t="s">
        <v>72</v>
      </c>
      <c r="C1614" s="2" t="s">
        <v>73</v>
      </c>
      <c r="D1614" s="2"/>
      <c r="E1614" s="2" t="str">
        <f>"FES1162542461"</f>
        <v>FES1162542461</v>
      </c>
      <c r="F1614" s="3">
        <v>42835</v>
      </c>
      <c r="G1614" s="2">
        <v>201710</v>
      </c>
      <c r="H1614" s="2" t="s">
        <v>74</v>
      </c>
      <c r="I1614" s="2" t="s">
        <v>75</v>
      </c>
      <c r="J1614" s="2" t="s">
        <v>76</v>
      </c>
      <c r="K1614" s="2" t="s">
        <v>77</v>
      </c>
      <c r="L1614" s="2" t="s">
        <v>99</v>
      </c>
      <c r="M1614" s="2" t="s">
        <v>100</v>
      </c>
      <c r="N1614" s="2" t="s">
        <v>2120</v>
      </c>
      <c r="O1614" s="2" t="s">
        <v>115</v>
      </c>
      <c r="P1614" s="2" t="str">
        <f>"2170561356                    "</f>
        <v xml:space="preserve">2170561356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4.29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1.4</v>
      </c>
      <c r="BJ1614" s="2">
        <v>0.2</v>
      </c>
      <c r="BK1614" s="2">
        <v>1.5</v>
      </c>
      <c r="BL1614" s="2">
        <v>41.73</v>
      </c>
      <c r="BM1614" s="2">
        <v>5.84</v>
      </c>
      <c r="BN1614" s="2">
        <v>47.57</v>
      </c>
      <c r="BO1614" s="2">
        <v>47.57</v>
      </c>
      <c r="BP1614" s="2"/>
      <c r="BQ1614" s="2" t="s">
        <v>2121</v>
      </c>
      <c r="BR1614" s="2" t="s">
        <v>123</v>
      </c>
      <c r="BS1614" s="3">
        <v>42836</v>
      </c>
      <c r="BT1614" s="4">
        <v>0.38194444444444442</v>
      </c>
      <c r="BU1614" s="2" t="s">
        <v>2033</v>
      </c>
      <c r="BV1614" s="2" t="s">
        <v>111</v>
      </c>
      <c r="BW1614" s="2"/>
      <c r="BX1614" s="2"/>
      <c r="BY1614" s="2">
        <v>1200</v>
      </c>
      <c r="BZ1614" s="2" t="s">
        <v>27</v>
      </c>
      <c r="CA1614" s="2" t="s">
        <v>159</v>
      </c>
      <c r="CB1614" s="2"/>
      <c r="CC1614" s="2" t="s">
        <v>100</v>
      </c>
      <c r="CD1614" s="2">
        <v>6001</v>
      </c>
      <c r="CE1614" s="2" t="s">
        <v>144</v>
      </c>
      <c r="CF1614" s="5">
        <v>42837</v>
      </c>
      <c r="CG1614" s="2"/>
      <c r="CH1614" s="2"/>
      <c r="CI1614" s="2">
        <v>1</v>
      </c>
      <c r="CJ1614" s="2">
        <v>1</v>
      </c>
      <c r="CK1614" s="2">
        <v>21</v>
      </c>
      <c r="CL1614" s="2" t="s">
        <v>86</v>
      </c>
      <c r="CM1614" s="2"/>
    </row>
    <row r="1615" spans="1:91">
      <c r="A1615" s="2" t="s">
        <v>71</v>
      </c>
      <c r="B1615" s="2" t="s">
        <v>72</v>
      </c>
      <c r="C1615" s="2" t="s">
        <v>73</v>
      </c>
      <c r="D1615" s="2"/>
      <c r="E1615" s="2" t="str">
        <f>"FES1162542274"</f>
        <v>FES1162542274</v>
      </c>
      <c r="F1615" s="3">
        <v>42832</v>
      </c>
      <c r="G1615" s="2">
        <v>201710</v>
      </c>
      <c r="H1615" s="2" t="s">
        <v>74</v>
      </c>
      <c r="I1615" s="2" t="s">
        <v>75</v>
      </c>
      <c r="J1615" s="2" t="s">
        <v>76</v>
      </c>
      <c r="K1615" s="2" t="s">
        <v>77</v>
      </c>
      <c r="L1615" s="2" t="s">
        <v>358</v>
      </c>
      <c r="M1615" s="2" t="s">
        <v>359</v>
      </c>
      <c r="N1615" s="2" t="s">
        <v>360</v>
      </c>
      <c r="O1615" s="2" t="s">
        <v>115</v>
      </c>
      <c r="P1615" s="2" t="str">
        <f>"2170558603                    "</f>
        <v xml:space="preserve">2170558603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4.29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1</v>
      </c>
      <c r="BJ1615" s="2">
        <v>0.2</v>
      </c>
      <c r="BK1615" s="2">
        <v>1</v>
      </c>
      <c r="BL1615" s="2">
        <v>41.73</v>
      </c>
      <c r="BM1615" s="2">
        <v>5.84</v>
      </c>
      <c r="BN1615" s="2">
        <v>47.57</v>
      </c>
      <c r="BO1615" s="2">
        <v>47.57</v>
      </c>
      <c r="BP1615" s="2"/>
      <c r="BQ1615" s="2" t="s">
        <v>361</v>
      </c>
      <c r="BR1615" s="2" t="s">
        <v>123</v>
      </c>
      <c r="BS1615" s="3">
        <v>42835</v>
      </c>
      <c r="BT1615" s="4">
        <v>0.31597222222222221</v>
      </c>
      <c r="BU1615" s="2" t="s">
        <v>1271</v>
      </c>
      <c r="BV1615" s="2" t="s">
        <v>111</v>
      </c>
      <c r="BW1615" s="2"/>
      <c r="BX1615" s="2"/>
      <c r="BY1615" s="2">
        <v>1200</v>
      </c>
      <c r="BZ1615" s="2" t="s">
        <v>27</v>
      </c>
      <c r="CA1615" s="2"/>
      <c r="CB1615" s="2"/>
      <c r="CC1615" s="2" t="s">
        <v>359</v>
      </c>
      <c r="CD1615" s="2">
        <v>6229</v>
      </c>
      <c r="CE1615" s="2" t="s">
        <v>144</v>
      </c>
      <c r="CF1615" s="5">
        <v>42836</v>
      </c>
      <c r="CG1615" s="2"/>
      <c r="CH1615" s="2"/>
      <c r="CI1615" s="2">
        <v>1</v>
      </c>
      <c r="CJ1615" s="2">
        <v>1</v>
      </c>
      <c r="CK1615" s="2">
        <v>21</v>
      </c>
      <c r="CL1615" s="2" t="s">
        <v>86</v>
      </c>
      <c r="CM1615" s="2"/>
    </row>
    <row r="1616" spans="1:91">
      <c r="A1616" s="2" t="s">
        <v>71</v>
      </c>
      <c r="B1616" s="2" t="s">
        <v>72</v>
      </c>
      <c r="C1616" s="2" t="s">
        <v>73</v>
      </c>
      <c r="D1616" s="2"/>
      <c r="E1616" s="2" t="str">
        <f>"FES1162542673"</f>
        <v>FES1162542673</v>
      </c>
      <c r="F1616" s="3">
        <v>42835</v>
      </c>
      <c r="G1616" s="2">
        <v>201710</v>
      </c>
      <c r="H1616" s="2" t="s">
        <v>74</v>
      </c>
      <c r="I1616" s="2" t="s">
        <v>75</v>
      </c>
      <c r="J1616" s="2" t="s">
        <v>76</v>
      </c>
      <c r="K1616" s="2" t="s">
        <v>77</v>
      </c>
      <c r="L1616" s="2" t="s">
        <v>91</v>
      </c>
      <c r="M1616" s="2" t="s">
        <v>92</v>
      </c>
      <c r="N1616" s="2" t="s">
        <v>2122</v>
      </c>
      <c r="O1616" s="2" t="s">
        <v>115</v>
      </c>
      <c r="P1616" s="2" t="str">
        <f>"2170561545                    "</f>
        <v xml:space="preserve">2170561545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3.35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1</v>
      </c>
      <c r="BJ1616" s="2">
        <v>0.2</v>
      </c>
      <c r="BK1616" s="2">
        <v>1</v>
      </c>
      <c r="BL1616" s="2">
        <v>32.6</v>
      </c>
      <c r="BM1616" s="2">
        <v>4.5599999999999996</v>
      </c>
      <c r="BN1616" s="2">
        <v>37.159999999999997</v>
      </c>
      <c r="BO1616" s="2">
        <v>37.159999999999997</v>
      </c>
      <c r="BP1616" s="2"/>
      <c r="BQ1616" s="2"/>
      <c r="BR1616" s="2" t="s">
        <v>123</v>
      </c>
      <c r="BS1616" s="3">
        <v>42836</v>
      </c>
      <c r="BT1616" s="4">
        <v>0.4375</v>
      </c>
      <c r="BU1616" s="2" t="s">
        <v>2123</v>
      </c>
      <c r="BV1616" s="2" t="s">
        <v>111</v>
      </c>
      <c r="BW1616" s="2"/>
      <c r="BX1616" s="2"/>
      <c r="BY1616" s="2">
        <v>1200</v>
      </c>
      <c r="BZ1616" s="2" t="s">
        <v>27</v>
      </c>
      <c r="CA1616" s="2"/>
      <c r="CB1616" s="2"/>
      <c r="CC1616" s="2" t="s">
        <v>92</v>
      </c>
      <c r="CD1616" s="2">
        <v>1401</v>
      </c>
      <c r="CE1616" s="2" t="s">
        <v>118</v>
      </c>
      <c r="CF1616" s="5">
        <v>42838</v>
      </c>
      <c r="CG1616" s="2"/>
      <c r="CH1616" s="2"/>
      <c r="CI1616" s="2">
        <v>1</v>
      </c>
      <c r="CJ1616" s="2">
        <v>1</v>
      </c>
      <c r="CK1616" s="2">
        <v>22</v>
      </c>
      <c r="CL1616" s="2" t="s">
        <v>86</v>
      </c>
      <c r="CM1616" s="2"/>
    </row>
    <row r="1617" spans="1:91">
      <c r="A1617" s="2" t="s">
        <v>71</v>
      </c>
      <c r="B1617" s="2" t="s">
        <v>72</v>
      </c>
      <c r="C1617" s="2" t="s">
        <v>73</v>
      </c>
      <c r="D1617" s="2"/>
      <c r="E1617" s="2" t="str">
        <f>"FES1162542581"</f>
        <v>FES1162542581</v>
      </c>
      <c r="F1617" s="3">
        <v>42835</v>
      </c>
      <c r="G1617" s="2">
        <v>201710</v>
      </c>
      <c r="H1617" s="2" t="s">
        <v>74</v>
      </c>
      <c r="I1617" s="2" t="s">
        <v>75</v>
      </c>
      <c r="J1617" s="2" t="s">
        <v>76</v>
      </c>
      <c r="K1617" s="2" t="s">
        <v>77</v>
      </c>
      <c r="L1617" s="2" t="s">
        <v>516</v>
      </c>
      <c r="M1617" s="2" t="s">
        <v>517</v>
      </c>
      <c r="N1617" s="2" t="s">
        <v>2124</v>
      </c>
      <c r="O1617" s="2" t="s">
        <v>115</v>
      </c>
      <c r="P1617" s="2" t="str">
        <f>"2170561429                    "</f>
        <v xml:space="preserve">2170561429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3.35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1</v>
      </c>
      <c r="BJ1617" s="2">
        <v>0.2</v>
      </c>
      <c r="BK1617" s="2">
        <v>1</v>
      </c>
      <c r="BL1617" s="2">
        <v>32.6</v>
      </c>
      <c r="BM1617" s="2">
        <v>4.5599999999999996</v>
      </c>
      <c r="BN1617" s="2">
        <v>37.159999999999997</v>
      </c>
      <c r="BO1617" s="2">
        <v>37.159999999999997</v>
      </c>
      <c r="BP1617" s="2"/>
      <c r="BQ1617" s="2">
        <v>1162542581</v>
      </c>
      <c r="BR1617" s="2" t="s">
        <v>123</v>
      </c>
      <c r="BS1617" s="3">
        <v>42836</v>
      </c>
      <c r="BT1617" s="4">
        <v>0.33263888888888887</v>
      </c>
      <c r="BU1617" s="2" t="s">
        <v>2125</v>
      </c>
      <c r="BV1617" s="2" t="s">
        <v>111</v>
      </c>
      <c r="BW1617" s="2"/>
      <c r="BX1617" s="2"/>
      <c r="BY1617" s="2">
        <v>1200</v>
      </c>
      <c r="BZ1617" s="2" t="s">
        <v>27</v>
      </c>
      <c r="CA1617" s="2"/>
      <c r="CB1617" s="2"/>
      <c r="CC1617" s="2" t="s">
        <v>517</v>
      </c>
      <c r="CD1617" s="2">
        <v>1459</v>
      </c>
      <c r="CE1617" s="2" t="s">
        <v>118</v>
      </c>
      <c r="CF1617" s="5">
        <v>42838</v>
      </c>
      <c r="CG1617" s="2"/>
      <c r="CH1617" s="2"/>
      <c r="CI1617" s="2">
        <v>1</v>
      </c>
      <c r="CJ1617" s="2">
        <v>1</v>
      </c>
      <c r="CK1617" s="2">
        <v>22</v>
      </c>
      <c r="CL1617" s="2" t="s">
        <v>86</v>
      </c>
      <c r="CM1617" s="2"/>
    </row>
    <row r="1618" spans="1:91">
      <c r="A1618" s="2" t="s">
        <v>71</v>
      </c>
      <c r="B1618" s="2" t="s">
        <v>72</v>
      </c>
      <c r="C1618" s="2" t="s">
        <v>73</v>
      </c>
      <c r="D1618" s="2"/>
      <c r="E1618" s="2" t="str">
        <f>"FES1162542748"</f>
        <v>FES1162542748</v>
      </c>
      <c r="F1618" s="3">
        <v>42835</v>
      </c>
      <c r="G1618" s="2">
        <v>201710</v>
      </c>
      <c r="H1618" s="2" t="s">
        <v>74</v>
      </c>
      <c r="I1618" s="2" t="s">
        <v>75</v>
      </c>
      <c r="J1618" s="2" t="s">
        <v>76</v>
      </c>
      <c r="K1618" s="2" t="s">
        <v>77</v>
      </c>
      <c r="L1618" s="2" t="s">
        <v>180</v>
      </c>
      <c r="M1618" s="2" t="s">
        <v>181</v>
      </c>
      <c r="N1618" s="2" t="s">
        <v>706</v>
      </c>
      <c r="O1618" s="2" t="s">
        <v>115</v>
      </c>
      <c r="P1618" s="2" t="str">
        <f>"2170561635                    "</f>
        <v xml:space="preserve">2170561635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4.29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1</v>
      </c>
      <c r="BJ1618" s="2">
        <v>0.2</v>
      </c>
      <c r="BK1618" s="2">
        <v>1</v>
      </c>
      <c r="BL1618" s="2">
        <v>41.73</v>
      </c>
      <c r="BM1618" s="2">
        <v>5.84</v>
      </c>
      <c r="BN1618" s="2">
        <v>47.57</v>
      </c>
      <c r="BO1618" s="2">
        <v>47.57</v>
      </c>
      <c r="BP1618" s="2"/>
      <c r="BQ1618" s="2" t="s">
        <v>707</v>
      </c>
      <c r="BR1618" s="2" t="s">
        <v>123</v>
      </c>
      <c r="BS1618" s="3">
        <v>42836</v>
      </c>
      <c r="BT1618" s="4">
        <v>0.4375</v>
      </c>
      <c r="BU1618" s="2" t="s">
        <v>708</v>
      </c>
      <c r="BV1618" s="2" t="s">
        <v>111</v>
      </c>
      <c r="BW1618" s="2"/>
      <c r="BX1618" s="2"/>
      <c r="BY1618" s="2">
        <v>1200</v>
      </c>
      <c r="BZ1618" s="2" t="s">
        <v>27</v>
      </c>
      <c r="CA1618" s="2"/>
      <c r="CB1618" s="2"/>
      <c r="CC1618" s="2" t="s">
        <v>181</v>
      </c>
      <c r="CD1618" s="2">
        <v>4052</v>
      </c>
      <c r="CE1618" s="2" t="s">
        <v>118</v>
      </c>
      <c r="CF1618" s="5">
        <v>42837</v>
      </c>
      <c r="CG1618" s="2"/>
      <c r="CH1618" s="2"/>
      <c r="CI1618" s="2">
        <v>1</v>
      </c>
      <c r="CJ1618" s="2">
        <v>1</v>
      </c>
      <c r="CK1618" s="2">
        <v>21</v>
      </c>
      <c r="CL1618" s="2" t="s">
        <v>86</v>
      </c>
      <c r="CM1618" s="2"/>
    </row>
    <row r="1619" spans="1:91">
      <c r="A1619" s="2" t="s">
        <v>71</v>
      </c>
      <c r="B1619" s="2" t="s">
        <v>72</v>
      </c>
      <c r="C1619" s="2" t="s">
        <v>73</v>
      </c>
      <c r="D1619" s="2"/>
      <c r="E1619" s="2" t="str">
        <f>"FES1162542751"</f>
        <v>FES1162542751</v>
      </c>
      <c r="F1619" s="3">
        <v>42835</v>
      </c>
      <c r="G1619" s="2">
        <v>201710</v>
      </c>
      <c r="H1619" s="2" t="s">
        <v>74</v>
      </c>
      <c r="I1619" s="2" t="s">
        <v>75</v>
      </c>
      <c r="J1619" s="2" t="s">
        <v>76</v>
      </c>
      <c r="K1619" s="2" t="s">
        <v>77</v>
      </c>
      <c r="L1619" s="2" t="s">
        <v>99</v>
      </c>
      <c r="M1619" s="2" t="s">
        <v>100</v>
      </c>
      <c r="N1619" s="2" t="s">
        <v>876</v>
      </c>
      <c r="O1619" s="2" t="s">
        <v>115</v>
      </c>
      <c r="P1619" s="2" t="str">
        <f>"2170561644                    "</f>
        <v xml:space="preserve">2170561644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4.29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1</v>
      </c>
      <c r="BJ1619" s="2">
        <v>0.2</v>
      </c>
      <c r="BK1619" s="2">
        <v>1</v>
      </c>
      <c r="BL1619" s="2">
        <v>41.73</v>
      </c>
      <c r="BM1619" s="2">
        <v>5.84</v>
      </c>
      <c r="BN1619" s="2">
        <v>47.57</v>
      </c>
      <c r="BO1619" s="2">
        <v>47.57</v>
      </c>
      <c r="BP1619" s="2"/>
      <c r="BQ1619" s="2" t="s">
        <v>877</v>
      </c>
      <c r="BR1619" s="2" t="s">
        <v>123</v>
      </c>
      <c r="BS1619" s="3">
        <v>42836</v>
      </c>
      <c r="BT1619" s="4">
        <v>0.28680555555555554</v>
      </c>
      <c r="BU1619" s="2" t="s">
        <v>2126</v>
      </c>
      <c r="BV1619" s="2" t="s">
        <v>111</v>
      </c>
      <c r="BW1619" s="2"/>
      <c r="BX1619" s="2"/>
      <c r="BY1619" s="2">
        <v>1200</v>
      </c>
      <c r="BZ1619" s="2" t="s">
        <v>27</v>
      </c>
      <c r="CA1619" s="2" t="s">
        <v>106</v>
      </c>
      <c r="CB1619" s="2"/>
      <c r="CC1619" s="2" t="s">
        <v>100</v>
      </c>
      <c r="CD1619" s="2">
        <v>6012</v>
      </c>
      <c r="CE1619" s="2" t="s">
        <v>118</v>
      </c>
      <c r="CF1619" s="5">
        <v>42836</v>
      </c>
      <c r="CG1619" s="2"/>
      <c r="CH1619" s="2"/>
      <c r="CI1619" s="2">
        <v>1</v>
      </c>
      <c r="CJ1619" s="2">
        <v>1</v>
      </c>
      <c r="CK1619" s="2">
        <v>21</v>
      </c>
      <c r="CL1619" s="2" t="s">
        <v>86</v>
      </c>
      <c r="CM1619" s="2"/>
    </row>
    <row r="1620" spans="1:91">
      <c r="A1620" s="2" t="s">
        <v>71</v>
      </c>
      <c r="B1620" s="2" t="s">
        <v>72</v>
      </c>
      <c r="C1620" s="2" t="s">
        <v>73</v>
      </c>
      <c r="D1620" s="2"/>
      <c r="E1620" s="2" t="str">
        <f>"FES1162542749"</f>
        <v>FES1162542749</v>
      </c>
      <c r="F1620" s="3">
        <v>42835</v>
      </c>
      <c r="G1620" s="2">
        <v>201710</v>
      </c>
      <c r="H1620" s="2" t="s">
        <v>74</v>
      </c>
      <c r="I1620" s="2" t="s">
        <v>75</v>
      </c>
      <c r="J1620" s="2" t="s">
        <v>76</v>
      </c>
      <c r="K1620" s="2" t="s">
        <v>77</v>
      </c>
      <c r="L1620" s="2" t="s">
        <v>139</v>
      </c>
      <c r="M1620" s="2" t="s">
        <v>140</v>
      </c>
      <c r="N1620" s="2" t="s">
        <v>1659</v>
      </c>
      <c r="O1620" s="2" t="s">
        <v>115</v>
      </c>
      <c r="P1620" s="2" t="str">
        <f>"21705661637                   "</f>
        <v xml:space="preserve">21705661637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4.29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1</v>
      </c>
      <c r="BJ1620" s="2">
        <v>0.2</v>
      </c>
      <c r="BK1620" s="2">
        <v>1</v>
      </c>
      <c r="BL1620" s="2">
        <v>41.73</v>
      </c>
      <c r="BM1620" s="2">
        <v>5.84</v>
      </c>
      <c r="BN1620" s="2">
        <v>47.57</v>
      </c>
      <c r="BO1620" s="2">
        <v>47.57</v>
      </c>
      <c r="BP1620" s="2"/>
      <c r="BQ1620" s="2" t="s">
        <v>1660</v>
      </c>
      <c r="BR1620" s="2" t="s">
        <v>123</v>
      </c>
      <c r="BS1620" s="3">
        <v>42836</v>
      </c>
      <c r="BT1620" s="4">
        <v>0.43402777777777773</v>
      </c>
      <c r="BU1620" s="2" t="s">
        <v>245</v>
      </c>
      <c r="BV1620" s="2" t="s">
        <v>111</v>
      </c>
      <c r="BW1620" s="2"/>
      <c r="BX1620" s="2"/>
      <c r="BY1620" s="2">
        <v>1200</v>
      </c>
      <c r="BZ1620" s="2" t="s">
        <v>27</v>
      </c>
      <c r="CA1620" s="2"/>
      <c r="CB1620" s="2"/>
      <c r="CC1620" s="2" t="s">
        <v>140</v>
      </c>
      <c r="CD1620" s="2">
        <v>157</v>
      </c>
      <c r="CE1620" s="2" t="s">
        <v>118</v>
      </c>
      <c r="CF1620" s="5">
        <v>42838</v>
      </c>
      <c r="CG1620" s="2"/>
      <c r="CH1620" s="2"/>
      <c r="CI1620" s="2">
        <v>0</v>
      </c>
      <c r="CJ1620" s="2">
        <v>0</v>
      </c>
      <c r="CK1620" s="2">
        <v>21</v>
      </c>
      <c r="CL1620" s="2" t="s">
        <v>86</v>
      </c>
      <c r="CM1620" s="2"/>
    </row>
    <row r="1621" spans="1:91">
      <c r="A1621" s="2" t="s">
        <v>71</v>
      </c>
      <c r="B1621" s="2" t="s">
        <v>72</v>
      </c>
      <c r="C1621" s="2" t="s">
        <v>73</v>
      </c>
      <c r="D1621" s="2"/>
      <c r="E1621" s="2" t="str">
        <f>"FES1162542712"</f>
        <v>FES1162542712</v>
      </c>
      <c r="F1621" s="3">
        <v>42835</v>
      </c>
      <c r="G1621" s="2">
        <v>201710</v>
      </c>
      <c r="H1621" s="2" t="s">
        <v>74</v>
      </c>
      <c r="I1621" s="2" t="s">
        <v>75</v>
      </c>
      <c r="J1621" s="2" t="s">
        <v>76</v>
      </c>
      <c r="K1621" s="2" t="s">
        <v>77</v>
      </c>
      <c r="L1621" s="2" t="s">
        <v>396</v>
      </c>
      <c r="M1621" s="2" t="s">
        <v>397</v>
      </c>
      <c r="N1621" s="2" t="s">
        <v>500</v>
      </c>
      <c r="O1621" s="2" t="s">
        <v>115</v>
      </c>
      <c r="P1621" s="2" t="str">
        <f>"2170558691                    "</f>
        <v xml:space="preserve">2170558691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6.43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3</v>
      </c>
      <c r="BJ1621" s="2">
        <v>1.8</v>
      </c>
      <c r="BK1621" s="2">
        <v>3</v>
      </c>
      <c r="BL1621" s="2">
        <v>62.59</v>
      </c>
      <c r="BM1621" s="2">
        <v>8.76</v>
      </c>
      <c r="BN1621" s="2">
        <v>71.349999999999994</v>
      </c>
      <c r="BO1621" s="2">
        <v>71.349999999999994</v>
      </c>
      <c r="BP1621" s="2"/>
      <c r="BQ1621" s="2" t="s">
        <v>501</v>
      </c>
      <c r="BR1621" s="2" t="s">
        <v>123</v>
      </c>
      <c r="BS1621" s="3">
        <v>42836</v>
      </c>
      <c r="BT1621" s="4">
        <v>0.4375</v>
      </c>
      <c r="BU1621" s="2" t="s">
        <v>2127</v>
      </c>
      <c r="BV1621" s="2" t="s">
        <v>111</v>
      </c>
      <c r="BW1621" s="2"/>
      <c r="BX1621" s="2"/>
      <c r="BY1621" s="2">
        <v>9184.5</v>
      </c>
      <c r="BZ1621" s="2" t="s">
        <v>27</v>
      </c>
      <c r="CA1621" s="2" t="s">
        <v>159</v>
      </c>
      <c r="CB1621" s="2"/>
      <c r="CC1621" s="2" t="s">
        <v>397</v>
      </c>
      <c r="CD1621" s="2">
        <v>4302</v>
      </c>
      <c r="CE1621" s="2" t="s">
        <v>172</v>
      </c>
      <c r="CF1621" s="5">
        <v>42837</v>
      </c>
      <c r="CG1621" s="2"/>
      <c r="CH1621" s="2"/>
      <c r="CI1621" s="2">
        <v>1</v>
      </c>
      <c r="CJ1621" s="2">
        <v>1</v>
      </c>
      <c r="CK1621" s="2">
        <v>21</v>
      </c>
      <c r="CL1621" s="2" t="s">
        <v>86</v>
      </c>
      <c r="CM1621" s="2"/>
    </row>
    <row r="1622" spans="1:91">
      <c r="A1622" s="2" t="s">
        <v>71</v>
      </c>
      <c r="B1622" s="2" t="s">
        <v>72</v>
      </c>
      <c r="C1622" s="2" t="s">
        <v>73</v>
      </c>
      <c r="D1622" s="2"/>
      <c r="E1622" s="2" t="str">
        <f>"FES1162542696"</f>
        <v>FES1162542696</v>
      </c>
      <c r="F1622" s="3">
        <v>42835</v>
      </c>
      <c r="G1622" s="2">
        <v>201710</v>
      </c>
      <c r="H1622" s="2" t="s">
        <v>74</v>
      </c>
      <c r="I1622" s="2" t="s">
        <v>75</v>
      </c>
      <c r="J1622" s="2" t="s">
        <v>76</v>
      </c>
      <c r="K1622" s="2" t="s">
        <v>77</v>
      </c>
      <c r="L1622" s="2" t="s">
        <v>99</v>
      </c>
      <c r="M1622" s="2" t="s">
        <v>100</v>
      </c>
      <c r="N1622" s="2" t="s">
        <v>1442</v>
      </c>
      <c r="O1622" s="2" t="s">
        <v>115</v>
      </c>
      <c r="P1622" s="2" t="str">
        <f>"217051177                     "</f>
        <v xml:space="preserve">217051177 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12.86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6</v>
      </c>
      <c r="BJ1622" s="2">
        <v>3.4</v>
      </c>
      <c r="BK1622" s="2">
        <v>6</v>
      </c>
      <c r="BL1622" s="2">
        <v>125.18</v>
      </c>
      <c r="BM1622" s="2">
        <v>17.53</v>
      </c>
      <c r="BN1622" s="2">
        <v>142.71</v>
      </c>
      <c r="BO1622" s="2">
        <v>142.71</v>
      </c>
      <c r="BP1622" s="2"/>
      <c r="BQ1622" s="2" t="s">
        <v>1443</v>
      </c>
      <c r="BR1622" s="2" t="s">
        <v>123</v>
      </c>
      <c r="BS1622" s="3">
        <v>42836</v>
      </c>
      <c r="BT1622" s="4">
        <v>0.3347222222222222</v>
      </c>
      <c r="BU1622" s="2" t="s">
        <v>2128</v>
      </c>
      <c r="BV1622" s="2" t="s">
        <v>111</v>
      </c>
      <c r="BW1622" s="2"/>
      <c r="BX1622" s="2"/>
      <c r="BY1622" s="2">
        <v>16776.45</v>
      </c>
      <c r="BZ1622" s="2" t="s">
        <v>27</v>
      </c>
      <c r="CA1622" s="2" t="s">
        <v>378</v>
      </c>
      <c r="CB1622" s="2"/>
      <c r="CC1622" s="2" t="s">
        <v>100</v>
      </c>
      <c r="CD1622" s="2">
        <v>6045</v>
      </c>
      <c r="CE1622" s="2" t="s">
        <v>89</v>
      </c>
      <c r="CF1622" s="5">
        <v>42837</v>
      </c>
      <c r="CG1622" s="2"/>
      <c r="CH1622" s="2"/>
      <c r="CI1622" s="2">
        <v>1</v>
      </c>
      <c r="CJ1622" s="2">
        <v>1</v>
      </c>
      <c r="CK1622" s="2">
        <v>21</v>
      </c>
      <c r="CL1622" s="2" t="s">
        <v>86</v>
      </c>
      <c r="CM1622" s="2"/>
    </row>
    <row r="1623" spans="1:91">
      <c r="A1623" s="2" t="s">
        <v>71</v>
      </c>
      <c r="B1623" s="2" t="s">
        <v>72</v>
      </c>
      <c r="C1623" s="2" t="s">
        <v>73</v>
      </c>
      <c r="D1623" s="2"/>
      <c r="E1623" s="2" t="str">
        <f>"FES1162542683"</f>
        <v>FES1162542683</v>
      </c>
      <c r="F1623" s="3">
        <v>42835</v>
      </c>
      <c r="G1623" s="2">
        <v>201710</v>
      </c>
      <c r="H1623" s="2" t="s">
        <v>74</v>
      </c>
      <c r="I1623" s="2" t="s">
        <v>75</v>
      </c>
      <c r="J1623" s="2" t="s">
        <v>76</v>
      </c>
      <c r="K1623" s="2" t="s">
        <v>77</v>
      </c>
      <c r="L1623" s="2" t="s">
        <v>131</v>
      </c>
      <c r="M1623" s="2" t="s">
        <v>132</v>
      </c>
      <c r="N1623" s="2" t="s">
        <v>1084</v>
      </c>
      <c r="O1623" s="2" t="s">
        <v>115</v>
      </c>
      <c r="P1623" s="2" t="str">
        <f>"2170560990                    "</f>
        <v xml:space="preserve">2170560990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6.43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3</v>
      </c>
      <c r="BJ1623" s="2">
        <v>1.5</v>
      </c>
      <c r="BK1623" s="2">
        <v>3</v>
      </c>
      <c r="BL1623" s="2">
        <v>62.59</v>
      </c>
      <c r="BM1623" s="2">
        <v>8.76</v>
      </c>
      <c r="BN1623" s="2">
        <v>71.349999999999994</v>
      </c>
      <c r="BO1623" s="2">
        <v>71.349999999999994</v>
      </c>
      <c r="BP1623" s="2"/>
      <c r="BQ1623" s="2" t="s">
        <v>1085</v>
      </c>
      <c r="BR1623" s="2" t="s">
        <v>123</v>
      </c>
      <c r="BS1623" s="3">
        <v>42836</v>
      </c>
      <c r="BT1623" s="4">
        <v>0.41666666666666669</v>
      </c>
      <c r="BU1623" s="2" t="s">
        <v>1778</v>
      </c>
      <c r="BV1623" s="2" t="s">
        <v>111</v>
      </c>
      <c r="BW1623" s="2"/>
      <c r="BX1623" s="2"/>
      <c r="BY1623" s="2">
        <v>7408.8</v>
      </c>
      <c r="BZ1623" s="2" t="s">
        <v>27</v>
      </c>
      <c r="CA1623" s="2" t="s">
        <v>159</v>
      </c>
      <c r="CB1623" s="2"/>
      <c r="CC1623" s="2" t="s">
        <v>132</v>
      </c>
      <c r="CD1623" s="2">
        <v>7441</v>
      </c>
      <c r="CE1623" s="2" t="s">
        <v>89</v>
      </c>
      <c r="CF1623" s="5">
        <v>42837</v>
      </c>
      <c r="CG1623" s="2"/>
      <c r="CH1623" s="2"/>
      <c r="CI1623" s="2">
        <v>1</v>
      </c>
      <c r="CJ1623" s="2">
        <v>1</v>
      </c>
      <c r="CK1623" s="2">
        <v>21</v>
      </c>
      <c r="CL1623" s="2" t="s">
        <v>86</v>
      </c>
      <c r="CM1623" s="2"/>
    </row>
    <row r="1624" spans="1:91">
      <c r="A1624" s="2" t="s">
        <v>71</v>
      </c>
      <c r="B1624" s="2" t="s">
        <v>72</v>
      </c>
      <c r="C1624" s="2" t="s">
        <v>73</v>
      </c>
      <c r="D1624" s="2"/>
      <c r="E1624" s="2" t="str">
        <f>"FES1162542759"</f>
        <v>FES1162542759</v>
      </c>
      <c r="F1624" s="3">
        <v>42835</v>
      </c>
      <c r="G1624" s="2">
        <v>201710</v>
      </c>
      <c r="H1624" s="2" t="s">
        <v>74</v>
      </c>
      <c r="I1624" s="2" t="s">
        <v>75</v>
      </c>
      <c r="J1624" s="2" t="s">
        <v>76</v>
      </c>
      <c r="K1624" s="2" t="s">
        <v>77</v>
      </c>
      <c r="L1624" s="2" t="s">
        <v>139</v>
      </c>
      <c r="M1624" s="2" t="s">
        <v>140</v>
      </c>
      <c r="N1624" s="2" t="s">
        <v>2129</v>
      </c>
      <c r="O1624" s="2" t="s">
        <v>115</v>
      </c>
      <c r="P1624" s="2" t="str">
        <f>"2170561650                    "</f>
        <v xml:space="preserve">2170561650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4.29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0.2</v>
      </c>
      <c r="BK1624" s="2">
        <v>1</v>
      </c>
      <c r="BL1624" s="2">
        <v>41.73</v>
      </c>
      <c r="BM1624" s="2">
        <v>5.84</v>
      </c>
      <c r="BN1624" s="2">
        <v>47.57</v>
      </c>
      <c r="BO1624" s="2">
        <v>47.57</v>
      </c>
      <c r="BP1624" s="2"/>
      <c r="BQ1624" s="2" t="s">
        <v>2130</v>
      </c>
      <c r="BR1624" s="2" t="s">
        <v>123</v>
      </c>
      <c r="BS1624" s="3">
        <v>42836</v>
      </c>
      <c r="BT1624" s="4">
        <v>0.41666666666666669</v>
      </c>
      <c r="BU1624" s="2" t="s">
        <v>2131</v>
      </c>
      <c r="BV1624" s="2" t="s">
        <v>111</v>
      </c>
      <c r="BW1624" s="2"/>
      <c r="BX1624" s="2"/>
      <c r="BY1624" s="2">
        <v>1200</v>
      </c>
      <c r="BZ1624" s="2" t="s">
        <v>27</v>
      </c>
      <c r="CA1624" s="2"/>
      <c r="CB1624" s="2"/>
      <c r="CC1624" s="2" t="s">
        <v>140</v>
      </c>
      <c r="CD1624" s="2">
        <v>157</v>
      </c>
      <c r="CE1624" s="2" t="s">
        <v>118</v>
      </c>
      <c r="CF1624" s="5">
        <v>42838</v>
      </c>
      <c r="CG1624" s="2"/>
      <c r="CH1624" s="2"/>
      <c r="CI1624" s="2">
        <v>0</v>
      </c>
      <c r="CJ1624" s="2">
        <v>0</v>
      </c>
      <c r="CK1624" s="2">
        <v>21</v>
      </c>
      <c r="CL1624" s="2" t="s">
        <v>86</v>
      </c>
      <c r="CM1624" s="2"/>
    </row>
    <row r="1625" spans="1:91">
      <c r="A1625" s="2" t="s">
        <v>71</v>
      </c>
      <c r="B1625" s="2" t="s">
        <v>72</v>
      </c>
      <c r="C1625" s="2" t="s">
        <v>73</v>
      </c>
      <c r="D1625" s="2"/>
      <c r="E1625" s="2" t="str">
        <f>"FES1162542670"</f>
        <v>FES1162542670</v>
      </c>
      <c r="F1625" s="3">
        <v>42835</v>
      </c>
      <c r="G1625" s="2">
        <v>201710</v>
      </c>
      <c r="H1625" s="2" t="s">
        <v>74</v>
      </c>
      <c r="I1625" s="2" t="s">
        <v>75</v>
      </c>
      <c r="J1625" s="2" t="s">
        <v>76</v>
      </c>
      <c r="K1625" s="2" t="s">
        <v>77</v>
      </c>
      <c r="L1625" s="2" t="s">
        <v>74</v>
      </c>
      <c r="M1625" s="2" t="s">
        <v>75</v>
      </c>
      <c r="N1625" s="2" t="s">
        <v>2132</v>
      </c>
      <c r="O1625" s="2" t="s">
        <v>115</v>
      </c>
      <c r="P1625" s="2" t="str">
        <f>"2170561537                    "</f>
        <v xml:space="preserve">2170561537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3.35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1</v>
      </c>
      <c r="BJ1625" s="2">
        <v>0.2</v>
      </c>
      <c r="BK1625" s="2">
        <v>1</v>
      </c>
      <c r="BL1625" s="2">
        <v>32.6</v>
      </c>
      <c r="BM1625" s="2">
        <v>4.5599999999999996</v>
      </c>
      <c r="BN1625" s="2">
        <v>37.159999999999997</v>
      </c>
      <c r="BO1625" s="2">
        <v>37.159999999999997</v>
      </c>
      <c r="BP1625" s="2"/>
      <c r="BQ1625" s="2" t="s">
        <v>2133</v>
      </c>
      <c r="BR1625" s="2" t="s">
        <v>123</v>
      </c>
      <c r="BS1625" s="3">
        <v>42836</v>
      </c>
      <c r="BT1625" s="4">
        <v>0.4375</v>
      </c>
      <c r="BU1625" s="2" t="s">
        <v>2134</v>
      </c>
      <c r="BV1625" s="2" t="s">
        <v>111</v>
      </c>
      <c r="BW1625" s="2"/>
      <c r="BX1625" s="2"/>
      <c r="BY1625" s="2">
        <v>1200</v>
      </c>
      <c r="BZ1625" s="2" t="s">
        <v>27</v>
      </c>
      <c r="CA1625" s="2"/>
      <c r="CB1625" s="2"/>
      <c r="CC1625" s="2" t="s">
        <v>75</v>
      </c>
      <c r="CD1625" s="2">
        <v>1600</v>
      </c>
      <c r="CE1625" s="2" t="s">
        <v>118</v>
      </c>
      <c r="CF1625" s="5">
        <v>42838</v>
      </c>
      <c r="CG1625" s="2"/>
      <c r="CH1625" s="2"/>
      <c r="CI1625" s="2">
        <v>1</v>
      </c>
      <c r="CJ1625" s="2">
        <v>1</v>
      </c>
      <c r="CK1625" s="2">
        <v>22</v>
      </c>
      <c r="CL1625" s="2" t="s">
        <v>86</v>
      </c>
      <c r="CM1625" s="2"/>
    </row>
    <row r="1626" spans="1:91">
      <c r="A1626" s="2" t="s">
        <v>71</v>
      </c>
      <c r="B1626" s="2" t="s">
        <v>72</v>
      </c>
      <c r="C1626" s="2" t="s">
        <v>73</v>
      </c>
      <c r="D1626" s="2"/>
      <c r="E1626" s="2" t="str">
        <f>"FES1162542753"</f>
        <v>FES1162542753</v>
      </c>
      <c r="F1626" s="3">
        <v>42835</v>
      </c>
      <c r="G1626" s="2">
        <v>201710</v>
      </c>
      <c r="H1626" s="2" t="s">
        <v>74</v>
      </c>
      <c r="I1626" s="2" t="s">
        <v>75</v>
      </c>
      <c r="J1626" s="2" t="s">
        <v>76</v>
      </c>
      <c r="K1626" s="2" t="s">
        <v>77</v>
      </c>
      <c r="L1626" s="2" t="s">
        <v>99</v>
      </c>
      <c r="M1626" s="2" t="s">
        <v>100</v>
      </c>
      <c r="N1626" s="2" t="s">
        <v>108</v>
      </c>
      <c r="O1626" s="2" t="s">
        <v>115</v>
      </c>
      <c r="P1626" s="2" t="str">
        <f>"2170561525                    "</f>
        <v xml:space="preserve">2170561525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12.86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6</v>
      </c>
      <c r="BJ1626" s="2">
        <v>1.8</v>
      </c>
      <c r="BK1626" s="2">
        <v>6</v>
      </c>
      <c r="BL1626" s="2">
        <v>125.18</v>
      </c>
      <c r="BM1626" s="2">
        <v>17.53</v>
      </c>
      <c r="BN1626" s="2">
        <v>142.71</v>
      </c>
      <c r="BO1626" s="2">
        <v>142.71</v>
      </c>
      <c r="BP1626" s="2"/>
      <c r="BQ1626" s="2" t="s">
        <v>109</v>
      </c>
      <c r="BR1626" s="2" t="s">
        <v>123</v>
      </c>
      <c r="BS1626" s="3">
        <v>42836</v>
      </c>
      <c r="BT1626" s="4">
        <v>0.375</v>
      </c>
      <c r="BU1626" s="2" t="s">
        <v>110</v>
      </c>
      <c r="BV1626" s="2" t="s">
        <v>111</v>
      </c>
      <c r="BW1626" s="2"/>
      <c r="BX1626" s="2"/>
      <c r="BY1626" s="2">
        <v>9190.94</v>
      </c>
      <c r="BZ1626" s="2" t="s">
        <v>27</v>
      </c>
      <c r="CA1626" s="2" t="s">
        <v>106</v>
      </c>
      <c r="CB1626" s="2"/>
      <c r="CC1626" s="2" t="s">
        <v>100</v>
      </c>
      <c r="CD1626" s="2">
        <v>6001</v>
      </c>
      <c r="CE1626" s="2" t="s">
        <v>89</v>
      </c>
      <c r="CF1626" s="5">
        <v>42836</v>
      </c>
      <c r="CG1626" s="2"/>
      <c r="CH1626" s="2"/>
      <c r="CI1626" s="2">
        <v>1</v>
      </c>
      <c r="CJ1626" s="2">
        <v>1</v>
      </c>
      <c r="CK1626" s="2">
        <v>21</v>
      </c>
      <c r="CL1626" s="2" t="s">
        <v>86</v>
      </c>
      <c r="CM1626" s="2"/>
    </row>
    <row r="1627" spans="1:91">
      <c r="A1627" s="2" t="s">
        <v>71</v>
      </c>
      <c r="B1627" s="2" t="s">
        <v>72</v>
      </c>
      <c r="C1627" s="2" t="s">
        <v>73</v>
      </c>
      <c r="D1627" s="2"/>
      <c r="E1627" s="2" t="str">
        <f>"FES1162542747"</f>
        <v>FES1162542747</v>
      </c>
      <c r="F1627" s="3">
        <v>42835</v>
      </c>
      <c r="G1627" s="2">
        <v>201710</v>
      </c>
      <c r="H1627" s="2" t="s">
        <v>74</v>
      </c>
      <c r="I1627" s="2" t="s">
        <v>75</v>
      </c>
      <c r="J1627" s="2" t="s">
        <v>76</v>
      </c>
      <c r="K1627" s="2" t="s">
        <v>77</v>
      </c>
      <c r="L1627" s="2" t="s">
        <v>190</v>
      </c>
      <c r="M1627" s="2" t="s">
        <v>191</v>
      </c>
      <c r="N1627" s="2" t="s">
        <v>2135</v>
      </c>
      <c r="O1627" s="2" t="s">
        <v>115</v>
      </c>
      <c r="P1627" s="2" t="str">
        <f>"2170559006                    "</f>
        <v xml:space="preserve">2170559006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6.03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1</v>
      </c>
      <c r="BJ1627" s="2">
        <v>1.6</v>
      </c>
      <c r="BK1627" s="2">
        <v>2</v>
      </c>
      <c r="BL1627" s="2">
        <v>58.68</v>
      </c>
      <c r="BM1627" s="2">
        <v>8.2200000000000006</v>
      </c>
      <c r="BN1627" s="2">
        <v>66.900000000000006</v>
      </c>
      <c r="BO1627" s="2">
        <v>66.900000000000006</v>
      </c>
      <c r="BP1627" s="2"/>
      <c r="BQ1627" s="2" t="s">
        <v>122</v>
      </c>
      <c r="BR1627" s="2" t="s">
        <v>123</v>
      </c>
      <c r="BS1627" s="3">
        <v>42836</v>
      </c>
      <c r="BT1627" s="4">
        <v>0.41597222222222219</v>
      </c>
      <c r="BU1627" s="2" t="s">
        <v>2136</v>
      </c>
      <c r="BV1627" s="2" t="s">
        <v>111</v>
      </c>
      <c r="BW1627" s="2"/>
      <c r="BX1627" s="2"/>
      <c r="BY1627" s="2">
        <v>7980.34</v>
      </c>
      <c r="BZ1627" s="2" t="s">
        <v>27</v>
      </c>
      <c r="CA1627" s="2"/>
      <c r="CB1627" s="2"/>
      <c r="CC1627" s="2" t="s">
        <v>191</v>
      </c>
      <c r="CD1627" s="2">
        <v>1739</v>
      </c>
      <c r="CE1627" s="2" t="s">
        <v>118</v>
      </c>
      <c r="CF1627" s="5">
        <v>42838</v>
      </c>
      <c r="CG1627" s="2"/>
      <c r="CH1627" s="2"/>
      <c r="CI1627" s="2">
        <v>1</v>
      </c>
      <c r="CJ1627" s="2">
        <v>1</v>
      </c>
      <c r="CK1627" s="2">
        <v>24</v>
      </c>
      <c r="CL1627" s="2" t="s">
        <v>86</v>
      </c>
      <c r="CM1627" s="2"/>
    </row>
    <row r="1628" spans="1:91">
      <c r="A1628" s="2" t="s">
        <v>71</v>
      </c>
      <c r="B1628" s="2" t="s">
        <v>72</v>
      </c>
      <c r="C1628" s="2" t="s">
        <v>73</v>
      </c>
      <c r="D1628" s="2"/>
      <c r="E1628" s="2" t="str">
        <f>"FES1162542744"</f>
        <v>FES1162542744</v>
      </c>
      <c r="F1628" s="3">
        <v>42835</v>
      </c>
      <c r="G1628" s="2">
        <v>201710</v>
      </c>
      <c r="H1628" s="2" t="s">
        <v>74</v>
      </c>
      <c r="I1628" s="2" t="s">
        <v>75</v>
      </c>
      <c r="J1628" s="2" t="s">
        <v>76</v>
      </c>
      <c r="K1628" s="2" t="s">
        <v>77</v>
      </c>
      <c r="L1628" s="2" t="s">
        <v>166</v>
      </c>
      <c r="M1628" s="2" t="s">
        <v>167</v>
      </c>
      <c r="N1628" s="2" t="s">
        <v>892</v>
      </c>
      <c r="O1628" s="2" t="s">
        <v>115</v>
      </c>
      <c r="P1628" s="2" t="str">
        <f>"2170561625                    "</f>
        <v xml:space="preserve">2170561625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3.35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</v>
      </c>
      <c r="BJ1628" s="2">
        <v>0.2</v>
      </c>
      <c r="BK1628" s="2">
        <v>1</v>
      </c>
      <c r="BL1628" s="2">
        <v>32.6</v>
      </c>
      <c r="BM1628" s="2">
        <v>4.5599999999999996</v>
      </c>
      <c r="BN1628" s="2">
        <v>37.159999999999997</v>
      </c>
      <c r="BO1628" s="2">
        <v>37.159999999999997</v>
      </c>
      <c r="BP1628" s="2"/>
      <c r="BQ1628" s="2" t="s">
        <v>893</v>
      </c>
      <c r="BR1628" s="2" t="s">
        <v>123</v>
      </c>
      <c r="BS1628" s="3">
        <v>42836</v>
      </c>
      <c r="BT1628" s="4">
        <v>0.4375</v>
      </c>
      <c r="BU1628" s="2" t="s">
        <v>2137</v>
      </c>
      <c r="BV1628" s="2" t="s">
        <v>111</v>
      </c>
      <c r="BW1628" s="2"/>
      <c r="BX1628" s="2"/>
      <c r="BY1628" s="2">
        <v>1200</v>
      </c>
      <c r="BZ1628" s="2" t="s">
        <v>27</v>
      </c>
      <c r="CA1628" s="2"/>
      <c r="CB1628" s="2"/>
      <c r="CC1628" s="2" t="s">
        <v>167</v>
      </c>
      <c r="CD1628" s="2">
        <v>2013</v>
      </c>
      <c r="CE1628" s="2" t="s">
        <v>118</v>
      </c>
      <c r="CF1628" s="5">
        <v>42836</v>
      </c>
      <c r="CG1628" s="2"/>
      <c r="CH1628" s="2"/>
      <c r="CI1628" s="2">
        <v>1</v>
      </c>
      <c r="CJ1628" s="2">
        <v>1</v>
      </c>
      <c r="CK1628" s="2">
        <v>22</v>
      </c>
      <c r="CL1628" s="2" t="s">
        <v>86</v>
      </c>
      <c r="CM1628" s="2"/>
    </row>
    <row r="1629" spans="1:91">
      <c r="A1629" s="2" t="s">
        <v>71</v>
      </c>
      <c r="B1629" s="2" t="s">
        <v>72</v>
      </c>
      <c r="C1629" s="2" t="s">
        <v>73</v>
      </c>
      <c r="D1629" s="2"/>
      <c r="E1629" s="2" t="str">
        <f>"FES1162542739"</f>
        <v>FES1162542739</v>
      </c>
      <c r="F1629" s="3">
        <v>42835</v>
      </c>
      <c r="G1629" s="2">
        <v>201710</v>
      </c>
      <c r="H1629" s="2" t="s">
        <v>74</v>
      </c>
      <c r="I1629" s="2" t="s">
        <v>75</v>
      </c>
      <c r="J1629" s="2" t="s">
        <v>76</v>
      </c>
      <c r="K1629" s="2" t="s">
        <v>77</v>
      </c>
      <c r="L1629" s="2" t="s">
        <v>496</v>
      </c>
      <c r="M1629" s="2" t="s">
        <v>497</v>
      </c>
      <c r="N1629" s="2" t="s">
        <v>523</v>
      </c>
      <c r="O1629" s="2" t="s">
        <v>115</v>
      </c>
      <c r="P1629" s="2" t="str">
        <f>"21705461622                   "</f>
        <v xml:space="preserve">21705461622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3.35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1</v>
      </c>
      <c r="BJ1629" s="2">
        <v>0.2</v>
      </c>
      <c r="BK1629" s="2">
        <v>1</v>
      </c>
      <c r="BL1629" s="2">
        <v>32.6</v>
      </c>
      <c r="BM1629" s="2">
        <v>4.5599999999999996</v>
      </c>
      <c r="BN1629" s="2">
        <v>37.159999999999997</v>
      </c>
      <c r="BO1629" s="2">
        <v>37.159999999999997</v>
      </c>
      <c r="BP1629" s="2"/>
      <c r="BQ1629" s="2"/>
      <c r="BR1629" s="2" t="s">
        <v>123</v>
      </c>
      <c r="BS1629" s="3">
        <v>42836</v>
      </c>
      <c r="BT1629" s="4">
        <v>0.34722222222222227</v>
      </c>
      <c r="BU1629" s="2" t="s">
        <v>2138</v>
      </c>
      <c r="BV1629" s="2" t="s">
        <v>111</v>
      </c>
      <c r="BW1629" s="2"/>
      <c r="BX1629" s="2"/>
      <c r="BY1629" s="2">
        <v>1200</v>
      </c>
      <c r="BZ1629" s="2" t="s">
        <v>27</v>
      </c>
      <c r="CA1629" s="2" t="s">
        <v>1041</v>
      </c>
      <c r="CB1629" s="2"/>
      <c r="CC1629" s="2" t="s">
        <v>497</v>
      </c>
      <c r="CD1629" s="2">
        <v>1559</v>
      </c>
      <c r="CE1629" s="2" t="s">
        <v>118</v>
      </c>
      <c r="CF1629" s="5">
        <v>42836</v>
      </c>
      <c r="CG1629" s="2"/>
      <c r="CH1629" s="2"/>
      <c r="CI1629" s="2">
        <v>1</v>
      </c>
      <c r="CJ1629" s="2">
        <v>1</v>
      </c>
      <c r="CK1629" s="2">
        <v>22</v>
      </c>
      <c r="CL1629" s="2" t="s">
        <v>86</v>
      </c>
      <c r="CM1629" s="2"/>
    </row>
    <row r="1630" spans="1:91">
      <c r="A1630" s="2" t="s">
        <v>71</v>
      </c>
      <c r="B1630" s="2" t="s">
        <v>72</v>
      </c>
      <c r="C1630" s="2" t="s">
        <v>73</v>
      </c>
      <c r="D1630" s="2"/>
      <c r="E1630" s="2" t="str">
        <f>"FES1162542757"</f>
        <v>FES1162542757</v>
      </c>
      <c r="F1630" s="3">
        <v>42835</v>
      </c>
      <c r="G1630" s="2">
        <v>201710</v>
      </c>
      <c r="H1630" s="2" t="s">
        <v>74</v>
      </c>
      <c r="I1630" s="2" t="s">
        <v>75</v>
      </c>
      <c r="J1630" s="2" t="s">
        <v>76</v>
      </c>
      <c r="K1630" s="2" t="s">
        <v>77</v>
      </c>
      <c r="L1630" s="2" t="s">
        <v>131</v>
      </c>
      <c r="M1630" s="2" t="s">
        <v>132</v>
      </c>
      <c r="N1630" s="2" t="s">
        <v>2139</v>
      </c>
      <c r="O1630" s="2" t="s">
        <v>115</v>
      </c>
      <c r="P1630" s="2" t="str">
        <f>"2170561647                    "</f>
        <v xml:space="preserve">2170561647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6.43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3</v>
      </c>
      <c r="BJ1630" s="2">
        <v>0.9</v>
      </c>
      <c r="BK1630" s="2">
        <v>3</v>
      </c>
      <c r="BL1630" s="2">
        <v>62.59</v>
      </c>
      <c r="BM1630" s="2">
        <v>8.76</v>
      </c>
      <c r="BN1630" s="2">
        <v>71.349999999999994</v>
      </c>
      <c r="BO1630" s="2">
        <v>71.349999999999994</v>
      </c>
      <c r="BP1630" s="2"/>
      <c r="BQ1630" s="2" t="s">
        <v>122</v>
      </c>
      <c r="BR1630" s="2" t="s">
        <v>123</v>
      </c>
      <c r="BS1630" s="3">
        <v>42836</v>
      </c>
      <c r="BT1630" s="4">
        <v>0.41666666666666669</v>
      </c>
      <c r="BU1630" s="2" t="s">
        <v>2140</v>
      </c>
      <c r="BV1630" s="2" t="s">
        <v>111</v>
      </c>
      <c r="BW1630" s="2"/>
      <c r="BX1630" s="2"/>
      <c r="BY1630" s="2">
        <v>4528.99</v>
      </c>
      <c r="BZ1630" s="2" t="s">
        <v>27</v>
      </c>
      <c r="CA1630" s="2"/>
      <c r="CB1630" s="2"/>
      <c r="CC1630" s="2" t="s">
        <v>132</v>
      </c>
      <c r="CD1630" s="2">
        <v>7441</v>
      </c>
      <c r="CE1630" s="2" t="s">
        <v>172</v>
      </c>
      <c r="CF1630" s="5">
        <v>42837</v>
      </c>
      <c r="CG1630" s="2"/>
      <c r="CH1630" s="2"/>
      <c r="CI1630" s="2">
        <v>1</v>
      </c>
      <c r="CJ1630" s="2">
        <v>1</v>
      </c>
      <c r="CK1630" s="2">
        <v>21</v>
      </c>
      <c r="CL1630" s="2" t="s">
        <v>86</v>
      </c>
      <c r="CM1630" s="2"/>
    </row>
    <row r="1631" spans="1:91">
      <c r="A1631" s="2" t="s">
        <v>71</v>
      </c>
      <c r="B1631" s="2" t="s">
        <v>72</v>
      </c>
      <c r="C1631" s="2" t="s">
        <v>73</v>
      </c>
      <c r="D1631" s="2"/>
      <c r="E1631" s="2" t="str">
        <f>"FES1162542734"</f>
        <v>FES1162542734</v>
      </c>
      <c r="F1631" s="3">
        <v>42835</v>
      </c>
      <c r="G1631" s="2">
        <v>201710</v>
      </c>
      <c r="H1631" s="2" t="s">
        <v>74</v>
      </c>
      <c r="I1631" s="2" t="s">
        <v>75</v>
      </c>
      <c r="J1631" s="2" t="s">
        <v>76</v>
      </c>
      <c r="K1631" s="2" t="s">
        <v>77</v>
      </c>
      <c r="L1631" s="2" t="s">
        <v>91</v>
      </c>
      <c r="M1631" s="2" t="s">
        <v>92</v>
      </c>
      <c r="N1631" s="2" t="s">
        <v>2141</v>
      </c>
      <c r="O1631" s="2" t="s">
        <v>115</v>
      </c>
      <c r="P1631" s="2" t="str">
        <f>"2170561615                    "</f>
        <v xml:space="preserve">2170561615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3.35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1</v>
      </c>
      <c r="BJ1631" s="2">
        <v>0.2</v>
      </c>
      <c r="BK1631" s="2">
        <v>1</v>
      </c>
      <c r="BL1631" s="2">
        <v>32.6</v>
      </c>
      <c r="BM1631" s="2">
        <v>4.5599999999999996</v>
      </c>
      <c r="BN1631" s="2">
        <v>37.159999999999997</v>
      </c>
      <c r="BO1631" s="2">
        <v>37.159999999999997</v>
      </c>
      <c r="BP1631" s="2"/>
      <c r="BQ1631" s="2"/>
      <c r="BR1631" s="2" t="s">
        <v>123</v>
      </c>
      <c r="BS1631" s="3">
        <v>42836</v>
      </c>
      <c r="BT1631" s="4">
        <v>0.41666666666666669</v>
      </c>
      <c r="BU1631" s="2" t="s">
        <v>290</v>
      </c>
      <c r="BV1631" s="2" t="s">
        <v>111</v>
      </c>
      <c r="BW1631" s="2"/>
      <c r="BX1631" s="2"/>
      <c r="BY1631" s="2">
        <v>1200</v>
      </c>
      <c r="BZ1631" s="2" t="s">
        <v>27</v>
      </c>
      <c r="CA1631" s="2"/>
      <c r="CB1631" s="2"/>
      <c r="CC1631" s="2" t="s">
        <v>92</v>
      </c>
      <c r="CD1631" s="2">
        <v>1401</v>
      </c>
      <c r="CE1631" s="2" t="s">
        <v>118</v>
      </c>
      <c r="CF1631" s="5">
        <v>42838</v>
      </c>
      <c r="CG1631" s="2"/>
      <c r="CH1631" s="2"/>
      <c r="CI1631" s="2">
        <v>1</v>
      </c>
      <c r="CJ1631" s="2">
        <v>1</v>
      </c>
      <c r="CK1631" s="2">
        <v>22</v>
      </c>
      <c r="CL1631" s="2" t="s">
        <v>86</v>
      </c>
      <c r="CM1631" s="2"/>
    </row>
    <row r="1632" spans="1:91">
      <c r="A1632" s="2" t="s">
        <v>71</v>
      </c>
      <c r="B1632" s="2" t="s">
        <v>72</v>
      </c>
      <c r="C1632" s="2" t="s">
        <v>73</v>
      </c>
      <c r="D1632" s="2"/>
      <c r="E1632" s="2" t="str">
        <f>"FES1162542715"</f>
        <v>FES1162542715</v>
      </c>
      <c r="F1632" s="3">
        <v>42835</v>
      </c>
      <c r="G1632" s="2">
        <v>201710</v>
      </c>
      <c r="H1632" s="2" t="s">
        <v>74</v>
      </c>
      <c r="I1632" s="2" t="s">
        <v>75</v>
      </c>
      <c r="J1632" s="2" t="s">
        <v>76</v>
      </c>
      <c r="K1632" s="2" t="s">
        <v>77</v>
      </c>
      <c r="L1632" s="2" t="s">
        <v>99</v>
      </c>
      <c r="M1632" s="2" t="s">
        <v>100</v>
      </c>
      <c r="N1632" s="2" t="s">
        <v>413</v>
      </c>
      <c r="O1632" s="2" t="s">
        <v>115</v>
      </c>
      <c r="P1632" s="2" t="str">
        <f>"2170561382                    "</f>
        <v xml:space="preserve">2170561382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4.29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1</v>
      </c>
      <c r="BJ1632" s="2">
        <v>1.6</v>
      </c>
      <c r="BK1632" s="2">
        <v>2</v>
      </c>
      <c r="BL1632" s="2">
        <v>41.73</v>
      </c>
      <c r="BM1632" s="2">
        <v>5.84</v>
      </c>
      <c r="BN1632" s="2">
        <v>47.57</v>
      </c>
      <c r="BO1632" s="2">
        <v>47.57</v>
      </c>
      <c r="BP1632" s="2"/>
      <c r="BQ1632" s="2" t="s">
        <v>414</v>
      </c>
      <c r="BR1632" s="2" t="s">
        <v>123</v>
      </c>
      <c r="BS1632" s="3">
        <v>42836</v>
      </c>
      <c r="BT1632" s="4">
        <v>0.35347222222222219</v>
      </c>
      <c r="BU1632" s="2" t="s">
        <v>415</v>
      </c>
      <c r="BV1632" s="2" t="s">
        <v>111</v>
      </c>
      <c r="BW1632" s="2"/>
      <c r="BX1632" s="2"/>
      <c r="BY1632" s="2">
        <v>8106.96</v>
      </c>
      <c r="BZ1632" s="2" t="s">
        <v>27</v>
      </c>
      <c r="CA1632" s="2" t="s">
        <v>154</v>
      </c>
      <c r="CB1632" s="2"/>
      <c r="CC1632" s="2" t="s">
        <v>100</v>
      </c>
      <c r="CD1632" s="2">
        <v>6001</v>
      </c>
      <c r="CE1632" s="2" t="s">
        <v>118</v>
      </c>
      <c r="CF1632" s="5">
        <v>42836</v>
      </c>
      <c r="CG1632" s="2"/>
      <c r="CH1632" s="2"/>
      <c r="CI1632" s="2">
        <v>1</v>
      </c>
      <c r="CJ1632" s="2">
        <v>1</v>
      </c>
      <c r="CK1632" s="2">
        <v>21</v>
      </c>
      <c r="CL1632" s="2" t="s">
        <v>86</v>
      </c>
      <c r="CM1632" s="2"/>
    </row>
    <row r="1633" spans="1:91">
      <c r="A1633" s="2" t="s">
        <v>71</v>
      </c>
      <c r="B1633" s="2" t="s">
        <v>72</v>
      </c>
      <c r="C1633" s="2" t="s">
        <v>73</v>
      </c>
      <c r="D1633" s="2"/>
      <c r="E1633" s="2" t="str">
        <f>"FES1162543434"</f>
        <v>FES1162543434</v>
      </c>
      <c r="F1633" s="3">
        <v>42837</v>
      </c>
      <c r="G1633" s="2">
        <v>201710</v>
      </c>
      <c r="H1633" s="2" t="s">
        <v>74</v>
      </c>
      <c r="I1633" s="2" t="s">
        <v>75</v>
      </c>
      <c r="J1633" s="2" t="s">
        <v>76</v>
      </c>
      <c r="K1633" s="2" t="s">
        <v>77</v>
      </c>
      <c r="L1633" s="2" t="s">
        <v>2142</v>
      </c>
      <c r="M1633" s="2" t="s">
        <v>2143</v>
      </c>
      <c r="N1633" s="2" t="s">
        <v>2144</v>
      </c>
      <c r="O1633" s="2" t="s">
        <v>115</v>
      </c>
      <c r="P1633" s="2" t="str">
        <f>"2170562131                    "</f>
        <v xml:space="preserve">2170562131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73.95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19.5</v>
      </c>
      <c r="BJ1633" s="2">
        <v>11.9</v>
      </c>
      <c r="BK1633" s="2">
        <v>19.5</v>
      </c>
      <c r="BL1633" s="2">
        <v>719.79</v>
      </c>
      <c r="BM1633" s="2">
        <v>100.77</v>
      </c>
      <c r="BN1633" s="2">
        <v>820.56</v>
      </c>
      <c r="BO1633" s="2">
        <v>820.56</v>
      </c>
      <c r="BP1633" s="2"/>
      <c r="BQ1633" s="2"/>
      <c r="BR1633" s="2" t="s">
        <v>84</v>
      </c>
      <c r="BS1633" s="3">
        <v>42838</v>
      </c>
      <c r="BT1633" s="4">
        <v>0.54305555555555551</v>
      </c>
      <c r="BU1633" s="2" t="s">
        <v>2145</v>
      </c>
      <c r="BV1633" s="2" t="s">
        <v>111</v>
      </c>
      <c r="BW1633" s="2"/>
      <c r="BX1633" s="2"/>
      <c r="BY1633" s="2">
        <v>59722.09</v>
      </c>
      <c r="BZ1633" s="2"/>
      <c r="CA1633" s="2"/>
      <c r="CB1633" s="2"/>
      <c r="CC1633" s="2" t="s">
        <v>2143</v>
      </c>
      <c r="CD1633" s="2">
        <v>4490</v>
      </c>
      <c r="CE1633" s="2" t="s">
        <v>89</v>
      </c>
      <c r="CF1633" s="5">
        <v>42843</v>
      </c>
      <c r="CG1633" s="2"/>
      <c r="CH1633" s="2"/>
      <c r="CI1633" s="2">
        <v>1</v>
      </c>
      <c r="CJ1633" s="2">
        <v>1</v>
      </c>
      <c r="CK1633" s="2">
        <v>23</v>
      </c>
      <c r="CL1633" s="2" t="s">
        <v>86</v>
      </c>
      <c r="CM1633" s="2"/>
    </row>
    <row r="1634" spans="1:91">
      <c r="A1634" s="2" t="s">
        <v>71</v>
      </c>
      <c r="B1634" s="2" t="s">
        <v>72</v>
      </c>
      <c r="C1634" s="2" t="s">
        <v>73</v>
      </c>
      <c r="D1634" s="2"/>
      <c r="E1634" s="2" t="str">
        <f>"FES1162543474"</f>
        <v>FES1162543474</v>
      </c>
      <c r="F1634" s="3">
        <v>42837</v>
      </c>
      <c r="G1634" s="2">
        <v>201710</v>
      </c>
      <c r="H1634" s="2" t="s">
        <v>74</v>
      </c>
      <c r="I1634" s="2" t="s">
        <v>75</v>
      </c>
      <c r="J1634" s="2" t="s">
        <v>76</v>
      </c>
      <c r="K1634" s="2" t="s">
        <v>77</v>
      </c>
      <c r="L1634" s="2" t="s">
        <v>99</v>
      </c>
      <c r="M1634" s="2" t="s">
        <v>100</v>
      </c>
      <c r="N1634" s="2" t="s">
        <v>1783</v>
      </c>
      <c r="O1634" s="2" t="s">
        <v>115</v>
      </c>
      <c r="P1634" s="2" t="str">
        <f>"2170562173                    "</f>
        <v xml:space="preserve">2170562173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4.29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</v>
      </c>
      <c r="BJ1634" s="2">
        <v>0.2</v>
      </c>
      <c r="BK1634" s="2">
        <v>1</v>
      </c>
      <c r="BL1634" s="2">
        <v>41.73</v>
      </c>
      <c r="BM1634" s="2">
        <v>5.84</v>
      </c>
      <c r="BN1634" s="2">
        <v>47.57</v>
      </c>
      <c r="BO1634" s="2">
        <v>47.57</v>
      </c>
      <c r="BP1634" s="2"/>
      <c r="BQ1634" s="2" t="s">
        <v>1784</v>
      </c>
      <c r="BR1634" s="2" t="s">
        <v>84</v>
      </c>
      <c r="BS1634" s="3">
        <v>42838</v>
      </c>
      <c r="BT1634" s="4">
        <v>0.32569444444444445</v>
      </c>
      <c r="BU1634" s="2" t="s">
        <v>1785</v>
      </c>
      <c r="BV1634" s="2" t="s">
        <v>111</v>
      </c>
      <c r="BW1634" s="2"/>
      <c r="BX1634" s="2"/>
      <c r="BY1634" s="2">
        <v>1200</v>
      </c>
      <c r="BZ1634" s="2"/>
      <c r="CA1634" s="2" t="s">
        <v>154</v>
      </c>
      <c r="CB1634" s="2"/>
      <c r="CC1634" s="2" t="s">
        <v>100</v>
      </c>
      <c r="CD1634" s="2">
        <v>6001</v>
      </c>
      <c r="CE1634" s="2" t="s">
        <v>118</v>
      </c>
      <c r="CF1634" s="5">
        <v>42838</v>
      </c>
      <c r="CG1634" s="2"/>
      <c r="CH1634" s="2"/>
      <c r="CI1634" s="2">
        <v>1</v>
      </c>
      <c r="CJ1634" s="2">
        <v>1</v>
      </c>
      <c r="CK1634" s="2">
        <v>21</v>
      </c>
      <c r="CL1634" s="2" t="s">
        <v>86</v>
      </c>
      <c r="CM1634" s="2"/>
    </row>
    <row r="1635" spans="1:91">
      <c r="A1635" s="2" t="s">
        <v>71</v>
      </c>
      <c r="B1635" s="2" t="s">
        <v>72</v>
      </c>
      <c r="C1635" s="2" t="s">
        <v>73</v>
      </c>
      <c r="D1635" s="2"/>
      <c r="E1635" s="2" t="str">
        <f>"FES1162543471"</f>
        <v>FES1162543471</v>
      </c>
      <c r="F1635" s="3">
        <v>42837</v>
      </c>
      <c r="G1635" s="2">
        <v>201710</v>
      </c>
      <c r="H1635" s="2" t="s">
        <v>74</v>
      </c>
      <c r="I1635" s="2" t="s">
        <v>75</v>
      </c>
      <c r="J1635" s="2" t="s">
        <v>76</v>
      </c>
      <c r="K1635" s="2" t="s">
        <v>77</v>
      </c>
      <c r="L1635" s="2" t="s">
        <v>99</v>
      </c>
      <c r="M1635" s="2" t="s">
        <v>100</v>
      </c>
      <c r="N1635" s="2" t="s">
        <v>583</v>
      </c>
      <c r="O1635" s="2" t="s">
        <v>115</v>
      </c>
      <c r="P1635" s="2" t="str">
        <f>"2170562169                    "</f>
        <v xml:space="preserve">2170562169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4.29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1</v>
      </c>
      <c r="BJ1635" s="2">
        <v>0.2</v>
      </c>
      <c r="BK1635" s="2">
        <v>1</v>
      </c>
      <c r="BL1635" s="2">
        <v>41.73</v>
      </c>
      <c r="BM1635" s="2">
        <v>5.84</v>
      </c>
      <c r="BN1635" s="2">
        <v>47.57</v>
      </c>
      <c r="BO1635" s="2">
        <v>47.57</v>
      </c>
      <c r="BP1635" s="2"/>
      <c r="BQ1635" s="2" t="s">
        <v>584</v>
      </c>
      <c r="BR1635" s="2" t="s">
        <v>84</v>
      </c>
      <c r="BS1635" s="3">
        <v>42838</v>
      </c>
      <c r="BT1635" s="4">
        <v>0.34166666666666662</v>
      </c>
      <c r="BU1635" s="2" t="s">
        <v>585</v>
      </c>
      <c r="BV1635" s="2" t="s">
        <v>111</v>
      </c>
      <c r="BW1635" s="2"/>
      <c r="BX1635" s="2"/>
      <c r="BY1635" s="2">
        <v>1200</v>
      </c>
      <c r="BZ1635" s="2"/>
      <c r="CA1635" s="2" t="s">
        <v>154</v>
      </c>
      <c r="CB1635" s="2"/>
      <c r="CC1635" s="2" t="s">
        <v>100</v>
      </c>
      <c r="CD1635" s="2">
        <v>6001</v>
      </c>
      <c r="CE1635" s="2" t="s">
        <v>118</v>
      </c>
      <c r="CF1635" s="5">
        <v>42838</v>
      </c>
      <c r="CG1635" s="2"/>
      <c r="CH1635" s="2"/>
      <c r="CI1635" s="2">
        <v>1</v>
      </c>
      <c r="CJ1635" s="2">
        <v>1</v>
      </c>
      <c r="CK1635" s="2">
        <v>21</v>
      </c>
      <c r="CL1635" s="2" t="s">
        <v>86</v>
      </c>
      <c r="CM1635" s="2"/>
    </row>
    <row r="1636" spans="1:91">
      <c r="A1636" s="2" t="s">
        <v>71</v>
      </c>
      <c r="B1636" s="2" t="s">
        <v>72</v>
      </c>
      <c r="C1636" s="2" t="s">
        <v>73</v>
      </c>
      <c r="D1636" s="2"/>
      <c r="E1636" s="2" t="str">
        <f>"FES1162543399"</f>
        <v>FES1162543399</v>
      </c>
      <c r="F1636" s="3">
        <v>42837</v>
      </c>
      <c r="G1636" s="2">
        <v>201710</v>
      </c>
      <c r="H1636" s="2" t="s">
        <v>74</v>
      </c>
      <c r="I1636" s="2" t="s">
        <v>75</v>
      </c>
      <c r="J1636" s="2" t="s">
        <v>76</v>
      </c>
      <c r="K1636" s="2" t="s">
        <v>77</v>
      </c>
      <c r="L1636" s="2" t="s">
        <v>131</v>
      </c>
      <c r="M1636" s="2" t="s">
        <v>132</v>
      </c>
      <c r="N1636" s="2" t="s">
        <v>2146</v>
      </c>
      <c r="O1636" s="2" t="s">
        <v>115</v>
      </c>
      <c r="P1636" s="2" t="str">
        <f>"2170562089                    "</f>
        <v xml:space="preserve">2170562089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4.29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1</v>
      </c>
      <c r="BJ1636" s="2">
        <v>0.2</v>
      </c>
      <c r="BK1636" s="2">
        <v>1</v>
      </c>
      <c r="BL1636" s="2">
        <v>41.73</v>
      </c>
      <c r="BM1636" s="2">
        <v>5.84</v>
      </c>
      <c r="BN1636" s="2">
        <v>47.57</v>
      </c>
      <c r="BO1636" s="2">
        <v>47.57</v>
      </c>
      <c r="BP1636" s="2"/>
      <c r="BQ1636" s="2" t="s">
        <v>122</v>
      </c>
      <c r="BR1636" s="2" t="s">
        <v>84</v>
      </c>
      <c r="BS1636" s="3">
        <v>42838</v>
      </c>
      <c r="BT1636" s="4">
        <v>0.41666666666666669</v>
      </c>
      <c r="BU1636" s="2" t="s">
        <v>2147</v>
      </c>
      <c r="BV1636" s="2" t="s">
        <v>111</v>
      </c>
      <c r="BW1636" s="2"/>
      <c r="BX1636" s="2"/>
      <c r="BY1636" s="2">
        <v>1200</v>
      </c>
      <c r="BZ1636" s="2"/>
      <c r="CA1636" s="2"/>
      <c r="CB1636" s="2"/>
      <c r="CC1636" s="2" t="s">
        <v>132</v>
      </c>
      <c r="CD1636" s="2">
        <v>7945</v>
      </c>
      <c r="CE1636" s="2" t="s">
        <v>118</v>
      </c>
      <c r="CF1636" s="5">
        <v>42843</v>
      </c>
      <c r="CG1636" s="2"/>
      <c r="CH1636" s="2"/>
      <c r="CI1636" s="2">
        <v>1</v>
      </c>
      <c r="CJ1636" s="2">
        <v>1</v>
      </c>
      <c r="CK1636" s="2">
        <v>21</v>
      </c>
      <c r="CL1636" s="2" t="s">
        <v>86</v>
      </c>
      <c r="CM1636" s="2"/>
    </row>
    <row r="1637" spans="1:91">
      <c r="A1637" s="2" t="s">
        <v>71</v>
      </c>
      <c r="B1637" s="2" t="s">
        <v>72</v>
      </c>
      <c r="C1637" s="2" t="s">
        <v>73</v>
      </c>
      <c r="D1637" s="2"/>
      <c r="E1637" s="2" t="str">
        <f>"FES1162543201"</f>
        <v>FES1162543201</v>
      </c>
      <c r="F1637" s="3">
        <v>42837</v>
      </c>
      <c r="G1637" s="2">
        <v>201710</v>
      </c>
      <c r="H1637" s="2" t="s">
        <v>74</v>
      </c>
      <c r="I1637" s="2" t="s">
        <v>75</v>
      </c>
      <c r="J1637" s="2" t="s">
        <v>76</v>
      </c>
      <c r="K1637" s="2" t="s">
        <v>77</v>
      </c>
      <c r="L1637" s="2" t="s">
        <v>131</v>
      </c>
      <c r="M1637" s="2" t="s">
        <v>132</v>
      </c>
      <c r="N1637" s="2" t="s">
        <v>2148</v>
      </c>
      <c r="O1637" s="2" t="s">
        <v>115</v>
      </c>
      <c r="P1637" s="2" t="str">
        <f>"2170561959                    "</f>
        <v xml:space="preserve">2170561959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4.29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1</v>
      </c>
      <c r="BJ1637" s="2">
        <v>0.2</v>
      </c>
      <c r="BK1637" s="2">
        <v>1</v>
      </c>
      <c r="BL1637" s="2">
        <v>41.73</v>
      </c>
      <c r="BM1637" s="2">
        <v>5.84</v>
      </c>
      <c r="BN1637" s="2">
        <v>47.57</v>
      </c>
      <c r="BO1637" s="2">
        <v>47.57</v>
      </c>
      <c r="BP1637" s="2"/>
      <c r="BQ1637" s="2" t="s">
        <v>2149</v>
      </c>
      <c r="BR1637" s="2" t="s">
        <v>84</v>
      </c>
      <c r="BS1637" s="3">
        <v>42838</v>
      </c>
      <c r="BT1637" s="4">
        <v>0.41666666666666669</v>
      </c>
      <c r="BU1637" s="2" t="s">
        <v>2150</v>
      </c>
      <c r="BV1637" s="2" t="s">
        <v>111</v>
      </c>
      <c r="BW1637" s="2"/>
      <c r="BX1637" s="2"/>
      <c r="BY1637" s="2">
        <v>1200</v>
      </c>
      <c r="BZ1637" s="2"/>
      <c r="CA1637" s="2"/>
      <c r="CB1637" s="2"/>
      <c r="CC1637" s="2" t="s">
        <v>132</v>
      </c>
      <c r="CD1637" s="2">
        <v>7441</v>
      </c>
      <c r="CE1637" s="2" t="s">
        <v>118</v>
      </c>
      <c r="CF1637" s="5">
        <v>42843</v>
      </c>
      <c r="CG1637" s="2"/>
      <c r="CH1637" s="2"/>
      <c r="CI1637" s="2">
        <v>1</v>
      </c>
      <c r="CJ1637" s="2">
        <v>1</v>
      </c>
      <c r="CK1637" s="2">
        <v>21</v>
      </c>
      <c r="CL1637" s="2" t="s">
        <v>86</v>
      </c>
      <c r="CM1637" s="2"/>
    </row>
    <row r="1638" spans="1:91">
      <c r="A1638" s="2" t="s">
        <v>71</v>
      </c>
      <c r="B1638" s="2" t="s">
        <v>72</v>
      </c>
      <c r="C1638" s="2" t="s">
        <v>73</v>
      </c>
      <c r="D1638" s="2"/>
      <c r="E1638" s="2" t="str">
        <f>"FES1162543387"</f>
        <v>FES1162543387</v>
      </c>
      <c r="F1638" s="3">
        <v>42837</v>
      </c>
      <c r="G1638" s="2">
        <v>201710</v>
      </c>
      <c r="H1638" s="2" t="s">
        <v>74</v>
      </c>
      <c r="I1638" s="2" t="s">
        <v>75</v>
      </c>
      <c r="J1638" s="2" t="s">
        <v>76</v>
      </c>
      <c r="K1638" s="2" t="s">
        <v>77</v>
      </c>
      <c r="L1638" s="2" t="s">
        <v>176</v>
      </c>
      <c r="M1638" s="2" t="s">
        <v>176</v>
      </c>
      <c r="N1638" s="2" t="s">
        <v>339</v>
      </c>
      <c r="O1638" s="2" t="s">
        <v>115</v>
      </c>
      <c r="P1638" s="2" t="str">
        <f>"2170562081                    "</f>
        <v xml:space="preserve">2170562081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21.43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9.6</v>
      </c>
      <c r="BJ1638" s="2">
        <v>1.8</v>
      </c>
      <c r="BK1638" s="2">
        <v>10</v>
      </c>
      <c r="BL1638" s="2">
        <v>208.63</v>
      </c>
      <c r="BM1638" s="2">
        <v>29.21</v>
      </c>
      <c r="BN1638" s="2">
        <v>237.84</v>
      </c>
      <c r="BO1638" s="2">
        <v>237.84</v>
      </c>
      <c r="BP1638" s="2"/>
      <c r="BQ1638" s="2" t="s">
        <v>340</v>
      </c>
      <c r="BR1638" s="2" t="s">
        <v>84</v>
      </c>
      <c r="BS1638" s="3">
        <v>42838</v>
      </c>
      <c r="BT1638" s="4">
        <v>0.4548611111111111</v>
      </c>
      <c r="BU1638" s="2" t="s">
        <v>899</v>
      </c>
      <c r="BV1638" s="2" t="s">
        <v>111</v>
      </c>
      <c r="BW1638" s="2"/>
      <c r="BX1638" s="2"/>
      <c r="BY1638" s="2">
        <v>8974.27</v>
      </c>
      <c r="BZ1638" s="2"/>
      <c r="CA1638" s="2"/>
      <c r="CB1638" s="2"/>
      <c r="CC1638" s="2" t="s">
        <v>176</v>
      </c>
      <c r="CD1638" s="2">
        <v>7646</v>
      </c>
      <c r="CE1638" s="2" t="s">
        <v>89</v>
      </c>
      <c r="CF1638" s="5">
        <v>42843</v>
      </c>
      <c r="CG1638" s="2"/>
      <c r="CH1638" s="2"/>
      <c r="CI1638" s="2">
        <v>1</v>
      </c>
      <c r="CJ1638" s="2">
        <v>1</v>
      </c>
      <c r="CK1638" s="2">
        <v>21</v>
      </c>
      <c r="CL1638" s="2" t="s">
        <v>86</v>
      </c>
      <c r="CM1638" s="2"/>
    </row>
    <row r="1639" spans="1:91">
      <c r="A1639" s="2" t="s">
        <v>71</v>
      </c>
      <c r="B1639" s="2" t="s">
        <v>72</v>
      </c>
      <c r="C1639" s="2" t="s">
        <v>73</v>
      </c>
      <c r="D1639" s="2"/>
      <c r="E1639" s="2" t="str">
        <f>"FES1162543451"</f>
        <v>FES1162543451</v>
      </c>
      <c r="F1639" s="3">
        <v>42837</v>
      </c>
      <c r="G1639" s="2">
        <v>201710</v>
      </c>
      <c r="H1639" s="2" t="s">
        <v>74</v>
      </c>
      <c r="I1639" s="2" t="s">
        <v>75</v>
      </c>
      <c r="J1639" s="2" t="s">
        <v>76</v>
      </c>
      <c r="K1639" s="2" t="s">
        <v>77</v>
      </c>
      <c r="L1639" s="2" t="s">
        <v>131</v>
      </c>
      <c r="M1639" s="2" t="s">
        <v>132</v>
      </c>
      <c r="N1639" s="2" t="s">
        <v>744</v>
      </c>
      <c r="O1639" s="2" t="s">
        <v>115</v>
      </c>
      <c r="P1639" s="2" t="str">
        <f>"2170562143                    "</f>
        <v xml:space="preserve">2170562143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4.29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1.4</v>
      </c>
      <c r="BJ1639" s="2">
        <v>0.9</v>
      </c>
      <c r="BK1639" s="2">
        <v>1.5</v>
      </c>
      <c r="BL1639" s="2">
        <v>41.73</v>
      </c>
      <c r="BM1639" s="2">
        <v>5.84</v>
      </c>
      <c r="BN1639" s="2">
        <v>47.57</v>
      </c>
      <c r="BO1639" s="2">
        <v>47.57</v>
      </c>
      <c r="BP1639" s="2"/>
      <c r="BQ1639" s="2" t="s">
        <v>138</v>
      </c>
      <c r="BR1639" s="2" t="s">
        <v>84</v>
      </c>
      <c r="BS1639" s="3">
        <v>42838</v>
      </c>
      <c r="BT1639" s="4">
        <v>0.41666666666666669</v>
      </c>
      <c r="BU1639" s="2" t="s">
        <v>130</v>
      </c>
      <c r="BV1639" s="2" t="s">
        <v>111</v>
      </c>
      <c r="BW1639" s="2"/>
      <c r="BX1639" s="2"/>
      <c r="BY1639" s="2">
        <v>4454.6499999999996</v>
      </c>
      <c r="BZ1639" s="2"/>
      <c r="CA1639" s="2"/>
      <c r="CB1639" s="2"/>
      <c r="CC1639" s="2" t="s">
        <v>132</v>
      </c>
      <c r="CD1639" s="2">
        <v>7405</v>
      </c>
      <c r="CE1639" s="2" t="s">
        <v>89</v>
      </c>
      <c r="CF1639" s="5">
        <v>42843</v>
      </c>
      <c r="CG1639" s="2"/>
      <c r="CH1639" s="2"/>
      <c r="CI1639" s="2">
        <v>1</v>
      </c>
      <c r="CJ1639" s="2">
        <v>1</v>
      </c>
      <c r="CK1639" s="2">
        <v>21</v>
      </c>
      <c r="CL1639" s="2" t="s">
        <v>86</v>
      </c>
      <c r="CM1639" s="2"/>
    </row>
    <row r="1640" spans="1:91">
      <c r="A1640" s="2" t="s">
        <v>71</v>
      </c>
      <c r="B1640" s="2" t="s">
        <v>72</v>
      </c>
      <c r="C1640" s="2" t="s">
        <v>73</v>
      </c>
      <c r="D1640" s="2"/>
      <c r="E1640" s="2" t="str">
        <f>"FES1162543385"</f>
        <v>FES1162543385</v>
      </c>
      <c r="F1640" s="3">
        <v>42837</v>
      </c>
      <c r="G1640" s="2">
        <v>201710</v>
      </c>
      <c r="H1640" s="2" t="s">
        <v>74</v>
      </c>
      <c r="I1640" s="2" t="s">
        <v>75</v>
      </c>
      <c r="J1640" s="2" t="s">
        <v>76</v>
      </c>
      <c r="K1640" s="2" t="s">
        <v>77</v>
      </c>
      <c r="L1640" s="2" t="s">
        <v>176</v>
      </c>
      <c r="M1640" s="2" t="s">
        <v>176</v>
      </c>
      <c r="N1640" s="2" t="s">
        <v>1413</v>
      </c>
      <c r="O1640" s="2" t="s">
        <v>115</v>
      </c>
      <c r="P1640" s="2" t="str">
        <f>"2170562053                    "</f>
        <v xml:space="preserve">2170562053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4.29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1</v>
      </c>
      <c r="BJ1640" s="2">
        <v>0.2</v>
      </c>
      <c r="BK1640" s="2">
        <v>1</v>
      </c>
      <c r="BL1640" s="2">
        <v>41.73</v>
      </c>
      <c r="BM1640" s="2">
        <v>5.84</v>
      </c>
      <c r="BN1640" s="2">
        <v>47.57</v>
      </c>
      <c r="BO1640" s="2">
        <v>47.57</v>
      </c>
      <c r="BP1640" s="2"/>
      <c r="BQ1640" s="2" t="s">
        <v>83</v>
      </c>
      <c r="BR1640" s="2" t="s">
        <v>84</v>
      </c>
      <c r="BS1640" s="3">
        <v>42838</v>
      </c>
      <c r="BT1640" s="4">
        <v>0.47916666666666669</v>
      </c>
      <c r="BU1640" s="2" t="s">
        <v>1414</v>
      </c>
      <c r="BV1640" s="2" t="s">
        <v>111</v>
      </c>
      <c r="BW1640" s="2"/>
      <c r="BX1640" s="2"/>
      <c r="BY1640" s="2">
        <v>1200</v>
      </c>
      <c r="BZ1640" s="2"/>
      <c r="CA1640" s="2"/>
      <c r="CB1640" s="2"/>
      <c r="CC1640" s="2" t="s">
        <v>176</v>
      </c>
      <c r="CD1640" s="2">
        <v>7620</v>
      </c>
      <c r="CE1640" s="2" t="s">
        <v>118</v>
      </c>
      <c r="CF1640" s="5">
        <v>42843</v>
      </c>
      <c r="CG1640" s="2"/>
      <c r="CH1640" s="2"/>
      <c r="CI1640" s="2">
        <v>1</v>
      </c>
      <c r="CJ1640" s="2">
        <v>1</v>
      </c>
      <c r="CK1640" s="2">
        <v>21</v>
      </c>
      <c r="CL1640" s="2" t="s">
        <v>86</v>
      </c>
      <c r="CM1640" s="2"/>
    </row>
    <row r="1641" spans="1:91">
      <c r="A1641" s="2" t="s">
        <v>71</v>
      </c>
      <c r="B1641" s="2" t="s">
        <v>72</v>
      </c>
      <c r="C1641" s="2" t="s">
        <v>73</v>
      </c>
      <c r="D1641" s="2"/>
      <c r="E1641" s="2" t="str">
        <f>"FES1162543194"</f>
        <v>FES1162543194</v>
      </c>
      <c r="F1641" s="3">
        <v>42837</v>
      </c>
      <c r="G1641" s="2">
        <v>201710</v>
      </c>
      <c r="H1641" s="2" t="s">
        <v>74</v>
      </c>
      <c r="I1641" s="2" t="s">
        <v>75</v>
      </c>
      <c r="J1641" s="2" t="s">
        <v>76</v>
      </c>
      <c r="K1641" s="2" t="s">
        <v>77</v>
      </c>
      <c r="L1641" s="2" t="s">
        <v>131</v>
      </c>
      <c r="M1641" s="2" t="s">
        <v>132</v>
      </c>
      <c r="N1641" s="2" t="s">
        <v>731</v>
      </c>
      <c r="O1641" s="2" t="s">
        <v>115</v>
      </c>
      <c r="P1641" s="2" t="str">
        <f>"2170561954                    "</f>
        <v xml:space="preserve">2170561954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4.29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1.1000000000000001</v>
      </c>
      <c r="BJ1641" s="2">
        <v>1.4</v>
      </c>
      <c r="BK1641" s="2">
        <v>1.5</v>
      </c>
      <c r="BL1641" s="2">
        <v>41.73</v>
      </c>
      <c r="BM1641" s="2">
        <v>5.84</v>
      </c>
      <c r="BN1641" s="2">
        <v>47.57</v>
      </c>
      <c r="BO1641" s="2">
        <v>47.57</v>
      </c>
      <c r="BP1641" s="2"/>
      <c r="BQ1641" s="2" t="s">
        <v>732</v>
      </c>
      <c r="BR1641" s="2" t="s">
        <v>84</v>
      </c>
      <c r="BS1641" s="3">
        <v>42838</v>
      </c>
      <c r="BT1641" s="4">
        <v>0.47152777777777777</v>
      </c>
      <c r="BU1641" s="2" t="s">
        <v>1418</v>
      </c>
      <c r="BV1641" s="2" t="s">
        <v>111</v>
      </c>
      <c r="BW1641" s="2"/>
      <c r="BX1641" s="2"/>
      <c r="BY1641" s="2">
        <v>6759.35</v>
      </c>
      <c r="BZ1641" s="2"/>
      <c r="CA1641" s="2"/>
      <c r="CB1641" s="2"/>
      <c r="CC1641" s="2" t="s">
        <v>132</v>
      </c>
      <c r="CD1641" s="2">
        <v>7945</v>
      </c>
      <c r="CE1641" s="2" t="s">
        <v>89</v>
      </c>
      <c r="CF1641" s="5">
        <v>42843</v>
      </c>
      <c r="CG1641" s="2"/>
      <c r="CH1641" s="2"/>
      <c r="CI1641" s="2">
        <v>1</v>
      </c>
      <c r="CJ1641" s="2">
        <v>1</v>
      </c>
      <c r="CK1641" s="2">
        <v>21</v>
      </c>
      <c r="CL1641" s="2" t="s">
        <v>86</v>
      </c>
      <c r="CM1641" s="2"/>
    </row>
    <row r="1642" spans="1:91">
      <c r="A1642" s="2" t="s">
        <v>71</v>
      </c>
      <c r="B1642" s="2" t="s">
        <v>72</v>
      </c>
      <c r="C1642" s="2" t="s">
        <v>73</v>
      </c>
      <c r="D1642" s="2"/>
      <c r="E1642" s="2" t="str">
        <f>"FES1162543456"</f>
        <v>FES1162543456</v>
      </c>
      <c r="F1642" s="3">
        <v>42837</v>
      </c>
      <c r="G1642" s="2">
        <v>201710</v>
      </c>
      <c r="H1642" s="2" t="s">
        <v>74</v>
      </c>
      <c r="I1642" s="2" t="s">
        <v>75</v>
      </c>
      <c r="J1642" s="2" t="s">
        <v>76</v>
      </c>
      <c r="K1642" s="2" t="s">
        <v>77</v>
      </c>
      <c r="L1642" s="2" t="s">
        <v>633</v>
      </c>
      <c r="M1642" s="2" t="s">
        <v>634</v>
      </c>
      <c r="N1642" s="2" t="s">
        <v>2151</v>
      </c>
      <c r="O1642" s="2" t="s">
        <v>115</v>
      </c>
      <c r="P1642" s="2" t="str">
        <f>"2170562149                    "</f>
        <v xml:space="preserve">2170562149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6.03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1</v>
      </c>
      <c r="BJ1642" s="2">
        <v>0.2</v>
      </c>
      <c r="BK1642" s="2">
        <v>1</v>
      </c>
      <c r="BL1642" s="2">
        <v>58.68</v>
      </c>
      <c r="BM1642" s="2">
        <v>8.2200000000000006</v>
      </c>
      <c r="BN1642" s="2">
        <v>66.900000000000006</v>
      </c>
      <c r="BO1642" s="2">
        <v>66.900000000000006</v>
      </c>
      <c r="BP1642" s="2"/>
      <c r="BQ1642" s="2" t="s">
        <v>129</v>
      </c>
      <c r="BR1642" s="2" t="s">
        <v>84</v>
      </c>
      <c r="BS1642" s="3">
        <v>42838</v>
      </c>
      <c r="BT1642" s="4">
        <v>0.41666666666666669</v>
      </c>
      <c r="BU1642" s="2" t="s">
        <v>2152</v>
      </c>
      <c r="BV1642" s="2" t="s">
        <v>111</v>
      </c>
      <c r="BW1642" s="2"/>
      <c r="BX1642" s="2"/>
      <c r="BY1642" s="2">
        <v>1200</v>
      </c>
      <c r="BZ1642" s="2"/>
      <c r="CA1642" s="2"/>
      <c r="CB1642" s="2"/>
      <c r="CC1642" s="2" t="s">
        <v>634</v>
      </c>
      <c r="CD1642" s="2">
        <v>1760</v>
      </c>
      <c r="CE1642" s="2" t="s">
        <v>118</v>
      </c>
      <c r="CF1642" s="5">
        <v>42843</v>
      </c>
      <c r="CG1642" s="2"/>
      <c r="CH1642" s="2"/>
      <c r="CI1642" s="2">
        <v>1</v>
      </c>
      <c r="CJ1642" s="2">
        <v>1</v>
      </c>
      <c r="CK1642" s="2">
        <v>24</v>
      </c>
      <c r="CL1642" s="2" t="s">
        <v>86</v>
      </c>
      <c r="CM1642" s="2"/>
    </row>
    <row r="1643" spans="1:91">
      <c r="A1643" s="2" t="s">
        <v>71</v>
      </c>
      <c r="B1643" s="2" t="s">
        <v>72</v>
      </c>
      <c r="C1643" s="2" t="s">
        <v>73</v>
      </c>
      <c r="D1643" s="2"/>
      <c r="E1643" s="2" t="str">
        <f>"FES1162543432"</f>
        <v>FES1162543432</v>
      </c>
      <c r="F1643" s="3">
        <v>42837</v>
      </c>
      <c r="G1643" s="2">
        <v>201710</v>
      </c>
      <c r="H1643" s="2" t="s">
        <v>74</v>
      </c>
      <c r="I1643" s="2" t="s">
        <v>75</v>
      </c>
      <c r="J1643" s="2" t="s">
        <v>76</v>
      </c>
      <c r="K1643" s="2" t="s">
        <v>77</v>
      </c>
      <c r="L1643" s="2" t="s">
        <v>139</v>
      </c>
      <c r="M1643" s="2" t="s">
        <v>140</v>
      </c>
      <c r="N1643" s="2" t="s">
        <v>2153</v>
      </c>
      <c r="O1643" s="2" t="s">
        <v>115</v>
      </c>
      <c r="P1643" s="2" t="str">
        <f>"2170561825                    "</f>
        <v xml:space="preserve">2170561825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4.29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2</v>
      </c>
      <c r="BJ1643" s="2">
        <v>1.4</v>
      </c>
      <c r="BK1643" s="2">
        <v>2</v>
      </c>
      <c r="BL1643" s="2">
        <v>41.73</v>
      </c>
      <c r="BM1643" s="2">
        <v>5.84</v>
      </c>
      <c r="BN1643" s="2">
        <v>47.57</v>
      </c>
      <c r="BO1643" s="2">
        <v>47.57</v>
      </c>
      <c r="BP1643" s="2"/>
      <c r="BQ1643" s="2" t="s">
        <v>2154</v>
      </c>
      <c r="BR1643" s="2" t="s">
        <v>84</v>
      </c>
      <c r="BS1643" s="3">
        <v>42838</v>
      </c>
      <c r="BT1643" s="4">
        <v>0.36458333333333331</v>
      </c>
      <c r="BU1643" s="2" t="s">
        <v>2155</v>
      </c>
      <c r="BV1643" s="2" t="s">
        <v>111</v>
      </c>
      <c r="BW1643" s="2"/>
      <c r="BX1643" s="2"/>
      <c r="BY1643" s="2">
        <v>6999.6</v>
      </c>
      <c r="BZ1643" s="2"/>
      <c r="CA1643" s="2"/>
      <c r="CB1643" s="2"/>
      <c r="CC1643" s="2" t="s">
        <v>140</v>
      </c>
      <c r="CD1643" s="2">
        <v>157</v>
      </c>
      <c r="CE1643" s="2" t="s">
        <v>89</v>
      </c>
      <c r="CF1643" s="5">
        <v>42845</v>
      </c>
      <c r="CG1643" s="2"/>
      <c r="CH1643" s="2"/>
      <c r="CI1643" s="2">
        <v>0</v>
      </c>
      <c r="CJ1643" s="2">
        <v>0</v>
      </c>
      <c r="CK1643" s="2">
        <v>21</v>
      </c>
      <c r="CL1643" s="2" t="s">
        <v>86</v>
      </c>
      <c r="CM1643" s="2"/>
    </row>
    <row r="1644" spans="1:91">
      <c r="A1644" s="2" t="s">
        <v>71</v>
      </c>
      <c r="B1644" s="2" t="s">
        <v>72</v>
      </c>
      <c r="C1644" s="2" t="s">
        <v>73</v>
      </c>
      <c r="D1644" s="2"/>
      <c r="E1644" s="2" t="str">
        <f>"FES1162543455"</f>
        <v>FES1162543455</v>
      </c>
      <c r="F1644" s="3">
        <v>42837</v>
      </c>
      <c r="G1644" s="2">
        <v>201710</v>
      </c>
      <c r="H1644" s="2" t="s">
        <v>74</v>
      </c>
      <c r="I1644" s="2" t="s">
        <v>75</v>
      </c>
      <c r="J1644" s="2" t="s">
        <v>76</v>
      </c>
      <c r="K1644" s="2" t="s">
        <v>77</v>
      </c>
      <c r="L1644" s="2" t="s">
        <v>187</v>
      </c>
      <c r="M1644" s="2" t="s">
        <v>146</v>
      </c>
      <c r="N1644" s="2" t="s">
        <v>225</v>
      </c>
      <c r="O1644" s="2" t="s">
        <v>115</v>
      </c>
      <c r="P1644" s="2" t="str">
        <f>"2170562147                    "</f>
        <v xml:space="preserve">2170562147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4.29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2</v>
      </c>
      <c r="BJ1644" s="2">
        <v>0.2</v>
      </c>
      <c r="BK1644" s="2">
        <v>2</v>
      </c>
      <c r="BL1644" s="2">
        <v>41.73</v>
      </c>
      <c r="BM1644" s="2">
        <v>5.84</v>
      </c>
      <c r="BN1644" s="2">
        <v>47.57</v>
      </c>
      <c r="BO1644" s="2">
        <v>47.57</v>
      </c>
      <c r="BP1644" s="2"/>
      <c r="BQ1644" s="2" t="s">
        <v>226</v>
      </c>
      <c r="BR1644" s="2" t="s">
        <v>84</v>
      </c>
      <c r="BS1644" s="3">
        <v>42838</v>
      </c>
      <c r="BT1644" s="4">
        <v>0.3298611111111111</v>
      </c>
      <c r="BU1644" s="2" t="s">
        <v>227</v>
      </c>
      <c r="BV1644" s="2" t="s">
        <v>111</v>
      </c>
      <c r="BW1644" s="2"/>
      <c r="BX1644" s="2"/>
      <c r="BY1644" s="2">
        <v>1200</v>
      </c>
      <c r="BZ1644" s="2"/>
      <c r="CA1644" s="2"/>
      <c r="CB1644" s="2"/>
      <c r="CC1644" s="2" t="s">
        <v>146</v>
      </c>
      <c r="CD1644" s="2">
        <v>184</v>
      </c>
      <c r="CE1644" s="2" t="s">
        <v>118</v>
      </c>
      <c r="CF1644" s="5">
        <v>42844</v>
      </c>
      <c r="CG1644" s="2"/>
      <c r="CH1644" s="2"/>
      <c r="CI1644" s="2">
        <v>0</v>
      </c>
      <c r="CJ1644" s="2">
        <v>0</v>
      </c>
      <c r="CK1644" s="2">
        <v>21</v>
      </c>
      <c r="CL1644" s="2" t="s">
        <v>86</v>
      </c>
      <c r="CM1644" s="2"/>
    </row>
    <row r="1645" spans="1:91">
      <c r="A1645" s="2" t="s">
        <v>71</v>
      </c>
      <c r="B1645" s="2" t="s">
        <v>72</v>
      </c>
      <c r="C1645" s="2" t="s">
        <v>73</v>
      </c>
      <c r="D1645" s="2"/>
      <c r="E1645" s="2" t="str">
        <f>"FES1162543439"</f>
        <v>FES1162543439</v>
      </c>
      <c r="F1645" s="3">
        <v>42837</v>
      </c>
      <c r="G1645" s="2">
        <v>201710</v>
      </c>
      <c r="H1645" s="2" t="s">
        <v>74</v>
      </c>
      <c r="I1645" s="2" t="s">
        <v>75</v>
      </c>
      <c r="J1645" s="2" t="s">
        <v>76</v>
      </c>
      <c r="K1645" s="2" t="s">
        <v>77</v>
      </c>
      <c r="L1645" s="2" t="s">
        <v>99</v>
      </c>
      <c r="M1645" s="2" t="s">
        <v>100</v>
      </c>
      <c r="N1645" s="2" t="s">
        <v>671</v>
      </c>
      <c r="O1645" s="2" t="s">
        <v>115</v>
      </c>
      <c r="P1645" s="2" t="str">
        <f>"2170561906                    "</f>
        <v xml:space="preserve">2170561906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4.29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1</v>
      </c>
      <c r="BJ1645" s="2">
        <v>0.2</v>
      </c>
      <c r="BK1645" s="2">
        <v>1</v>
      </c>
      <c r="BL1645" s="2">
        <v>41.73</v>
      </c>
      <c r="BM1645" s="2">
        <v>5.84</v>
      </c>
      <c r="BN1645" s="2">
        <v>47.57</v>
      </c>
      <c r="BO1645" s="2">
        <v>47.57</v>
      </c>
      <c r="BP1645" s="2"/>
      <c r="BQ1645" s="2" t="s">
        <v>672</v>
      </c>
      <c r="BR1645" s="2" t="s">
        <v>84</v>
      </c>
      <c r="BS1645" s="3">
        <v>42838</v>
      </c>
      <c r="BT1645" s="4">
        <v>0.3354166666666667</v>
      </c>
      <c r="BU1645" s="2" t="s">
        <v>672</v>
      </c>
      <c r="BV1645" s="2" t="s">
        <v>111</v>
      </c>
      <c r="BW1645" s="2"/>
      <c r="BX1645" s="2"/>
      <c r="BY1645" s="2">
        <v>1200</v>
      </c>
      <c r="BZ1645" s="2"/>
      <c r="CA1645" s="2" t="s">
        <v>106</v>
      </c>
      <c r="CB1645" s="2"/>
      <c r="CC1645" s="2" t="s">
        <v>100</v>
      </c>
      <c r="CD1645" s="2">
        <v>6001</v>
      </c>
      <c r="CE1645" s="2" t="s">
        <v>118</v>
      </c>
      <c r="CF1645" s="5">
        <v>42838</v>
      </c>
      <c r="CG1645" s="2"/>
      <c r="CH1645" s="2"/>
      <c r="CI1645" s="2">
        <v>1</v>
      </c>
      <c r="CJ1645" s="2">
        <v>1</v>
      </c>
      <c r="CK1645" s="2">
        <v>21</v>
      </c>
      <c r="CL1645" s="2" t="s">
        <v>86</v>
      </c>
      <c r="CM1645" s="2"/>
    </row>
    <row r="1646" spans="1:91">
      <c r="A1646" s="2" t="s">
        <v>71</v>
      </c>
      <c r="B1646" s="2" t="s">
        <v>72</v>
      </c>
      <c r="C1646" s="2" t="s">
        <v>73</v>
      </c>
      <c r="D1646" s="2"/>
      <c r="E1646" s="2" t="str">
        <f>"FES1162543443"</f>
        <v>FES1162543443</v>
      </c>
      <c r="F1646" s="3">
        <v>42837</v>
      </c>
      <c r="G1646" s="2">
        <v>201710</v>
      </c>
      <c r="H1646" s="2" t="s">
        <v>74</v>
      </c>
      <c r="I1646" s="2" t="s">
        <v>75</v>
      </c>
      <c r="J1646" s="2" t="s">
        <v>76</v>
      </c>
      <c r="K1646" s="2" t="s">
        <v>77</v>
      </c>
      <c r="L1646" s="2" t="s">
        <v>74</v>
      </c>
      <c r="M1646" s="2" t="s">
        <v>75</v>
      </c>
      <c r="N1646" s="2" t="s">
        <v>1486</v>
      </c>
      <c r="O1646" s="2" t="s">
        <v>115</v>
      </c>
      <c r="P1646" s="2" t="str">
        <f>"2170562127                    "</f>
        <v xml:space="preserve">2170562127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3.35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1</v>
      </c>
      <c r="BJ1646" s="2">
        <v>0.2</v>
      </c>
      <c r="BK1646" s="2">
        <v>1</v>
      </c>
      <c r="BL1646" s="2">
        <v>32.6</v>
      </c>
      <c r="BM1646" s="2">
        <v>4.5599999999999996</v>
      </c>
      <c r="BN1646" s="2">
        <v>37.159999999999997</v>
      </c>
      <c r="BO1646" s="2">
        <v>37.159999999999997</v>
      </c>
      <c r="BP1646" s="2"/>
      <c r="BQ1646" s="2" t="s">
        <v>2156</v>
      </c>
      <c r="BR1646" s="2" t="s">
        <v>84</v>
      </c>
      <c r="BS1646" s="3">
        <v>42838</v>
      </c>
      <c r="BT1646" s="4">
        <v>0.41666666666666669</v>
      </c>
      <c r="BU1646" s="2" t="s">
        <v>2157</v>
      </c>
      <c r="BV1646" s="2" t="s">
        <v>111</v>
      </c>
      <c r="BW1646" s="2"/>
      <c r="BX1646" s="2"/>
      <c r="BY1646" s="2">
        <v>1200</v>
      </c>
      <c r="BZ1646" s="2"/>
      <c r="CA1646" s="2" t="s">
        <v>159</v>
      </c>
      <c r="CB1646" s="2"/>
      <c r="CC1646" s="2" t="s">
        <v>75</v>
      </c>
      <c r="CD1646" s="2">
        <v>1666</v>
      </c>
      <c r="CE1646" s="2" t="s">
        <v>118</v>
      </c>
      <c r="CF1646" s="5">
        <v>42843</v>
      </c>
      <c r="CG1646" s="2"/>
      <c r="CH1646" s="2"/>
      <c r="CI1646" s="2">
        <v>1</v>
      </c>
      <c r="CJ1646" s="2">
        <v>1</v>
      </c>
      <c r="CK1646" s="2">
        <v>22</v>
      </c>
      <c r="CL1646" s="2" t="s">
        <v>86</v>
      </c>
      <c r="CM1646" s="2"/>
    </row>
    <row r="1647" spans="1:91">
      <c r="A1647" s="2" t="s">
        <v>71</v>
      </c>
      <c r="B1647" s="2" t="s">
        <v>72</v>
      </c>
      <c r="C1647" s="2" t="s">
        <v>73</v>
      </c>
      <c r="D1647" s="2"/>
      <c r="E1647" s="2" t="str">
        <f>"FES1162543433"</f>
        <v>FES1162543433</v>
      </c>
      <c r="F1647" s="3">
        <v>42837</v>
      </c>
      <c r="G1647" s="2">
        <v>201710</v>
      </c>
      <c r="H1647" s="2" t="s">
        <v>74</v>
      </c>
      <c r="I1647" s="2" t="s">
        <v>75</v>
      </c>
      <c r="J1647" s="2" t="s">
        <v>76</v>
      </c>
      <c r="K1647" s="2" t="s">
        <v>77</v>
      </c>
      <c r="L1647" s="2" t="s">
        <v>260</v>
      </c>
      <c r="M1647" s="2" t="s">
        <v>261</v>
      </c>
      <c r="N1647" s="2" t="s">
        <v>1030</v>
      </c>
      <c r="O1647" s="2" t="s">
        <v>115</v>
      </c>
      <c r="P1647" s="2" t="str">
        <f>"2170561948                    "</f>
        <v xml:space="preserve">2170561948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3.35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3.6</v>
      </c>
      <c r="BJ1647" s="2">
        <v>3.3</v>
      </c>
      <c r="BK1647" s="2">
        <v>4</v>
      </c>
      <c r="BL1647" s="2">
        <v>32.6</v>
      </c>
      <c r="BM1647" s="2">
        <v>4.5599999999999996</v>
      </c>
      <c r="BN1647" s="2">
        <v>37.159999999999997</v>
      </c>
      <c r="BO1647" s="2">
        <v>37.159999999999997</v>
      </c>
      <c r="BP1647" s="2"/>
      <c r="BQ1647" s="2" t="s">
        <v>1031</v>
      </c>
      <c r="BR1647" s="2" t="s">
        <v>84</v>
      </c>
      <c r="BS1647" s="3">
        <v>42838</v>
      </c>
      <c r="BT1647" s="4">
        <v>0.4375</v>
      </c>
      <c r="BU1647" s="2" t="s">
        <v>170</v>
      </c>
      <c r="BV1647" s="2" t="s">
        <v>111</v>
      </c>
      <c r="BW1647" s="2"/>
      <c r="BX1647" s="2"/>
      <c r="BY1647" s="2">
        <v>16435.3</v>
      </c>
      <c r="BZ1647" s="2"/>
      <c r="CA1647" s="2"/>
      <c r="CB1647" s="2"/>
      <c r="CC1647" s="2" t="s">
        <v>261</v>
      </c>
      <c r="CD1647" s="2">
        <v>1451</v>
      </c>
      <c r="CE1647" s="2" t="s">
        <v>89</v>
      </c>
      <c r="CF1647" s="5">
        <v>42843</v>
      </c>
      <c r="CG1647" s="2"/>
      <c r="CH1647" s="2"/>
      <c r="CI1647" s="2">
        <v>1</v>
      </c>
      <c r="CJ1647" s="2">
        <v>1</v>
      </c>
      <c r="CK1647" s="2">
        <v>22</v>
      </c>
      <c r="CL1647" s="2" t="s">
        <v>86</v>
      </c>
      <c r="CM1647" s="2"/>
    </row>
    <row r="1648" spans="1:91">
      <c r="A1648" s="2" t="s">
        <v>71</v>
      </c>
      <c r="B1648" s="2" t="s">
        <v>72</v>
      </c>
      <c r="C1648" s="2" t="s">
        <v>73</v>
      </c>
      <c r="D1648" s="2"/>
      <c r="E1648" s="2" t="str">
        <f>"FES1162543386"</f>
        <v>FES1162543386</v>
      </c>
      <c r="F1648" s="3">
        <v>42837</v>
      </c>
      <c r="G1648" s="2">
        <v>201710</v>
      </c>
      <c r="H1648" s="2" t="s">
        <v>74</v>
      </c>
      <c r="I1648" s="2" t="s">
        <v>75</v>
      </c>
      <c r="J1648" s="2" t="s">
        <v>76</v>
      </c>
      <c r="K1648" s="2" t="s">
        <v>77</v>
      </c>
      <c r="L1648" s="2" t="s">
        <v>131</v>
      </c>
      <c r="M1648" s="2" t="s">
        <v>132</v>
      </c>
      <c r="N1648" s="2" t="s">
        <v>1497</v>
      </c>
      <c r="O1648" s="2" t="s">
        <v>115</v>
      </c>
      <c r="P1648" s="2" t="str">
        <f>"2170562080                    "</f>
        <v xml:space="preserve">2170562080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13.93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6.2</v>
      </c>
      <c r="BJ1648" s="2">
        <v>3.3</v>
      </c>
      <c r="BK1648" s="2">
        <v>6.5</v>
      </c>
      <c r="BL1648" s="2">
        <v>135.61000000000001</v>
      </c>
      <c r="BM1648" s="2">
        <v>18.989999999999998</v>
      </c>
      <c r="BN1648" s="2">
        <v>154.6</v>
      </c>
      <c r="BO1648" s="2">
        <v>154.6</v>
      </c>
      <c r="BP1648" s="2"/>
      <c r="BQ1648" s="2" t="s">
        <v>1498</v>
      </c>
      <c r="BR1648" s="2" t="s">
        <v>84</v>
      </c>
      <c r="BS1648" s="3">
        <v>42838</v>
      </c>
      <c r="BT1648" s="4">
        <v>0.41666666666666669</v>
      </c>
      <c r="BU1648" s="2" t="s">
        <v>2158</v>
      </c>
      <c r="BV1648" s="2" t="s">
        <v>111</v>
      </c>
      <c r="BW1648" s="2"/>
      <c r="BX1648" s="2"/>
      <c r="BY1648" s="2">
        <v>16713.740000000002</v>
      </c>
      <c r="BZ1648" s="2"/>
      <c r="CA1648" s="2"/>
      <c r="CB1648" s="2"/>
      <c r="CC1648" s="2" t="s">
        <v>132</v>
      </c>
      <c r="CD1648" s="2">
        <v>7441</v>
      </c>
      <c r="CE1648" s="2" t="s">
        <v>89</v>
      </c>
      <c r="CF1648" s="5">
        <v>42843</v>
      </c>
      <c r="CG1648" s="2"/>
      <c r="CH1648" s="2"/>
      <c r="CI1648" s="2">
        <v>1</v>
      </c>
      <c r="CJ1648" s="2">
        <v>1</v>
      </c>
      <c r="CK1648" s="2">
        <v>21</v>
      </c>
      <c r="CL1648" s="2" t="s">
        <v>86</v>
      </c>
      <c r="CM1648" s="2"/>
    </row>
    <row r="1649" spans="1:91">
      <c r="A1649" s="2" t="s">
        <v>71</v>
      </c>
      <c r="B1649" s="2" t="s">
        <v>72</v>
      </c>
      <c r="C1649" s="2" t="s">
        <v>73</v>
      </c>
      <c r="D1649" s="2"/>
      <c r="E1649" s="2" t="str">
        <f>"FES1162543280"</f>
        <v>FES1162543280</v>
      </c>
      <c r="F1649" s="3">
        <v>42837</v>
      </c>
      <c r="G1649" s="2">
        <v>201710</v>
      </c>
      <c r="H1649" s="2" t="s">
        <v>74</v>
      </c>
      <c r="I1649" s="2" t="s">
        <v>75</v>
      </c>
      <c r="J1649" s="2" t="s">
        <v>76</v>
      </c>
      <c r="K1649" s="2" t="s">
        <v>77</v>
      </c>
      <c r="L1649" s="2" t="s">
        <v>176</v>
      </c>
      <c r="M1649" s="2" t="s">
        <v>176</v>
      </c>
      <c r="N1649" s="2" t="s">
        <v>339</v>
      </c>
      <c r="O1649" s="2" t="s">
        <v>115</v>
      </c>
      <c r="P1649" s="2" t="str">
        <f>"2170559775                    "</f>
        <v xml:space="preserve">2170559775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4.29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1.9</v>
      </c>
      <c r="BJ1649" s="2">
        <v>1.5</v>
      </c>
      <c r="BK1649" s="2">
        <v>2</v>
      </c>
      <c r="BL1649" s="2">
        <v>41.73</v>
      </c>
      <c r="BM1649" s="2">
        <v>5.84</v>
      </c>
      <c r="BN1649" s="2">
        <v>47.57</v>
      </c>
      <c r="BO1649" s="2">
        <v>47.57</v>
      </c>
      <c r="BP1649" s="2"/>
      <c r="BQ1649" s="2" t="s">
        <v>340</v>
      </c>
      <c r="BR1649" s="2" t="s">
        <v>84</v>
      </c>
      <c r="BS1649" s="3">
        <v>42846</v>
      </c>
      <c r="BT1649" s="4">
        <v>0.52430555555555558</v>
      </c>
      <c r="BU1649" s="2" t="s">
        <v>899</v>
      </c>
      <c r="BV1649" s="2" t="s">
        <v>86</v>
      </c>
      <c r="BW1649" s="2" t="s">
        <v>484</v>
      </c>
      <c r="BX1649" s="2" t="s">
        <v>860</v>
      </c>
      <c r="BY1649" s="2">
        <v>7335.9</v>
      </c>
      <c r="BZ1649" s="2"/>
      <c r="CA1649" s="2"/>
      <c r="CB1649" s="2"/>
      <c r="CC1649" s="2" t="s">
        <v>176</v>
      </c>
      <c r="CD1649" s="2">
        <v>7646</v>
      </c>
      <c r="CE1649" s="2" t="s">
        <v>89</v>
      </c>
      <c r="CF1649" s="5">
        <v>42843</v>
      </c>
      <c r="CG1649" s="2"/>
      <c r="CH1649" s="2"/>
      <c r="CI1649" s="2">
        <v>1</v>
      </c>
      <c r="CJ1649" s="2">
        <v>7</v>
      </c>
      <c r="CK1649" s="2">
        <v>21</v>
      </c>
      <c r="CL1649" s="2" t="s">
        <v>86</v>
      </c>
      <c r="CM1649" s="2"/>
    </row>
    <row r="1650" spans="1:91">
      <c r="A1650" s="2" t="s">
        <v>71</v>
      </c>
      <c r="B1650" s="2" t="s">
        <v>72</v>
      </c>
      <c r="C1650" s="2" t="s">
        <v>73</v>
      </c>
      <c r="D1650" s="2"/>
      <c r="E1650" s="2" t="str">
        <f>"FES1162543411"</f>
        <v>FES1162543411</v>
      </c>
      <c r="F1650" s="3">
        <v>42837</v>
      </c>
      <c r="G1650" s="2">
        <v>201710</v>
      </c>
      <c r="H1650" s="2" t="s">
        <v>74</v>
      </c>
      <c r="I1650" s="2" t="s">
        <v>75</v>
      </c>
      <c r="J1650" s="2" t="s">
        <v>76</v>
      </c>
      <c r="K1650" s="2" t="s">
        <v>77</v>
      </c>
      <c r="L1650" s="2" t="s">
        <v>131</v>
      </c>
      <c r="M1650" s="2" t="s">
        <v>132</v>
      </c>
      <c r="N1650" s="2" t="s">
        <v>1689</v>
      </c>
      <c r="O1650" s="2" t="s">
        <v>115</v>
      </c>
      <c r="P1650" s="2" t="str">
        <f>"2170562099                    "</f>
        <v xml:space="preserve">2170562099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4.29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1</v>
      </c>
      <c r="BJ1650" s="2">
        <v>0.2</v>
      </c>
      <c r="BK1650" s="2">
        <v>1</v>
      </c>
      <c r="BL1650" s="2">
        <v>41.73</v>
      </c>
      <c r="BM1650" s="2">
        <v>5.84</v>
      </c>
      <c r="BN1650" s="2">
        <v>47.57</v>
      </c>
      <c r="BO1650" s="2">
        <v>47.57</v>
      </c>
      <c r="BP1650" s="2"/>
      <c r="BQ1650" s="2" t="s">
        <v>1690</v>
      </c>
      <c r="BR1650" s="2" t="s">
        <v>84</v>
      </c>
      <c r="BS1650" s="3">
        <v>42838</v>
      </c>
      <c r="BT1650" s="4">
        <v>0.39583333333333331</v>
      </c>
      <c r="BU1650" s="2" t="s">
        <v>2159</v>
      </c>
      <c r="BV1650" s="2" t="s">
        <v>111</v>
      </c>
      <c r="BW1650" s="2"/>
      <c r="BX1650" s="2"/>
      <c r="BY1650" s="2">
        <v>1200</v>
      </c>
      <c r="BZ1650" s="2"/>
      <c r="CA1650" s="2"/>
      <c r="CB1650" s="2"/>
      <c r="CC1650" s="2" t="s">
        <v>132</v>
      </c>
      <c r="CD1650" s="2">
        <v>7405</v>
      </c>
      <c r="CE1650" s="2" t="s">
        <v>118</v>
      </c>
      <c r="CF1650" s="5">
        <v>42843</v>
      </c>
      <c r="CG1650" s="2"/>
      <c r="CH1650" s="2"/>
      <c r="CI1650" s="2">
        <v>1</v>
      </c>
      <c r="CJ1650" s="2">
        <v>1</v>
      </c>
      <c r="CK1650" s="2">
        <v>21</v>
      </c>
      <c r="CL1650" s="2" t="s">
        <v>86</v>
      </c>
      <c r="CM1650" s="2"/>
    </row>
    <row r="1651" spans="1:91">
      <c r="A1651" s="2" t="s">
        <v>71</v>
      </c>
      <c r="B1651" s="2" t="s">
        <v>72</v>
      </c>
      <c r="C1651" s="2" t="s">
        <v>73</v>
      </c>
      <c r="D1651" s="2"/>
      <c r="E1651" s="2" t="str">
        <f>"FES1162543425"</f>
        <v>FES1162543425</v>
      </c>
      <c r="F1651" s="3">
        <v>42837</v>
      </c>
      <c r="G1651" s="2">
        <v>201710</v>
      </c>
      <c r="H1651" s="2" t="s">
        <v>74</v>
      </c>
      <c r="I1651" s="2" t="s">
        <v>75</v>
      </c>
      <c r="J1651" s="2" t="s">
        <v>76</v>
      </c>
      <c r="K1651" s="2" t="s">
        <v>77</v>
      </c>
      <c r="L1651" s="2" t="s">
        <v>166</v>
      </c>
      <c r="M1651" s="2" t="s">
        <v>167</v>
      </c>
      <c r="N1651" s="2" t="s">
        <v>2160</v>
      </c>
      <c r="O1651" s="2" t="s">
        <v>115</v>
      </c>
      <c r="P1651" s="2" t="str">
        <f>"2170562117                    "</f>
        <v xml:space="preserve">2170562117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3.35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4</v>
      </c>
      <c r="BJ1651" s="2">
        <v>0.2</v>
      </c>
      <c r="BK1651" s="2">
        <v>4</v>
      </c>
      <c r="BL1651" s="2">
        <v>32.6</v>
      </c>
      <c r="BM1651" s="2">
        <v>4.5599999999999996</v>
      </c>
      <c r="BN1651" s="2">
        <v>37.159999999999997</v>
      </c>
      <c r="BO1651" s="2">
        <v>37.159999999999997</v>
      </c>
      <c r="BP1651" s="2"/>
      <c r="BQ1651" s="2" t="s">
        <v>2161</v>
      </c>
      <c r="BR1651" s="2" t="s">
        <v>84</v>
      </c>
      <c r="BS1651" s="3">
        <v>42838</v>
      </c>
      <c r="BT1651" s="4">
        <v>0.40208333333333335</v>
      </c>
      <c r="BU1651" s="2" t="s">
        <v>2162</v>
      </c>
      <c r="BV1651" s="2" t="s">
        <v>111</v>
      </c>
      <c r="BW1651" s="2"/>
      <c r="BX1651" s="2"/>
      <c r="BY1651" s="2">
        <v>1200</v>
      </c>
      <c r="BZ1651" s="2"/>
      <c r="CA1651" s="2" t="s">
        <v>171</v>
      </c>
      <c r="CB1651" s="2"/>
      <c r="CC1651" s="2" t="s">
        <v>167</v>
      </c>
      <c r="CD1651" s="2">
        <v>2001</v>
      </c>
      <c r="CE1651" s="2" t="s">
        <v>118</v>
      </c>
      <c r="CF1651" s="5">
        <v>42838</v>
      </c>
      <c r="CG1651" s="2"/>
      <c r="CH1651" s="2"/>
      <c r="CI1651" s="2">
        <v>1</v>
      </c>
      <c r="CJ1651" s="2">
        <v>1</v>
      </c>
      <c r="CK1651" s="2">
        <v>22</v>
      </c>
      <c r="CL1651" s="2" t="s">
        <v>86</v>
      </c>
      <c r="CM1651" s="2"/>
    </row>
    <row r="1652" spans="1:91">
      <c r="A1652" s="2" t="s">
        <v>71</v>
      </c>
      <c r="B1652" s="2" t="s">
        <v>72</v>
      </c>
      <c r="C1652" s="2" t="s">
        <v>73</v>
      </c>
      <c r="D1652" s="2"/>
      <c r="E1652" s="2" t="str">
        <f>"FES1162543414"</f>
        <v>FES1162543414</v>
      </c>
      <c r="F1652" s="3">
        <v>42837</v>
      </c>
      <c r="G1652" s="2">
        <v>201710</v>
      </c>
      <c r="H1652" s="2" t="s">
        <v>74</v>
      </c>
      <c r="I1652" s="2" t="s">
        <v>75</v>
      </c>
      <c r="J1652" s="2" t="s">
        <v>76</v>
      </c>
      <c r="K1652" s="2" t="s">
        <v>77</v>
      </c>
      <c r="L1652" s="2" t="s">
        <v>74</v>
      </c>
      <c r="M1652" s="2" t="s">
        <v>75</v>
      </c>
      <c r="N1652" s="2" t="s">
        <v>1383</v>
      </c>
      <c r="O1652" s="2" t="s">
        <v>115</v>
      </c>
      <c r="P1652" s="2" t="str">
        <f>"2170562092                    "</f>
        <v xml:space="preserve">2170562092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3.35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1</v>
      </c>
      <c r="BJ1652" s="2">
        <v>0.2</v>
      </c>
      <c r="BK1652" s="2">
        <v>1</v>
      </c>
      <c r="BL1652" s="2">
        <v>32.6</v>
      </c>
      <c r="BM1652" s="2">
        <v>4.5599999999999996</v>
      </c>
      <c r="BN1652" s="2">
        <v>37.159999999999997</v>
      </c>
      <c r="BO1652" s="2">
        <v>37.159999999999997</v>
      </c>
      <c r="BP1652" s="2"/>
      <c r="BQ1652" s="2" t="s">
        <v>1384</v>
      </c>
      <c r="BR1652" s="2" t="s">
        <v>84</v>
      </c>
      <c r="BS1652" s="3">
        <v>42838</v>
      </c>
      <c r="BT1652" s="4">
        <v>0.3263888888888889</v>
      </c>
      <c r="BU1652" s="2" t="s">
        <v>1919</v>
      </c>
      <c r="BV1652" s="2" t="s">
        <v>111</v>
      </c>
      <c r="BW1652" s="2"/>
      <c r="BX1652" s="2"/>
      <c r="BY1652" s="2">
        <v>1200</v>
      </c>
      <c r="BZ1652" s="2"/>
      <c r="CA1652" s="2"/>
      <c r="CB1652" s="2"/>
      <c r="CC1652" s="2" t="s">
        <v>75</v>
      </c>
      <c r="CD1652" s="2">
        <v>1600</v>
      </c>
      <c r="CE1652" s="2" t="s">
        <v>118</v>
      </c>
      <c r="CF1652" s="5">
        <v>42843</v>
      </c>
      <c r="CG1652" s="2"/>
      <c r="CH1652" s="2"/>
      <c r="CI1652" s="2">
        <v>1</v>
      </c>
      <c r="CJ1652" s="2">
        <v>1</v>
      </c>
      <c r="CK1652" s="2">
        <v>22</v>
      </c>
      <c r="CL1652" s="2" t="s">
        <v>86</v>
      </c>
      <c r="CM1652" s="2"/>
    </row>
    <row r="1653" spans="1:91">
      <c r="A1653" s="2" t="s">
        <v>71</v>
      </c>
      <c r="B1653" s="2" t="s">
        <v>72</v>
      </c>
      <c r="C1653" s="2" t="s">
        <v>73</v>
      </c>
      <c r="D1653" s="2"/>
      <c r="E1653" s="2" t="str">
        <f>"FES1162543410"</f>
        <v>FES1162543410</v>
      </c>
      <c r="F1653" s="3">
        <v>42837</v>
      </c>
      <c r="G1653" s="2">
        <v>201710</v>
      </c>
      <c r="H1653" s="2" t="s">
        <v>74</v>
      </c>
      <c r="I1653" s="2" t="s">
        <v>75</v>
      </c>
      <c r="J1653" s="2" t="s">
        <v>76</v>
      </c>
      <c r="K1653" s="2" t="s">
        <v>77</v>
      </c>
      <c r="L1653" s="2" t="s">
        <v>516</v>
      </c>
      <c r="M1653" s="2" t="s">
        <v>517</v>
      </c>
      <c r="N1653" s="2" t="s">
        <v>2163</v>
      </c>
      <c r="O1653" s="2" t="s">
        <v>115</v>
      </c>
      <c r="P1653" s="2" t="str">
        <f>"2170562098                    "</f>
        <v xml:space="preserve">2170562098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3.35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2</v>
      </c>
      <c r="BJ1653" s="2">
        <v>0.2</v>
      </c>
      <c r="BK1653" s="2">
        <v>2</v>
      </c>
      <c r="BL1653" s="2">
        <v>32.6</v>
      </c>
      <c r="BM1653" s="2">
        <v>4.5599999999999996</v>
      </c>
      <c r="BN1653" s="2">
        <v>37.159999999999997</v>
      </c>
      <c r="BO1653" s="2">
        <v>37.159999999999997</v>
      </c>
      <c r="BP1653" s="2"/>
      <c r="BQ1653" s="2" t="s">
        <v>122</v>
      </c>
      <c r="BR1653" s="2" t="s">
        <v>84</v>
      </c>
      <c r="BS1653" s="3">
        <v>42838</v>
      </c>
      <c r="BT1653" s="4">
        <v>0.3611111111111111</v>
      </c>
      <c r="BU1653" s="2" t="s">
        <v>2164</v>
      </c>
      <c r="BV1653" s="2" t="s">
        <v>111</v>
      </c>
      <c r="BW1653" s="2"/>
      <c r="BX1653" s="2"/>
      <c r="BY1653" s="2">
        <v>1200</v>
      </c>
      <c r="BZ1653" s="2"/>
      <c r="CA1653" s="2"/>
      <c r="CB1653" s="2"/>
      <c r="CC1653" s="2" t="s">
        <v>517</v>
      </c>
      <c r="CD1653" s="2">
        <v>1459</v>
      </c>
      <c r="CE1653" s="2" t="s">
        <v>118</v>
      </c>
      <c r="CF1653" s="5">
        <v>42843</v>
      </c>
      <c r="CG1653" s="2"/>
      <c r="CH1653" s="2"/>
      <c r="CI1653" s="2">
        <v>1</v>
      </c>
      <c r="CJ1653" s="2">
        <v>1</v>
      </c>
      <c r="CK1653" s="2">
        <v>22</v>
      </c>
      <c r="CL1653" s="2" t="s">
        <v>86</v>
      </c>
      <c r="CM1653" s="2"/>
    </row>
    <row r="1654" spans="1:91">
      <c r="A1654" s="2" t="s">
        <v>71</v>
      </c>
      <c r="B1654" s="2" t="s">
        <v>72</v>
      </c>
      <c r="C1654" s="2" t="s">
        <v>73</v>
      </c>
      <c r="D1654" s="2"/>
      <c r="E1654" s="2" t="str">
        <f>"FES1162543283"</f>
        <v>FES1162543283</v>
      </c>
      <c r="F1654" s="3">
        <v>42837</v>
      </c>
      <c r="G1654" s="2">
        <v>201710</v>
      </c>
      <c r="H1654" s="2" t="s">
        <v>74</v>
      </c>
      <c r="I1654" s="2" t="s">
        <v>75</v>
      </c>
      <c r="J1654" s="2" t="s">
        <v>76</v>
      </c>
      <c r="K1654" s="2" t="s">
        <v>77</v>
      </c>
      <c r="L1654" s="2" t="s">
        <v>131</v>
      </c>
      <c r="M1654" s="2" t="s">
        <v>132</v>
      </c>
      <c r="N1654" s="2" t="s">
        <v>1338</v>
      </c>
      <c r="O1654" s="2" t="s">
        <v>115</v>
      </c>
      <c r="P1654" s="2" t="str">
        <f>"2170559817                    "</f>
        <v xml:space="preserve">2170559817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4.29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1</v>
      </c>
      <c r="BJ1654" s="2">
        <v>0.2</v>
      </c>
      <c r="BK1654" s="2">
        <v>1</v>
      </c>
      <c r="BL1654" s="2">
        <v>41.73</v>
      </c>
      <c r="BM1654" s="2">
        <v>5.84</v>
      </c>
      <c r="BN1654" s="2">
        <v>47.57</v>
      </c>
      <c r="BO1654" s="2">
        <v>47.57</v>
      </c>
      <c r="BP1654" s="2"/>
      <c r="BQ1654" s="2" t="s">
        <v>1339</v>
      </c>
      <c r="BR1654" s="2" t="s">
        <v>84</v>
      </c>
      <c r="BS1654" s="3">
        <v>42838</v>
      </c>
      <c r="BT1654" s="4">
        <v>0.33333333333333331</v>
      </c>
      <c r="BU1654" s="2" t="s">
        <v>1340</v>
      </c>
      <c r="BV1654" s="2" t="s">
        <v>111</v>
      </c>
      <c r="BW1654" s="2"/>
      <c r="BX1654" s="2"/>
      <c r="BY1654" s="2">
        <v>1200</v>
      </c>
      <c r="BZ1654" s="2"/>
      <c r="CA1654" s="2"/>
      <c r="CB1654" s="2"/>
      <c r="CC1654" s="2" t="s">
        <v>132</v>
      </c>
      <c r="CD1654" s="2">
        <v>7530</v>
      </c>
      <c r="CE1654" s="2" t="s">
        <v>118</v>
      </c>
      <c r="CF1654" s="5">
        <v>42843</v>
      </c>
      <c r="CG1654" s="2"/>
      <c r="CH1654" s="2"/>
      <c r="CI1654" s="2">
        <v>1</v>
      </c>
      <c r="CJ1654" s="2">
        <v>1</v>
      </c>
      <c r="CK1654" s="2">
        <v>21</v>
      </c>
      <c r="CL1654" s="2" t="s">
        <v>86</v>
      </c>
      <c r="CM1654" s="2"/>
    </row>
    <row r="1655" spans="1:91">
      <c r="A1655" s="2" t="s">
        <v>71</v>
      </c>
      <c r="B1655" s="2" t="s">
        <v>72</v>
      </c>
      <c r="C1655" s="2" t="s">
        <v>73</v>
      </c>
      <c r="D1655" s="2"/>
      <c r="E1655" s="2" t="str">
        <f>"FES1162543476"</f>
        <v>FES1162543476</v>
      </c>
      <c r="F1655" s="3">
        <v>42837</v>
      </c>
      <c r="G1655" s="2">
        <v>201710</v>
      </c>
      <c r="H1655" s="2" t="s">
        <v>74</v>
      </c>
      <c r="I1655" s="2" t="s">
        <v>75</v>
      </c>
      <c r="J1655" s="2" t="s">
        <v>76</v>
      </c>
      <c r="K1655" s="2" t="s">
        <v>77</v>
      </c>
      <c r="L1655" s="2" t="s">
        <v>294</v>
      </c>
      <c r="M1655" s="2" t="s">
        <v>295</v>
      </c>
      <c r="N1655" s="2" t="s">
        <v>296</v>
      </c>
      <c r="O1655" s="2" t="s">
        <v>115</v>
      </c>
      <c r="P1655" s="2" t="str">
        <f>"2170562174                    "</f>
        <v xml:space="preserve">2170562174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4.29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1</v>
      </c>
      <c r="BJ1655" s="2">
        <v>0.2</v>
      </c>
      <c r="BK1655" s="2">
        <v>1</v>
      </c>
      <c r="BL1655" s="2">
        <v>41.73</v>
      </c>
      <c r="BM1655" s="2">
        <v>5.84</v>
      </c>
      <c r="BN1655" s="2">
        <v>47.57</v>
      </c>
      <c r="BO1655" s="2">
        <v>47.57</v>
      </c>
      <c r="BP1655" s="2"/>
      <c r="BQ1655" s="2" t="s">
        <v>297</v>
      </c>
      <c r="BR1655" s="2" t="s">
        <v>84</v>
      </c>
      <c r="BS1655" s="3">
        <v>42838</v>
      </c>
      <c r="BT1655" s="4">
        <v>0.4375</v>
      </c>
      <c r="BU1655" s="2" t="s">
        <v>298</v>
      </c>
      <c r="BV1655" s="2" t="s">
        <v>111</v>
      </c>
      <c r="BW1655" s="2"/>
      <c r="BX1655" s="2"/>
      <c r="BY1655" s="2">
        <v>1200</v>
      </c>
      <c r="BZ1655" s="2"/>
      <c r="CA1655" s="2"/>
      <c r="CB1655" s="2"/>
      <c r="CC1655" s="2" t="s">
        <v>295</v>
      </c>
      <c r="CD1655" s="2">
        <v>3620</v>
      </c>
      <c r="CE1655" s="2" t="s">
        <v>118</v>
      </c>
      <c r="CF1655" s="5">
        <v>42843</v>
      </c>
      <c r="CG1655" s="2"/>
      <c r="CH1655" s="2"/>
      <c r="CI1655" s="2">
        <v>1</v>
      </c>
      <c r="CJ1655" s="2">
        <v>1</v>
      </c>
      <c r="CK1655" s="2">
        <v>21</v>
      </c>
      <c r="CL1655" s="2" t="s">
        <v>86</v>
      </c>
      <c r="CM1655" s="2"/>
    </row>
    <row r="1656" spans="1:91">
      <c r="A1656" s="2" t="s">
        <v>71</v>
      </c>
      <c r="B1656" s="2" t="s">
        <v>72</v>
      </c>
      <c r="C1656" s="2" t="s">
        <v>73</v>
      </c>
      <c r="D1656" s="2"/>
      <c r="E1656" s="2" t="str">
        <f>"FES1162543465"</f>
        <v>FES1162543465</v>
      </c>
      <c r="F1656" s="3">
        <v>42837</v>
      </c>
      <c r="G1656" s="2">
        <v>201710</v>
      </c>
      <c r="H1656" s="2" t="s">
        <v>74</v>
      </c>
      <c r="I1656" s="2" t="s">
        <v>75</v>
      </c>
      <c r="J1656" s="2" t="s">
        <v>76</v>
      </c>
      <c r="K1656" s="2" t="s">
        <v>77</v>
      </c>
      <c r="L1656" s="2" t="s">
        <v>275</v>
      </c>
      <c r="M1656" s="2" t="s">
        <v>276</v>
      </c>
      <c r="N1656" s="2" t="s">
        <v>277</v>
      </c>
      <c r="O1656" s="2" t="s">
        <v>115</v>
      </c>
      <c r="P1656" s="2" t="str">
        <f>"2170562160                    "</f>
        <v xml:space="preserve">2170562160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4.29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</v>
      </c>
      <c r="BJ1656" s="2">
        <v>0.2</v>
      </c>
      <c r="BK1656" s="2">
        <v>1</v>
      </c>
      <c r="BL1656" s="2">
        <v>41.73</v>
      </c>
      <c r="BM1656" s="2">
        <v>5.84</v>
      </c>
      <c r="BN1656" s="2">
        <v>47.57</v>
      </c>
      <c r="BO1656" s="2">
        <v>47.57</v>
      </c>
      <c r="BP1656" s="2"/>
      <c r="BQ1656" s="2" t="s">
        <v>278</v>
      </c>
      <c r="BR1656" s="2" t="s">
        <v>84</v>
      </c>
      <c r="BS1656" s="3">
        <v>42838</v>
      </c>
      <c r="BT1656" s="4">
        <v>0.39583333333333331</v>
      </c>
      <c r="BU1656" s="2" t="s">
        <v>279</v>
      </c>
      <c r="BV1656" s="2" t="s">
        <v>111</v>
      </c>
      <c r="BW1656" s="2"/>
      <c r="BX1656" s="2"/>
      <c r="BY1656" s="2">
        <v>1200</v>
      </c>
      <c r="BZ1656" s="2"/>
      <c r="CA1656" s="2"/>
      <c r="CB1656" s="2"/>
      <c r="CC1656" s="2" t="s">
        <v>276</v>
      </c>
      <c r="CD1656" s="2">
        <v>4126</v>
      </c>
      <c r="CE1656" s="2" t="s">
        <v>118</v>
      </c>
      <c r="CF1656" s="5">
        <v>42843</v>
      </c>
      <c r="CG1656" s="2"/>
      <c r="CH1656" s="2"/>
      <c r="CI1656" s="2">
        <v>1</v>
      </c>
      <c r="CJ1656" s="2">
        <v>1</v>
      </c>
      <c r="CK1656" s="2">
        <v>21</v>
      </c>
      <c r="CL1656" s="2" t="s">
        <v>86</v>
      </c>
      <c r="CM1656" s="2"/>
    </row>
    <row r="1657" spans="1:91">
      <c r="A1657" s="2" t="s">
        <v>71</v>
      </c>
      <c r="B1657" s="2" t="s">
        <v>72</v>
      </c>
      <c r="C1657" s="2" t="s">
        <v>73</v>
      </c>
      <c r="D1657" s="2"/>
      <c r="E1657" s="2" t="str">
        <f>"009932187246"</f>
        <v>009932187246</v>
      </c>
      <c r="F1657" s="3">
        <v>42837</v>
      </c>
      <c r="G1657" s="2">
        <v>201710</v>
      </c>
      <c r="H1657" s="2" t="s">
        <v>74</v>
      </c>
      <c r="I1657" s="2" t="s">
        <v>75</v>
      </c>
      <c r="J1657" s="2" t="s">
        <v>76</v>
      </c>
      <c r="K1657" s="2" t="s">
        <v>77</v>
      </c>
      <c r="L1657" s="2" t="s">
        <v>187</v>
      </c>
      <c r="M1657" s="2" t="s">
        <v>146</v>
      </c>
      <c r="N1657" s="2" t="s">
        <v>206</v>
      </c>
      <c r="O1657" s="2" t="s">
        <v>115</v>
      </c>
      <c r="P1657" s="2" t="str">
        <f>"1162543435                    "</f>
        <v xml:space="preserve">1162543435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4.29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1</v>
      </c>
      <c r="BJ1657" s="2">
        <v>0.2</v>
      </c>
      <c r="BK1657" s="2">
        <v>1</v>
      </c>
      <c r="BL1657" s="2">
        <v>41.73</v>
      </c>
      <c r="BM1657" s="2">
        <v>5.84</v>
      </c>
      <c r="BN1657" s="2">
        <v>47.57</v>
      </c>
      <c r="BO1657" s="2">
        <v>47.57</v>
      </c>
      <c r="BP1657" s="2" t="s">
        <v>2165</v>
      </c>
      <c r="BQ1657" s="2" t="s">
        <v>122</v>
      </c>
      <c r="BR1657" s="2" t="s">
        <v>84</v>
      </c>
      <c r="BS1657" s="3">
        <v>42838</v>
      </c>
      <c r="BT1657" s="4">
        <v>0.39583333333333331</v>
      </c>
      <c r="BU1657" s="2" t="s">
        <v>1760</v>
      </c>
      <c r="BV1657" s="2" t="s">
        <v>111</v>
      </c>
      <c r="BW1657" s="2"/>
      <c r="BX1657" s="2"/>
      <c r="BY1657" s="2">
        <v>1200</v>
      </c>
      <c r="BZ1657" s="2"/>
      <c r="CA1657" s="2"/>
      <c r="CB1657" s="2"/>
      <c r="CC1657" s="2" t="s">
        <v>146</v>
      </c>
      <c r="CD1657" s="2">
        <v>200</v>
      </c>
      <c r="CE1657" s="2" t="s">
        <v>118</v>
      </c>
      <c r="CF1657" s="5">
        <v>42844</v>
      </c>
      <c r="CG1657" s="2"/>
      <c r="CH1657" s="2"/>
      <c r="CI1657" s="2">
        <v>0</v>
      </c>
      <c r="CJ1657" s="2">
        <v>0</v>
      </c>
      <c r="CK1657" s="2">
        <v>21</v>
      </c>
      <c r="CL1657" s="2" t="s">
        <v>86</v>
      </c>
      <c r="CM1657" s="2"/>
    </row>
    <row r="1658" spans="1:91">
      <c r="A1658" s="2" t="s">
        <v>71</v>
      </c>
      <c r="B1658" s="2" t="s">
        <v>72</v>
      </c>
      <c r="C1658" s="2" t="s">
        <v>73</v>
      </c>
      <c r="D1658" s="2"/>
      <c r="E1658" s="2" t="str">
        <f>"FES1162543501"</f>
        <v>FES1162543501</v>
      </c>
      <c r="F1658" s="3">
        <v>42837</v>
      </c>
      <c r="G1658" s="2">
        <v>201710</v>
      </c>
      <c r="H1658" s="2" t="s">
        <v>74</v>
      </c>
      <c r="I1658" s="2" t="s">
        <v>75</v>
      </c>
      <c r="J1658" s="2" t="s">
        <v>76</v>
      </c>
      <c r="K1658" s="2" t="s">
        <v>77</v>
      </c>
      <c r="L1658" s="2" t="s">
        <v>99</v>
      </c>
      <c r="M1658" s="2" t="s">
        <v>100</v>
      </c>
      <c r="N1658" s="2" t="s">
        <v>1442</v>
      </c>
      <c r="O1658" s="2" t="s">
        <v>115</v>
      </c>
      <c r="P1658" s="2" t="str">
        <f>"2170562195                    "</f>
        <v xml:space="preserve">2170562195 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4.29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</v>
      </c>
      <c r="BJ1658" s="2">
        <v>0.2</v>
      </c>
      <c r="BK1658" s="2">
        <v>1</v>
      </c>
      <c r="BL1658" s="2">
        <v>41.73</v>
      </c>
      <c r="BM1658" s="2">
        <v>5.84</v>
      </c>
      <c r="BN1658" s="2">
        <v>47.57</v>
      </c>
      <c r="BO1658" s="2">
        <v>47.57</v>
      </c>
      <c r="BP1658" s="2"/>
      <c r="BQ1658" s="2" t="s">
        <v>2064</v>
      </c>
      <c r="BR1658" s="2" t="s">
        <v>84</v>
      </c>
      <c r="BS1658" s="3">
        <v>42838</v>
      </c>
      <c r="BT1658" s="4">
        <v>0.30763888888888891</v>
      </c>
      <c r="BU1658" s="2" t="s">
        <v>2166</v>
      </c>
      <c r="BV1658" s="2" t="s">
        <v>111</v>
      </c>
      <c r="BW1658" s="2"/>
      <c r="BX1658" s="2"/>
      <c r="BY1658" s="2">
        <v>1200</v>
      </c>
      <c r="BZ1658" s="2"/>
      <c r="CA1658" s="2" t="s">
        <v>1008</v>
      </c>
      <c r="CB1658" s="2"/>
      <c r="CC1658" s="2" t="s">
        <v>100</v>
      </c>
      <c r="CD1658" s="2">
        <v>6045</v>
      </c>
      <c r="CE1658" s="2" t="s">
        <v>118</v>
      </c>
      <c r="CF1658" s="5">
        <v>42843</v>
      </c>
      <c r="CG1658" s="2"/>
      <c r="CH1658" s="2"/>
      <c r="CI1658" s="2">
        <v>1</v>
      </c>
      <c r="CJ1658" s="2">
        <v>1</v>
      </c>
      <c r="CK1658" s="2">
        <v>21</v>
      </c>
      <c r="CL1658" s="2" t="s">
        <v>86</v>
      </c>
      <c r="CM1658" s="2"/>
    </row>
    <row r="1659" spans="1:91">
      <c r="A1659" s="2" t="s">
        <v>71</v>
      </c>
      <c r="B1659" s="2" t="s">
        <v>72</v>
      </c>
      <c r="C1659" s="2" t="s">
        <v>73</v>
      </c>
      <c r="D1659" s="2"/>
      <c r="E1659" s="2" t="str">
        <f>"FES1162543499"</f>
        <v>FES1162543499</v>
      </c>
      <c r="F1659" s="3">
        <v>42837</v>
      </c>
      <c r="G1659" s="2">
        <v>201710</v>
      </c>
      <c r="H1659" s="2" t="s">
        <v>74</v>
      </c>
      <c r="I1659" s="2" t="s">
        <v>75</v>
      </c>
      <c r="J1659" s="2" t="s">
        <v>76</v>
      </c>
      <c r="K1659" s="2" t="s">
        <v>77</v>
      </c>
      <c r="L1659" s="2" t="s">
        <v>496</v>
      </c>
      <c r="M1659" s="2" t="s">
        <v>497</v>
      </c>
      <c r="N1659" s="2" t="s">
        <v>1357</v>
      </c>
      <c r="O1659" s="2" t="s">
        <v>115</v>
      </c>
      <c r="P1659" s="2" t="str">
        <f>"2170561846                    "</f>
        <v xml:space="preserve">2170561846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3.35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2</v>
      </c>
      <c r="BJ1659" s="2">
        <v>1.2</v>
      </c>
      <c r="BK1659" s="2">
        <v>2</v>
      </c>
      <c r="BL1659" s="2">
        <v>32.6</v>
      </c>
      <c r="BM1659" s="2">
        <v>4.5599999999999996</v>
      </c>
      <c r="BN1659" s="2">
        <v>37.159999999999997</v>
      </c>
      <c r="BO1659" s="2">
        <v>37.159999999999997</v>
      </c>
      <c r="BP1659" s="2"/>
      <c r="BQ1659" s="2" t="s">
        <v>1358</v>
      </c>
      <c r="BR1659" s="2" t="s">
        <v>84</v>
      </c>
      <c r="BS1659" s="3">
        <v>42838</v>
      </c>
      <c r="BT1659" s="4">
        <v>0.41666666666666669</v>
      </c>
      <c r="BU1659" s="2" t="s">
        <v>2167</v>
      </c>
      <c r="BV1659" s="2" t="s">
        <v>111</v>
      </c>
      <c r="BW1659" s="2"/>
      <c r="BX1659" s="2"/>
      <c r="BY1659" s="2">
        <v>5900</v>
      </c>
      <c r="BZ1659" s="2"/>
      <c r="CA1659" s="2"/>
      <c r="CB1659" s="2"/>
      <c r="CC1659" s="2" t="s">
        <v>497</v>
      </c>
      <c r="CD1659" s="2">
        <v>1559</v>
      </c>
      <c r="CE1659" s="2" t="s">
        <v>89</v>
      </c>
      <c r="CF1659" s="5">
        <v>42843</v>
      </c>
      <c r="CG1659" s="2"/>
      <c r="CH1659" s="2"/>
      <c r="CI1659" s="2">
        <v>1</v>
      </c>
      <c r="CJ1659" s="2">
        <v>1</v>
      </c>
      <c r="CK1659" s="2">
        <v>22</v>
      </c>
      <c r="CL1659" s="2" t="s">
        <v>86</v>
      </c>
      <c r="CM1659" s="2"/>
    </row>
    <row r="1660" spans="1:91">
      <c r="A1660" s="2" t="s">
        <v>71</v>
      </c>
      <c r="B1660" s="2" t="s">
        <v>72</v>
      </c>
      <c r="C1660" s="2" t="s">
        <v>73</v>
      </c>
      <c r="D1660" s="2"/>
      <c r="E1660" s="2" t="str">
        <f>"FES1162543504"</f>
        <v>FES1162543504</v>
      </c>
      <c r="F1660" s="3">
        <v>42837</v>
      </c>
      <c r="G1660" s="2">
        <v>201710</v>
      </c>
      <c r="H1660" s="2" t="s">
        <v>74</v>
      </c>
      <c r="I1660" s="2" t="s">
        <v>75</v>
      </c>
      <c r="J1660" s="2" t="s">
        <v>76</v>
      </c>
      <c r="K1660" s="2" t="s">
        <v>77</v>
      </c>
      <c r="L1660" s="2" t="s">
        <v>503</v>
      </c>
      <c r="M1660" s="2" t="s">
        <v>504</v>
      </c>
      <c r="N1660" s="2" t="s">
        <v>2168</v>
      </c>
      <c r="O1660" s="2" t="s">
        <v>115</v>
      </c>
      <c r="P1660" s="2" t="str">
        <f>"2170562199                    "</f>
        <v xml:space="preserve">2170562199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3.35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1</v>
      </c>
      <c r="BJ1660" s="2">
        <v>0.2</v>
      </c>
      <c r="BK1660" s="2">
        <v>1</v>
      </c>
      <c r="BL1660" s="2">
        <v>32.6</v>
      </c>
      <c r="BM1660" s="2">
        <v>4.5599999999999996</v>
      </c>
      <c r="BN1660" s="2">
        <v>37.159999999999997</v>
      </c>
      <c r="BO1660" s="2">
        <v>37.159999999999997</v>
      </c>
      <c r="BP1660" s="2"/>
      <c r="BQ1660" s="2" t="s">
        <v>2169</v>
      </c>
      <c r="BR1660" s="2" t="s">
        <v>84</v>
      </c>
      <c r="BS1660" s="3">
        <v>42843</v>
      </c>
      <c r="BT1660" s="4">
        <v>0.42777777777777781</v>
      </c>
      <c r="BU1660" s="2" t="s">
        <v>2170</v>
      </c>
      <c r="BV1660" s="2" t="s">
        <v>86</v>
      </c>
      <c r="BW1660" s="2" t="s">
        <v>164</v>
      </c>
      <c r="BX1660" s="2" t="s">
        <v>618</v>
      </c>
      <c r="BY1660" s="2">
        <v>1200</v>
      </c>
      <c r="BZ1660" s="2"/>
      <c r="CA1660" s="2"/>
      <c r="CB1660" s="2"/>
      <c r="CC1660" s="2" t="s">
        <v>504</v>
      </c>
      <c r="CD1660" s="2">
        <v>1501</v>
      </c>
      <c r="CE1660" s="2" t="s">
        <v>118</v>
      </c>
      <c r="CF1660" s="5">
        <v>42844</v>
      </c>
      <c r="CG1660" s="2"/>
      <c r="CH1660" s="2"/>
      <c r="CI1660" s="2">
        <v>1</v>
      </c>
      <c r="CJ1660" s="2">
        <v>4</v>
      </c>
      <c r="CK1660" s="2">
        <v>22</v>
      </c>
      <c r="CL1660" s="2" t="s">
        <v>86</v>
      </c>
      <c r="CM1660" s="2"/>
    </row>
    <row r="1661" spans="1:91">
      <c r="A1661" s="2" t="s">
        <v>71</v>
      </c>
      <c r="B1661" s="2" t="s">
        <v>72</v>
      </c>
      <c r="C1661" s="2" t="s">
        <v>73</v>
      </c>
      <c r="D1661" s="2"/>
      <c r="E1661" s="2" t="str">
        <f>"FES1162543503"</f>
        <v>FES1162543503</v>
      </c>
      <c r="F1661" s="3">
        <v>42837</v>
      </c>
      <c r="G1661" s="2">
        <v>201710</v>
      </c>
      <c r="H1661" s="2" t="s">
        <v>74</v>
      </c>
      <c r="I1661" s="2" t="s">
        <v>75</v>
      </c>
      <c r="J1661" s="2" t="s">
        <v>76</v>
      </c>
      <c r="K1661" s="2" t="s">
        <v>77</v>
      </c>
      <c r="L1661" s="2" t="s">
        <v>220</v>
      </c>
      <c r="M1661" s="2" t="s">
        <v>221</v>
      </c>
      <c r="N1661" s="2" t="s">
        <v>222</v>
      </c>
      <c r="O1661" s="2" t="s">
        <v>115</v>
      </c>
      <c r="P1661" s="2" t="str">
        <f>"2170562198                    "</f>
        <v xml:space="preserve">2170562198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7.5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1.5</v>
      </c>
      <c r="BJ1661" s="2">
        <v>3.1</v>
      </c>
      <c r="BK1661" s="2">
        <v>3.5</v>
      </c>
      <c r="BL1661" s="2">
        <v>73.02</v>
      </c>
      <c r="BM1661" s="2">
        <v>10.220000000000001</v>
      </c>
      <c r="BN1661" s="2">
        <v>83.24</v>
      </c>
      <c r="BO1661" s="2">
        <v>83.24</v>
      </c>
      <c r="BP1661" s="2"/>
      <c r="BQ1661" s="2" t="s">
        <v>223</v>
      </c>
      <c r="BR1661" s="2" t="s">
        <v>84</v>
      </c>
      <c r="BS1661" s="3">
        <v>42838</v>
      </c>
      <c r="BT1661" s="4">
        <v>0.38194444444444442</v>
      </c>
      <c r="BU1661" s="2" t="s">
        <v>223</v>
      </c>
      <c r="BV1661" s="2" t="s">
        <v>111</v>
      </c>
      <c r="BW1661" s="2"/>
      <c r="BX1661" s="2"/>
      <c r="BY1661" s="2">
        <v>15456</v>
      </c>
      <c r="BZ1661" s="2"/>
      <c r="CA1661" s="2"/>
      <c r="CB1661" s="2"/>
      <c r="CC1661" s="2" t="s">
        <v>221</v>
      </c>
      <c r="CD1661" s="2">
        <v>6536</v>
      </c>
      <c r="CE1661" s="2" t="s">
        <v>89</v>
      </c>
      <c r="CF1661" s="5">
        <v>42844</v>
      </c>
      <c r="CG1661" s="2"/>
      <c r="CH1661" s="2"/>
      <c r="CI1661" s="2">
        <v>1</v>
      </c>
      <c r="CJ1661" s="2">
        <v>1</v>
      </c>
      <c r="CK1661" s="2">
        <v>21</v>
      </c>
      <c r="CL1661" s="2" t="s">
        <v>86</v>
      </c>
      <c r="CM1661" s="2"/>
    </row>
    <row r="1662" spans="1:91">
      <c r="A1662" s="2" t="s">
        <v>71</v>
      </c>
      <c r="B1662" s="2" t="s">
        <v>72</v>
      </c>
      <c r="C1662" s="2" t="s">
        <v>73</v>
      </c>
      <c r="D1662" s="2"/>
      <c r="E1662" s="2" t="str">
        <f>"FES1162543497"</f>
        <v>FES1162543497</v>
      </c>
      <c r="F1662" s="3">
        <v>42837</v>
      </c>
      <c r="G1662" s="2">
        <v>201710</v>
      </c>
      <c r="H1662" s="2" t="s">
        <v>74</v>
      </c>
      <c r="I1662" s="2" t="s">
        <v>75</v>
      </c>
      <c r="J1662" s="2" t="s">
        <v>76</v>
      </c>
      <c r="K1662" s="2" t="s">
        <v>77</v>
      </c>
      <c r="L1662" s="2" t="s">
        <v>99</v>
      </c>
      <c r="M1662" s="2" t="s">
        <v>100</v>
      </c>
      <c r="N1662" s="2" t="s">
        <v>313</v>
      </c>
      <c r="O1662" s="2" t="s">
        <v>115</v>
      </c>
      <c r="P1662" s="2" t="str">
        <f>"2170561703                    "</f>
        <v xml:space="preserve">2170561703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4.29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1</v>
      </c>
      <c r="BJ1662" s="2">
        <v>0.3</v>
      </c>
      <c r="BK1662" s="2">
        <v>1</v>
      </c>
      <c r="BL1662" s="2">
        <v>41.73</v>
      </c>
      <c r="BM1662" s="2">
        <v>5.84</v>
      </c>
      <c r="BN1662" s="2">
        <v>47.57</v>
      </c>
      <c r="BO1662" s="2">
        <v>47.57</v>
      </c>
      <c r="BP1662" s="2"/>
      <c r="BQ1662" s="2" t="s">
        <v>314</v>
      </c>
      <c r="BR1662" s="2" t="s">
        <v>84</v>
      </c>
      <c r="BS1662" s="3">
        <v>42838</v>
      </c>
      <c r="BT1662" s="4">
        <v>0.2951388888888889</v>
      </c>
      <c r="BU1662" s="2" t="s">
        <v>1240</v>
      </c>
      <c r="BV1662" s="2" t="s">
        <v>111</v>
      </c>
      <c r="BW1662" s="2"/>
      <c r="BX1662" s="2"/>
      <c r="BY1662" s="2">
        <v>1620</v>
      </c>
      <c r="BZ1662" s="2"/>
      <c r="CA1662" s="2" t="s">
        <v>106</v>
      </c>
      <c r="CB1662" s="2"/>
      <c r="CC1662" s="2" t="s">
        <v>100</v>
      </c>
      <c r="CD1662" s="2">
        <v>6012</v>
      </c>
      <c r="CE1662" s="2" t="s">
        <v>89</v>
      </c>
      <c r="CF1662" s="5">
        <v>42838</v>
      </c>
      <c r="CG1662" s="2"/>
      <c r="CH1662" s="2"/>
      <c r="CI1662" s="2">
        <v>1</v>
      </c>
      <c r="CJ1662" s="2">
        <v>1</v>
      </c>
      <c r="CK1662" s="2">
        <v>21</v>
      </c>
      <c r="CL1662" s="2" t="s">
        <v>86</v>
      </c>
      <c r="CM1662" s="2"/>
    </row>
    <row r="1663" spans="1:91">
      <c r="A1663" s="2" t="s">
        <v>71</v>
      </c>
      <c r="B1663" s="2" t="s">
        <v>72</v>
      </c>
      <c r="C1663" s="2" t="s">
        <v>73</v>
      </c>
      <c r="D1663" s="2"/>
      <c r="E1663" s="2" t="str">
        <f>"FES1162543488"</f>
        <v>FES1162543488</v>
      </c>
      <c r="F1663" s="3">
        <v>42837</v>
      </c>
      <c r="G1663" s="2">
        <v>201710</v>
      </c>
      <c r="H1663" s="2" t="s">
        <v>74</v>
      </c>
      <c r="I1663" s="2" t="s">
        <v>75</v>
      </c>
      <c r="J1663" s="2" t="s">
        <v>76</v>
      </c>
      <c r="K1663" s="2" t="s">
        <v>77</v>
      </c>
      <c r="L1663" s="2" t="s">
        <v>131</v>
      </c>
      <c r="M1663" s="2" t="s">
        <v>132</v>
      </c>
      <c r="N1663" s="2" t="s">
        <v>1019</v>
      </c>
      <c r="O1663" s="2" t="s">
        <v>115</v>
      </c>
      <c r="P1663" s="2" t="str">
        <f>"2170562182                    "</f>
        <v xml:space="preserve">2170562182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4.29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1</v>
      </c>
      <c r="BJ1663" s="2">
        <v>0.2</v>
      </c>
      <c r="BK1663" s="2">
        <v>1</v>
      </c>
      <c r="BL1663" s="2">
        <v>41.73</v>
      </c>
      <c r="BM1663" s="2">
        <v>5.84</v>
      </c>
      <c r="BN1663" s="2">
        <v>47.57</v>
      </c>
      <c r="BO1663" s="2">
        <v>47.57</v>
      </c>
      <c r="BP1663" s="2"/>
      <c r="BQ1663" s="2" t="s">
        <v>129</v>
      </c>
      <c r="BR1663" s="2" t="s">
        <v>84</v>
      </c>
      <c r="BS1663" s="3">
        <v>42838</v>
      </c>
      <c r="BT1663" s="4">
        <v>0.38194444444444442</v>
      </c>
      <c r="BU1663" s="2" t="s">
        <v>2171</v>
      </c>
      <c r="BV1663" s="2" t="s">
        <v>111</v>
      </c>
      <c r="BW1663" s="2"/>
      <c r="BX1663" s="2"/>
      <c r="BY1663" s="2">
        <v>1200</v>
      </c>
      <c r="BZ1663" s="2"/>
      <c r="CA1663" s="2"/>
      <c r="CB1663" s="2"/>
      <c r="CC1663" s="2" t="s">
        <v>132</v>
      </c>
      <c r="CD1663" s="2">
        <v>7405</v>
      </c>
      <c r="CE1663" s="2" t="s">
        <v>118</v>
      </c>
      <c r="CF1663" s="5">
        <v>42843</v>
      </c>
      <c r="CG1663" s="2"/>
      <c r="CH1663" s="2"/>
      <c r="CI1663" s="2">
        <v>1</v>
      </c>
      <c r="CJ1663" s="2">
        <v>1</v>
      </c>
      <c r="CK1663" s="2">
        <v>21</v>
      </c>
      <c r="CL1663" s="2" t="s">
        <v>86</v>
      </c>
      <c r="CM1663" s="2"/>
    </row>
    <row r="1664" spans="1:91">
      <c r="A1664" s="2" t="s">
        <v>71</v>
      </c>
      <c r="B1664" s="2" t="s">
        <v>72</v>
      </c>
      <c r="C1664" s="2" t="s">
        <v>73</v>
      </c>
      <c r="D1664" s="2"/>
      <c r="E1664" s="2" t="str">
        <f>"FES1162543495"</f>
        <v>FES1162543495</v>
      </c>
      <c r="F1664" s="3">
        <v>42837</v>
      </c>
      <c r="G1664" s="2">
        <v>201710</v>
      </c>
      <c r="H1664" s="2" t="s">
        <v>74</v>
      </c>
      <c r="I1664" s="2" t="s">
        <v>75</v>
      </c>
      <c r="J1664" s="2" t="s">
        <v>76</v>
      </c>
      <c r="K1664" s="2" t="s">
        <v>77</v>
      </c>
      <c r="L1664" s="2" t="s">
        <v>126</v>
      </c>
      <c r="M1664" s="2" t="s">
        <v>127</v>
      </c>
      <c r="N1664" s="2" t="s">
        <v>2172</v>
      </c>
      <c r="O1664" s="2" t="s">
        <v>115</v>
      </c>
      <c r="P1664" s="2" t="str">
        <f>"2170562191                    "</f>
        <v xml:space="preserve">2170562191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4.29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1</v>
      </c>
      <c r="BJ1664" s="2">
        <v>0.2</v>
      </c>
      <c r="BK1664" s="2">
        <v>1</v>
      </c>
      <c r="BL1664" s="2">
        <v>41.73</v>
      </c>
      <c r="BM1664" s="2">
        <v>5.84</v>
      </c>
      <c r="BN1664" s="2">
        <v>47.57</v>
      </c>
      <c r="BO1664" s="2">
        <v>47.57</v>
      </c>
      <c r="BP1664" s="2"/>
      <c r="BQ1664" s="2" t="s">
        <v>2173</v>
      </c>
      <c r="BR1664" s="2" t="s">
        <v>84</v>
      </c>
      <c r="BS1664" s="3">
        <v>42838</v>
      </c>
      <c r="BT1664" s="4">
        <v>0.41666666666666669</v>
      </c>
      <c r="BU1664" s="2" t="s">
        <v>2174</v>
      </c>
      <c r="BV1664" s="2" t="s">
        <v>111</v>
      </c>
      <c r="BW1664" s="2"/>
      <c r="BX1664" s="2"/>
      <c r="BY1664" s="2">
        <v>1200</v>
      </c>
      <c r="BZ1664" s="2"/>
      <c r="CA1664" s="2"/>
      <c r="CB1664" s="2"/>
      <c r="CC1664" s="2" t="s">
        <v>127</v>
      </c>
      <c r="CD1664" s="2">
        <v>6850</v>
      </c>
      <c r="CE1664" s="2" t="s">
        <v>118</v>
      </c>
      <c r="CF1664" s="5">
        <v>42843</v>
      </c>
      <c r="CG1664" s="2"/>
      <c r="CH1664" s="2"/>
      <c r="CI1664" s="2">
        <v>3</v>
      </c>
      <c r="CJ1664" s="2">
        <v>1</v>
      </c>
      <c r="CK1664" s="2">
        <v>21</v>
      </c>
      <c r="CL1664" s="2" t="s">
        <v>86</v>
      </c>
      <c r="CM1664" s="2"/>
    </row>
    <row r="1665" spans="1:91">
      <c r="A1665" s="2" t="s">
        <v>71</v>
      </c>
      <c r="B1665" s="2" t="s">
        <v>72</v>
      </c>
      <c r="C1665" s="2" t="s">
        <v>73</v>
      </c>
      <c r="D1665" s="2"/>
      <c r="E1665" s="2" t="str">
        <f>"FES1162543458"</f>
        <v>FES1162543458</v>
      </c>
      <c r="F1665" s="3">
        <v>42837</v>
      </c>
      <c r="G1665" s="2">
        <v>201710</v>
      </c>
      <c r="H1665" s="2" t="s">
        <v>74</v>
      </c>
      <c r="I1665" s="2" t="s">
        <v>75</v>
      </c>
      <c r="J1665" s="2" t="s">
        <v>76</v>
      </c>
      <c r="K1665" s="2" t="s">
        <v>77</v>
      </c>
      <c r="L1665" s="2" t="s">
        <v>516</v>
      </c>
      <c r="M1665" s="2" t="s">
        <v>517</v>
      </c>
      <c r="N1665" s="2" t="s">
        <v>2175</v>
      </c>
      <c r="O1665" s="2" t="s">
        <v>115</v>
      </c>
      <c r="P1665" s="2" t="str">
        <f>"2170562153                    "</f>
        <v xml:space="preserve">2170562153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3.35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1.3</v>
      </c>
      <c r="BJ1665" s="2">
        <v>0.2</v>
      </c>
      <c r="BK1665" s="2">
        <v>2</v>
      </c>
      <c r="BL1665" s="2">
        <v>32.6</v>
      </c>
      <c r="BM1665" s="2">
        <v>4.5599999999999996</v>
      </c>
      <c r="BN1665" s="2">
        <v>37.159999999999997</v>
      </c>
      <c r="BO1665" s="2">
        <v>37.159999999999997</v>
      </c>
      <c r="BP1665" s="2"/>
      <c r="BQ1665" s="2" t="s">
        <v>1355</v>
      </c>
      <c r="BR1665" s="2" t="s">
        <v>84</v>
      </c>
      <c r="BS1665" s="3">
        <v>42838</v>
      </c>
      <c r="BT1665" s="4">
        <v>0.3576388888888889</v>
      </c>
      <c r="BU1665" s="2" t="s">
        <v>170</v>
      </c>
      <c r="BV1665" s="2" t="s">
        <v>111</v>
      </c>
      <c r="BW1665" s="2"/>
      <c r="BX1665" s="2"/>
      <c r="BY1665" s="2">
        <v>1200</v>
      </c>
      <c r="BZ1665" s="2"/>
      <c r="CA1665" s="2"/>
      <c r="CB1665" s="2"/>
      <c r="CC1665" s="2" t="s">
        <v>517</v>
      </c>
      <c r="CD1665" s="2">
        <v>1459</v>
      </c>
      <c r="CE1665" s="2" t="s">
        <v>118</v>
      </c>
      <c r="CF1665" s="5">
        <v>42843</v>
      </c>
      <c r="CG1665" s="2"/>
      <c r="CH1665" s="2"/>
      <c r="CI1665" s="2">
        <v>1</v>
      </c>
      <c r="CJ1665" s="2">
        <v>1</v>
      </c>
      <c r="CK1665" s="2">
        <v>22</v>
      </c>
      <c r="CL1665" s="2" t="s">
        <v>86</v>
      </c>
      <c r="CM1665" s="2"/>
    </row>
    <row r="1666" spans="1:91">
      <c r="A1666" s="2" t="s">
        <v>71</v>
      </c>
      <c r="B1666" s="2" t="s">
        <v>72</v>
      </c>
      <c r="C1666" s="2" t="s">
        <v>73</v>
      </c>
      <c r="D1666" s="2"/>
      <c r="E1666" s="2" t="str">
        <f>"FES1162543157"</f>
        <v>FES1162543157</v>
      </c>
      <c r="F1666" s="3">
        <v>42837</v>
      </c>
      <c r="G1666" s="2">
        <v>201710</v>
      </c>
      <c r="H1666" s="2" t="s">
        <v>74</v>
      </c>
      <c r="I1666" s="2" t="s">
        <v>75</v>
      </c>
      <c r="J1666" s="2" t="s">
        <v>76</v>
      </c>
      <c r="K1666" s="2" t="s">
        <v>77</v>
      </c>
      <c r="L1666" s="2" t="s">
        <v>74</v>
      </c>
      <c r="M1666" s="2" t="s">
        <v>75</v>
      </c>
      <c r="N1666" s="2" t="s">
        <v>560</v>
      </c>
      <c r="O1666" s="2" t="s">
        <v>115</v>
      </c>
      <c r="P1666" s="2" t="str">
        <f>"2170561942                    "</f>
        <v xml:space="preserve">2170561942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3.35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32.6</v>
      </c>
      <c r="BM1666" s="2">
        <v>4.5599999999999996</v>
      </c>
      <c r="BN1666" s="2">
        <v>37.159999999999997</v>
      </c>
      <c r="BO1666" s="2">
        <v>37.159999999999997</v>
      </c>
      <c r="BP1666" s="2"/>
      <c r="BQ1666" s="2" t="s">
        <v>561</v>
      </c>
      <c r="BR1666" s="2" t="s">
        <v>84</v>
      </c>
      <c r="BS1666" s="3">
        <v>42838</v>
      </c>
      <c r="BT1666" s="4">
        <v>0.29444444444444445</v>
      </c>
      <c r="BU1666" s="2" t="s">
        <v>2176</v>
      </c>
      <c r="BV1666" s="2" t="s">
        <v>111</v>
      </c>
      <c r="BW1666" s="2"/>
      <c r="BX1666" s="2"/>
      <c r="BY1666" s="2">
        <v>1200</v>
      </c>
      <c r="BZ1666" s="2"/>
      <c r="CA1666" s="2" t="s">
        <v>383</v>
      </c>
      <c r="CB1666" s="2"/>
      <c r="CC1666" s="2" t="s">
        <v>75</v>
      </c>
      <c r="CD1666" s="2">
        <v>1600</v>
      </c>
      <c r="CE1666" s="2" t="s">
        <v>118</v>
      </c>
      <c r="CF1666" s="5">
        <v>42838</v>
      </c>
      <c r="CG1666" s="2"/>
      <c r="CH1666" s="2"/>
      <c r="CI1666" s="2">
        <v>1</v>
      </c>
      <c r="CJ1666" s="2">
        <v>1</v>
      </c>
      <c r="CK1666" s="2">
        <v>22</v>
      </c>
      <c r="CL1666" s="2" t="s">
        <v>86</v>
      </c>
      <c r="CM1666" s="2"/>
    </row>
    <row r="1667" spans="1:91">
      <c r="A1667" s="2" t="s">
        <v>71</v>
      </c>
      <c r="B1667" s="2" t="s">
        <v>72</v>
      </c>
      <c r="C1667" s="2" t="s">
        <v>73</v>
      </c>
      <c r="D1667" s="2"/>
      <c r="E1667" s="2" t="str">
        <f>"FES1162543498"</f>
        <v>FES1162543498</v>
      </c>
      <c r="F1667" s="3">
        <v>42837</v>
      </c>
      <c r="G1667" s="2">
        <v>201710</v>
      </c>
      <c r="H1667" s="2" t="s">
        <v>74</v>
      </c>
      <c r="I1667" s="2" t="s">
        <v>75</v>
      </c>
      <c r="J1667" s="2" t="s">
        <v>76</v>
      </c>
      <c r="K1667" s="2" t="s">
        <v>77</v>
      </c>
      <c r="L1667" s="2" t="s">
        <v>598</v>
      </c>
      <c r="M1667" s="2" t="s">
        <v>599</v>
      </c>
      <c r="N1667" s="2" t="s">
        <v>600</v>
      </c>
      <c r="O1667" s="2" t="s">
        <v>115</v>
      </c>
      <c r="P1667" s="2" t="str">
        <f>"2170561716                    "</f>
        <v xml:space="preserve">2170561716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8.31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1</v>
      </c>
      <c r="BJ1667" s="2">
        <v>0.2</v>
      </c>
      <c r="BK1667" s="2">
        <v>1</v>
      </c>
      <c r="BL1667" s="2">
        <v>80.849999999999994</v>
      </c>
      <c r="BM1667" s="2">
        <v>11.32</v>
      </c>
      <c r="BN1667" s="2">
        <v>92.17</v>
      </c>
      <c r="BO1667" s="2">
        <v>92.17</v>
      </c>
      <c r="BP1667" s="2"/>
      <c r="BQ1667" s="2" t="s">
        <v>601</v>
      </c>
      <c r="BR1667" s="2" t="s">
        <v>84</v>
      </c>
      <c r="BS1667" s="3">
        <v>42838</v>
      </c>
      <c r="BT1667" s="4">
        <v>0.59861111111111109</v>
      </c>
      <c r="BU1667" s="2" t="s">
        <v>601</v>
      </c>
      <c r="BV1667" s="2" t="s">
        <v>111</v>
      </c>
      <c r="BW1667" s="2"/>
      <c r="BX1667" s="2"/>
      <c r="BY1667" s="2">
        <v>1200</v>
      </c>
      <c r="BZ1667" s="2"/>
      <c r="CA1667" s="2"/>
      <c r="CB1667" s="2"/>
      <c r="CC1667" s="2" t="s">
        <v>599</v>
      </c>
      <c r="CD1667" s="2">
        <v>3370</v>
      </c>
      <c r="CE1667" s="2" t="s">
        <v>118</v>
      </c>
      <c r="CF1667" s="2"/>
      <c r="CG1667" s="2"/>
      <c r="CH1667" s="2"/>
      <c r="CI1667" s="2">
        <v>3</v>
      </c>
      <c r="CJ1667" s="2">
        <v>1</v>
      </c>
      <c r="CK1667" s="2">
        <v>23</v>
      </c>
      <c r="CL1667" s="2" t="s">
        <v>86</v>
      </c>
      <c r="CM1667" s="2"/>
    </row>
    <row r="1668" spans="1:91">
      <c r="A1668" s="2" t="s">
        <v>71</v>
      </c>
      <c r="B1668" s="2" t="s">
        <v>72</v>
      </c>
      <c r="C1668" s="2" t="s">
        <v>73</v>
      </c>
      <c r="D1668" s="2"/>
      <c r="E1668" s="2" t="str">
        <f>"FES1162543502"</f>
        <v>FES1162543502</v>
      </c>
      <c r="F1668" s="3">
        <v>42837</v>
      </c>
      <c r="G1668" s="2">
        <v>201710</v>
      </c>
      <c r="H1668" s="2" t="s">
        <v>74</v>
      </c>
      <c r="I1668" s="2" t="s">
        <v>75</v>
      </c>
      <c r="J1668" s="2" t="s">
        <v>76</v>
      </c>
      <c r="K1668" s="2" t="s">
        <v>77</v>
      </c>
      <c r="L1668" s="2" t="s">
        <v>99</v>
      </c>
      <c r="M1668" s="2" t="s">
        <v>100</v>
      </c>
      <c r="N1668" s="2" t="s">
        <v>108</v>
      </c>
      <c r="O1668" s="2" t="s">
        <v>115</v>
      </c>
      <c r="P1668" s="2" t="str">
        <f>"21705622196                   "</f>
        <v xml:space="preserve">21705622196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4.29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1</v>
      </c>
      <c r="BJ1668" s="2">
        <v>0.2</v>
      </c>
      <c r="BK1668" s="2">
        <v>1</v>
      </c>
      <c r="BL1668" s="2">
        <v>41.73</v>
      </c>
      <c r="BM1668" s="2">
        <v>5.84</v>
      </c>
      <c r="BN1668" s="2">
        <v>47.57</v>
      </c>
      <c r="BO1668" s="2">
        <v>47.57</v>
      </c>
      <c r="BP1668" s="2"/>
      <c r="BQ1668" s="2" t="s">
        <v>109</v>
      </c>
      <c r="BR1668" s="2" t="s">
        <v>84</v>
      </c>
      <c r="BS1668" s="3">
        <v>42838</v>
      </c>
      <c r="BT1668" s="4">
        <v>0.375</v>
      </c>
      <c r="BU1668" s="2" t="s">
        <v>110</v>
      </c>
      <c r="BV1668" s="2" t="s">
        <v>111</v>
      </c>
      <c r="BW1668" s="2"/>
      <c r="BX1668" s="2"/>
      <c r="BY1668" s="2">
        <v>1200</v>
      </c>
      <c r="BZ1668" s="2"/>
      <c r="CA1668" s="2" t="s">
        <v>106</v>
      </c>
      <c r="CB1668" s="2"/>
      <c r="CC1668" s="2" t="s">
        <v>100</v>
      </c>
      <c r="CD1668" s="2">
        <v>6001</v>
      </c>
      <c r="CE1668" s="2" t="s">
        <v>118</v>
      </c>
      <c r="CF1668" s="5">
        <v>42838</v>
      </c>
      <c r="CG1668" s="2"/>
      <c r="CH1668" s="2"/>
      <c r="CI1668" s="2">
        <v>1</v>
      </c>
      <c r="CJ1668" s="2">
        <v>1</v>
      </c>
      <c r="CK1668" s="2">
        <v>21</v>
      </c>
      <c r="CL1668" s="2" t="s">
        <v>86</v>
      </c>
      <c r="CM1668" s="2"/>
    </row>
    <row r="1669" spans="1:91">
      <c r="A1669" s="2" t="s">
        <v>71</v>
      </c>
      <c r="B1669" s="2" t="s">
        <v>72</v>
      </c>
      <c r="C1669" s="2" t="s">
        <v>73</v>
      </c>
      <c r="D1669" s="2"/>
      <c r="E1669" s="2" t="str">
        <f>"FES1162543379"</f>
        <v>FES1162543379</v>
      </c>
      <c r="F1669" s="3">
        <v>42837</v>
      </c>
      <c r="G1669" s="2">
        <v>201710</v>
      </c>
      <c r="H1669" s="2" t="s">
        <v>74</v>
      </c>
      <c r="I1669" s="2" t="s">
        <v>75</v>
      </c>
      <c r="J1669" s="2" t="s">
        <v>76</v>
      </c>
      <c r="K1669" s="2" t="s">
        <v>77</v>
      </c>
      <c r="L1669" s="2" t="s">
        <v>131</v>
      </c>
      <c r="M1669" s="2" t="s">
        <v>132</v>
      </c>
      <c r="N1669" s="2" t="s">
        <v>649</v>
      </c>
      <c r="O1669" s="2" t="s">
        <v>115</v>
      </c>
      <c r="P1669" s="2" t="str">
        <f>"2170562069                    "</f>
        <v xml:space="preserve">2170562069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4.29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1</v>
      </c>
      <c r="BJ1669" s="2">
        <v>0.2</v>
      </c>
      <c r="BK1669" s="2">
        <v>1</v>
      </c>
      <c r="BL1669" s="2">
        <v>41.73</v>
      </c>
      <c r="BM1669" s="2">
        <v>5.84</v>
      </c>
      <c r="BN1669" s="2">
        <v>47.57</v>
      </c>
      <c r="BO1669" s="2">
        <v>47.57</v>
      </c>
      <c r="BP1669" s="2"/>
      <c r="BQ1669" s="2" t="s">
        <v>650</v>
      </c>
      <c r="BR1669" s="2" t="s">
        <v>84</v>
      </c>
      <c r="BS1669" s="3">
        <v>42838</v>
      </c>
      <c r="BT1669" s="4">
        <v>0.41666666666666669</v>
      </c>
      <c r="BU1669" s="2" t="s">
        <v>1155</v>
      </c>
      <c r="BV1669" s="2" t="s">
        <v>111</v>
      </c>
      <c r="BW1669" s="2"/>
      <c r="BX1669" s="2"/>
      <c r="BY1669" s="2">
        <v>1200</v>
      </c>
      <c r="BZ1669" s="2"/>
      <c r="CA1669" s="2"/>
      <c r="CB1669" s="2"/>
      <c r="CC1669" s="2" t="s">
        <v>132</v>
      </c>
      <c r="CD1669" s="2">
        <v>7405</v>
      </c>
      <c r="CE1669" s="2" t="s">
        <v>118</v>
      </c>
      <c r="CF1669" s="5">
        <v>42843</v>
      </c>
      <c r="CG1669" s="2"/>
      <c r="CH1669" s="2"/>
      <c r="CI1669" s="2">
        <v>1</v>
      </c>
      <c r="CJ1669" s="2">
        <v>1</v>
      </c>
      <c r="CK1669" s="2">
        <v>21</v>
      </c>
      <c r="CL1669" s="2" t="s">
        <v>86</v>
      </c>
      <c r="CM1669" s="2"/>
    </row>
    <row r="1670" spans="1:91">
      <c r="A1670" s="2" t="s">
        <v>71</v>
      </c>
      <c r="B1670" s="2" t="s">
        <v>72</v>
      </c>
      <c r="C1670" s="2" t="s">
        <v>73</v>
      </c>
      <c r="D1670" s="2"/>
      <c r="E1670" s="2" t="str">
        <f>"FES1162543494"</f>
        <v>FES1162543494</v>
      </c>
      <c r="F1670" s="3">
        <v>42837</v>
      </c>
      <c r="G1670" s="2">
        <v>201710</v>
      </c>
      <c r="H1670" s="2" t="s">
        <v>74</v>
      </c>
      <c r="I1670" s="2" t="s">
        <v>75</v>
      </c>
      <c r="J1670" s="2" t="s">
        <v>76</v>
      </c>
      <c r="K1670" s="2" t="s">
        <v>77</v>
      </c>
      <c r="L1670" s="2" t="s">
        <v>74</v>
      </c>
      <c r="M1670" s="2" t="s">
        <v>75</v>
      </c>
      <c r="N1670" s="2" t="s">
        <v>436</v>
      </c>
      <c r="O1670" s="2" t="s">
        <v>115</v>
      </c>
      <c r="P1670" s="2" t="str">
        <f>"2170562194                    "</f>
        <v xml:space="preserve">2170562194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3.35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0.2</v>
      </c>
      <c r="BK1670" s="2">
        <v>1</v>
      </c>
      <c r="BL1670" s="2">
        <v>32.6</v>
      </c>
      <c r="BM1670" s="2">
        <v>4.5599999999999996</v>
      </c>
      <c r="BN1670" s="2">
        <v>37.159999999999997</v>
      </c>
      <c r="BO1670" s="2">
        <v>37.159999999999997</v>
      </c>
      <c r="BP1670" s="2"/>
      <c r="BQ1670" s="2" t="s">
        <v>437</v>
      </c>
      <c r="BR1670" s="2" t="s">
        <v>84</v>
      </c>
      <c r="BS1670" s="3">
        <v>42838</v>
      </c>
      <c r="BT1670" s="4">
        <v>0.32430555555555557</v>
      </c>
      <c r="BU1670" s="2" t="s">
        <v>1254</v>
      </c>
      <c r="BV1670" s="2" t="s">
        <v>111</v>
      </c>
      <c r="BW1670" s="2"/>
      <c r="BX1670" s="2"/>
      <c r="BY1670" s="2">
        <v>1200</v>
      </c>
      <c r="BZ1670" s="2"/>
      <c r="CA1670" s="2" t="s">
        <v>383</v>
      </c>
      <c r="CB1670" s="2"/>
      <c r="CC1670" s="2" t="s">
        <v>75</v>
      </c>
      <c r="CD1670" s="2">
        <v>1600</v>
      </c>
      <c r="CE1670" s="2" t="s">
        <v>118</v>
      </c>
      <c r="CF1670" s="5">
        <v>42838</v>
      </c>
      <c r="CG1670" s="2"/>
      <c r="CH1670" s="2"/>
      <c r="CI1670" s="2">
        <v>1</v>
      </c>
      <c r="CJ1670" s="2">
        <v>1</v>
      </c>
      <c r="CK1670" s="2">
        <v>22</v>
      </c>
      <c r="CL1670" s="2" t="s">
        <v>86</v>
      </c>
      <c r="CM1670" s="2"/>
    </row>
    <row r="1671" spans="1:91">
      <c r="A1671" s="2" t="s">
        <v>71</v>
      </c>
      <c r="B1671" s="2" t="s">
        <v>72</v>
      </c>
      <c r="C1671" s="2" t="s">
        <v>73</v>
      </c>
      <c r="D1671" s="2"/>
      <c r="E1671" s="2" t="str">
        <f>"FES1162543369"</f>
        <v>FES1162543369</v>
      </c>
      <c r="F1671" s="3">
        <v>42837</v>
      </c>
      <c r="G1671" s="2">
        <v>201710</v>
      </c>
      <c r="H1671" s="2" t="s">
        <v>74</v>
      </c>
      <c r="I1671" s="2" t="s">
        <v>75</v>
      </c>
      <c r="J1671" s="2" t="s">
        <v>76</v>
      </c>
      <c r="K1671" s="2" t="s">
        <v>77</v>
      </c>
      <c r="L1671" s="2" t="s">
        <v>166</v>
      </c>
      <c r="M1671" s="2" t="s">
        <v>167</v>
      </c>
      <c r="N1671" s="2" t="s">
        <v>2177</v>
      </c>
      <c r="O1671" s="2" t="s">
        <v>115</v>
      </c>
      <c r="P1671" s="2" t="str">
        <f>"2170562056                    "</f>
        <v xml:space="preserve">2170562056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3.35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</v>
      </c>
      <c r="BJ1671" s="2">
        <v>0.2</v>
      </c>
      <c r="BK1671" s="2">
        <v>1</v>
      </c>
      <c r="BL1671" s="2">
        <v>32.6</v>
      </c>
      <c r="BM1671" s="2">
        <v>4.5599999999999996</v>
      </c>
      <c r="BN1671" s="2">
        <v>37.159999999999997</v>
      </c>
      <c r="BO1671" s="2">
        <v>37.159999999999997</v>
      </c>
      <c r="BP1671" s="2"/>
      <c r="BQ1671" s="2" t="s">
        <v>2178</v>
      </c>
      <c r="BR1671" s="2" t="s">
        <v>84</v>
      </c>
      <c r="BS1671" s="3">
        <v>42838</v>
      </c>
      <c r="BT1671" s="4">
        <v>0.34097222222222223</v>
      </c>
      <c r="BU1671" s="2" t="s">
        <v>2179</v>
      </c>
      <c r="BV1671" s="2" t="s">
        <v>111</v>
      </c>
      <c r="BW1671" s="2"/>
      <c r="BX1671" s="2"/>
      <c r="BY1671" s="2">
        <v>1200</v>
      </c>
      <c r="BZ1671" s="2"/>
      <c r="CA1671" s="2"/>
      <c r="CB1671" s="2"/>
      <c r="CC1671" s="2" t="s">
        <v>167</v>
      </c>
      <c r="CD1671" s="2">
        <v>2001</v>
      </c>
      <c r="CE1671" s="2" t="s">
        <v>118</v>
      </c>
      <c r="CF1671" s="5">
        <v>42843</v>
      </c>
      <c r="CG1671" s="2"/>
      <c r="CH1671" s="2"/>
      <c r="CI1671" s="2">
        <v>1</v>
      </c>
      <c r="CJ1671" s="2">
        <v>1</v>
      </c>
      <c r="CK1671" s="2">
        <v>22</v>
      </c>
      <c r="CL1671" s="2" t="s">
        <v>86</v>
      </c>
      <c r="CM1671" s="2"/>
    </row>
    <row r="1672" spans="1:91">
      <c r="A1672" s="2" t="s">
        <v>71</v>
      </c>
      <c r="B1672" s="2" t="s">
        <v>72</v>
      </c>
      <c r="C1672" s="2" t="s">
        <v>73</v>
      </c>
      <c r="D1672" s="2"/>
      <c r="E1672" s="2" t="str">
        <f>"FES1162543461"</f>
        <v>FES1162543461</v>
      </c>
      <c r="F1672" s="3">
        <v>42837</v>
      </c>
      <c r="G1672" s="2">
        <v>201710</v>
      </c>
      <c r="H1672" s="2" t="s">
        <v>74</v>
      </c>
      <c r="I1672" s="2" t="s">
        <v>75</v>
      </c>
      <c r="J1672" s="2" t="s">
        <v>76</v>
      </c>
      <c r="K1672" s="2" t="s">
        <v>77</v>
      </c>
      <c r="L1672" s="2" t="s">
        <v>131</v>
      </c>
      <c r="M1672" s="2" t="s">
        <v>132</v>
      </c>
      <c r="N1672" s="2" t="s">
        <v>1276</v>
      </c>
      <c r="O1672" s="2" t="s">
        <v>115</v>
      </c>
      <c r="P1672" s="2" t="str">
        <f>"2170562156                    "</f>
        <v xml:space="preserve">2170562156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4.29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1.1000000000000001</v>
      </c>
      <c r="BJ1672" s="2">
        <v>0.2</v>
      </c>
      <c r="BK1672" s="2">
        <v>1.5</v>
      </c>
      <c r="BL1672" s="2">
        <v>41.73</v>
      </c>
      <c r="BM1672" s="2">
        <v>5.84</v>
      </c>
      <c r="BN1672" s="2">
        <v>47.57</v>
      </c>
      <c r="BO1672" s="2">
        <v>47.57</v>
      </c>
      <c r="BP1672" s="2"/>
      <c r="BQ1672" s="2" t="s">
        <v>129</v>
      </c>
      <c r="BR1672" s="2" t="s">
        <v>84</v>
      </c>
      <c r="BS1672" s="3">
        <v>42838</v>
      </c>
      <c r="BT1672" s="4">
        <v>0.38541666666666669</v>
      </c>
      <c r="BU1672" s="2" t="s">
        <v>2180</v>
      </c>
      <c r="BV1672" s="2" t="s">
        <v>111</v>
      </c>
      <c r="BW1672" s="2"/>
      <c r="BX1672" s="2"/>
      <c r="BY1672" s="2">
        <v>1200</v>
      </c>
      <c r="BZ1672" s="2"/>
      <c r="CA1672" s="2"/>
      <c r="CB1672" s="2"/>
      <c r="CC1672" s="2" t="s">
        <v>132</v>
      </c>
      <c r="CD1672" s="2">
        <v>7405</v>
      </c>
      <c r="CE1672" s="2" t="s">
        <v>118</v>
      </c>
      <c r="CF1672" s="5">
        <v>42843</v>
      </c>
      <c r="CG1672" s="2"/>
      <c r="CH1672" s="2"/>
      <c r="CI1672" s="2">
        <v>1</v>
      </c>
      <c r="CJ1672" s="2">
        <v>1</v>
      </c>
      <c r="CK1672" s="2">
        <v>21</v>
      </c>
      <c r="CL1672" s="2" t="s">
        <v>86</v>
      </c>
      <c r="CM1672" s="2"/>
    </row>
    <row r="1673" spans="1:91">
      <c r="A1673" s="2" t="s">
        <v>71</v>
      </c>
      <c r="B1673" s="2" t="s">
        <v>72</v>
      </c>
      <c r="C1673" s="2" t="s">
        <v>73</v>
      </c>
      <c r="D1673" s="2"/>
      <c r="E1673" s="2" t="str">
        <f>"FES1162543457"</f>
        <v>FES1162543457</v>
      </c>
      <c r="F1673" s="3">
        <v>42837</v>
      </c>
      <c r="G1673" s="2">
        <v>201710</v>
      </c>
      <c r="H1673" s="2" t="s">
        <v>74</v>
      </c>
      <c r="I1673" s="2" t="s">
        <v>75</v>
      </c>
      <c r="J1673" s="2" t="s">
        <v>76</v>
      </c>
      <c r="K1673" s="2" t="s">
        <v>77</v>
      </c>
      <c r="L1673" s="2" t="s">
        <v>131</v>
      </c>
      <c r="M1673" s="2" t="s">
        <v>132</v>
      </c>
      <c r="N1673" s="2" t="s">
        <v>744</v>
      </c>
      <c r="O1673" s="2" t="s">
        <v>115</v>
      </c>
      <c r="P1673" s="2" t="str">
        <f>"2170562150                    "</f>
        <v xml:space="preserve">2170562150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4.29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1.2</v>
      </c>
      <c r="BJ1673" s="2">
        <v>0.2</v>
      </c>
      <c r="BK1673" s="2">
        <v>1.5</v>
      </c>
      <c r="BL1673" s="2">
        <v>41.73</v>
      </c>
      <c r="BM1673" s="2">
        <v>5.84</v>
      </c>
      <c r="BN1673" s="2">
        <v>47.57</v>
      </c>
      <c r="BO1673" s="2">
        <v>47.57</v>
      </c>
      <c r="BP1673" s="2"/>
      <c r="BQ1673" s="2" t="s">
        <v>138</v>
      </c>
      <c r="BR1673" s="2" t="s">
        <v>84</v>
      </c>
      <c r="BS1673" s="3">
        <v>42838</v>
      </c>
      <c r="BT1673" s="4">
        <v>0.41666666666666669</v>
      </c>
      <c r="BU1673" s="2" t="s">
        <v>130</v>
      </c>
      <c r="BV1673" s="2" t="s">
        <v>111</v>
      </c>
      <c r="BW1673" s="2"/>
      <c r="BX1673" s="2"/>
      <c r="BY1673" s="2">
        <v>1200</v>
      </c>
      <c r="BZ1673" s="2"/>
      <c r="CA1673" s="2"/>
      <c r="CB1673" s="2"/>
      <c r="CC1673" s="2" t="s">
        <v>132</v>
      </c>
      <c r="CD1673" s="2">
        <v>7405</v>
      </c>
      <c r="CE1673" s="2" t="s">
        <v>118</v>
      </c>
      <c r="CF1673" s="5">
        <v>42843</v>
      </c>
      <c r="CG1673" s="2"/>
      <c r="CH1673" s="2"/>
      <c r="CI1673" s="2">
        <v>1</v>
      </c>
      <c r="CJ1673" s="2">
        <v>1</v>
      </c>
      <c r="CK1673" s="2">
        <v>21</v>
      </c>
      <c r="CL1673" s="2" t="s">
        <v>86</v>
      </c>
      <c r="CM1673" s="2"/>
    </row>
    <row r="1674" spans="1:91">
      <c r="A1674" s="2" t="s">
        <v>71</v>
      </c>
      <c r="B1674" s="2" t="s">
        <v>72</v>
      </c>
      <c r="C1674" s="2" t="s">
        <v>73</v>
      </c>
      <c r="D1674" s="2"/>
      <c r="E1674" s="2" t="str">
        <f>"FES1162543482"</f>
        <v>FES1162543482</v>
      </c>
      <c r="F1674" s="3">
        <v>42837</v>
      </c>
      <c r="G1674" s="2">
        <v>201710</v>
      </c>
      <c r="H1674" s="2" t="s">
        <v>74</v>
      </c>
      <c r="I1674" s="2" t="s">
        <v>75</v>
      </c>
      <c r="J1674" s="2" t="s">
        <v>76</v>
      </c>
      <c r="K1674" s="2" t="s">
        <v>77</v>
      </c>
      <c r="L1674" s="2" t="s">
        <v>991</v>
      </c>
      <c r="M1674" s="2" t="s">
        <v>992</v>
      </c>
      <c r="N1674" s="2" t="s">
        <v>993</v>
      </c>
      <c r="O1674" s="2" t="s">
        <v>115</v>
      </c>
      <c r="P1674" s="2" t="str">
        <f>"2170561899                    "</f>
        <v xml:space="preserve">2170561899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4.29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1</v>
      </c>
      <c r="BJ1674" s="2">
        <v>0.2</v>
      </c>
      <c r="BK1674" s="2">
        <v>1</v>
      </c>
      <c r="BL1674" s="2">
        <v>41.73</v>
      </c>
      <c r="BM1674" s="2">
        <v>5.84</v>
      </c>
      <c r="BN1674" s="2">
        <v>47.57</v>
      </c>
      <c r="BO1674" s="2">
        <v>47.57</v>
      </c>
      <c r="BP1674" s="2"/>
      <c r="BQ1674" s="2" t="s">
        <v>994</v>
      </c>
      <c r="BR1674" s="2" t="s">
        <v>84</v>
      </c>
      <c r="BS1674" s="3">
        <v>42838</v>
      </c>
      <c r="BT1674" s="4">
        <v>0.53819444444444442</v>
      </c>
      <c r="BU1674" s="2" t="s">
        <v>2181</v>
      </c>
      <c r="BV1674" s="2" t="s">
        <v>111</v>
      </c>
      <c r="BW1674" s="2"/>
      <c r="BX1674" s="2"/>
      <c r="BY1674" s="2">
        <v>1200</v>
      </c>
      <c r="BZ1674" s="2"/>
      <c r="CA1674" s="2"/>
      <c r="CB1674" s="2"/>
      <c r="CC1674" s="2" t="s">
        <v>992</v>
      </c>
      <c r="CD1674" s="2">
        <v>7655</v>
      </c>
      <c r="CE1674" s="2" t="s">
        <v>118</v>
      </c>
      <c r="CF1674" s="5">
        <v>42843</v>
      </c>
      <c r="CG1674" s="2"/>
      <c r="CH1674" s="2"/>
      <c r="CI1674" s="2">
        <v>1</v>
      </c>
      <c r="CJ1674" s="2">
        <v>1</v>
      </c>
      <c r="CK1674" s="2">
        <v>21</v>
      </c>
      <c r="CL1674" s="2" t="s">
        <v>86</v>
      </c>
      <c r="CM1674" s="2"/>
    </row>
    <row r="1675" spans="1:91">
      <c r="A1675" s="2" t="s">
        <v>71</v>
      </c>
      <c r="B1675" s="2" t="s">
        <v>72</v>
      </c>
      <c r="C1675" s="2" t="s">
        <v>73</v>
      </c>
      <c r="D1675" s="2"/>
      <c r="E1675" s="2" t="str">
        <f>"FES1162543375"</f>
        <v>FES1162543375</v>
      </c>
      <c r="F1675" s="3">
        <v>42837</v>
      </c>
      <c r="G1675" s="2">
        <v>201710</v>
      </c>
      <c r="H1675" s="2" t="s">
        <v>74</v>
      </c>
      <c r="I1675" s="2" t="s">
        <v>75</v>
      </c>
      <c r="J1675" s="2" t="s">
        <v>76</v>
      </c>
      <c r="K1675" s="2" t="s">
        <v>77</v>
      </c>
      <c r="L1675" s="2" t="s">
        <v>260</v>
      </c>
      <c r="M1675" s="2" t="s">
        <v>261</v>
      </c>
      <c r="N1675" s="2" t="s">
        <v>2182</v>
      </c>
      <c r="O1675" s="2" t="s">
        <v>115</v>
      </c>
      <c r="P1675" s="2" t="str">
        <f>"217052061                     "</f>
        <v xml:space="preserve">217052061 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3.35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2.7</v>
      </c>
      <c r="BJ1675" s="2">
        <v>0.2</v>
      </c>
      <c r="BK1675" s="2">
        <v>3</v>
      </c>
      <c r="BL1675" s="2">
        <v>32.6</v>
      </c>
      <c r="BM1675" s="2">
        <v>4.5599999999999996</v>
      </c>
      <c r="BN1675" s="2">
        <v>37.159999999999997</v>
      </c>
      <c r="BO1675" s="2">
        <v>37.159999999999997</v>
      </c>
      <c r="BP1675" s="2"/>
      <c r="BQ1675" s="2" t="s">
        <v>2100</v>
      </c>
      <c r="BR1675" s="2" t="s">
        <v>84</v>
      </c>
      <c r="BS1675" s="3">
        <v>42838</v>
      </c>
      <c r="BT1675" s="4">
        <v>0.45416666666666666</v>
      </c>
      <c r="BU1675" s="2" t="s">
        <v>2100</v>
      </c>
      <c r="BV1675" s="2" t="s">
        <v>111</v>
      </c>
      <c r="BW1675" s="2"/>
      <c r="BX1675" s="2"/>
      <c r="BY1675" s="2">
        <v>1200</v>
      </c>
      <c r="BZ1675" s="2"/>
      <c r="CA1675" s="2"/>
      <c r="CB1675" s="2"/>
      <c r="CC1675" s="2" t="s">
        <v>261</v>
      </c>
      <c r="CD1675" s="2">
        <v>1451</v>
      </c>
      <c r="CE1675" s="2" t="s">
        <v>118</v>
      </c>
      <c r="CF1675" s="5">
        <v>42843</v>
      </c>
      <c r="CG1675" s="2"/>
      <c r="CH1675" s="2"/>
      <c r="CI1675" s="2">
        <v>1</v>
      </c>
      <c r="CJ1675" s="2">
        <v>1</v>
      </c>
      <c r="CK1675" s="2">
        <v>22</v>
      </c>
      <c r="CL1675" s="2" t="s">
        <v>86</v>
      </c>
      <c r="CM1675" s="2"/>
    </row>
    <row r="1676" spans="1:91">
      <c r="A1676" s="2" t="s">
        <v>71</v>
      </c>
      <c r="B1676" s="2" t="s">
        <v>72</v>
      </c>
      <c r="C1676" s="2" t="s">
        <v>73</v>
      </c>
      <c r="D1676" s="2"/>
      <c r="E1676" s="2" t="str">
        <f>"FES1162543489"</f>
        <v>FES1162543489</v>
      </c>
      <c r="F1676" s="3">
        <v>42837</v>
      </c>
      <c r="G1676" s="2">
        <v>201710</v>
      </c>
      <c r="H1676" s="2" t="s">
        <v>74</v>
      </c>
      <c r="I1676" s="2" t="s">
        <v>75</v>
      </c>
      <c r="J1676" s="2" t="s">
        <v>76</v>
      </c>
      <c r="K1676" s="2" t="s">
        <v>77</v>
      </c>
      <c r="L1676" s="2" t="s">
        <v>166</v>
      </c>
      <c r="M1676" s="2" t="s">
        <v>167</v>
      </c>
      <c r="N1676" s="2" t="s">
        <v>2183</v>
      </c>
      <c r="O1676" s="2" t="s">
        <v>115</v>
      </c>
      <c r="P1676" s="2" t="str">
        <f>"2170562185                    "</f>
        <v xml:space="preserve">2170562185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3.35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1</v>
      </c>
      <c r="BJ1676" s="2">
        <v>0.2</v>
      </c>
      <c r="BK1676" s="2">
        <v>1</v>
      </c>
      <c r="BL1676" s="2">
        <v>32.6</v>
      </c>
      <c r="BM1676" s="2">
        <v>4.5599999999999996</v>
      </c>
      <c r="BN1676" s="2">
        <v>37.159999999999997</v>
      </c>
      <c r="BO1676" s="2">
        <v>37.159999999999997</v>
      </c>
      <c r="BP1676" s="2"/>
      <c r="BQ1676" s="2" t="s">
        <v>2184</v>
      </c>
      <c r="BR1676" s="2" t="s">
        <v>84</v>
      </c>
      <c r="BS1676" s="3">
        <v>42838</v>
      </c>
      <c r="BT1676" s="4">
        <v>0.3576388888888889</v>
      </c>
      <c r="BU1676" s="2" t="s">
        <v>290</v>
      </c>
      <c r="BV1676" s="2" t="s">
        <v>111</v>
      </c>
      <c r="BW1676" s="2"/>
      <c r="BX1676" s="2"/>
      <c r="BY1676" s="2">
        <v>1200</v>
      </c>
      <c r="BZ1676" s="2"/>
      <c r="CA1676" s="2" t="s">
        <v>171</v>
      </c>
      <c r="CB1676" s="2"/>
      <c r="CC1676" s="2" t="s">
        <v>167</v>
      </c>
      <c r="CD1676" s="2">
        <v>2094</v>
      </c>
      <c r="CE1676" s="2" t="s">
        <v>118</v>
      </c>
      <c r="CF1676" s="5">
        <v>42838</v>
      </c>
      <c r="CG1676" s="2"/>
      <c r="CH1676" s="2"/>
      <c r="CI1676" s="2">
        <v>1</v>
      </c>
      <c r="CJ1676" s="2">
        <v>1</v>
      </c>
      <c r="CK1676" s="2">
        <v>22</v>
      </c>
      <c r="CL1676" s="2" t="s">
        <v>86</v>
      </c>
      <c r="CM1676" s="2"/>
    </row>
    <row r="1677" spans="1:91">
      <c r="A1677" s="2" t="s">
        <v>71</v>
      </c>
      <c r="B1677" s="2" t="s">
        <v>72</v>
      </c>
      <c r="C1677" s="2" t="s">
        <v>73</v>
      </c>
      <c r="D1677" s="2"/>
      <c r="E1677" s="2" t="str">
        <f>"FES1162543480"</f>
        <v>FES1162543480</v>
      </c>
      <c r="F1677" s="3">
        <v>42837</v>
      </c>
      <c r="G1677" s="2">
        <v>201710</v>
      </c>
      <c r="H1677" s="2" t="s">
        <v>74</v>
      </c>
      <c r="I1677" s="2" t="s">
        <v>75</v>
      </c>
      <c r="J1677" s="2" t="s">
        <v>76</v>
      </c>
      <c r="K1677" s="2" t="s">
        <v>77</v>
      </c>
      <c r="L1677" s="2" t="s">
        <v>187</v>
      </c>
      <c r="M1677" s="2" t="s">
        <v>146</v>
      </c>
      <c r="N1677" s="2" t="s">
        <v>2185</v>
      </c>
      <c r="O1677" s="2" t="s">
        <v>115</v>
      </c>
      <c r="P1677" s="2" t="str">
        <f>"2170562177                    "</f>
        <v xml:space="preserve">2170562177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4.29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1</v>
      </c>
      <c r="BJ1677" s="2">
        <v>0.2</v>
      </c>
      <c r="BK1677" s="2">
        <v>1</v>
      </c>
      <c r="BL1677" s="2">
        <v>41.73</v>
      </c>
      <c r="BM1677" s="2">
        <v>5.84</v>
      </c>
      <c r="BN1677" s="2">
        <v>47.57</v>
      </c>
      <c r="BO1677" s="2">
        <v>47.57</v>
      </c>
      <c r="BP1677" s="2"/>
      <c r="BQ1677" s="2" t="s">
        <v>2186</v>
      </c>
      <c r="BR1677" s="2" t="s">
        <v>84</v>
      </c>
      <c r="BS1677" s="3">
        <v>42838</v>
      </c>
      <c r="BT1677" s="4">
        <v>0.39583333333333331</v>
      </c>
      <c r="BU1677" s="2" t="s">
        <v>2187</v>
      </c>
      <c r="BV1677" s="2" t="s">
        <v>111</v>
      </c>
      <c r="BW1677" s="2"/>
      <c r="BX1677" s="2"/>
      <c r="BY1677" s="2">
        <v>1200</v>
      </c>
      <c r="BZ1677" s="2"/>
      <c r="CA1677" s="2"/>
      <c r="CB1677" s="2"/>
      <c r="CC1677" s="2" t="s">
        <v>146</v>
      </c>
      <c r="CD1677" s="2">
        <v>1</v>
      </c>
      <c r="CE1677" s="2" t="s">
        <v>118</v>
      </c>
      <c r="CF1677" s="5">
        <v>42844</v>
      </c>
      <c r="CG1677" s="2"/>
      <c r="CH1677" s="2"/>
      <c r="CI1677" s="2">
        <v>0</v>
      </c>
      <c r="CJ1677" s="2">
        <v>0</v>
      </c>
      <c r="CK1677" s="2">
        <v>21</v>
      </c>
      <c r="CL1677" s="2" t="s">
        <v>86</v>
      </c>
      <c r="CM1677" s="2"/>
    </row>
    <row r="1678" spans="1:91">
      <c r="A1678" s="2" t="s">
        <v>71</v>
      </c>
      <c r="B1678" s="2" t="s">
        <v>72</v>
      </c>
      <c r="C1678" s="2" t="s">
        <v>73</v>
      </c>
      <c r="D1678" s="2"/>
      <c r="E1678" s="2" t="str">
        <f>"FES1162543492"</f>
        <v>FES1162543492</v>
      </c>
      <c r="F1678" s="3">
        <v>42837</v>
      </c>
      <c r="G1678" s="2">
        <v>201710</v>
      </c>
      <c r="H1678" s="2" t="s">
        <v>74</v>
      </c>
      <c r="I1678" s="2" t="s">
        <v>75</v>
      </c>
      <c r="J1678" s="2" t="s">
        <v>76</v>
      </c>
      <c r="K1678" s="2" t="s">
        <v>77</v>
      </c>
      <c r="L1678" s="2" t="s">
        <v>294</v>
      </c>
      <c r="M1678" s="2" t="s">
        <v>295</v>
      </c>
      <c r="N1678" s="2" t="s">
        <v>728</v>
      </c>
      <c r="O1678" s="2" t="s">
        <v>115</v>
      </c>
      <c r="P1678" s="2" t="str">
        <f>"2170562190                    "</f>
        <v xml:space="preserve">2170562190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5.36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2.5</v>
      </c>
      <c r="BJ1678" s="2">
        <v>1</v>
      </c>
      <c r="BK1678" s="2">
        <v>2.5</v>
      </c>
      <c r="BL1678" s="2">
        <v>52.16</v>
      </c>
      <c r="BM1678" s="2">
        <v>7.3</v>
      </c>
      <c r="BN1678" s="2">
        <v>59.46</v>
      </c>
      <c r="BO1678" s="2">
        <v>59.46</v>
      </c>
      <c r="BP1678" s="2"/>
      <c r="BQ1678" s="2" t="s">
        <v>729</v>
      </c>
      <c r="BR1678" s="2" t="s">
        <v>84</v>
      </c>
      <c r="BS1678" s="3">
        <v>42838</v>
      </c>
      <c r="BT1678" s="4">
        <v>0.4375</v>
      </c>
      <c r="BU1678" s="2" t="s">
        <v>1777</v>
      </c>
      <c r="BV1678" s="2" t="s">
        <v>111</v>
      </c>
      <c r="BW1678" s="2"/>
      <c r="BX1678" s="2"/>
      <c r="BY1678" s="2">
        <v>5094.93</v>
      </c>
      <c r="BZ1678" s="2"/>
      <c r="CA1678" s="2"/>
      <c r="CB1678" s="2"/>
      <c r="CC1678" s="2" t="s">
        <v>295</v>
      </c>
      <c r="CD1678" s="2">
        <v>3610</v>
      </c>
      <c r="CE1678" s="2" t="s">
        <v>89</v>
      </c>
      <c r="CF1678" s="5">
        <v>42843</v>
      </c>
      <c r="CG1678" s="2"/>
      <c r="CH1678" s="2"/>
      <c r="CI1678" s="2">
        <v>1</v>
      </c>
      <c r="CJ1678" s="2">
        <v>1</v>
      </c>
      <c r="CK1678" s="2">
        <v>21</v>
      </c>
      <c r="CL1678" s="2" t="s">
        <v>86</v>
      </c>
      <c r="CM1678" s="2"/>
    </row>
    <row r="1679" spans="1:91">
      <c r="A1679" s="2" t="s">
        <v>71</v>
      </c>
      <c r="B1679" s="2" t="s">
        <v>72</v>
      </c>
      <c r="C1679" s="2" t="s">
        <v>73</v>
      </c>
      <c r="D1679" s="2"/>
      <c r="E1679" s="2" t="str">
        <f>"FES1162543392"</f>
        <v>FES1162543392</v>
      </c>
      <c r="F1679" s="3">
        <v>42837</v>
      </c>
      <c r="G1679" s="2">
        <v>201710</v>
      </c>
      <c r="H1679" s="2" t="s">
        <v>74</v>
      </c>
      <c r="I1679" s="2" t="s">
        <v>75</v>
      </c>
      <c r="J1679" s="2" t="s">
        <v>76</v>
      </c>
      <c r="K1679" s="2" t="s">
        <v>77</v>
      </c>
      <c r="L1679" s="2" t="s">
        <v>166</v>
      </c>
      <c r="M1679" s="2" t="s">
        <v>167</v>
      </c>
      <c r="N1679" s="2" t="s">
        <v>1405</v>
      </c>
      <c r="O1679" s="2" t="s">
        <v>1014</v>
      </c>
      <c r="P1679" s="2" t="str">
        <f>"2170561685                    "</f>
        <v xml:space="preserve">2170561685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4.8499999999999996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2</v>
      </c>
      <c r="BI1679" s="2">
        <v>11.6</v>
      </c>
      <c r="BJ1679" s="2">
        <v>5.5</v>
      </c>
      <c r="BK1679" s="2">
        <v>12</v>
      </c>
      <c r="BL1679" s="2">
        <v>47.22</v>
      </c>
      <c r="BM1679" s="2">
        <v>6.61</v>
      </c>
      <c r="BN1679" s="2">
        <v>53.83</v>
      </c>
      <c r="BO1679" s="2">
        <v>53.83</v>
      </c>
      <c r="BP1679" s="2"/>
      <c r="BQ1679" s="2" t="s">
        <v>687</v>
      </c>
      <c r="BR1679" s="2" t="s">
        <v>84</v>
      </c>
      <c r="BS1679" s="3">
        <v>42838</v>
      </c>
      <c r="BT1679" s="4">
        <v>0.41666666666666669</v>
      </c>
      <c r="BU1679" s="2" t="s">
        <v>2188</v>
      </c>
      <c r="BV1679" s="2" t="s">
        <v>111</v>
      </c>
      <c r="BW1679" s="2"/>
      <c r="BX1679" s="2"/>
      <c r="BY1679" s="2">
        <v>27386.94</v>
      </c>
      <c r="BZ1679" s="2"/>
      <c r="CA1679" s="2"/>
      <c r="CB1679" s="2"/>
      <c r="CC1679" s="2" t="s">
        <v>167</v>
      </c>
      <c r="CD1679" s="2">
        <v>2013</v>
      </c>
      <c r="CE1679" s="2" t="s">
        <v>89</v>
      </c>
      <c r="CF1679" s="5">
        <v>42843</v>
      </c>
      <c r="CG1679" s="2"/>
      <c r="CH1679" s="2"/>
      <c r="CI1679" s="2">
        <v>1</v>
      </c>
      <c r="CJ1679" s="2">
        <v>1</v>
      </c>
      <c r="CK1679" s="2">
        <v>32</v>
      </c>
      <c r="CL1679" s="2" t="s">
        <v>86</v>
      </c>
      <c r="CM1679" s="2"/>
    </row>
    <row r="1680" spans="1:91">
      <c r="A1680" s="2" t="s">
        <v>71</v>
      </c>
      <c r="B1680" s="2" t="s">
        <v>72</v>
      </c>
      <c r="C1680" s="2" t="s">
        <v>73</v>
      </c>
      <c r="D1680" s="2"/>
      <c r="E1680" s="2" t="str">
        <f>"FES1162543464"</f>
        <v>FES1162543464</v>
      </c>
      <c r="F1680" s="3">
        <v>42837</v>
      </c>
      <c r="G1680" s="2">
        <v>201710</v>
      </c>
      <c r="H1680" s="2" t="s">
        <v>74</v>
      </c>
      <c r="I1680" s="2" t="s">
        <v>75</v>
      </c>
      <c r="J1680" s="2" t="s">
        <v>76</v>
      </c>
      <c r="K1680" s="2" t="s">
        <v>77</v>
      </c>
      <c r="L1680" s="2" t="s">
        <v>131</v>
      </c>
      <c r="M1680" s="2" t="s">
        <v>132</v>
      </c>
      <c r="N1680" s="2" t="s">
        <v>388</v>
      </c>
      <c r="O1680" s="2" t="s">
        <v>115</v>
      </c>
      <c r="P1680" s="2" t="str">
        <f>"2170562159                    "</f>
        <v xml:space="preserve">2170562159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4.29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1</v>
      </c>
      <c r="BJ1680" s="2">
        <v>0.2</v>
      </c>
      <c r="BK1680" s="2">
        <v>1</v>
      </c>
      <c r="BL1680" s="2">
        <v>41.73</v>
      </c>
      <c r="BM1680" s="2">
        <v>5.84</v>
      </c>
      <c r="BN1680" s="2">
        <v>47.57</v>
      </c>
      <c r="BO1680" s="2">
        <v>47.57</v>
      </c>
      <c r="BP1680" s="2"/>
      <c r="BQ1680" s="2" t="s">
        <v>129</v>
      </c>
      <c r="BR1680" s="2" t="s">
        <v>84</v>
      </c>
      <c r="BS1680" s="3">
        <v>42838</v>
      </c>
      <c r="BT1680" s="4">
        <v>0.41666666666666669</v>
      </c>
      <c r="BU1680" s="2" t="s">
        <v>2189</v>
      </c>
      <c r="BV1680" s="2" t="s">
        <v>111</v>
      </c>
      <c r="BW1680" s="2"/>
      <c r="BX1680" s="2"/>
      <c r="BY1680" s="2">
        <v>1200</v>
      </c>
      <c r="BZ1680" s="2"/>
      <c r="CA1680" s="2"/>
      <c r="CB1680" s="2"/>
      <c r="CC1680" s="2" t="s">
        <v>132</v>
      </c>
      <c r="CD1680" s="2">
        <v>7800</v>
      </c>
      <c r="CE1680" s="2" t="s">
        <v>118</v>
      </c>
      <c r="CF1680" s="5">
        <v>42843</v>
      </c>
      <c r="CG1680" s="2"/>
      <c r="CH1680" s="2"/>
      <c r="CI1680" s="2">
        <v>1</v>
      </c>
      <c r="CJ1680" s="2">
        <v>1</v>
      </c>
      <c r="CK1680" s="2">
        <v>21</v>
      </c>
      <c r="CL1680" s="2" t="s">
        <v>86</v>
      </c>
      <c r="CM1680" s="2"/>
    </row>
    <row r="1681" spans="1:91">
      <c r="A1681" s="2" t="s">
        <v>71</v>
      </c>
      <c r="B1681" s="2" t="s">
        <v>72</v>
      </c>
      <c r="C1681" s="2" t="s">
        <v>73</v>
      </c>
      <c r="D1681" s="2"/>
      <c r="E1681" s="2" t="str">
        <f>"FES1162543493"</f>
        <v>FES1162543493</v>
      </c>
      <c r="F1681" s="3">
        <v>42837</v>
      </c>
      <c r="G1681" s="2">
        <v>201710</v>
      </c>
      <c r="H1681" s="2" t="s">
        <v>74</v>
      </c>
      <c r="I1681" s="2" t="s">
        <v>75</v>
      </c>
      <c r="J1681" s="2" t="s">
        <v>76</v>
      </c>
      <c r="K1681" s="2" t="s">
        <v>77</v>
      </c>
      <c r="L1681" s="2" t="s">
        <v>99</v>
      </c>
      <c r="M1681" s="2" t="s">
        <v>100</v>
      </c>
      <c r="N1681" s="2" t="s">
        <v>2190</v>
      </c>
      <c r="O1681" s="2" t="s">
        <v>115</v>
      </c>
      <c r="P1681" s="2" t="str">
        <f>"2170557004                    "</f>
        <v xml:space="preserve">2170557004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4.29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0.5</v>
      </c>
      <c r="BJ1681" s="2">
        <v>0.7</v>
      </c>
      <c r="BK1681" s="2">
        <v>1</v>
      </c>
      <c r="BL1681" s="2">
        <v>41.73</v>
      </c>
      <c r="BM1681" s="2">
        <v>5.84</v>
      </c>
      <c r="BN1681" s="2">
        <v>47.57</v>
      </c>
      <c r="BO1681" s="2">
        <v>47.57</v>
      </c>
      <c r="BP1681" s="2"/>
      <c r="BQ1681" s="2" t="s">
        <v>918</v>
      </c>
      <c r="BR1681" s="2" t="s">
        <v>84</v>
      </c>
      <c r="BS1681" s="3">
        <v>42838</v>
      </c>
      <c r="BT1681" s="4">
        <v>0.43402777777777773</v>
      </c>
      <c r="BU1681" s="2" t="s">
        <v>245</v>
      </c>
      <c r="BV1681" s="2" t="s">
        <v>111</v>
      </c>
      <c r="BW1681" s="2"/>
      <c r="BX1681" s="2"/>
      <c r="BY1681" s="2">
        <v>3628.48</v>
      </c>
      <c r="BZ1681" s="2"/>
      <c r="CA1681" s="2"/>
      <c r="CB1681" s="2"/>
      <c r="CC1681" s="2" t="s">
        <v>100</v>
      </c>
      <c r="CD1681" s="2">
        <v>6001</v>
      </c>
      <c r="CE1681" s="2" t="s">
        <v>172</v>
      </c>
      <c r="CF1681" s="5">
        <v>42843</v>
      </c>
      <c r="CG1681" s="2"/>
      <c r="CH1681" s="2"/>
      <c r="CI1681" s="2">
        <v>1</v>
      </c>
      <c r="CJ1681" s="2">
        <v>1</v>
      </c>
      <c r="CK1681" s="2">
        <v>21</v>
      </c>
      <c r="CL1681" s="2" t="s">
        <v>86</v>
      </c>
      <c r="CM1681" s="2"/>
    </row>
    <row r="1682" spans="1:91">
      <c r="A1682" s="2" t="s">
        <v>71</v>
      </c>
      <c r="B1682" s="2" t="s">
        <v>72</v>
      </c>
      <c r="C1682" s="2" t="s">
        <v>73</v>
      </c>
      <c r="D1682" s="2"/>
      <c r="E1682" s="2" t="str">
        <f>"FES1162543485"</f>
        <v>FES1162543485</v>
      </c>
      <c r="F1682" s="3">
        <v>42837</v>
      </c>
      <c r="G1682" s="2">
        <v>201710</v>
      </c>
      <c r="H1682" s="2" t="s">
        <v>74</v>
      </c>
      <c r="I1682" s="2" t="s">
        <v>75</v>
      </c>
      <c r="J1682" s="2" t="s">
        <v>76</v>
      </c>
      <c r="K1682" s="2" t="s">
        <v>77</v>
      </c>
      <c r="L1682" s="2" t="s">
        <v>358</v>
      </c>
      <c r="M1682" s="2" t="s">
        <v>359</v>
      </c>
      <c r="N1682" s="2" t="s">
        <v>360</v>
      </c>
      <c r="O1682" s="2" t="s">
        <v>115</v>
      </c>
      <c r="P1682" s="2" t="str">
        <f>"2170557774                    "</f>
        <v xml:space="preserve">2170557774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7.5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3.2</v>
      </c>
      <c r="BJ1682" s="2">
        <v>3.4</v>
      </c>
      <c r="BK1682" s="2">
        <v>3.5</v>
      </c>
      <c r="BL1682" s="2">
        <v>73.02</v>
      </c>
      <c r="BM1682" s="2">
        <v>10.220000000000001</v>
      </c>
      <c r="BN1682" s="2">
        <v>83.24</v>
      </c>
      <c r="BO1682" s="2">
        <v>83.24</v>
      </c>
      <c r="BP1682" s="2"/>
      <c r="BQ1682" s="2" t="s">
        <v>361</v>
      </c>
      <c r="BR1682" s="2" t="s">
        <v>84</v>
      </c>
      <c r="BS1682" s="3">
        <v>42838</v>
      </c>
      <c r="BT1682" s="4">
        <v>0.33333333333333331</v>
      </c>
      <c r="BU1682" s="2" t="s">
        <v>362</v>
      </c>
      <c r="BV1682" s="2" t="s">
        <v>111</v>
      </c>
      <c r="BW1682" s="2"/>
      <c r="BX1682" s="2"/>
      <c r="BY1682" s="2">
        <v>16809.41</v>
      </c>
      <c r="BZ1682" s="2"/>
      <c r="CA1682" s="2" t="s">
        <v>159</v>
      </c>
      <c r="CB1682" s="2"/>
      <c r="CC1682" s="2" t="s">
        <v>359</v>
      </c>
      <c r="CD1682" s="2">
        <v>6229</v>
      </c>
      <c r="CE1682" s="2" t="s">
        <v>89</v>
      </c>
      <c r="CF1682" s="5">
        <v>42843</v>
      </c>
      <c r="CG1682" s="2"/>
      <c r="CH1682" s="2"/>
      <c r="CI1682" s="2">
        <v>1</v>
      </c>
      <c r="CJ1682" s="2">
        <v>1</v>
      </c>
      <c r="CK1682" s="2">
        <v>21</v>
      </c>
      <c r="CL1682" s="2" t="s">
        <v>86</v>
      </c>
      <c r="CM1682" s="2"/>
    </row>
    <row r="1683" spans="1:91">
      <c r="A1683" s="2" t="s">
        <v>71</v>
      </c>
      <c r="B1683" s="2" t="s">
        <v>72</v>
      </c>
      <c r="C1683" s="2" t="s">
        <v>73</v>
      </c>
      <c r="D1683" s="2"/>
      <c r="E1683" s="2" t="str">
        <f>"FES1162543491"</f>
        <v>FES1162543491</v>
      </c>
      <c r="F1683" s="3">
        <v>42837</v>
      </c>
      <c r="G1683" s="2">
        <v>201710</v>
      </c>
      <c r="H1683" s="2" t="s">
        <v>74</v>
      </c>
      <c r="I1683" s="2" t="s">
        <v>75</v>
      </c>
      <c r="J1683" s="2" t="s">
        <v>76</v>
      </c>
      <c r="K1683" s="2" t="s">
        <v>77</v>
      </c>
      <c r="L1683" s="2" t="s">
        <v>99</v>
      </c>
      <c r="M1683" s="2" t="s">
        <v>100</v>
      </c>
      <c r="N1683" s="2" t="s">
        <v>108</v>
      </c>
      <c r="O1683" s="2" t="s">
        <v>115</v>
      </c>
      <c r="P1683" s="2" t="str">
        <f>"2170562188                    "</f>
        <v xml:space="preserve">2170562188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4.29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1</v>
      </c>
      <c r="BJ1683" s="2">
        <v>0.2</v>
      </c>
      <c r="BK1683" s="2">
        <v>1</v>
      </c>
      <c r="BL1683" s="2">
        <v>41.73</v>
      </c>
      <c r="BM1683" s="2">
        <v>5.84</v>
      </c>
      <c r="BN1683" s="2">
        <v>47.57</v>
      </c>
      <c r="BO1683" s="2">
        <v>47.57</v>
      </c>
      <c r="BP1683" s="2"/>
      <c r="BQ1683" s="2" t="s">
        <v>109</v>
      </c>
      <c r="BR1683" s="2" t="s">
        <v>84</v>
      </c>
      <c r="BS1683" s="3">
        <v>42838</v>
      </c>
      <c r="BT1683" s="4">
        <v>0.375</v>
      </c>
      <c r="BU1683" s="2" t="s">
        <v>110</v>
      </c>
      <c r="BV1683" s="2" t="s">
        <v>111</v>
      </c>
      <c r="BW1683" s="2"/>
      <c r="BX1683" s="2"/>
      <c r="BY1683" s="2">
        <v>1200</v>
      </c>
      <c r="BZ1683" s="2"/>
      <c r="CA1683" s="2" t="s">
        <v>106</v>
      </c>
      <c r="CB1683" s="2"/>
      <c r="CC1683" s="2" t="s">
        <v>100</v>
      </c>
      <c r="CD1683" s="2">
        <v>6001</v>
      </c>
      <c r="CE1683" s="2" t="s">
        <v>118</v>
      </c>
      <c r="CF1683" s="5">
        <v>42838</v>
      </c>
      <c r="CG1683" s="2"/>
      <c r="CH1683" s="2"/>
      <c r="CI1683" s="2">
        <v>1</v>
      </c>
      <c r="CJ1683" s="2">
        <v>1</v>
      </c>
      <c r="CK1683" s="2">
        <v>21</v>
      </c>
      <c r="CL1683" s="2" t="s">
        <v>86</v>
      </c>
      <c r="CM1683" s="2"/>
    </row>
    <row r="1684" spans="1:91">
      <c r="A1684" s="2" t="s">
        <v>71</v>
      </c>
      <c r="B1684" s="2" t="s">
        <v>72</v>
      </c>
      <c r="C1684" s="2" t="s">
        <v>73</v>
      </c>
      <c r="D1684" s="2"/>
      <c r="E1684" s="2" t="str">
        <f>"FES1162543111"</f>
        <v>FES1162543111</v>
      </c>
      <c r="F1684" s="3">
        <v>42837</v>
      </c>
      <c r="G1684" s="2">
        <v>201710</v>
      </c>
      <c r="H1684" s="2" t="s">
        <v>74</v>
      </c>
      <c r="I1684" s="2" t="s">
        <v>75</v>
      </c>
      <c r="J1684" s="2" t="s">
        <v>76</v>
      </c>
      <c r="K1684" s="2" t="s">
        <v>77</v>
      </c>
      <c r="L1684" s="2" t="s">
        <v>99</v>
      </c>
      <c r="M1684" s="2" t="s">
        <v>100</v>
      </c>
      <c r="N1684" s="2" t="s">
        <v>451</v>
      </c>
      <c r="O1684" s="2" t="s">
        <v>115</v>
      </c>
      <c r="P1684" s="2" t="str">
        <f>"2170561874                    "</f>
        <v xml:space="preserve">2170561874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4.29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1</v>
      </c>
      <c r="BJ1684" s="2">
        <v>0.2</v>
      </c>
      <c r="BK1684" s="2">
        <v>1</v>
      </c>
      <c r="BL1684" s="2">
        <v>41.73</v>
      </c>
      <c r="BM1684" s="2">
        <v>5.84</v>
      </c>
      <c r="BN1684" s="2">
        <v>47.57</v>
      </c>
      <c r="BO1684" s="2">
        <v>47.57</v>
      </c>
      <c r="BP1684" s="2"/>
      <c r="BQ1684" s="2" t="s">
        <v>452</v>
      </c>
      <c r="BR1684" s="2" t="s">
        <v>84</v>
      </c>
      <c r="BS1684" s="3">
        <v>42838</v>
      </c>
      <c r="BT1684" s="4">
        <v>0.34722222222222227</v>
      </c>
      <c r="BU1684" s="2" t="s">
        <v>453</v>
      </c>
      <c r="BV1684" s="2" t="s">
        <v>111</v>
      </c>
      <c r="BW1684" s="2"/>
      <c r="BX1684" s="2"/>
      <c r="BY1684" s="2">
        <v>1200</v>
      </c>
      <c r="BZ1684" s="2"/>
      <c r="CA1684" s="2" t="s">
        <v>154</v>
      </c>
      <c r="CB1684" s="2"/>
      <c r="CC1684" s="2" t="s">
        <v>100</v>
      </c>
      <c r="CD1684" s="2">
        <v>6001</v>
      </c>
      <c r="CE1684" s="2" t="s">
        <v>118</v>
      </c>
      <c r="CF1684" s="5">
        <v>42838</v>
      </c>
      <c r="CG1684" s="2"/>
      <c r="CH1684" s="2"/>
      <c r="CI1684" s="2">
        <v>1</v>
      </c>
      <c r="CJ1684" s="2">
        <v>1</v>
      </c>
      <c r="CK1684" s="2">
        <v>21</v>
      </c>
      <c r="CL1684" s="2" t="s">
        <v>86</v>
      </c>
      <c r="CM1684" s="2"/>
    </row>
    <row r="1685" spans="1:91">
      <c r="A1685" s="2" t="s">
        <v>71</v>
      </c>
      <c r="B1685" s="2" t="s">
        <v>72</v>
      </c>
      <c r="C1685" s="2" t="s">
        <v>73</v>
      </c>
      <c r="D1685" s="2"/>
      <c r="E1685" s="2" t="str">
        <f>"FES1162543467"</f>
        <v>FES1162543467</v>
      </c>
      <c r="F1685" s="3">
        <v>42837</v>
      </c>
      <c r="G1685" s="2">
        <v>201710</v>
      </c>
      <c r="H1685" s="2" t="s">
        <v>74</v>
      </c>
      <c r="I1685" s="2" t="s">
        <v>75</v>
      </c>
      <c r="J1685" s="2" t="s">
        <v>76</v>
      </c>
      <c r="K1685" s="2" t="s">
        <v>77</v>
      </c>
      <c r="L1685" s="2" t="s">
        <v>176</v>
      </c>
      <c r="M1685" s="2" t="s">
        <v>176</v>
      </c>
      <c r="N1685" s="2" t="s">
        <v>2191</v>
      </c>
      <c r="O1685" s="2" t="s">
        <v>115</v>
      </c>
      <c r="P1685" s="2" t="str">
        <f>"2170562126                    "</f>
        <v xml:space="preserve">2170562126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5.36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2.2999999999999998</v>
      </c>
      <c r="BJ1685" s="2">
        <v>0.2</v>
      </c>
      <c r="BK1685" s="2">
        <v>2.5</v>
      </c>
      <c r="BL1685" s="2">
        <v>52.16</v>
      </c>
      <c r="BM1685" s="2">
        <v>7.3</v>
      </c>
      <c r="BN1685" s="2">
        <v>59.46</v>
      </c>
      <c r="BO1685" s="2">
        <v>59.46</v>
      </c>
      <c r="BP1685" s="2"/>
      <c r="BQ1685" s="2" t="s">
        <v>122</v>
      </c>
      <c r="BR1685" s="2" t="s">
        <v>84</v>
      </c>
      <c r="BS1685" s="3">
        <v>42838</v>
      </c>
      <c r="BT1685" s="4">
        <v>0.4375</v>
      </c>
      <c r="BU1685" s="2" t="s">
        <v>2192</v>
      </c>
      <c r="BV1685" s="2" t="s">
        <v>111</v>
      </c>
      <c r="BW1685" s="2"/>
      <c r="BX1685" s="2"/>
      <c r="BY1685" s="2">
        <v>1200</v>
      </c>
      <c r="BZ1685" s="2"/>
      <c r="CA1685" s="2"/>
      <c r="CB1685" s="2"/>
      <c r="CC1685" s="2" t="s">
        <v>176</v>
      </c>
      <c r="CD1685" s="2">
        <v>7646</v>
      </c>
      <c r="CE1685" s="2" t="s">
        <v>118</v>
      </c>
      <c r="CF1685" s="5">
        <v>42843</v>
      </c>
      <c r="CG1685" s="2"/>
      <c r="CH1685" s="2"/>
      <c r="CI1685" s="2">
        <v>1</v>
      </c>
      <c r="CJ1685" s="2">
        <v>1</v>
      </c>
      <c r="CK1685" s="2">
        <v>21</v>
      </c>
      <c r="CL1685" s="2" t="s">
        <v>86</v>
      </c>
      <c r="CM1685" s="2"/>
    </row>
    <row r="1686" spans="1:91">
      <c r="A1686" s="2" t="s">
        <v>71</v>
      </c>
      <c r="B1686" s="2" t="s">
        <v>72</v>
      </c>
      <c r="C1686" s="2" t="s">
        <v>73</v>
      </c>
      <c r="D1686" s="2"/>
      <c r="E1686" s="2" t="str">
        <f>"FES1162543486"</f>
        <v>FES1162543486</v>
      </c>
      <c r="F1686" s="3">
        <v>42837</v>
      </c>
      <c r="G1686" s="2">
        <v>201710</v>
      </c>
      <c r="H1686" s="2" t="s">
        <v>74</v>
      </c>
      <c r="I1686" s="2" t="s">
        <v>75</v>
      </c>
      <c r="J1686" s="2" t="s">
        <v>76</v>
      </c>
      <c r="K1686" s="2" t="s">
        <v>77</v>
      </c>
      <c r="L1686" s="2" t="s">
        <v>131</v>
      </c>
      <c r="M1686" s="2" t="s">
        <v>132</v>
      </c>
      <c r="N1686" s="2" t="s">
        <v>2193</v>
      </c>
      <c r="O1686" s="2" t="s">
        <v>115</v>
      </c>
      <c r="P1686" s="2" t="str">
        <f>"2170562180                    "</f>
        <v xml:space="preserve">2170562180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4.29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1</v>
      </c>
      <c r="BJ1686" s="2">
        <v>0.2</v>
      </c>
      <c r="BK1686" s="2">
        <v>1</v>
      </c>
      <c r="BL1686" s="2">
        <v>41.73</v>
      </c>
      <c r="BM1686" s="2">
        <v>5.84</v>
      </c>
      <c r="BN1686" s="2">
        <v>47.57</v>
      </c>
      <c r="BO1686" s="2">
        <v>47.57</v>
      </c>
      <c r="BP1686" s="2"/>
      <c r="BQ1686" s="2" t="s">
        <v>2194</v>
      </c>
      <c r="BR1686" s="2" t="s">
        <v>84</v>
      </c>
      <c r="BS1686" s="3">
        <v>42838</v>
      </c>
      <c r="BT1686" s="4">
        <v>0.41666666666666669</v>
      </c>
      <c r="BU1686" s="2" t="s">
        <v>2195</v>
      </c>
      <c r="BV1686" s="2" t="s">
        <v>111</v>
      </c>
      <c r="BW1686" s="2"/>
      <c r="BX1686" s="2"/>
      <c r="BY1686" s="2">
        <v>1200</v>
      </c>
      <c r="BZ1686" s="2"/>
      <c r="CA1686" s="2"/>
      <c r="CB1686" s="2"/>
      <c r="CC1686" s="2" t="s">
        <v>132</v>
      </c>
      <c r="CD1686" s="2">
        <v>7460</v>
      </c>
      <c r="CE1686" s="2" t="s">
        <v>118</v>
      </c>
      <c r="CF1686" s="5">
        <v>42843</v>
      </c>
      <c r="CG1686" s="2"/>
      <c r="CH1686" s="2"/>
      <c r="CI1686" s="2">
        <v>1</v>
      </c>
      <c r="CJ1686" s="2">
        <v>1</v>
      </c>
      <c r="CK1686" s="2">
        <v>21</v>
      </c>
      <c r="CL1686" s="2" t="s">
        <v>86</v>
      </c>
      <c r="CM1686" s="2"/>
    </row>
    <row r="1687" spans="1:91">
      <c r="A1687" s="2" t="s">
        <v>71</v>
      </c>
      <c r="B1687" s="2" t="s">
        <v>72</v>
      </c>
      <c r="C1687" s="2" t="s">
        <v>73</v>
      </c>
      <c r="D1687" s="2"/>
      <c r="E1687" s="2" t="str">
        <f>"FES1162543473"</f>
        <v>FES1162543473</v>
      </c>
      <c r="F1687" s="3">
        <v>42837</v>
      </c>
      <c r="G1687" s="2">
        <v>201710</v>
      </c>
      <c r="H1687" s="2" t="s">
        <v>74</v>
      </c>
      <c r="I1687" s="2" t="s">
        <v>75</v>
      </c>
      <c r="J1687" s="2" t="s">
        <v>76</v>
      </c>
      <c r="K1687" s="2" t="s">
        <v>77</v>
      </c>
      <c r="L1687" s="2" t="s">
        <v>267</v>
      </c>
      <c r="M1687" s="2" t="s">
        <v>268</v>
      </c>
      <c r="N1687" s="2" t="s">
        <v>1946</v>
      </c>
      <c r="O1687" s="2" t="s">
        <v>115</v>
      </c>
      <c r="P1687" s="2" t="str">
        <f>"2170562171                    "</f>
        <v xml:space="preserve">2170562171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3.35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1</v>
      </c>
      <c r="BJ1687" s="2">
        <v>0.2</v>
      </c>
      <c r="BK1687" s="2">
        <v>1</v>
      </c>
      <c r="BL1687" s="2">
        <v>32.6</v>
      </c>
      <c r="BM1687" s="2">
        <v>4.5599999999999996</v>
      </c>
      <c r="BN1687" s="2">
        <v>37.159999999999997</v>
      </c>
      <c r="BO1687" s="2">
        <v>37.159999999999997</v>
      </c>
      <c r="BP1687" s="2"/>
      <c r="BQ1687" s="2"/>
      <c r="BR1687" s="2" t="s">
        <v>84</v>
      </c>
      <c r="BS1687" s="3">
        <v>42838</v>
      </c>
      <c r="BT1687" s="4">
        <v>0.4375</v>
      </c>
      <c r="BU1687" s="2" t="s">
        <v>1947</v>
      </c>
      <c r="BV1687" s="2" t="s">
        <v>111</v>
      </c>
      <c r="BW1687" s="2"/>
      <c r="BX1687" s="2"/>
      <c r="BY1687" s="2">
        <v>1200</v>
      </c>
      <c r="BZ1687" s="2"/>
      <c r="CA1687" s="2"/>
      <c r="CB1687" s="2"/>
      <c r="CC1687" s="2" t="s">
        <v>268</v>
      </c>
      <c r="CD1687" s="2">
        <v>1709</v>
      </c>
      <c r="CE1687" s="2" t="s">
        <v>118</v>
      </c>
      <c r="CF1687" s="5">
        <v>42843</v>
      </c>
      <c r="CG1687" s="2"/>
      <c r="CH1687" s="2"/>
      <c r="CI1687" s="2">
        <v>1</v>
      </c>
      <c r="CJ1687" s="2">
        <v>1</v>
      </c>
      <c r="CK1687" s="2">
        <v>22</v>
      </c>
      <c r="CL1687" s="2" t="s">
        <v>86</v>
      </c>
      <c r="CM1687" s="2"/>
    </row>
    <row r="1688" spans="1:91">
      <c r="A1688" s="2" t="s">
        <v>71</v>
      </c>
      <c r="B1688" s="2" t="s">
        <v>72</v>
      </c>
      <c r="C1688" s="2" t="s">
        <v>73</v>
      </c>
      <c r="D1688" s="2"/>
      <c r="E1688" s="2" t="str">
        <f>"FES1162543475"</f>
        <v>FES1162543475</v>
      </c>
      <c r="F1688" s="3">
        <v>42837</v>
      </c>
      <c r="G1688" s="2">
        <v>201710</v>
      </c>
      <c r="H1688" s="2" t="s">
        <v>74</v>
      </c>
      <c r="I1688" s="2" t="s">
        <v>75</v>
      </c>
      <c r="J1688" s="2" t="s">
        <v>76</v>
      </c>
      <c r="K1688" s="2" t="s">
        <v>77</v>
      </c>
      <c r="L1688" s="2" t="s">
        <v>131</v>
      </c>
      <c r="M1688" s="2" t="s">
        <v>132</v>
      </c>
      <c r="N1688" s="2" t="s">
        <v>1180</v>
      </c>
      <c r="O1688" s="2" t="s">
        <v>115</v>
      </c>
      <c r="P1688" s="2" t="str">
        <f>"2170562172                    "</f>
        <v xml:space="preserve">2170562172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13.93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6.4</v>
      </c>
      <c r="BJ1688" s="2">
        <v>3.3</v>
      </c>
      <c r="BK1688" s="2">
        <v>6.5</v>
      </c>
      <c r="BL1688" s="2">
        <v>135.61000000000001</v>
      </c>
      <c r="BM1688" s="2">
        <v>18.989999999999998</v>
      </c>
      <c r="BN1688" s="2">
        <v>154.6</v>
      </c>
      <c r="BO1688" s="2">
        <v>154.6</v>
      </c>
      <c r="BP1688" s="2"/>
      <c r="BQ1688" s="2" t="s">
        <v>129</v>
      </c>
      <c r="BR1688" s="2" t="s">
        <v>84</v>
      </c>
      <c r="BS1688" s="3">
        <v>42838</v>
      </c>
      <c r="BT1688" s="4">
        <v>0.41666666666666669</v>
      </c>
      <c r="BU1688" s="2" t="s">
        <v>1181</v>
      </c>
      <c r="BV1688" s="2" t="s">
        <v>111</v>
      </c>
      <c r="BW1688" s="2"/>
      <c r="BX1688" s="2"/>
      <c r="BY1688" s="2">
        <v>16747.5</v>
      </c>
      <c r="BZ1688" s="2"/>
      <c r="CA1688" s="2"/>
      <c r="CB1688" s="2"/>
      <c r="CC1688" s="2" t="s">
        <v>132</v>
      </c>
      <c r="CD1688" s="2">
        <v>7460</v>
      </c>
      <c r="CE1688" s="2" t="s">
        <v>89</v>
      </c>
      <c r="CF1688" s="5">
        <v>42843</v>
      </c>
      <c r="CG1688" s="2"/>
      <c r="CH1688" s="2"/>
      <c r="CI1688" s="2">
        <v>1</v>
      </c>
      <c r="CJ1688" s="2">
        <v>1</v>
      </c>
      <c r="CK1688" s="2">
        <v>21</v>
      </c>
      <c r="CL1688" s="2" t="s">
        <v>86</v>
      </c>
      <c r="CM1688" s="2"/>
    </row>
    <row r="1689" spans="1:91">
      <c r="A1689" s="2" t="s">
        <v>71</v>
      </c>
      <c r="B1689" s="2" t="s">
        <v>72</v>
      </c>
      <c r="C1689" s="2" t="s">
        <v>73</v>
      </c>
      <c r="D1689" s="2"/>
      <c r="E1689" s="2" t="str">
        <f>"FES1162543437"</f>
        <v>FES1162543437</v>
      </c>
      <c r="F1689" s="3">
        <v>42837</v>
      </c>
      <c r="G1689" s="2">
        <v>201710</v>
      </c>
      <c r="H1689" s="2" t="s">
        <v>74</v>
      </c>
      <c r="I1689" s="2" t="s">
        <v>75</v>
      </c>
      <c r="J1689" s="2" t="s">
        <v>76</v>
      </c>
      <c r="K1689" s="2" t="s">
        <v>77</v>
      </c>
      <c r="L1689" s="2" t="s">
        <v>2196</v>
      </c>
      <c r="M1689" s="2" t="s">
        <v>2196</v>
      </c>
      <c r="N1689" s="2" t="s">
        <v>2197</v>
      </c>
      <c r="O1689" s="2" t="s">
        <v>115</v>
      </c>
      <c r="P1689" s="2" t="str">
        <f>"2170561880                    "</f>
        <v xml:space="preserve">2170561880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6.03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1</v>
      </c>
      <c r="BJ1689" s="2">
        <v>0.2</v>
      </c>
      <c r="BK1689" s="2">
        <v>1</v>
      </c>
      <c r="BL1689" s="2">
        <v>58.68</v>
      </c>
      <c r="BM1689" s="2">
        <v>8.2200000000000006</v>
      </c>
      <c r="BN1689" s="2">
        <v>66.900000000000006</v>
      </c>
      <c r="BO1689" s="2">
        <v>66.900000000000006</v>
      </c>
      <c r="BP1689" s="2"/>
      <c r="BQ1689" s="2" t="s">
        <v>2198</v>
      </c>
      <c r="BR1689" s="2" t="s">
        <v>84</v>
      </c>
      <c r="BS1689" s="3">
        <v>42838</v>
      </c>
      <c r="BT1689" s="4">
        <v>0.42708333333333331</v>
      </c>
      <c r="BU1689" s="2" t="s">
        <v>2199</v>
      </c>
      <c r="BV1689" s="2" t="s">
        <v>111</v>
      </c>
      <c r="BW1689" s="2"/>
      <c r="BX1689" s="2"/>
      <c r="BY1689" s="2">
        <v>1200</v>
      </c>
      <c r="BZ1689" s="2"/>
      <c r="CA1689" s="2"/>
      <c r="CB1689" s="2"/>
      <c r="CC1689" s="2" t="s">
        <v>2196</v>
      </c>
      <c r="CD1689" s="2">
        <v>1491</v>
      </c>
      <c r="CE1689" s="2" t="s">
        <v>118</v>
      </c>
      <c r="CF1689" s="5">
        <v>42843</v>
      </c>
      <c r="CG1689" s="2"/>
      <c r="CH1689" s="2"/>
      <c r="CI1689" s="2">
        <v>1</v>
      </c>
      <c r="CJ1689" s="2">
        <v>1</v>
      </c>
      <c r="CK1689" s="2">
        <v>24</v>
      </c>
      <c r="CL1689" s="2" t="s">
        <v>86</v>
      </c>
      <c r="CM1689" s="2"/>
    </row>
    <row r="1690" spans="1:91">
      <c r="A1690" s="2" t="s">
        <v>71</v>
      </c>
      <c r="B1690" s="2" t="s">
        <v>72</v>
      </c>
      <c r="C1690" s="2" t="s">
        <v>73</v>
      </c>
      <c r="D1690" s="2"/>
      <c r="E1690" s="2" t="str">
        <f>"FES1162543331"</f>
        <v>FES1162543331</v>
      </c>
      <c r="F1690" s="3">
        <v>42837</v>
      </c>
      <c r="G1690" s="2">
        <v>201710</v>
      </c>
      <c r="H1690" s="2" t="s">
        <v>74</v>
      </c>
      <c r="I1690" s="2" t="s">
        <v>75</v>
      </c>
      <c r="J1690" s="2" t="s">
        <v>76</v>
      </c>
      <c r="K1690" s="2" t="s">
        <v>77</v>
      </c>
      <c r="L1690" s="2" t="s">
        <v>176</v>
      </c>
      <c r="M1690" s="2" t="s">
        <v>176</v>
      </c>
      <c r="N1690" s="2" t="s">
        <v>1413</v>
      </c>
      <c r="O1690" s="2" t="s">
        <v>115</v>
      </c>
      <c r="P1690" s="2" t="str">
        <f>"2170562002                    "</f>
        <v xml:space="preserve">2170562002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4.29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1</v>
      </c>
      <c r="BJ1690" s="2">
        <v>0.2</v>
      </c>
      <c r="BK1690" s="2">
        <v>1</v>
      </c>
      <c r="BL1690" s="2">
        <v>41.73</v>
      </c>
      <c r="BM1690" s="2">
        <v>5.84</v>
      </c>
      <c r="BN1690" s="2">
        <v>47.57</v>
      </c>
      <c r="BO1690" s="2">
        <v>47.57</v>
      </c>
      <c r="BP1690" s="2"/>
      <c r="BQ1690" s="2" t="s">
        <v>83</v>
      </c>
      <c r="BR1690" s="2" t="s">
        <v>84</v>
      </c>
      <c r="BS1690" s="3">
        <v>42838</v>
      </c>
      <c r="BT1690" s="4">
        <v>0.47916666666666669</v>
      </c>
      <c r="BU1690" s="2" t="s">
        <v>1414</v>
      </c>
      <c r="BV1690" s="2" t="s">
        <v>111</v>
      </c>
      <c r="BW1690" s="2"/>
      <c r="BX1690" s="2"/>
      <c r="BY1690" s="2">
        <v>1200</v>
      </c>
      <c r="BZ1690" s="2"/>
      <c r="CA1690" s="2"/>
      <c r="CB1690" s="2"/>
      <c r="CC1690" s="2" t="s">
        <v>176</v>
      </c>
      <c r="CD1690" s="2">
        <v>7620</v>
      </c>
      <c r="CE1690" s="2" t="s">
        <v>118</v>
      </c>
      <c r="CF1690" s="5">
        <v>42843</v>
      </c>
      <c r="CG1690" s="2"/>
      <c r="CH1690" s="2"/>
      <c r="CI1690" s="2">
        <v>1</v>
      </c>
      <c r="CJ1690" s="2">
        <v>1</v>
      </c>
      <c r="CK1690" s="2">
        <v>21</v>
      </c>
      <c r="CL1690" s="2" t="s">
        <v>86</v>
      </c>
      <c r="CM1690" s="2"/>
    </row>
    <row r="1691" spans="1:91">
      <c r="A1691" s="2" t="s">
        <v>71</v>
      </c>
      <c r="B1691" s="2" t="s">
        <v>72</v>
      </c>
      <c r="C1691" s="2" t="s">
        <v>73</v>
      </c>
      <c r="D1691" s="2"/>
      <c r="E1691" s="2" t="str">
        <f>"FES1162543481"</f>
        <v>FES1162543481</v>
      </c>
      <c r="F1691" s="3">
        <v>42837</v>
      </c>
      <c r="G1691" s="2">
        <v>201710</v>
      </c>
      <c r="H1691" s="2" t="s">
        <v>74</v>
      </c>
      <c r="I1691" s="2" t="s">
        <v>75</v>
      </c>
      <c r="J1691" s="2" t="s">
        <v>76</v>
      </c>
      <c r="K1691" s="2" t="s">
        <v>77</v>
      </c>
      <c r="L1691" s="2" t="s">
        <v>131</v>
      </c>
      <c r="M1691" s="2" t="s">
        <v>132</v>
      </c>
      <c r="N1691" s="2" t="s">
        <v>363</v>
      </c>
      <c r="O1691" s="2" t="s">
        <v>115</v>
      </c>
      <c r="P1691" s="2" t="str">
        <f>"2170562179                    "</f>
        <v xml:space="preserve">2170562179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4.29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1</v>
      </c>
      <c r="BJ1691" s="2">
        <v>0.2</v>
      </c>
      <c r="BK1691" s="2">
        <v>1</v>
      </c>
      <c r="BL1691" s="2">
        <v>41.73</v>
      </c>
      <c r="BM1691" s="2">
        <v>5.84</v>
      </c>
      <c r="BN1691" s="2">
        <v>47.57</v>
      </c>
      <c r="BO1691" s="2">
        <v>47.57</v>
      </c>
      <c r="BP1691" s="2"/>
      <c r="BQ1691" s="2" t="s">
        <v>170</v>
      </c>
      <c r="BR1691" s="2" t="s">
        <v>84</v>
      </c>
      <c r="BS1691" s="3">
        <v>42838</v>
      </c>
      <c r="BT1691" s="4">
        <v>0.41666666666666669</v>
      </c>
      <c r="BU1691" s="2" t="s">
        <v>1934</v>
      </c>
      <c r="BV1691" s="2" t="s">
        <v>111</v>
      </c>
      <c r="BW1691" s="2"/>
      <c r="BX1691" s="2"/>
      <c r="BY1691" s="2">
        <v>1200</v>
      </c>
      <c r="BZ1691" s="2"/>
      <c r="CA1691" s="2"/>
      <c r="CB1691" s="2"/>
      <c r="CC1691" s="2" t="s">
        <v>132</v>
      </c>
      <c r="CD1691" s="2">
        <v>7441</v>
      </c>
      <c r="CE1691" s="2" t="s">
        <v>118</v>
      </c>
      <c r="CF1691" s="5">
        <v>42843</v>
      </c>
      <c r="CG1691" s="2"/>
      <c r="CH1691" s="2"/>
      <c r="CI1691" s="2">
        <v>1</v>
      </c>
      <c r="CJ1691" s="2">
        <v>1</v>
      </c>
      <c r="CK1691" s="2">
        <v>21</v>
      </c>
      <c r="CL1691" s="2" t="s">
        <v>86</v>
      </c>
      <c r="CM1691" s="2"/>
    </row>
    <row r="1692" spans="1:91">
      <c r="A1692" s="2" t="s">
        <v>71</v>
      </c>
      <c r="B1692" s="2" t="s">
        <v>72</v>
      </c>
      <c r="C1692" s="2" t="s">
        <v>73</v>
      </c>
      <c r="D1692" s="2"/>
      <c r="E1692" s="2" t="str">
        <f>"FES1162543449"</f>
        <v>FES1162543449</v>
      </c>
      <c r="F1692" s="3">
        <v>42837</v>
      </c>
      <c r="G1692" s="2">
        <v>201710</v>
      </c>
      <c r="H1692" s="2" t="s">
        <v>74</v>
      </c>
      <c r="I1692" s="2" t="s">
        <v>75</v>
      </c>
      <c r="J1692" s="2" t="s">
        <v>76</v>
      </c>
      <c r="K1692" s="2" t="s">
        <v>77</v>
      </c>
      <c r="L1692" s="2" t="s">
        <v>131</v>
      </c>
      <c r="M1692" s="2" t="s">
        <v>132</v>
      </c>
      <c r="N1692" s="2" t="s">
        <v>384</v>
      </c>
      <c r="O1692" s="2" t="s">
        <v>115</v>
      </c>
      <c r="P1692" s="2" t="str">
        <f>"2170562140                    "</f>
        <v xml:space="preserve">2170562140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11.79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3.4</v>
      </c>
      <c r="BJ1692" s="2">
        <v>5.3</v>
      </c>
      <c r="BK1692" s="2">
        <v>5.5</v>
      </c>
      <c r="BL1692" s="2">
        <v>114.75</v>
      </c>
      <c r="BM1692" s="2">
        <v>16.07</v>
      </c>
      <c r="BN1692" s="2">
        <v>130.82</v>
      </c>
      <c r="BO1692" s="2">
        <v>130.82</v>
      </c>
      <c r="BP1692" s="2"/>
      <c r="BQ1692" s="2" t="s">
        <v>468</v>
      </c>
      <c r="BR1692" s="2" t="s">
        <v>84</v>
      </c>
      <c r="BS1692" s="3">
        <v>42838</v>
      </c>
      <c r="BT1692" s="4">
        <v>0.41666666666666669</v>
      </c>
      <c r="BU1692" s="2" t="s">
        <v>872</v>
      </c>
      <c r="BV1692" s="2" t="s">
        <v>111</v>
      </c>
      <c r="BW1692" s="2"/>
      <c r="BX1692" s="2"/>
      <c r="BY1692" s="2">
        <v>26598.66</v>
      </c>
      <c r="BZ1692" s="2"/>
      <c r="CA1692" s="2"/>
      <c r="CB1692" s="2"/>
      <c r="CC1692" s="2" t="s">
        <v>132</v>
      </c>
      <c r="CD1692" s="2">
        <v>7405</v>
      </c>
      <c r="CE1692" s="2" t="s">
        <v>89</v>
      </c>
      <c r="CF1692" s="5">
        <v>42843</v>
      </c>
      <c r="CG1692" s="2"/>
      <c r="CH1692" s="2"/>
      <c r="CI1692" s="2">
        <v>1</v>
      </c>
      <c r="CJ1692" s="2">
        <v>1</v>
      </c>
      <c r="CK1692" s="2">
        <v>21</v>
      </c>
      <c r="CL1692" s="2" t="s">
        <v>86</v>
      </c>
      <c r="CM1692" s="2"/>
    </row>
    <row r="1693" spans="1:91">
      <c r="A1693" s="2" t="s">
        <v>71</v>
      </c>
      <c r="B1693" s="2" t="s">
        <v>72</v>
      </c>
      <c r="C1693" s="2" t="s">
        <v>73</v>
      </c>
      <c r="D1693" s="2"/>
      <c r="E1693" s="2" t="str">
        <f>"FES1162543364"</f>
        <v>FES1162543364</v>
      </c>
      <c r="F1693" s="3">
        <v>42837</v>
      </c>
      <c r="G1693" s="2">
        <v>201710</v>
      </c>
      <c r="H1693" s="2" t="s">
        <v>74</v>
      </c>
      <c r="I1693" s="2" t="s">
        <v>75</v>
      </c>
      <c r="J1693" s="2" t="s">
        <v>76</v>
      </c>
      <c r="K1693" s="2" t="s">
        <v>77</v>
      </c>
      <c r="L1693" s="2" t="s">
        <v>74</v>
      </c>
      <c r="M1693" s="2" t="s">
        <v>75</v>
      </c>
      <c r="N1693" s="2" t="s">
        <v>436</v>
      </c>
      <c r="O1693" s="2" t="s">
        <v>115</v>
      </c>
      <c r="P1693" s="2" t="str">
        <f>"2170561955                    "</f>
        <v xml:space="preserve">2170561955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3.35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4.5</v>
      </c>
      <c r="BJ1693" s="2">
        <v>3.4</v>
      </c>
      <c r="BK1693" s="2">
        <v>5</v>
      </c>
      <c r="BL1693" s="2">
        <v>32.6</v>
      </c>
      <c r="BM1693" s="2">
        <v>4.5599999999999996</v>
      </c>
      <c r="BN1693" s="2">
        <v>37.159999999999997</v>
      </c>
      <c r="BO1693" s="2">
        <v>37.159999999999997</v>
      </c>
      <c r="BP1693" s="2"/>
      <c r="BQ1693" s="2" t="s">
        <v>437</v>
      </c>
      <c r="BR1693" s="2" t="s">
        <v>84</v>
      </c>
      <c r="BS1693" s="3">
        <v>42838</v>
      </c>
      <c r="BT1693" s="4">
        <v>0.32569444444444445</v>
      </c>
      <c r="BU1693" s="2" t="s">
        <v>1254</v>
      </c>
      <c r="BV1693" s="2" t="s">
        <v>111</v>
      </c>
      <c r="BW1693" s="2"/>
      <c r="BX1693" s="2"/>
      <c r="BY1693" s="2">
        <v>16888.87</v>
      </c>
      <c r="BZ1693" s="2"/>
      <c r="CA1693" s="2" t="s">
        <v>383</v>
      </c>
      <c r="CB1693" s="2"/>
      <c r="CC1693" s="2" t="s">
        <v>75</v>
      </c>
      <c r="CD1693" s="2">
        <v>1600</v>
      </c>
      <c r="CE1693" s="2" t="s">
        <v>89</v>
      </c>
      <c r="CF1693" s="5">
        <v>42838</v>
      </c>
      <c r="CG1693" s="2"/>
      <c r="CH1693" s="2"/>
      <c r="CI1693" s="2">
        <v>1</v>
      </c>
      <c r="CJ1693" s="2">
        <v>1</v>
      </c>
      <c r="CK1693" s="2">
        <v>22</v>
      </c>
      <c r="CL1693" s="2" t="s">
        <v>86</v>
      </c>
      <c r="CM1693" s="2"/>
    </row>
    <row r="1694" spans="1:91">
      <c r="A1694" s="2" t="s">
        <v>71</v>
      </c>
      <c r="B1694" s="2" t="s">
        <v>72</v>
      </c>
      <c r="C1694" s="2" t="s">
        <v>73</v>
      </c>
      <c r="D1694" s="2"/>
      <c r="E1694" s="2" t="str">
        <f>"FES1162543349"</f>
        <v>FES1162543349</v>
      </c>
      <c r="F1694" s="3">
        <v>42837</v>
      </c>
      <c r="G1694" s="2">
        <v>201710</v>
      </c>
      <c r="H1694" s="2" t="s">
        <v>74</v>
      </c>
      <c r="I1694" s="2" t="s">
        <v>75</v>
      </c>
      <c r="J1694" s="2" t="s">
        <v>76</v>
      </c>
      <c r="K1694" s="2" t="s">
        <v>77</v>
      </c>
      <c r="L1694" s="2" t="s">
        <v>131</v>
      </c>
      <c r="M1694" s="2" t="s">
        <v>132</v>
      </c>
      <c r="N1694" s="2" t="s">
        <v>744</v>
      </c>
      <c r="O1694" s="2" t="s">
        <v>115</v>
      </c>
      <c r="P1694" s="2" t="str">
        <f>"2170562028                    "</f>
        <v xml:space="preserve">2170562028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4.29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1</v>
      </c>
      <c r="BJ1694" s="2">
        <v>0.2</v>
      </c>
      <c r="BK1694" s="2">
        <v>1</v>
      </c>
      <c r="BL1694" s="2">
        <v>41.73</v>
      </c>
      <c r="BM1694" s="2">
        <v>5.84</v>
      </c>
      <c r="BN1694" s="2">
        <v>47.57</v>
      </c>
      <c r="BO1694" s="2">
        <v>47.57</v>
      </c>
      <c r="BP1694" s="2"/>
      <c r="BQ1694" s="2" t="s">
        <v>138</v>
      </c>
      <c r="BR1694" s="2" t="s">
        <v>84</v>
      </c>
      <c r="BS1694" s="3">
        <v>42838</v>
      </c>
      <c r="BT1694" s="4">
        <v>0.41666666666666669</v>
      </c>
      <c r="BU1694" s="2" t="s">
        <v>130</v>
      </c>
      <c r="BV1694" s="2" t="s">
        <v>111</v>
      </c>
      <c r="BW1694" s="2"/>
      <c r="BX1694" s="2"/>
      <c r="BY1694" s="2">
        <v>1200</v>
      </c>
      <c r="BZ1694" s="2"/>
      <c r="CA1694" s="2"/>
      <c r="CB1694" s="2"/>
      <c r="CC1694" s="2" t="s">
        <v>132</v>
      </c>
      <c r="CD1694" s="2">
        <v>7405</v>
      </c>
      <c r="CE1694" s="2" t="s">
        <v>118</v>
      </c>
      <c r="CF1694" s="5">
        <v>42843</v>
      </c>
      <c r="CG1694" s="2"/>
      <c r="CH1694" s="2"/>
      <c r="CI1694" s="2">
        <v>1</v>
      </c>
      <c r="CJ1694" s="2">
        <v>1</v>
      </c>
      <c r="CK1694" s="2">
        <v>21</v>
      </c>
      <c r="CL1694" s="2" t="s">
        <v>86</v>
      </c>
      <c r="CM1694" s="2"/>
    </row>
    <row r="1695" spans="1:91">
      <c r="A1695" s="2" t="s">
        <v>71</v>
      </c>
      <c r="B1695" s="2" t="s">
        <v>72</v>
      </c>
      <c r="C1695" s="2" t="s">
        <v>73</v>
      </c>
      <c r="D1695" s="2"/>
      <c r="E1695" s="2" t="str">
        <f>"FES1162543155"</f>
        <v>FES1162543155</v>
      </c>
      <c r="F1695" s="3">
        <v>42837</v>
      </c>
      <c r="G1695" s="2">
        <v>201710</v>
      </c>
      <c r="H1695" s="2" t="s">
        <v>74</v>
      </c>
      <c r="I1695" s="2" t="s">
        <v>75</v>
      </c>
      <c r="J1695" s="2" t="s">
        <v>76</v>
      </c>
      <c r="K1695" s="2" t="s">
        <v>77</v>
      </c>
      <c r="L1695" s="2" t="s">
        <v>176</v>
      </c>
      <c r="M1695" s="2" t="s">
        <v>176</v>
      </c>
      <c r="N1695" s="2" t="s">
        <v>1775</v>
      </c>
      <c r="O1695" s="2" t="s">
        <v>115</v>
      </c>
      <c r="P1695" s="2" t="str">
        <f>"2170561932                    "</f>
        <v xml:space="preserve">2170561932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4.29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1</v>
      </c>
      <c r="BJ1695" s="2">
        <v>0.2</v>
      </c>
      <c r="BK1695" s="2">
        <v>1</v>
      </c>
      <c r="BL1695" s="2">
        <v>41.73</v>
      </c>
      <c r="BM1695" s="2">
        <v>5.84</v>
      </c>
      <c r="BN1695" s="2">
        <v>47.57</v>
      </c>
      <c r="BO1695" s="2">
        <v>47.57</v>
      </c>
      <c r="BP1695" s="2"/>
      <c r="BQ1695" s="2" t="s">
        <v>122</v>
      </c>
      <c r="BR1695" s="2" t="s">
        <v>84</v>
      </c>
      <c r="BS1695" s="3">
        <v>42838</v>
      </c>
      <c r="BT1695" s="4">
        <v>0.41111111111111115</v>
      </c>
      <c r="BU1695" s="2" t="s">
        <v>2200</v>
      </c>
      <c r="BV1695" s="2" t="s">
        <v>111</v>
      </c>
      <c r="BW1695" s="2"/>
      <c r="BX1695" s="2"/>
      <c r="BY1695" s="2">
        <v>1200</v>
      </c>
      <c r="BZ1695" s="2"/>
      <c r="CA1695" s="2"/>
      <c r="CB1695" s="2"/>
      <c r="CC1695" s="2" t="s">
        <v>176</v>
      </c>
      <c r="CD1695" s="2">
        <v>7646</v>
      </c>
      <c r="CE1695" s="2" t="s">
        <v>118</v>
      </c>
      <c r="CF1695" s="5">
        <v>42843</v>
      </c>
      <c r="CG1695" s="2"/>
      <c r="CH1695" s="2"/>
      <c r="CI1695" s="2">
        <v>1</v>
      </c>
      <c r="CJ1695" s="2">
        <v>1</v>
      </c>
      <c r="CK1695" s="2">
        <v>21</v>
      </c>
      <c r="CL1695" s="2" t="s">
        <v>86</v>
      </c>
      <c r="CM1695" s="2"/>
    </row>
    <row r="1696" spans="1:91">
      <c r="A1696" s="2" t="s">
        <v>71</v>
      </c>
      <c r="B1696" s="2" t="s">
        <v>72</v>
      </c>
      <c r="C1696" s="2" t="s">
        <v>73</v>
      </c>
      <c r="D1696" s="2"/>
      <c r="E1696" s="2" t="str">
        <f>"FES1162543487"</f>
        <v>FES1162543487</v>
      </c>
      <c r="F1696" s="3">
        <v>42837</v>
      </c>
      <c r="G1696" s="2">
        <v>201710</v>
      </c>
      <c r="H1696" s="2" t="s">
        <v>74</v>
      </c>
      <c r="I1696" s="2" t="s">
        <v>75</v>
      </c>
      <c r="J1696" s="2" t="s">
        <v>76</v>
      </c>
      <c r="K1696" s="2" t="s">
        <v>77</v>
      </c>
      <c r="L1696" s="2" t="s">
        <v>180</v>
      </c>
      <c r="M1696" s="2" t="s">
        <v>181</v>
      </c>
      <c r="N1696" s="2" t="s">
        <v>2201</v>
      </c>
      <c r="O1696" s="2" t="s">
        <v>115</v>
      </c>
      <c r="P1696" s="2" t="str">
        <f>"2170562181                    "</f>
        <v xml:space="preserve">2170562181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4.29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1</v>
      </c>
      <c r="BJ1696" s="2">
        <v>0.2</v>
      </c>
      <c r="BK1696" s="2">
        <v>1</v>
      </c>
      <c r="BL1696" s="2">
        <v>41.73</v>
      </c>
      <c r="BM1696" s="2">
        <v>5.84</v>
      </c>
      <c r="BN1696" s="2">
        <v>47.57</v>
      </c>
      <c r="BO1696" s="2">
        <v>47.57</v>
      </c>
      <c r="BP1696" s="2"/>
      <c r="BQ1696" s="2" t="s">
        <v>2202</v>
      </c>
      <c r="BR1696" s="2" t="s">
        <v>84</v>
      </c>
      <c r="BS1696" s="3">
        <v>42838</v>
      </c>
      <c r="BT1696" s="4">
        <v>0.4375</v>
      </c>
      <c r="BU1696" s="2" t="s">
        <v>2203</v>
      </c>
      <c r="BV1696" s="2" t="s">
        <v>111</v>
      </c>
      <c r="BW1696" s="2"/>
      <c r="BX1696" s="2"/>
      <c r="BY1696" s="2">
        <v>1200</v>
      </c>
      <c r="BZ1696" s="2"/>
      <c r="CA1696" s="2" t="s">
        <v>159</v>
      </c>
      <c r="CB1696" s="2"/>
      <c r="CC1696" s="2" t="s">
        <v>181</v>
      </c>
      <c r="CD1696" s="2">
        <v>4052</v>
      </c>
      <c r="CE1696" s="2" t="s">
        <v>118</v>
      </c>
      <c r="CF1696" s="5">
        <v>42843</v>
      </c>
      <c r="CG1696" s="2"/>
      <c r="CH1696" s="2"/>
      <c r="CI1696" s="2">
        <v>1</v>
      </c>
      <c r="CJ1696" s="2">
        <v>1</v>
      </c>
      <c r="CK1696" s="2">
        <v>21</v>
      </c>
      <c r="CL1696" s="2" t="s">
        <v>86</v>
      </c>
      <c r="CM1696" s="2"/>
    </row>
    <row r="1697" spans="1:91">
      <c r="A1697" s="2" t="s">
        <v>71</v>
      </c>
      <c r="B1697" s="2" t="s">
        <v>72</v>
      </c>
      <c r="C1697" s="2" t="s">
        <v>73</v>
      </c>
      <c r="D1697" s="2"/>
      <c r="E1697" s="2" t="str">
        <f>"FES1162543336"</f>
        <v>FES1162543336</v>
      </c>
      <c r="F1697" s="3">
        <v>42837</v>
      </c>
      <c r="G1697" s="2">
        <v>201710</v>
      </c>
      <c r="H1697" s="2" t="s">
        <v>74</v>
      </c>
      <c r="I1697" s="2" t="s">
        <v>75</v>
      </c>
      <c r="J1697" s="2" t="s">
        <v>76</v>
      </c>
      <c r="K1697" s="2" t="s">
        <v>77</v>
      </c>
      <c r="L1697" s="2" t="s">
        <v>176</v>
      </c>
      <c r="M1697" s="2" t="s">
        <v>176</v>
      </c>
      <c r="N1697" s="2" t="s">
        <v>1413</v>
      </c>
      <c r="O1697" s="2" t="s">
        <v>115</v>
      </c>
      <c r="P1697" s="2" t="str">
        <f>"2170562011                    "</f>
        <v xml:space="preserve">2170562011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4.29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1</v>
      </c>
      <c r="BJ1697" s="2">
        <v>0.2</v>
      </c>
      <c r="BK1697" s="2">
        <v>1</v>
      </c>
      <c r="BL1697" s="2">
        <v>41.73</v>
      </c>
      <c r="BM1697" s="2">
        <v>5.84</v>
      </c>
      <c r="BN1697" s="2">
        <v>47.57</v>
      </c>
      <c r="BO1697" s="2">
        <v>47.57</v>
      </c>
      <c r="BP1697" s="2"/>
      <c r="BQ1697" s="2" t="s">
        <v>83</v>
      </c>
      <c r="BR1697" s="2" t="s">
        <v>84</v>
      </c>
      <c r="BS1697" s="3">
        <v>42838</v>
      </c>
      <c r="BT1697" s="4">
        <v>0.47916666666666669</v>
      </c>
      <c r="BU1697" s="2" t="s">
        <v>1414</v>
      </c>
      <c r="BV1697" s="2" t="s">
        <v>111</v>
      </c>
      <c r="BW1697" s="2"/>
      <c r="BX1697" s="2"/>
      <c r="BY1697" s="2">
        <v>1200</v>
      </c>
      <c r="BZ1697" s="2"/>
      <c r="CA1697" s="2"/>
      <c r="CB1697" s="2"/>
      <c r="CC1697" s="2" t="s">
        <v>176</v>
      </c>
      <c r="CD1697" s="2">
        <v>7620</v>
      </c>
      <c r="CE1697" s="2" t="s">
        <v>118</v>
      </c>
      <c r="CF1697" s="5">
        <v>42843</v>
      </c>
      <c r="CG1697" s="2"/>
      <c r="CH1697" s="2"/>
      <c r="CI1697" s="2">
        <v>1</v>
      </c>
      <c r="CJ1697" s="2">
        <v>1</v>
      </c>
      <c r="CK1697" s="2">
        <v>21</v>
      </c>
      <c r="CL1697" s="2" t="s">
        <v>86</v>
      </c>
      <c r="CM1697" s="2"/>
    </row>
    <row r="1698" spans="1:91">
      <c r="A1698" s="2" t="s">
        <v>71</v>
      </c>
      <c r="B1698" s="2" t="s">
        <v>72</v>
      </c>
      <c r="C1698" s="2" t="s">
        <v>73</v>
      </c>
      <c r="D1698" s="2"/>
      <c r="E1698" s="2" t="str">
        <f>"FES1162543363"</f>
        <v>FES1162543363</v>
      </c>
      <c r="F1698" s="3">
        <v>42837</v>
      </c>
      <c r="G1698" s="2">
        <v>201710</v>
      </c>
      <c r="H1698" s="2" t="s">
        <v>74</v>
      </c>
      <c r="I1698" s="2" t="s">
        <v>75</v>
      </c>
      <c r="J1698" s="2" t="s">
        <v>76</v>
      </c>
      <c r="K1698" s="2" t="s">
        <v>77</v>
      </c>
      <c r="L1698" s="2" t="s">
        <v>131</v>
      </c>
      <c r="M1698" s="2" t="s">
        <v>132</v>
      </c>
      <c r="N1698" s="2" t="s">
        <v>677</v>
      </c>
      <c r="O1698" s="2" t="s">
        <v>115</v>
      </c>
      <c r="P1698" s="2" t="str">
        <f>"2170561804                    "</f>
        <v xml:space="preserve">2170561804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4.29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1</v>
      </c>
      <c r="BI1698" s="2">
        <v>1</v>
      </c>
      <c r="BJ1698" s="2">
        <v>1.4</v>
      </c>
      <c r="BK1698" s="2">
        <v>1.5</v>
      </c>
      <c r="BL1698" s="2">
        <v>41.73</v>
      </c>
      <c r="BM1698" s="2">
        <v>5.84</v>
      </c>
      <c r="BN1698" s="2">
        <v>47.57</v>
      </c>
      <c r="BO1698" s="2">
        <v>47.57</v>
      </c>
      <c r="BP1698" s="2"/>
      <c r="BQ1698" s="2" t="s">
        <v>678</v>
      </c>
      <c r="BR1698" s="2" t="s">
        <v>84</v>
      </c>
      <c r="BS1698" s="3">
        <v>42838</v>
      </c>
      <c r="BT1698" s="4">
        <v>0.3923611111111111</v>
      </c>
      <c r="BU1698" s="2" t="s">
        <v>2204</v>
      </c>
      <c r="BV1698" s="2" t="s">
        <v>111</v>
      </c>
      <c r="BW1698" s="2"/>
      <c r="BX1698" s="2"/>
      <c r="BY1698" s="2">
        <v>6883.17</v>
      </c>
      <c r="BZ1698" s="2"/>
      <c r="CA1698" s="2"/>
      <c r="CB1698" s="2"/>
      <c r="CC1698" s="2" t="s">
        <v>132</v>
      </c>
      <c r="CD1698" s="2">
        <v>7800</v>
      </c>
      <c r="CE1698" s="2" t="s">
        <v>89</v>
      </c>
      <c r="CF1698" s="5">
        <v>42843</v>
      </c>
      <c r="CG1698" s="2"/>
      <c r="CH1698" s="2"/>
      <c r="CI1698" s="2">
        <v>1</v>
      </c>
      <c r="CJ1698" s="2">
        <v>1</v>
      </c>
      <c r="CK1698" s="2">
        <v>21</v>
      </c>
      <c r="CL1698" s="2" t="s">
        <v>86</v>
      </c>
      <c r="CM1698" s="2"/>
    </row>
    <row r="1699" spans="1:91">
      <c r="A1699" s="2" t="s">
        <v>71</v>
      </c>
      <c r="B1699" s="2" t="s">
        <v>72</v>
      </c>
      <c r="C1699" s="2" t="s">
        <v>73</v>
      </c>
      <c r="D1699" s="2"/>
      <c r="E1699" s="2" t="str">
        <f>"FES1162543254"</f>
        <v>FES1162543254</v>
      </c>
      <c r="F1699" s="3">
        <v>42837</v>
      </c>
      <c r="G1699" s="2">
        <v>201710</v>
      </c>
      <c r="H1699" s="2" t="s">
        <v>74</v>
      </c>
      <c r="I1699" s="2" t="s">
        <v>75</v>
      </c>
      <c r="J1699" s="2" t="s">
        <v>76</v>
      </c>
      <c r="K1699" s="2" t="s">
        <v>77</v>
      </c>
      <c r="L1699" s="2" t="s">
        <v>131</v>
      </c>
      <c r="M1699" s="2" t="s">
        <v>132</v>
      </c>
      <c r="N1699" s="2" t="s">
        <v>1261</v>
      </c>
      <c r="O1699" s="2" t="s">
        <v>115</v>
      </c>
      <c r="P1699" s="2" t="str">
        <f>"2170559346                    "</f>
        <v xml:space="preserve">2170559346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4.29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1.1000000000000001</v>
      </c>
      <c r="BJ1699" s="2">
        <v>1.4</v>
      </c>
      <c r="BK1699" s="2">
        <v>1.5</v>
      </c>
      <c r="BL1699" s="2">
        <v>41.73</v>
      </c>
      <c r="BM1699" s="2">
        <v>5.84</v>
      </c>
      <c r="BN1699" s="2">
        <v>47.57</v>
      </c>
      <c r="BO1699" s="2">
        <v>47.57</v>
      </c>
      <c r="BP1699" s="2"/>
      <c r="BQ1699" s="2" t="s">
        <v>129</v>
      </c>
      <c r="BR1699" s="2" t="s">
        <v>84</v>
      </c>
      <c r="BS1699" s="3">
        <v>42838</v>
      </c>
      <c r="BT1699" s="4">
        <v>0.37916666666666665</v>
      </c>
      <c r="BU1699" s="2" t="s">
        <v>1262</v>
      </c>
      <c r="BV1699" s="2" t="s">
        <v>111</v>
      </c>
      <c r="BW1699" s="2"/>
      <c r="BX1699" s="2"/>
      <c r="BY1699" s="2">
        <v>6869.6</v>
      </c>
      <c r="BZ1699" s="2"/>
      <c r="CA1699" s="2"/>
      <c r="CB1699" s="2"/>
      <c r="CC1699" s="2" t="s">
        <v>132</v>
      </c>
      <c r="CD1699" s="2">
        <v>7530</v>
      </c>
      <c r="CE1699" s="2" t="s">
        <v>89</v>
      </c>
      <c r="CF1699" s="5">
        <v>42843</v>
      </c>
      <c r="CG1699" s="2"/>
      <c r="CH1699" s="2"/>
      <c r="CI1699" s="2">
        <v>1</v>
      </c>
      <c r="CJ1699" s="2">
        <v>1</v>
      </c>
      <c r="CK1699" s="2">
        <v>21</v>
      </c>
      <c r="CL1699" s="2" t="s">
        <v>86</v>
      </c>
      <c r="CM1699" s="2"/>
    </row>
    <row r="1700" spans="1:91">
      <c r="A1700" s="2" t="s">
        <v>71</v>
      </c>
      <c r="B1700" s="2" t="s">
        <v>72</v>
      </c>
      <c r="C1700" s="2" t="s">
        <v>73</v>
      </c>
      <c r="D1700" s="2"/>
      <c r="E1700" s="2" t="str">
        <f>"FES1162543218"</f>
        <v>FES1162543218</v>
      </c>
      <c r="F1700" s="3">
        <v>42837</v>
      </c>
      <c r="G1700" s="2">
        <v>201710</v>
      </c>
      <c r="H1700" s="2" t="s">
        <v>74</v>
      </c>
      <c r="I1700" s="2" t="s">
        <v>75</v>
      </c>
      <c r="J1700" s="2" t="s">
        <v>76</v>
      </c>
      <c r="K1700" s="2" t="s">
        <v>77</v>
      </c>
      <c r="L1700" s="2" t="s">
        <v>131</v>
      </c>
      <c r="M1700" s="2" t="s">
        <v>132</v>
      </c>
      <c r="N1700" s="2" t="s">
        <v>744</v>
      </c>
      <c r="O1700" s="2" t="s">
        <v>115</v>
      </c>
      <c r="P1700" s="2" t="str">
        <f>"2170561980                    "</f>
        <v xml:space="preserve">2170561980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4.29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1</v>
      </c>
      <c r="BJ1700" s="2">
        <v>0.2</v>
      </c>
      <c r="BK1700" s="2">
        <v>1</v>
      </c>
      <c r="BL1700" s="2">
        <v>41.73</v>
      </c>
      <c r="BM1700" s="2">
        <v>5.84</v>
      </c>
      <c r="BN1700" s="2">
        <v>47.57</v>
      </c>
      <c r="BO1700" s="2">
        <v>47.57</v>
      </c>
      <c r="BP1700" s="2"/>
      <c r="BQ1700" s="2" t="s">
        <v>138</v>
      </c>
      <c r="BR1700" s="2" t="s">
        <v>84</v>
      </c>
      <c r="BS1700" s="3">
        <v>42838</v>
      </c>
      <c r="BT1700" s="4">
        <v>0.41666666666666669</v>
      </c>
      <c r="BU1700" s="2" t="s">
        <v>130</v>
      </c>
      <c r="BV1700" s="2" t="s">
        <v>111</v>
      </c>
      <c r="BW1700" s="2"/>
      <c r="BX1700" s="2"/>
      <c r="BY1700" s="2">
        <v>1200</v>
      </c>
      <c r="BZ1700" s="2"/>
      <c r="CA1700" s="2"/>
      <c r="CB1700" s="2"/>
      <c r="CC1700" s="2" t="s">
        <v>132</v>
      </c>
      <c r="CD1700" s="2">
        <v>7405</v>
      </c>
      <c r="CE1700" s="2" t="s">
        <v>118</v>
      </c>
      <c r="CF1700" s="5">
        <v>42843</v>
      </c>
      <c r="CG1700" s="2"/>
      <c r="CH1700" s="2"/>
      <c r="CI1700" s="2">
        <v>1</v>
      </c>
      <c r="CJ1700" s="2">
        <v>1</v>
      </c>
      <c r="CK1700" s="2">
        <v>21</v>
      </c>
      <c r="CL1700" s="2" t="s">
        <v>86</v>
      </c>
      <c r="CM1700" s="2"/>
    </row>
    <row r="1701" spans="1:91">
      <c r="A1701" s="2" t="s">
        <v>71</v>
      </c>
      <c r="B1701" s="2" t="s">
        <v>72</v>
      </c>
      <c r="C1701" s="2" t="s">
        <v>73</v>
      </c>
      <c r="D1701" s="2"/>
      <c r="E1701" s="2" t="str">
        <f>"FES1162543442"</f>
        <v>FES1162543442</v>
      </c>
      <c r="F1701" s="3">
        <v>42837</v>
      </c>
      <c r="G1701" s="2">
        <v>201710</v>
      </c>
      <c r="H1701" s="2" t="s">
        <v>74</v>
      </c>
      <c r="I1701" s="2" t="s">
        <v>75</v>
      </c>
      <c r="J1701" s="2" t="s">
        <v>76</v>
      </c>
      <c r="K1701" s="2" t="s">
        <v>77</v>
      </c>
      <c r="L1701" s="2" t="s">
        <v>591</v>
      </c>
      <c r="M1701" s="2" t="s">
        <v>592</v>
      </c>
      <c r="N1701" s="2" t="s">
        <v>593</v>
      </c>
      <c r="O1701" s="2" t="s">
        <v>115</v>
      </c>
      <c r="P1701" s="2" t="str">
        <f>"2170561984                    "</f>
        <v xml:space="preserve">2170561984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4.29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1</v>
      </c>
      <c r="BJ1701" s="2">
        <v>0.2</v>
      </c>
      <c r="BK1701" s="2">
        <v>1</v>
      </c>
      <c r="BL1701" s="2">
        <v>41.73</v>
      </c>
      <c r="BM1701" s="2">
        <v>5.84</v>
      </c>
      <c r="BN1701" s="2">
        <v>47.57</v>
      </c>
      <c r="BO1701" s="2">
        <v>47.57</v>
      </c>
      <c r="BP1701" s="2"/>
      <c r="BQ1701" s="2" t="s">
        <v>594</v>
      </c>
      <c r="BR1701" s="2" t="s">
        <v>84</v>
      </c>
      <c r="BS1701" s="3">
        <v>42838</v>
      </c>
      <c r="BT1701" s="4">
        <v>0.41666666666666669</v>
      </c>
      <c r="BU1701" s="2" t="s">
        <v>2205</v>
      </c>
      <c r="BV1701" s="2" t="s">
        <v>111</v>
      </c>
      <c r="BW1701" s="2"/>
      <c r="BX1701" s="2"/>
      <c r="BY1701" s="2">
        <v>1200</v>
      </c>
      <c r="BZ1701" s="2"/>
      <c r="CA1701" s="2"/>
      <c r="CB1701" s="2"/>
      <c r="CC1701" s="2" t="s">
        <v>592</v>
      </c>
      <c r="CD1701" s="2">
        <v>7599</v>
      </c>
      <c r="CE1701" s="2" t="s">
        <v>118</v>
      </c>
      <c r="CF1701" s="5">
        <v>42843</v>
      </c>
      <c r="CG1701" s="2"/>
      <c r="CH1701" s="2"/>
      <c r="CI1701" s="2">
        <v>1</v>
      </c>
      <c r="CJ1701" s="2">
        <v>1</v>
      </c>
      <c r="CK1701" s="2">
        <v>21</v>
      </c>
      <c r="CL1701" s="2" t="s">
        <v>86</v>
      </c>
      <c r="CM1701" s="2"/>
    </row>
    <row r="1702" spans="1:91">
      <c r="A1702" s="2" t="s">
        <v>71</v>
      </c>
      <c r="B1702" s="2" t="s">
        <v>72</v>
      </c>
      <c r="C1702" s="2" t="s">
        <v>73</v>
      </c>
      <c r="D1702" s="2"/>
      <c r="E1702" s="2" t="str">
        <f>"FES1162543248"</f>
        <v>FES1162543248</v>
      </c>
      <c r="F1702" s="3">
        <v>42837</v>
      </c>
      <c r="G1702" s="2">
        <v>201710</v>
      </c>
      <c r="H1702" s="2" t="s">
        <v>74</v>
      </c>
      <c r="I1702" s="2" t="s">
        <v>75</v>
      </c>
      <c r="J1702" s="2" t="s">
        <v>76</v>
      </c>
      <c r="K1702" s="2" t="s">
        <v>77</v>
      </c>
      <c r="L1702" s="2" t="s">
        <v>131</v>
      </c>
      <c r="M1702" s="2" t="s">
        <v>132</v>
      </c>
      <c r="N1702" s="2" t="s">
        <v>1439</v>
      </c>
      <c r="O1702" s="2" t="s">
        <v>115</v>
      </c>
      <c r="P1702" s="2" t="str">
        <f>"2170559283                    "</f>
        <v xml:space="preserve">2170559283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4.29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1</v>
      </c>
      <c r="BJ1702" s="2">
        <v>0.2</v>
      </c>
      <c r="BK1702" s="2">
        <v>1</v>
      </c>
      <c r="BL1702" s="2">
        <v>41.73</v>
      </c>
      <c r="BM1702" s="2">
        <v>5.84</v>
      </c>
      <c r="BN1702" s="2">
        <v>47.57</v>
      </c>
      <c r="BO1702" s="2">
        <v>47.57</v>
      </c>
      <c r="BP1702" s="2"/>
      <c r="BQ1702" s="2" t="s">
        <v>1440</v>
      </c>
      <c r="BR1702" s="2" t="s">
        <v>84</v>
      </c>
      <c r="BS1702" s="3">
        <v>42838</v>
      </c>
      <c r="BT1702" s="4">
        <v>0.39583333333333331</v>
      </c>
      <c r="BU1702" s="2" t="s">
        <v>1918</v>
      </c>
      <c r="BV1702" s="2" t="s">
        <v>111</v>
      </c>
      <c r="BW1702" s="2"/>
      <c r="BX1702" s="2"/>
      <c r="BY1702" s="2">
        <v>1200</v>
      </c>
      <c r="BZ1702" s="2"/>
      <c r="CA1702" s="2"/>
      <c r="CB1702" s="2"/>
      <c r="CC1702" s="2" t="s">
        <v>132</v>
      </c>
      <c r="CD1702" s="2">
        <v>7490</v>
      </c>
      <c r="CE1702" s="2" t="s">
        <v>118</v>
      </c>
      <c r="CF1702" s="5">
        <v>42843</v>
      </c>
      <c r="CG1702" s="2"/>
      <c r="CH1702" s="2"/>
      <c r="CI1702" s="2">
        <v>1</v>
      </c>
      <c r="CJ1702" s="2">
        <v>1</v>
      </c>
      <c r="CK1702" s="2">
        <v>21</v>
      </c>
      <c r="CL1702" s="2" t="s">
        <v>86</v>
      </c>
      <c r="CM1702" s="2"/>
    </row>
    <row r="1703" spans="1:91">
      <c r="A1703" s="2" t="s">
        <v>71</v>
      </c>
      <c r="B1703" s="2" t="s">
        <v>72</v>
      </c>
      <c r="C1703" s="2" t="s">
        <v>73</v>
      </c>
      <c r="D1703" s="2"/>
      <c r="E1703" s="2" t="str">
        <f>"FES1162543208"</f>
        <v>FES1162543208</v>
      </c>
      <c r="F1703" s="3">
        <v>42837</v>
      </c>
      <c r="G1703" s="2">
        <v>201710</v>
      </c>
      <c r="H1703" s="2" t="s">
        <v>74</v>
      </c>
      <c r="I1703" s="2" t="s">
        <v>75</v>
      </c>
      <c r="J1703" s="2" t="s">
        <v>76</v>
      </c>
      <c r="K1703" s="2" t="s">
        <v>77</v>
      </c>
      <c r="L1703" s="2" t="s">
        <v>176</v>
      </c>
      <c r="M1703" s="2" t="s">
        <v>176</v>
      </c>
      <c r="N1703" s="2" t="s">
        <v>177</v>
      </c>
      <c r="O1703" s="2" t="s">
        <v>115</v>
      </c>
      <c r="P1703" s="2" t="str">
        <f>"2170561970                    "</f>
        <v xml:space="preserve">2170561970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4.29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1.3</v>
      </c>
      <c r="BJ1703" s="2">
        <v>1.4</v>
      </c>
      <c r="BK1703" s="2">
        <v>1.5</v>
      </c>
      <c r="BL1703" s="2">
        <v>41.73</v>
      </c>
      <c r="BM1703" s="2">
        <v>5.84</v>
      </c>
      <c r="BN1703" s="2">
        <v>47.57</v>
      </c>
      <c r="BO1703" s="2">
        <v>47.57</v>
      </c>
      <c r="BP1703" s="2"/>
      <c r="BQ1703" s="2" t="s">
        <v>178</v>
      </c>
      <c r="BR1703" s="2" t="s">
        <v>84</v>
      </c>
      <c r="BS1703" s="3">
        <v>42838</v>
      </c>
      <c r="BT1703" s="4">
        <v>0.44444444444444442</v>
      </c>
      <c r="BU1703" s="2" t="s">
        <v>179</v>
      </c>
      <c r="BV1703" s="2" t="s">
        <v>111</v>
      </c>
      <c r="BW1703" s="2"/>
      <c r="BX1703" s="2"/>
      <c r="BY1703" s="2">
        <v>7086.77</v>
      </c>
      <c r="BZ1703" s="2"/>
      <c r="CA1703" s="2"/>
      <c r="CB1703" s="2"/>
      <c r="CC1703" s="2" t="s">
        <v>176</v>
      </c>
      <c r="CD1703" s="2">
        <v>7646</v>
      </c>
      <c r="CE1703" s="2" t="s">
        <v>89</v>
      </c>
      <c r="CF1703" s="5">
        <v>42843</v>
      </c>
      <c r="CG1703" s="2"/>
      <c r="CH1703" s="2"/>
      <c r="CI1703" s="2">
        <v>1</v>
      </c>
      <c r="CJ1703" s="2">
        <v>1</v>
      </c>
      <c r="CK1703" s="2">
        <v>21</v>
      </c>
      <c r="CL1703" s="2" t="s">
        <v>86</v>
      </c>
      <c r="CM1703" s="2"/>
    </row>
    <row r="1704" spans="1:91">
      <c r="A1704" s="2" t="s">
        <v>71</v>
      </c>
      <c r="B1704" s="2" t="s">
        <v>72</v>
      </c>
      <c r="C1704" s="2" t="s">
        <v>73</v>
      </c>
      <c r="D1704" s="2"/>
      <c r="E1704" s="2" t="str">
        <f>"FES1162543187"</f>
        <v>FES1162543187</v>
      </c>
      <c r="F1704" s="3">
        <v>42837</v>
      </c>
      <c r="G1704" s="2">
        <v>201710</v>
      </c>
      <c r="H1704" s="2" t="s">
        <v>74</v>
      </c>
      <c r="I1704" s="2" t="s">
        <v>75</v>
      </c>
      <c r="J1704" s="2" t="s">
        <v>76</v>
      </c>
      <c r="K1704" s="2" t="s">
        <v>77</v>
      </c>
      <c r="L1704" s="2" t="s">
        <v>131</v>
      </c>
      <c r="M1704" s="2" t="s">
        <v>132</v>
      </c>
      <c r="N1704" s="2" t="s">
        <v>1180</v>
      </c>
      <c r="O1704" s="2" t="s">
        <v>115</v>
      </c>
      <c r="P1704" s="2" t="str">
        <f>"2170560490                    "</f>
        <v xml:space="preserve">2170560490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6.43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1.2</v>
      </c>
      <c r="BJ1704" s="2">
        <v>2.7</v>
      </c>
      <c r="BK1704" s="2">
        <v>3</v>
      </c>
      <c r="BL1704" s="2">
        <v>62.59</v>
      </c>
      <c r="BM1704" s="2">
        <v>8.76</v>
      </c>
      <c r="BN1704" s="2">
        <v>71.349999999999994</v>
      </c>
      <c r="BO1704" s="2">
        <v>71.349999999999994</v>
      </c>
      <c r="BP1704" s="2"/>
      <c r="BQ1704" s="2" t="s">
        <v>129</v>
      </c>
      <c r="BR1704" s="2" t="s">
        <v>84</v>
      </c>
      <c r="BS1704" s="3">
        <v>42838</v>
      </c>
      <c r="BT1704" s="4">
        <v>0.41666666666666669</v>
      </c>
      <c r="BU1704" s="2" t="s">
        <v>1181</v>
      </c>
      <c r="BV1704" s="2" t="s">
        <v>111</v>
      </c>
      <c r="BW1704" s="2"/>
      <c r="BX1704" s="2"/>
      <c r="BY1704" s="2">
        <v>13627.05</v>
      </c>
      <c r="BZ1704" s="2"/>
      <c r="CA1704" s="2"/>
      <c r="CB1704" s="2"/>
      <c r="CC1704" s="2" t="s">
        <v>132</v>
      </c>
      <c r="CD1704" s="2">
        <v>7460</v>
      </c>
      <c r="CE1704" s="2" t="s">
        <v>172</v>
      </c>
      <c r="CF1704" s="5">
        <v>42843</v>
      </c>
      <c r="CG1704" s="2"/>
      <c r="CH1704" s="2"/>
      <c r="CI1704" s="2">
        <v>1</v>
      </c>
      <c r="CJ1704" s="2">
        <v>1</v>
      </c>
      <c r="CK1704" s="2">
        <v>21</v>
      </c>
      <c r="CL1704" s="2" t="s">
        <v>86</v>
      </c>
      <c r="CM1704" s="2"/>
    </row>
    <row r="1705" spans="1:91">
      <c r="A1705" s="2" t="s">
        <v>71</v>
      </c>
      <c r="B1705" s="2" t="s">
        <v>72</v>
      </c>
      <c r="C1705" s="2" t="s">
        <v>73</v>
      </c>
      <c r="D1705" s="2"/>
      <c r="E1705" s="2" t="str">
        <f>"FES1162543378"</f>
        <v>FES1162543378</v>
      </c>
      <c r="F1705" s="3">
        <v>42837</v>
      </c>
      <c r="G1705" s="2">
        <v>201710</v>
      </c>
      <c r="H1705" s="2" t="s">
        <v>74</v>
      </c>
      <c r="I1705" s="2" t="s">
        <v>75</v>
      </c>
      <c r="J1705" s="2" t="s">
        <v>76</v>
      </c>
      <c r="K1705" s="2" t="s">
        <v>77</v>
      </c>
      <c r="L1705" s="2" t="s">
        <v>180</v>
      </c>
      <c r="M1705" s="2" t="s">
        <v>181</v>
      </c>
      <c r="N1705" s="2" t="s">
        <v>2206</v>
      </c>
      <c r="O1705" s="2" t="s">
        <v>115</v>
      </c>
      <c r="P1705" s="2" t="str">
        <f>"2170562067                    "</f>
        <v xml:space="preserve">2170562067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4.29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1</v>
      </c>
      <c r="BJ1705" s="2">
        <v>0.2</v>
      </c>
      <c r="BK1705" s="2">
        <v>1</v>
      </c>
      <c r="BL1705" s="2">
        <v>41.73</v>
      </c>
      <c r="BM1705" s="2">
        <v>5.84</v>
      </c>
      <c r="BN1705" s="2">
        <v>47.57</v>
      </c>
      <c r="BO1705" s="2">
        <v>47.57</v>
      </c>
      <c r="BP1705" s="2"/>
      <c r="BQ1705" s="2" t="s">
        <v>129</v>
      </c>
      <c r="BR1705" s="2" t="s">
        <v>84</v>
      </c>
      <c r="BS1705" s="3">
        <v>42838</v>
      </c>
      <c r="BT1705" s="4">
        <v>0.4375</v>
      </c>
      <c r="BU1705" s="2" t="s">
        <v>143</v>
      </c>
      <c r="BV1705" s="2" t="s">
        <v>111</v>
      </c>
      <c r="BW1705" s="2"/>
      <c r="BX1705" s="2"/>
      <c r="BY1705" s="2">
        <v>1200</v>
      </c>
      <c r="BZ1705" s="2"/>
      <c r="CA1705" s="2"/>
      <c r="CB1705" s="2"/>
      <c r="CC1705" s="2" t="s">
        <v>181</v>
      </c>
      <c r="CD1705" s="2">
        <v>4051</v>
      </c>
      <c r="CE1705" s="2" t="s">
        <v>118</v>
      </c>
      <c r="CF1705" s="5">
        <v>42843</v>
      </c>
      <c r="CG1705" s="2"/>
      <c r="CH1705" s="2"/>
      <c r="CI1705" s="2">
        <v>1</v>
      </c>
      <c r="CJ1705" s="2">
        <v>1</v>
      </c>
      <c r="CK1705" s="2">
        <v>21</v>
      </c>
      <c r="CL1705" s="2" t="s">
        <v>86</v>
      </c>
      <c r="CM1705" s="2"/>
    </row>
    <row r="1706" spans="1:91">
      <c r="A1706" s="2" t="s">
        <v>71</v>
      </c>
      <c r="B1706" s="2" t="s">
        <v>72</v>
      </c>
      <c r="C1706" s="2" t="s">
        <v>73</v>
      </c>
      <c r="D1706" s="2"/>
      <c r="E1706" s="2" t="str">
        <f>"FES1162543335"</f>
        <v>FES1162543335</v>
      </c>
      <c r="F1706" s="3">
        <v>42837</v>
      </c>
      <c r="G1706" s="2">
        <v>201710</v>
      </c>
      <c r="H1706" s="2" t="s">
        <v>74</v>
      </c>
      <c r="I1706" s="2" t="s">
        <v>75</v>
      </c>
      <c r="J1706" s="2" t="s">
        <v>76</v>
      </c>
      <c r="K1706" s="2" t="s">
        <v>77</v>
      </c>
      <c r="L1706" s="2" t="s">
        <v>131</v>
      </c>
      <c r="M1706" s="2" t="s">
        <v>132</v>
      </c>
      <c r="N1706" s="2" t="s">
        <v>1069</v>
      </c>
      <c r="O1706" s="2" t="s">
        <v>115</v>
      </c>
      <c r="P1706" s="2" t="str">
        <f>"2170562010                    "</f>
        <v xml:space="preserve">2170562010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4.29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1</v>
      </c>
      <c r="BJ1706" s="2">
        <v>0.2</v>
      </c>
      <c r="BK1706" s="2">
        <v>1</v>
      </c>
      <c r="BL1706" s="2">
        <v>41.73</v>
      </c>
      <c r="BM1706" s="2">
        <v>5.84</v>
      </c>
      <c r="BN1706" s="2">
        <v>47.57</v>
      </c>
      <c r="BO1706" s="2">
        <v>47.57</v>
      </c>
      <c r="BP1706" s="2"/>
      <c r="BQ1706" s="2" t="s">
        <v>1070</v>
      </c>
      <c r="BR1706" s="2" t="s">
        <v>84</v>
      </c>
      <c r="BS1706" s="3">
        <v>42838</v>
      </c>
      <c r="BT1706" s="4">
        <v>0.40277777777777773</v>
      </c>
      <c r="BU1706" s="2" t="s">
        <v>896</v>
      </c>
      <c r="BV1706" s="2" t="s">
        <v>111</v>
      </c>
      <c r="BW1706" s="2"/>
      <c r="BX1706" s="2"/>
      <c r="BY1706" s="2">
        <v>1200</v>
      </c>
      <c r="BZ1706" s="2"/>
      <c r="CA1706" s="2"/>
      <c r="CB1706" s="2"/>
      <c r="CC1706" s="2" t="s">
        <v>132</v>
      </c>
      <c r="CD1706" s="2">
        <v>7800</v>
      </c>
      <c r="CE1706" s="2" t="s">
        <v>118</v>
      </c>
      <c r="CF1706" s="5">
        <v>42843</v>
      </c>
      <c r="CG1706" s="2"/>
      <c r="CH1706" s="2"/>
      <c r="CI1706" s="2">
        <v>1</v>
      </c>
      <c r="CJ1706" s="2">
        <v>1</v>
      </c>
      <c r="CK1706" s="2">
        <v>21</v>
      </c>
      <c r="CL1706" s="2" t="s">
        <v>86</v>
      </c>
      <c r="CM1706" s="2"/>
    </row>
    <row r="1707" spans="1:91">
      <c r="A1707" s="2" t="s">
        <v>71</v>
      </c>
      <c r="B1707" s="2" t="s">
        <v>72</v>
      </c>
      <c r="C1707" s="2" t="s">
        <v>73</v>
      </c>
      <c r="D1707" s="2"/>
      <c r="E1707" s="2" t="str">
        <f>"FES1162543286"</f>
        <v>FES1162543286</v>
      </c>
      <c r="F1707" s="3">
        <v>42837</v>
      </c>
      <c r="G1707" s="2">
        <v>201710</v>
      </c>
      <c r="H1707" s="2" t="s">
        <v>74</v>
      </c>
      <c r="I1707" s="2" t="s">
        <v>75</v>
      </c>
      <c r="J1707" s="2" t="s">
        <v>76</v>
      </c>
      <c r="K1707" s="2" t="s">
        <v>77</v>
      </c>
      <c r="L1707" s="2" t="s">
        <v>166</v>
      </c>
      <c r="M1707" s="2" t="s">
        <v>167</v>
      </c>
      <c r="N1707" s="2" t="s">
        <v>2207</v>
      </c>
      <c r="O1707" s="2" t="s">
        <v>115</v>
      </c>
      <c r="P1707" s="2" t="str">
        <f>"2170559835                    "</f>
        <v xml:space="preserve">2170559835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3.35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1</v>
      </c>
      <c r="BI1707" s="2">
        <v>1</v>
      </c>
      <c r="BJ1707" s="2">
        <v>0.2</v>
      </c>
      <c r="BK1707" s="2">
        <v>1</v>
      </c>
      <c r="BL1707" s="2">
        <v>32.6</v>
      </c>
      <c r="BM1707" s="2">
        <v>4.5599999999999996</v>
      </c>
      <c r="BN1707" s="2">
        <v>37.159999999999997</v>
      </c>
      <c r="BO1707" s="2">
        <v>37.159999999999997</v>
      </c>
      <c r="BP1707" s="2"/>
      <c r="BQ1707" s="2"/>
      <c r="BR1707" s="2" t="s">
        <v>84</v>
      </c>
      <c r="BS1707" s="3">
        <v>42838</v>
      </c>
      <c r="BT1707" s="4">
        <v>0.33194444444444443</v>
      </c>
      <c r="BU1707" s="2" t="s">
        <v>2208</v>
      </c>
      <c r="BV1707" s="2" t="s">
        <v>111</v>
      </c>
      <c r="BW1707" s="2"/>
      <c r="BX1707" s="2"/>
      <c r="BY1707" s="2">
        <v>1200</v>
      </c>
      <c r="BZ1707" s="2"/>
      <c r="CA1707" s="2"/>
      <c r="CB1707" s="2"/>
      <c r="CC1707" s="2" t="s">
        <v>167</v>
      </c>
      <c r="CD1707" s="2">
        <v>2196</v>
      </c>
      <c r="CE1707" s="2" t="s">
        <v>118</v>
      </c>
      <c r="CF1707" s="5">
        <v>42843</v>
      </c>
      <c r="CG1707" s="2"/>
      <c r="CH1707" s="2"/>
      <c r="CI1707" s="2">
        <v>1</v>
      </c>
      <c r="CJ1707" s="2">
        <v>1</v>
      </c>
      <c r="CK1707" s="2">
        <v>22</v>
      </c>
      <c r="CL1707" s="2" t="s">
        <v>86</v>
      </c>
      <c r="CM1707" s="2"/>
    </row>
    <row r="1708" spans="1:91">
      <c r="A1708" s="2" t="s">
        <v>71</v>
      </c>
      <c r="B1708" s="2" t="s">
        <v>72</v>
      </c>
      <c r="C1708" s="2" t="s">
        <v>73</v>
      </c>
      <c r="D1708" s="2"/>
      <c r="E1708" s="2" t="str">
        <f>"FES1162543250"</f>
        <v>FES1162543250</v>
      </c>
      <c r="F1708" s="3">
        <v>42837</v>
      </c>
      <c r="G1708" s="2">
        <v>201710</v>
      </c>
      <c r="H1708" s="2" t="s">
        <v>74</v>
      </c>
      <c r="I1708" s="2" t="s">
        <v>75</v>
      </c>
      <c r="J1708" s="2" t="s">
        <v>76</v>
      </c>
      <c r="K1708" s="2" t="s">
        <v>77</v>
      </c>
      <c r="L1708" s="2" t="s">
        <v>166</v>
      </c>
      <c r="M1708" s="2" t="s">
        <v>167</v>
      </c>
      <c r="N1708" s="2" t="s">
        <v>2209</v>
      </c>
      <c r="O1708" s="2" t="s">
        <v>115</v>
      </c>
      <c r="P1708" s="2" t="str">
        <f>"2170559290                    "</f>
        <v xml:space="preserve">2170559290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3.35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1</v>
      </c>
      <c r="BJ1708" s="2">
        <v>0.2</v>
      </c>
      <c r="BK1708" s="2">
        <v>1</v>
      </c>
      <c r="BL1708" s="2">
        <v>32.6</v>
      </c>
      <c r="BM1708" s="2">
        <v>4.5599999999999996</v>
      </c>
      <c r="BN1708" s="2">
        <v>37.159999999999997</v>
      </c>
      <c r="BO1708" s="2">
        <v>37.159999999999997</v>
      </c>
      <c r="BP1708" s="2"/>
      <c r="BQ1708" s="2" t="s">
        <v>122</v>
      </c>
      <c r="BR1708" s="2" t="s">
        <v>84</v>
      </c>
      <c r="BS1708" s="3">
        <v>42838</v>
      </c>
      <c r="BT1708" s="4">
        <v>0.40763888888888888</v>
      </c>
      <c r="BU1708" s="2" t="s">
        <v>2210</v>
      </c>
      <c r="BV1708" s="2" t="s">
        <v>111</v>
      </c>
      <c r="BW1708" s="2"/>
      <c r="BX1708" s="2"/>
      <c r="BY1708" s="2">
        <v>1200</v>
      </c>
      <c r="BZ1708" s="2"/>
      <c r="CA1708" s="2"/>
      <c r="CB1708" s="2"/>
      <c r="CC1708" s="2" t="s">
        <v>167</v>
      </c>
      <c r="CD1708" s="2">
        <v>2091</v>
      </c>
      <c r="CE1708" s="2" t="s">
        <v>118</v>
      </c>
      <c r="CF1708" s="5">
        <v>42843</v>
      </c>
      <c r="CG1708" s="2"/>
      <c r="CH1708" s="2"/>
      <c r="CI1708" s="2">
        <v>1</v>
      </c>
      <c r="CJ1708" s="2">
        <v>1</v>
      </c>
      <c r="CK1708" s="2">
        <v>22</v>
      </c>
      <c r="CL1708" s="2" t="s">
        <v>86</v>
      </c>
      <c r="CM1708" s="2"/>
    </row>
    <row r="1709" spans="1:91">
      <c r="A1709" s="2" t="s">
        <v>71</v>
      </c>
      <c r="B1709" s="2" t="s">
        <v>72</v>
      </c>
      <c r="C1709" s="2" t="s">
        <v>73</v>
      </c>
      <c r="D1709" s="2"/>
      <c r="E1709" s="2" t="str">
        <f>"FES1162543181"</f>
        <v>FES1162543181</v>
      </c>
      <c r="F1709" s="3">
        <v>42837</v>
      </c>
      <c r="G1709" s="2">
        <v>201710</v>
      </c>
      <c r="H1709" s="2" t="s">
        <v>74</v>
      </c>
      <c r="I1709" s="2" t="s">
        <v>75</v>
      </c>
      <c r="J1709" s="2" t="s">
        <v>76</v>
      </c>
      <c r="K1709" s="2" t="s">
        <v>77</v>
      </c>
      <c r="L1709" s="2" t="s">
        <v>131</v>
      </c>
      <c r="M1709" s="2" t="s">
        <v>132</v>
      </c>
      <c r="N1709" s="2" t="s">
        <v>858</v>
      </c>
      <c r="O1709" s="2" t="s">
        <v>115</v>
      </c>
      <c r="P1709" s="2" t="str">
        <f>"217055955                     "</f>
        <v xml:space="preserve">217055955 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9.65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4.4000000000000004</v>
      </c>
      <c r="BJ1709" s="2">
        <v>1.3</v>
      </c>
      <c r="BK1709" s="2">
        <v>4.5</v>
      </c>
      <c r="BL1709" s="2">
        <v>93.89</v>
      </c>
      <c r="BM1709" s="2">
        <v>13.14</v>
      </c>
      <c r="BN1709" s="2">
        <v>107.03</v>
      </c>
      <c r="BO1709" s="2">
        <v>107.03</v>
      </c>
      <c r="BP1709" s="2"/>
      <c r="BQ1709" s="2" t="s">
        <v>617</v>
      </c>
      <c r="BR1709" s="2" t="s">
        <v>84</v>
      </c>
      <c r="BS1709" s="3">
        <v>42838</v>
      </c>
      <c r="BT1709" s="4">
        <v>0.4375</v>
      </c>
      <c r="BU1709" s="2" t="s">
        <v>859</v>
      </c>
      <c r="BV1709" s="2" t="s">
        <v>111</v>
      </c>
      <c r="BW1709" s="2"/>
      <c r="BX1709" s="2"/>
      <c r="BY1709" s="2">
        <v>6302.7</v>
      </c>
      <c r="BZ1709" s="2"/>
      <c r="CA1709" s="2"/>
      <c r="CB1709" s="2"/>
      <c r="CC1709" s="2" t="s">
        <v>132</v>
      </c>
      <c r="CD1709" s="2">
        <v>7580</v>
      </c>
      <c r="CE1709" s="2" t="s">
        <v>172</v>
      </c>
      <c r="CF1709" s="5">
        <v>42843</v>
      </c>
      <c r="CG1709" s="2"/>
      <c r="CH1709" s="2"/>
      <c r="CI1709" s="2">
        <v>1</v>
      </c>
      <c r="CJ1709" s="2">
        <v>1</v>
      </c>
      <c r="CK1709" s="2">
        <v>21</v>
      </c>
      <c r="CL1709" s="2" t="s">
        <v>86</v>
      </c>
      <c r="CM1709" s="2"/>
    </row>
    <row r="1710" spans="1:91">
      <c r="A1710" s="2" t="s">
        <v>71</v>
      </c>
      <c r="B1710" s="2" t="s">
        <v>72</v>
      </c>
      <c r="C1710" s="2" t="s">
        <v>73</v>
      </c>
      <c r="D1710" s="2"/>
      <c r="E1710" s="2" t="str">
        <f>"FES1162543275"</f>
        <v>FES1162543275</v>
      </c>
      <c r="F1710" s="3">
        <v>42837</v>
      </c>
      <c r="G1710" s="2">
        <v>201710</v>
      </c>
      <c r="H1710" s="2" t="s">
        <v>74</v>
      </c>
      <c r="I1710" s="2" t="s">
        <v>75</v>
      </c>
      <c r="J1710" s="2" t="s">
        <v>76</v>
      </c>
      <c r="K1710" s="2" t="s">
        <v>77</v>
      </c>
      <c r="L1710" s="2" t="s">
        <v>991</v>
      </c>
      <c r="M1710" s="2" t="s">
        <v>992</v>
      </c>
      <c r="N1710" s="2" t="s">
        <v>993</v>
      </c>
      <c r="O1710" s="2" t="s">
        <v>115</v>
      </c>
      <c r="P1710" s="2" t="str">
        <f>"2170559654                    "</f>
        <v xml:space="preserve">2170559654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4.29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1.7</v>
      </c>
      <c r="BJ1710" s="2">
        <v>0.2</v>
      </c>
      <c r="BK1710" s="2">
        <v>2</v>
      </c>
      <c r="BL1710" s="2">
        <v>41.73</v>
      </c>
      <c r="BM1710" s="2">
        <v>5.84</v>
      </c>
      <c r="BN1710" s="2">
        <v>47.57</v>
      </c>
      <c r="BO1710" s="2">
        <v>47.57</v>
      </c>
      <c r="BP1710" s="2"/>
      <c r="BQ1710" s="2" t="s">
        <v>994</v>
      </c>
      <c r="BR1710" s="2" t="s">
        <v>84</v>
      </c>
      <c r="BS1710" s="3">
        <v>42838</v>
      </c>
      <c r="BT1710" s="4">
        <v>0.53819444444444442</v>
      </c>
      <c r="BU1710" s="2" t="s">
        <v>2181</v>
      </c>
      <c r="BV1710" s="2" t="s">
        <v>111</v>
      </c>
      <c r="BW1710" s="2"/>
      <c r="BX1710" s="2"/>
      <c r="BY1710" s="2">
        <v>1200</v>
      </c>
      <c r="BZ1710" s="2"/>
      <c r="CA1710" s="2"/>
      <c r="CB1710" s="2"/>
      <c r="CC1710" s="2" t="s">
        <v>992</v>
      </c>
      <c r="CD1710" s="2">
        <v>7655</v>
      </c>
      <c r="CE1710" s="2" t="s">
        <v>118</v>
      </c>
      <c r="CF1710" s="5">
        <v>42843</v>
      </c>
      <c r="CG1710" s="2"/>
      <c r="CH1710" s="2"/>
      <c r="CI1710" s="2">
        <v>1</v>
      </c>
      <c r="CJ1710" s="2">
        <v>1</v>
      </c>
      <c r="CK1710" s="2">
        <v>21</v>
      </c>
      <c r="CL1710" s="2" t="s">
        <v>86</v>
      </c>
      <c r="CM1710" s="2"/>
    </row>
    <row r="1711" spans="1:91">
      <c r="A1711" s="2" t="s">
        <v>71</v>
      </c>
      <c r="B1711" s="2" t="s">
        <v>72</v>
      </c>
      <c r="C1711" s="2" t="s">
        <v>73</v>
      </c>
      <c r="D1711" s="2"/>
      <c r="E1711" s="2" t="str">
        <f>"FES1162543312"</f>
        <v>FES1162543312</v>
      </c>
      <c r="F1711" s="3">
        <v>42837</v>
      </c>
      <c r="G1711" s="2">
        <v>201710</v>
      </c>
      <c r="H1711" s="2" t="s">
        <v>74</v>
      </c>
      <c r="I1711" s="2" t="s">
        <v>75</v>
      </c>
      <c r="J1711" s="2" t="s">
        <v>76</v>
      </c>
      <c r="K1711" s="2" t="s">
        <v>77</v>
      </c>
      <c r="L1711" s="2" t="s">
        <v>131</v>
      </c>
      <c r="M1711" s="2" t="s">
        <v>132</v>
      </c>
      <c r="N1711" s="2" t="s">
        <v>1534</v>
      </c>
      <c r="O1711" s="2" t="s">
        <v>115</v>
      </c>
      <c r="P1711" s="2" t="str">
        <f>"2170561538                    "</f>
        <v xml:space="preserve">2170561538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4.29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1</v>
      </c>
      <c r="BJ1711" s="2">
        <v>0.2</v>
      </c>
      <c r="BK1711" s="2">
        <v>1</v>
      </c>
      <c r="BL1711" s="2">
        <v>41.73</v>
      </c>
      <c r="BM1711" s="2">
        <v>5.84</v>
      </c>
      <c r="BN1711" s="2">
        <v>47.57</v>
      </c>
      <c r="BO1711" s="2">
        <v>47.57</v>
      </c>
      <c r="BP1711" s="2"/>
      <c r="BQ1711" s="2" t="s">
        <v>116</v>
      </c>
      <c r="BR1711" s="2" t="s">
        <v>84</v>
      </c>
      <c r="BS1711" s="3">
        <v>42838</v>
      </c>
      <c r="BT1711" s="4">
        <v>0.3888888888888889</v>
      </c>
      <c r="BU1711" s="2" t="s">
        <v>1545</v>
      </c>
      <c r="BV1711" s="2" t="s">
        <v>111</v>
      </c>
      <c r="BW1711" s="2"/>
      <c r="BX1711" s="2"/>
      <c r="BY1711" s="2">
        <v>1200</v>
      </c>
      <c r="BZ1711" s="2"/>
      <c r="CA1711" s="2"/>
      <c r="CB1711" s="2"/>
      <c r="CC1711" s="2" t="s">
        <v>132</v>
      </c>
      <c r="CD1711" s="2">
        <v>7493</v>
      </c>
      <c r="CE1711" s="2" t="s">
        <v>118</v>
      </c>
      <c r="CF1711" s="5">
        <v>42843</v>
      </c>
      <c r="CG1711" s="2"/>
      <c r="CH1711" s="2"/>
      <c r="CI1711" s="2">
        <v>1</v>
      </c>
      <c r="CJ1711" s="2">
        <v>1</v>
      </c>
      <c r="CK1711" s="2">
        <v>21</v>
      </c>
      <c r="CL1711" s="2" t="s">
        <v>86</v>
      </c>
      <c r="CM1711" s="2"/>
    </row>
    <row r="1712" spans="1:91">
      <c r="A1712" s="2" t="s">
        <v>71</v>
      </c>
      <c r="B1712" s="2" t="s">
        <v>72</v>
      </c>
      <c r="C1712" s="2" t="s">
        <v>73</v>
      </c>
      <c r="D1712" s="2"/>
      <c r="E1712" s="2" t="str">
        <f>"FES1162543397"</f>
        <v>FES1162543397</v>
      </c>
      <c r="F1712" s="3">
        <v>42837</v>
      </c>
      <c r="G1712" s="2">
        <v>201710</v>
      </c>
      <c r="H1712" s="2" t="s">
        <v>74</v>
      </c>
      <c r="I1712" s="2" t="s">
        <v>75</v>
      </c>
      <c r="J1712" s="2" t="s">
        <v>76</v>
      </c>
      <c r="K1712" s="2" t="s">
        <v>77</v>
      </c>
      <c r="L1712" s="2" t="s">
        <v>176</v>
      </c>
      <c r="M1712" s="2" t="s">
        <v>176</v>
      </c>
      <c r="N1712" s="2" t="s">
        <v>1413</v>
      </c>
      <c r="O1712" s="2" t="s">
        <v>115</v>
      </c>
      <c r="P1712" s="2" t="str">
        <f>"2170562085                    "</f>
        <v xml:space="preserve">2170562085 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4.29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1</v>
      </c>
      <c r="BJ1712" s="2">
        <v>0.2</v>
      </c>
      <c r="BK1712" s="2">
        <v>1</v>
      </c>
      <c r="BL1712" s="2">
        <v>41.73</v>
      </c>
      <c r="BM1712" s="2">
        <v>5.84</v>
      </c>
      <c r="BN1712" s="2">
        <v>47.57</v>
      </c>
      <c r="BO1712" s="2">
        <v>47.57</v>
      </c>
      <c r="BP1712" s="2"/>
      <c r="BQ1712" s="2" t="s">
        <v>83</v>
      </c>
      <c r="BR1712" s="2" t="s">
        <v>84</v>
      </c>
      <c r="BS1712" s="3">
        <v>42838</v>
      </c>
      <c r="BT1712" s="4">
        <v>0.47916666666666669</v>
      </c>
      <c r="BU1712" s="2" t="s">
        <v>1414</v>
      </c>
      <c r="BV1712" s="2" t="s">
        <v>111</v>
      </c>
      <c r="BW1712" s="2"/>
      <c r="BX1712" s="2"/>
      <c r="BY1712" s="2">
        <v>1200</v>
      </c>
      <c r="BZ1712" s="2"/>
      <c r="CA1712" s="2"/>
      <c r="CB1712" s="2"/>
      <c r="CC1712" s="2" t="s">
        <v>176</v>
      </c>
      <c r="CD1712" s="2">
        <v>7620</v>
      </c>
      <c r="CE1712" s="2" t="s">
        <v>118</v>
      </c>
      <c r="CF1712" s="5">
        <v>42843</v>
      </c>
      <c r="CG1712" s="2"/>
      <c r="CH1712" s="2"/>
      <c r="CI1712" s="2">
        <v>1</v>
      </c>
      <c r="CJ1712" s="2">
        <v>1</v>
      </c>
      <c r="CK1712" s="2">
        <v>21</v>
      </c>
      <c r="CL1712" s="2" t="s">
        <v>86</v>
      </c>
      <c r="CM1712" s="2"/>
    </row>
    <row r="1713" spans="1:91">
      <c r="A1713" s="2" t="s">
        <v>71</v>
      </c>
      <c r="B1713" s="2" t="s">
        <v>72</v>
      </c>
      <c r="C1713" s="2" t="s">
        <v>73</v>
      </c>
      <c r="D1713" s="2"/>
      <c r="E1713" s="2" t="str">
        <f>"FES1162543284"</f>
        <v>FES1162543284</v>
      </c>
      <c r="F1713" s="3">
        <v>42837</v>
      </c>
      <c r="G1713" s="2">
        <v>201710</v>
      </c>
      <c r="H1713" s="2" t="s">
        <v>74</v>
      </c>
      <c r="I1713" s="2" t="s">
        <v>75</v>
      </c>
      <c r="J1713" s="2" t="s">
        <v>76</v>
      </c>
      <c r="K1713" s="2" t="s">
        <v>77</v>
      </c>
      <c r="L1713" s="2" t="s">
        <v>91</v>
      </c>
      <c r="M1713" s="2" t="s">
        <v>92</v>
      </c>
      <c r="N1713" s="2" t="s">
        <v>577</v>
      </c>
      <c r="O1713" s="2" t="s">
        <v>115</v>
      </c>
      <c r="P1713" s="2" t="str">
        <f>"2170559823                    "</f>
        <v xml:space="preserve">2170559823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3.35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1</v>
      </c>
      <c r="BJ1713" s="2">
        <v>0.2</v>
      </c>
      <c r="BK1713" s="2">
        <v>1</v>
      </c>
      <c r="BL1713" s="2">
        <v>32.6</v>
      </c>
      <c r="BM1713" s="2">
        <v>4.5599999999999996</v>
      </c>
      <c r="BN1713" s="2">
        <v>37.159999999999997</v>
      </c>
      <c r="BO1713" s="2">
        <v>37.159999999999997</v>
      </c>
      <c r="BP1713" s="2"/>
      <c r="BQ1713" s="2" t="s">
        <v>578</v>
      </c>
      <c r="BR1713" s="2" t="s">
        <v>84</v>
      </c>
      <c r="BS1713" s="3">
        <v>42843</v>
      </c>
      <c r="BT1713" s="4">
        <v>0.41666666666666669</v>
      </c>
      <c r="BU1713" s="2" t="s">
        <v>290</v>
      </c>
      <c r="BV1713" s="2" t="s">
        <v>86</v>
      </c>
      <c r="BW1713" s="2" t="s">
        <v>164</v>
      </c>
      <c r="BX1713" s="2" t="s">
        <v>2211</v>
      </c>
      <c r="BY1713" s="2">
        <v>1200</v>
      </c>
      <c r="BZ1713" s="2"/>
      <c r="CA1713" s="2"/>
      <c r="CB1713" s="2"/>
      <c r="CC1713" s="2" t="s">
        <v>92</v>
      </c>
      <c r="CD1713" s="2">
        <v>1428</v>
      </c>
      <c r="CE1713" s="2" t="s">
        <v>118</v>
      </c>
      <c r="CF1713" s="5">
        <v>42844</v>
      </c>
      <c r="CG1713" s="2"/>
      <c r="CH1713" s="2"/>
      <c r="CI1713" s="2">
        <v>1</v>
      </c>
      <c r="CJ1713" s="2">
        <v>4</v>
      </c>
      <c r="CK1713" s="2">
        <v>22</v>
      </c>
      <c r="CL1713" s="2" t="s">
        <v>86</v>
      </c>
      <c r="CM1713" s="2"/>
    </row>
    <row r="1714" spans="1:91">
      <c r="A1714" s="2" t="s">
        <v>71</v>
      </c>
      <c r="B1714" s="2" t="s">
        <v>72</v>
      </c>
      <c r="C1714" s="2" t="s">
        <v>73</v>
      </c>
      <c r="D1714" s="2"/>
      <c r="E1714" s="2" t="str">
        <f>"FES1162543307"</f>
        <v>FES1162543307</v>
      </c>
      <c r="F1714" s="3">
        <v>42837</v>
      </c>
      <c r="G1714" s="2">
        <v>201710</v>
      </c>
      <c r="H1714" s="2" t="s">
        <v>74</v>
      </c>
      <c r="I1714" s="2" t="s">
        <v>75</v>
      </c>
      <c r="J1714" s="2" t="s">
        <v>76</v>
      </c>
      <c r="K1714" s="2" t="s">
        <v>77</v>
      </c>
      <c r="L1714" s="2" t="s">
        <v>131</v>
      </c>
      <c r="M1714" s="2" t="s">
        <v>132</v>
      </c>
      <c r="N1714" s="2" t="s">
        <v>649</v>
      </c>
      <c r="O1714" s="2" t="s">
        <v>115</v>
      </c>
      <c r="P1714" s="2" t="str">
        <f>"2170561106                    "</f>
        <v xml:space="preserve">2170561106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4.29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1</v>
      </c>
      <c r="BJ1714" s="2">
        <v>0.2</v>
      </c>
      <c r="BK1714" s="2">
        <v>1</v>
      </c>
      <c r="BL1714" s="2">
        <v>41.73</v>
      </c>
      <c r="BM1714" s="2">
        <v>5.84</v>
      </c>
      <c r="BN1714" s="2">
        <v>47.57</v>
      </c>
      <c r="BO1714" s="2">
        <v>47.57</v>
      </c>
      <c r="BP1714" s="2"/>
      <c r="BQ1714" s="2" t="s">
        <v>650</v>
      </c>
      <c r="BR1714" s="2" t="s">
        <v>84</v>
      </c>
      <c r="BS1714" s="3">
        <v>42838</v>
      </c>
      <c r="BT1714" s="4">
        <v>0.41666666666666669</v>
      </c>
      <c r="BU1714" s="2" t="s">
        <v>1155</v>
      </c>
      <c r="BV1714" s="2" t="s">
        <v>111</v>
      </c>
      <c r="BW1714" s="2"/>
      <c r="BX1714" s="2"/>
      <c r="BY1714" s="2">
        <v>1200</v>
      </c>
      <c r="BZ1714" s="2"/>
      <c r="CA1714" s="2"/>
      <c r="CB1714" s="2"/>
      <c r="CC1714" s="2" t="s">
        <v>132</v>
      </c>
      <c r="CD1714" s="2">
        <v>7405</v>
      </c>
      <c r="CE1714" s="2" t="s">
        <v>118</v>
      </c>
      <c r="CF1714" s="5">
        <v>42843</v>
      </c>
      <c r="CG1714" s="2"/>
      <c r="CH1714" s="2"/>
      <c r="CI1714" s="2">
        <v>1</v>
      </c>
      <c r="CJ1714" s="2">
        <v>1</v>
      </c>
      <c r="CK1714" s="2">
        <v>21</v>
      </c>
      <c r="CL1714" s="2" t="s">
        <v>86</v>
      </c>
      <c r="CM1714" s="2"/>
    </row>
    <row r="1715" spans="1:91">
      <c r="A1715" s="2" t="s">
        <v>71</v>
      </c>
      <c r="B1715" s="2" t="s">
        <v>72</v>
      </c>
      <c r="C1715" s="2" t="s">
        <v>73</v>
      </c>
      <c r="D1715" s="2"/>
      <c r="E1715" s="2" t="str">
        <f>"FES1162543388"</f>
        <v>FES1162543388</v>
      </c>
      <c r="F1715" s="3">
        <v>42837</v>
      </c>
      <c r="G1715" s="2">
        <v>201710</v>
      </c>
      <c r="H1715" s="2" t="s">
        <v>74</v>
      </c>
      <c r="I1715" s="2" t="s">
        <v>75</v>
      </c>
      <c r="J1715" s="2" t="s">
        <v>76</v>
      </c>
      <c r="K1715" s="2" t="s">
        <v>77</v>
      </c>
      <c r="L1715" s="2" t="s">
        <v>294</v>
      </c>
      <c r="M1715" s="2" t="s">
        <v>295</v>
      </c>
      <c r="N1715" s="2" t="s">
        <v>296</v>
      </c>
      <c r="O1715" s="2" t="s">
        <v>115</v>
      </c>
      <c r="P1715" s="2" t="str">
        <f>"2170562082                    "</f>
        <v xml:space="preserve">2170562082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4.29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1</v>
      </c>
      <c r="BJ1715" s="2">
        <v>0.2</v>
      </c>
      <c r="BK1715" s="2">
        <v>1</v>
      </c>
      <c r="BL1715" s="2">
        <v>41.73</v>
      </c>
      <c r="BM1715" s="2">
        <v>5.84</v>
      </c>
      <c r="BN1715" s="2">
        <v>47.57</v>
      </c>
      <c r="BO1715" s="2">
        <v>47.57</v>
      </c>
      <c r="BP1715" s="2"/>
      <c r="BQ1715" s="2" t="s">
        <v>297</v>
      </c>
      <c r="BR1715" s="2" t="s">
        <v>84</v>
      </c>
      <c r="BS1715" s="3">
        <v>42838</v>
      </c>
      <c r="BT1715" s="4">
        <v>0.4375</v>
      </c>
      <c r="BU1715" s="2" t="s">
        <v>298</v>
      </c>
      <c r="BV1715" s="2" t="s">
        <v>111</v>
      </c>
      <c r="BW1715" s="2"/>
      <c r="BX1715" s="2"/>
      <c r="BY1715" s="2">
        <v>1200</v>
      </c>
      <c r="BZ1715" s="2"/>
      <c r="CA1715" s="2"/>
      <c r="CB1715" s="2"/>
      <c r="CC1715" s="2" t="s">
        <v>295</v>
      </c>
      <c r="CD1715" s="2">
        <v>3620</v>
      </c>
      <c r="CE1715" s="2" t="s">
        <v>118</v>
      </c>
      <c r="CF1715" s="5">
        <v>42843</v>
      </c>
      <c r="CG1715" s="2"/>
      <c r="CH1715" s="2"/>
      <c r="CI1715" s="2">
        <v>1</v>
      </c>
      <c r="CJ1715" s="2">
        <v>1</v>
      </c>
      <c r="CK1715" s="2">
        <v>21</v>
      </c>
      <c r="CL1715" s="2" t="s">
        <v>86</v>
      </c>
      <c r="CM1715" s="2"/>
    </row>
    <row r="1716" spans="1:91">
      <c r="A1716" s="2" t="s">
        <v>71</v>
      </c>
      <c r="B1716" s="2" t="s">
        <v>72</v>
      </c>
      <c r="C1716" s="2" t="s">
        <v>73</v>
      </c>
      <c r="D1716" s="2"/>
      <c r="E1716" s="2" t="str">
        <f>"FES1162543403"</f>
        <v>FES1162543403</v>
      </c>
      <c r="F1716" s="3">
        <v>42837</v>
      </c>
      <c r="G1716" s="2">
        <v>201710</v>
      </c>
      <c r="H1716" s="2" t="s">
        <v>74</v>
      </c>
      <c r="I1716" s="2" t="s">
        <v>75</v>
      </c>
      <c r="J1716" s="2" t="s">
        <v>76</v>
      </c>
      <c r="K1716" s="2" t="s">
        <v>77</v>
      </c>
      <c r="L1716" s="2" t="s">
        <v>294</v>
      </c>
      <c r="M1716" s="2" t="s">
        <v>295</v>
      </c>
      <c r="N1716" s="2" t="s">
        <v>2212</v>
      </c>
      <c r="O1716" s="2" t="s">
        <v>115</v>
      </c>
      <c r="P1716" s="2" t="str">
        <f>"2170561952                    "</f>
        <v xml:space="preserve">2170561952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4.29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1</v>
      </c>
      <c r="BJ1716" s="2">
        <v>0.2</v>
      </c>
      <c r="BK1716" s="2">
        <v>1</v>
      </c>
      <c r="BL1716" s="2">
        <v>41.73</v>
      </c>
      <c r="BM1716" s="2">
        <v>5.84</v>
      </c>
      <c r="BN1716" s="2">
        <v>47.57</v>
      </c>
      <c r="BO1716" s="2">
        <v>47.57</v>
      </c>
      <c r="BP1716" s="2"/>
      <c r="BQ1716" s="2"/>
      <c r="BR1716" s="2" t="s">
        <v>84</v>
      </c>
      <c r="BS1716" s="3">
        <v>42838</v>
      </c>
      <c r="BT1716" s="4">
        <v>0.4375</v>
      </c>
      <c r="BU1716" s="2" t="s">
        <v>245</v>
      </c>
      <c r="BV1716" s="2" t="s">
        <v>111</v>
      </c>
      <c r="BW1716" s="2"/>
      <c r="BX1716" s="2"/>
      <c r="BY1716" s="2">
        <v>1200</v>
      </c>
      <c r="BZ1716" s="2"/>
      <c r="CA1716" s="2"/>
      <c r="CB1716" s="2"/>
      <c r="CC1716" s="2" t="s">
        <v>295</v>
      </c>
      <c r="CD1716" s="2">
        <v>3610</v>
      </c>
      <c r="CE1716" s="2" t="s">
        <v>118</v>
      </c>
      <c r="CF1716" s="5">
        <v>42843</v>
      </c>
      <c r="CG1716" s="2"/>
      <c r="CH1716" s="2"/>
      <c r="CI1716" s="2">
        <v>1</v>
      </c>
      <c r="CJ1716" s="2">
        <v>1</v>
      </c>
      <c r="CK1716" s="2">
        <v>21</v>
      </c>
      <c r="CL1716" s="2" t="s">
        <v>86</v>
      </c>
      <c r="CM1716" s="2"/>
    </row>
    <row r="1717" spans="1:91">
      <c r="A1717" s="2" t="s">
        <v>71</v>
      </c>
      <c r="B1717" s="2" t="s">
        <v>72</v>
      </c>
      <c r="C1717" s="2" t="s">
        <v>73</v>
      </c>
      <c r="D1717" s="2"/>
      <c r="E1717" s="2" t="str">
        <f>"FES1162543390"</f>
        <v>FES1162543390</v>
      </c>
      <c r="F1717" s="3">
        <v>42837</v>
      </c>
      <c r="G1717" s="2">
        <v>201710</v>
      </c>
      <c r="H1717" s="2" t="s">
        <v>74</v>
      </c>
      <c r="I1717" s="2" t="s">
        <v>75</v>
      </c>
      <c r="J1717" s="2" t="s">
        <v>76</v>
      </c>
      <c r="K1717" s="2" t="s">
        <v>77</v>
      </c>
      <c r="L1717" s="2" t="s">
        <v>180</v>
      </c>
      <c r="M1717" s="2" t="s">
        <v>181</v>
      </c>
      <c r="N1717" s="2" t="s">
        <v>1381</v>
      </c>
      <c r="O1717" s="2" t="s">
        <v>115</v>
      </c>
      <c r="P1717" s="2" t="str">
        <f>"2170562086                    "</f>
        <v xml:space="preserve">2170562086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4.29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1</v>
      </c>
      <c r="BJ1717" s="2">
        <v>0.2</v>
      </c>
      <c r="BK1717" s="2">
        <v>1</v>
      </c>
      <c r="BL1717" s="2">
        <v>41.73</v>
      </c>
      <c r="BM1717" s="2">
        <v>5.84</v>
      </c>
      <c r="BN1717" s="2">
        <v>47.57</v>
      </c>
      <c r="BO1717" s="2">
        <v>47.57</v>
      </c>
      <c r="BP1717" s="2"/>
      <c r="BQ1717" s="2" t="s">
        <v>129</v>
      </c>
      <c r="BR1717" s="2" t="s">
        <v>84</v>
      </c>
      <c r="BS1717" s="3">
        <v>42838</v>
      </c>
      <c r="BT1717" s="4">
        <v>0.40972222222222227</v>
      </c>
      <c r="BU1717" s="2" t="s">
        <v>2213</v>
      </c>
      <c r="BV1717" s="2" t="s">
        <v>111</v>
      </c>
      <c r="BW1717" s="2"/>
      <c r="BX1717" s="2"/>
      <c r="BY1717" s="2">
        <v>1200</v>
      </c>
      <c r="BZ1717" s="2"/>
      <c r="CA1717" s="2" t="s">
        <v>159</v>
      </c>
      <c r="CB1717" s="2"/>
      <c r="CC1717" s="2" t="s">
        <v>181</v>
      </c>
      <c r="CD1717" s="2">
        <v>4052</v>
      </c>
      <c r="CE1717" s="2" t="s">
        <v>118</v>
      </c>
      <c r="CF1717" s="5">
        <v>42843</v>
      </c>
      <c r="CG1717" s="2"/>
      <c r="CH1717" s="2"/>
      <c r="CI1717" s="2">
        <v>1</v>
      </c>
      <c r="CJ1717" s="2">
        <v>1</v>
      </c>
      <c r="CK1717" s="2">
        <v>21</v>
      </c>
      <c r="CL1717" s="2" t="s">
        <v>86</v>
      </c>
      <c r="CM1717" s="2"/>
    </row>
    <row r="1718" spans="1:91">
      <c r="A1718" s="2" t="s">
        <v>71</v>
      </c>
      <c r="B1718" s="2" t="s">
        <v>72</v>
      </c>
      <c r="C1718" s="2" t="s">
        <v>73</v>
      </c>
      <c r="D1718" s="2"/>
      <c r="E1718" s="2" t="str">
        <f>"FES1162543288"</f>
        <v>FES1162543288</v>
      </c>
      <c r="F1718" s="3">
        <v>42837</v>
      </c>
      <c r="G1718" s="2">
        <v>201710</v>
      </c>
      <c r="H1718" s="2" t="s">
        <v>74</v>
      </c>
      <c r="I1718" s="2" t="s">
        <v>75</v>
      </c>
      <c r="J1718" s="2" t="s">
        <v>76</v>
      </c>
      <c r="K1718" s="2" t="s">
        <v>77</v>
      </c>
      <c r="L1718" s="2" t="s">
        <v>74</v>
      </c>
      <c r="M1718" s="2" t="s">
        <v>75</v>
      </c>
      <c r="N1718" s="2" t="s">
        <v>1709</v>
      </c>
      <c r="O1718" s="2" t="s">
        <v>115</v>
      </c>
      <c r="P1718" s="2" t="str">
        <f>"2170559866                    "</f>
        <v xml:space="preserve">2170559866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3.35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1</v>
      </c>
      <c r="BJ1718" s="2">
        <v>0.2</v>
      </c>
      <c r="BK1718" s="2">
        <v>1</v>
      </c>
      <c r="BL1718" s="2">
        <v>32.6</v>
      </c>
      <c r="BM1718" s="2">
        <v>4.5599999999999996</v>
      </c>
      <c r="BN1718" s="2">
        <v>37.159999999999997</v>
      </c>
      <c r="BO1718" s="2">
        <v>37.159999999999997</v>
      </c>
      <c r="BP1718" s="2"/>
      <c r="BQ1718" s="2"/>
      <c r="BR1718" s="2" t="s">
        <v>84</v>
      </c>
      <c r="BS1718" s="3">
        <v>42838</v>
      </c>
      <c r="BT1718" s="4">
        <v>0.41666666666666669</v>
      </c>
      <c r="BU1718" s="2" t="s">
        <v>2214</v>
      </c>
      <c r="BV1718" s="2" t="s">
        <v>111</v>
      </c>
      <c r="BW1718" s="2"/>
      <c r="BX1718" s="2"/>
      <c r="BY1718" s="2">
        <v>1200</v>
      </c>
      <c r="BZ1718" s="2"/>
      <c r="CA1718" s="2"/>
      <c r="CB1718" s="2"/>
      <c r="CC1718" s="2" t="s">
        <v>75</v>
      </c>
      <c r="CD1718" s="2">
        <v>1619</v>
      </c>
      <c r="CE1718" s="2" t="s">
        <v>118</v>
      </c>
      <c r="CF1718" s="5">
        <v>42843</v>
      </c>
      <c r="CG1718" s="2"/>
      <c r="CH1718" s="2"/>
      <c r="CI1718" s="2">
        <v>1</v>
      </c>
      <c r="CJ1718" s="2">
        <v>1</v>
      </c>
      <c r="CK1718" s="2">
        <v>22</v>
      </c>
      <c r="CL1718" s="2" t="s">
        <v>86</v>
      </c>
      <c r="CM1718" s="2"/>
    </row>
    <row r="1719" spans="1:91">
      <c r="A1719" s="2" t="s">
        <v>71</v>
      </c>
      <c r="B1719" s="2" t="s">
        <v>72</v>
      </c>
      <c r="C1719" s="2" t="s">
        <v>73</v>
      </c>
      <c r="D1719" s="2"/>
      <c r="E1719" s="2" t="str">
        <f>"FES1162543225"</f>
        <v>FES1162543225</v>
      </c>
      <c r="F1719" s="3">
        <v>42837</v>
      </c>
      <c r="G1719" s="2">
        <v>201710</v>
      </c>
      <c r="H1719" s="2" t="s">
        <v>74</v>
      </c>
      <c r="I1719" s="2" t="s">
        <v>75</v>
      </c>
      <c r="J1719" s="2" t="s">
        <v>76</v>
      </c>
      <c r="K1719" s="2" t="s">
        <v>77</v>
      </c>
      <c r="L1719" s="2" t="s">
        <v>516</v>
      </c>
      <c r="M1719" s="2" t="s">
        <v>517</v>
      </c>
      <c r="N1719" s="2" t="s">
        <v>755</v>
      </c>
      <c r="O1719" s="2" t="s">
        <v>115</v>
      </c>
      <c r="P1719" s="2" t="str">
        <f>"2170557767                    "</f>
        <v xml:space="preserve">2170557767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3.35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1</v>
      </c>
      <c r="BJ1719" s="2">
        <v>0.2</v>
      </c>
      <c r="BK1719" s="2">
        <v>1</v>
      </c>
      <c r="BL1719" s="2">
        <v>32.6</v>
      </c>
      <c r="BM1719" s="2">
        <v>4.5599999999999996</v>
      </c>
      <c r="BN1719" s="2">
        <v>37.159999999999997</v>
      </c>
      <c r="BO1719" s="2">
        <v>37.159999999999997</v>
      </c>
      <c r="BP1719" s="2"/>
      <c r="BQ1719" s="2" t="s">
        <v>122</v>
      </c>
      <c r="BR1719" s="2" t="s">
        <v>84</v>
      </c>
      <c r="BS1719" s="3">
        <v>42838</v>
      </c>
      <c r="BT1719" s="4">
        <v>0.41944444444444445</v>
      </c>
      <c r="BU1719" s="2" t="s">
        <v>2215</v>
      </c>
      <c r="BV1719" s="2" t="s">
        <v>111</v>
      </c>
      <c r="BW1719" s="2"/>
      <c r="BX1719" s="2"/>
      <c r="BY1719" s="2">
        <v>1200</v>
      </c>
      <c r="BZ1719" s="2"/>
      <c r="CA1719" s="2"/>
      <c r="CB1719" s="2"/>
      <c r="CC1719" s="2" t="s">
        <v>517</v>
      </c>
      <c r="CD1719" s="2">
        <v>1459</v>
      </c>
      <c r="CE1719" s="2" t="s">
        <v>118</v>
      </c>
      <c r="CF1719" s="5">
        <v>42843</v>
      </c>
      <c r="CG1719" s="2"/>
      <c r="CH1719" s="2"/>
      <c r="CI1719" s="2">
        <v>1</v>
      </c>
      <c r="CJ1719" s="2">
        <v>1</v>
      </c>
      <c r="CK1719" s="2">
        <v>22</v>
      </c>
      <c r="CL1719" s="2" t="s">
        <v>86</v>
      </c>
      <c r="CM1719" s="2"/>
    </row>
    <row r="1720" spans="1:91">
      <c r="A1720" s="2" t="s">
        <v>71</v>
      </c>
      <c r="B1720" s="2" t="s">
        <v>72</v>
      </c>
      <c r="C1720" s="2" t="s">
        <v>73</v>
      </c>
      <c r="D1720" s="2"/>
      <c r="E1720" s="2" t="str">
        <f>"FES1162543319"</f>
        <v>FES1162543319</v>
      </c>
      <c r="F1720" s="3">
        <v>42837</v>
      </c>
      <c r="G1720" s="2">
        <v>201710</v>
      </c>
      <c r="H1720" s="2" t="s">
        <v>74</v>
      </c>
      <c r="I1720" s="2" t="s">
        <v>75</v>
      </c>
      <c r="J1720" s="2" t="s">
        <v>76</v>
      </c>
      <c r="K1720" s="2" t="s">
        <v>77</v>
      </c>
      <c r="L1720" s="2" t="s">
        <v>131</v>
      </c>
      <c r="M1720" s="2" t="s">
        <v>132</v>
      </c>
      <c r="N1720" s="2" t="s">
        <v>744</v>
      </c>
      <c r="O1720" s="2" t="s">
        <v>115</v>
      </c>
      <c r="P1720" s="2" t="str">
        <f>"2170561992                    "</f>
        <v xml:space="preserve">2170561992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4.29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1</v>
      </c>
      <c r="BJ1720" s="2">
        <v>0.2</v>
      </c>
      <c r="BK1720" s="2">
        <v>1</v>
      </c>
      <c r="BL1720" s="2">
        <v>41.73</v>
      </c>
      <c r="BM1720" s="2">
        <v>5.84</v>
      </c>
      <c r="BN1720" s="2">
        <v>47.57</v>
      </c>
      <c r="BO1720" s="2">
        <v>47.57</v>
      </c>
      <c r="BP1720" s="2"/>
      <c r="BQ1720" s="2" t="s">
        <v>138</v>
      </c>
      <c r="BR1720" s="2" t="s">
        <v>84</v>
      </c>
      <c r="BS1720" s="3">
        <v>42838</v>
      </c>
      <c r="BT1720" s="4">
        <v>0.41666666666666669</v>
      </c>
      <c r="BU1720" s="2" t="s">
        <v>2216</v>
      </c>
      <c r="BV1720" s="2" t="s">
        <v>111</v>
      </c>
      <c r="BW1720" s="2"/>
      <c r="BX1720" s="2"/>
      <c r="BY1720" s="2">
        <v>1200</v>
      </c>
      <c r="BZ1720" s="2"/>
      <c r="CA1720" s="2"/>
      <c r="CB1720" s="2"/>
      <c r="CC1720" s="2" t="s">
        <v>132</v>
      </c>
      <c r="CD1720" s="2">
        <v>7405</v>
      </c>
      <c r="CE1720" s="2" t="s">
        <v>118</v>
      </c>
      <c r="CF1720" s="5">
        <v>42843</v>
      </c>
      <c r="CG1720" s="2"/>
      <c r="CH1720" s="2"/>
      <c r="CI1720" s="2">
        <v>1</v>
      </c>
      <c r="CJ1720" s="2">
        <v>1</v>
      </c>
      <c r="CK1720" s="2">
        <v>21</v>
      </c>
      <c r="CL1720" s="2" t="s">
        <v>86</v>
      </c>
      <c r="CM1720" s="2"/>
    </row>
    <row r="1721" spans="1:91">
      <c r="A1721" s="2" t="s">
        <v>71</v>
      </c>
      <c r="B1721" s="2" t="s">
        <v>72</v>
      </c>
      <c r="C1721" s="2" t="s">
        <v>73</v>
      </c>
      <c r="D1721" s="2"/>
      <c r="E1721" s="2" t="str">
        <f>"FES1162543233"</f>
        <v>FES1162543233</v>
      </c>
      <c r="F1721" s="3">
        <v>42837</v>
      </c>
      <c r="G1721" s="2">
        <v>201710</v>
      </c>
      <c r="H1721" s="2" t="s">
        <v>74</v>
      </c>
      <c r="I1721" s="2" t="s">
        <v>75</v>
      </c>
      <c r="J1721" s="2" t="s">
        <v>76</v>
      </c>
      <c r="K1721" s="2" t="s">
        <v>77</v>
      </c>
      <c r="L1721" s="2" t="s">
        <v>190</v>
      </c>
      <c r="M1721" s="2" t="s">
        <v>191</v>
      </c>
      <c r="N1721" s="2" t="s">
        <v>2135</v>
      </c>
      <c r="O1721" s="2" t="s">
        <v>115</v>
      </c>
      <c r="P1721" s="2" t="str">
        <f>"2170558474                    "</f>
        <v xml:space="preserve">2170558474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6.03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1</v>
      </c>
      <c r="BJ1721" s="2">
        <v>0.2</v>
      </c>
      <c r="BK1721" s="2">
        <v>1</v>
      </c>
      <c r="BL1721" s="2">
        <v>58.68</v>
      </c>
      <c r="BM1721" s="2">
        <v>8.2200000000000006</v>
      </c>
      <c r="BN1721" s="2">
        <v>66.900000000000006</v>
      </c>
      <c r="BO1721" s="2">
        <v>66.900000000000006</v>
      </c>
      <c r="BP1721" s="2"/>
      <c r="BQ1721" s="2" t="s">
        <v>122</v>
      </c>
      <c r="BR1721" s="2" t="s">
        <v>84</v>
      </c>
      <c r="BS1721" s="3">
        <v>42838</v>
      </c>
      <c r="BT1721" s="4">
        <v>0.33819444444444446</v>
      </c>
      <c r="BU1721" s="2" t="s">
        <v>290</v>
      </c>
      <c r="BV1721" s="2" t="s">
        <v>111</v>
      </c>
      <c r="BW1721" s="2"/>
      <c r="BX1721" s="2"/>
      <c r="BY1721" s="2">
        <v>1200</v>
      </c>
      <c r="BZ1721" s="2"/>
      <c r="CA1721" s="2"/>
      <c r="CB1721" s="2"/>
      <c r="CC1721" s="2" t="s">
        <v>191</v>
      </c>
      <c r="CD1721" s="2">
        <v>1739</v>
      </c>
      <c r="CE1721" s="2" t="s">
        <v>118</v>
      </c>
      <c r="CF1721" s="5">
        <v>42843</v>
      </c>
      <c r="CG1721" s="2"/>
      <c r="CH1721" s="2"/>
      <c r="CI1721" s="2">
        <v>1</v>
      </c>
      <c r="CJ1721" s="2">
        <v>1</v>
      </c>
      <c r="CK1721" s="2">
        <v>24</v>
      </c>
      <c r="CL1721" s="2" t="s">
        <v>86</v>
      </c>
      <c r="CM1721" s="2"/>
    </row>
    <row r="1722" spans="1:91">
      <c r="A1722" s="2" t="s">
        <v>71</v>
      </c>
      <c r="B1722" s="2" t="s">
        <v>72</v>
      </c>
      <c r="C1722" s="2" t="s">
        <v>73</v>
      </c>
      <c r="D1722" s="2"/>
      <c r="E1722" s="2" t="str">
        <f>"FES1162543294"</f>
        <v>FES1162543294</v>
      </c>
      <c r="F1722" s="3">
        <v>42837</v>
      </c>
      <c r="G1722" s="2">
        <v>201710</v>
      </c>
      <c r="H1722" s="2" t="s">
        <v>74</v>
      </c>
      <c r="I1722" s="2" t="s">
        <v>75</v>
      </c>
      <c r="J1722" s="2" t="s">
        <v>76</v>
      </c>
      <c r="K1722" s="2" t="s">
        <v>77</v>
      </c>
      <c r="L1722" s="2" t="s">
        <v>131</v>
      </c>
      <c r="M1722" s="2" t="s">
        <v>132</v>
      </c>
      <c r="N1722" s="2" t="s">
        <v>858</v>
      </c>
      <c r="O1722" s="2" t="s">
        <v>115</v>
      </c>
      <c r="P1722" s="2" t="str">
        <f>"2170559955                    "</f>
        <v xml:space="preserve">2170559955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4.29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1</v>
      </c>
      <c r="BJ1722" s="2">
        <v>0.2</v>
      </c>
      <c r="BK1722" s="2">
        <v>1</v>
      </c>
      <c r="BL1722" s="2">
        <v>41.73</v>
      </c>
      <c r="BM1722" s="2">
        <v>5.84</v>
      </c>
      <c r="BN1722" s="2">
        <v>47.57</v>
      </c>
      <c r="BO1722" s="2">
        <v>47.57</v>
      </c>
      <c r="BP1722" s="2"/>
      <c r="BQ1722" s="2" t="s">
        <v>617</v>
      </c>
      <c r="BR1722" s="2" t="s">
        <v>84</v>
      </c>
      <c r="BS1722" s="3">
        <v>42838</v>
      </c>
      <c r="BT1722" s="4">
        <v>0.4375</v>
      </c>
      <c r="BU1722" s="2" t="s">
        <v>859</v>
      </c>
      <c r="BV1722" s="2" t="s">
        <v>111</v>
      </c>
      <c r="BW1722" s="2"/>
      <c r="BX1722" s="2"/>
      <c r="BY1722" s="2">
        <v>1200</v>
      </c>
      <c r="BZ1722" s="2"/>
      <c r="CA1722" s="2"/>
      <c r="CB1722" s="2"/>
      <c r="CC1722" s="2" t="s">
        <v>132</v>
      </c>
      <c r="CD1722" s="2">
        <v>7580</v>
      </c>
      <c r="CE1722" s="2" t="s">
        <v>118</v>
      </c>
      <c r="CF1722" s="5">
        <v>42843</v>
      </c>
      <c r="CG1722" s="2"/>
      <c r="CH1722" s="2"/>
      <c r="CI1722" s="2">
        <v>1</v>
      </c>
      <c r="CJ1722" s="2">
        <v>1</v>
      </c>
      <c r="CK1722" s="2">
        <v>21</v>
      </c>
      <c r="CL1722" s="2" t="s">
        <v>86</v>
      </c>
      <c r="CM1722" s="2"/>
    </row>
    <row r="1723" spans="1:91">
      <c r="A1723" s="2" t="s">
        <v>71</v>
      </c>
      <c r="B1723" s="2" t="s">
        <v>72</v>
      </c>
      <c r="C1723" s="2" t="s">
        <v>73</v>
      </c>
      <c r="D1723" s="2"/>
      <c r="E1723" s="2" t="str">
        <f>"FES1162543247"</f>
        <v>FES1162543247</v>
      </c>
      <c r="F1723" s="3">
        <v>42837</v>
      </c>
      <c r="G1723" s="2">
        <v>201710</v>
      </c>
      <c r="H1723" s="2" t="s">
        <v>74</v>
      </c>
      <c r="I1723" s="2" t="s">
        <v>75</v>
      </c>
      <c r="J1723" s="2" t="s">
        <v>76</v>
      </c>
      <c r="K1723" s="2" t="s">
        <v>77</v>
      </c>
      <c r="L1723" s="2" t="s">
        <v>503</v>
      </c>
      <c r="M1723" s="2" t="s">
        <v>504</v>
      </c>
      <c r="N1723" s="2" t="s">
        <v>2168</v>
      </c>
      <c r="O1723" s="2" t="s">
        <v>115</v>
      </c>
      <c r="P1723" s="2" t="str">
        <f>"2170559278                    "</f>
        <v xml:space="preserve">2170559278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3.35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1</v>
      </c>
      <c r="BJ1723" s="2">
        <v>0.2</v>
      </c>
      <c r="BK1723" s="2">
        <v>1</v>
      </c>
      <c r="BL1723" s="2">
        <v>32.6</v>
      </c>
      <c r="BM1723" s="2">
        <v>4.5599999999999996</v>
      </c>
      <c r="BN1723" s="2">
        <v>37.159999999999997</v>
      </c>
      <c r="BO1723" s="2">
        <v>37.159999999999997</v>
      </c>
      <c r="BP1723" s="2"/>
      <c r="BQ1723" s="2" t="s">
        <v>2169</v>
      </c>
      <c r="BR1723" s="2" t="s">
        <v>84</v>
      </c>
      <c r="BS1723" s="3">
        <v>42843</v>
      </c>
      <c r="BT1723" s="4">
        <v>0.42777777777777781</v>
      </c>
      <c r="BU1723" s="2" t="s">
        <v>2170</v>
      </c>
      <c r="BV1723" s="2" t="s">
        <v>86</v>
      </c>
      <c r="BW1723" s="2" t="s">
        <v>164</v>
      </c>
      <c r="BX1723" s="2" t="s">
        <v>618</v>
      </c>
      <c r="BY1723" s="2">
        <v>1200</v>
      </c>
      <c r="BZ1723" s="2"/>
      <c r="CA1723" s="2"/>
      <c r="CB1723" s="2"/>
      <c r="CC1723" s="2" t="s">
        <v>504</v>
      </c>
      <c r="CD1723" s="2">
        <v>1501</v>
      </c>
      <c r="CE1723" s="2" t="s">
        <v>118</v>
      </c>
      <c r="CF1723" s="5">
        <v>42844</v>
      </c>
      <c r="CG1723" s="2"/>
      <c r="CH1723" s="2"/>
      <c r="CI1723" s="2">
        <v>1</v>
      </c>
      <c r="CJ1723" s="2">
        <v>4</v>
      </c>
      <c r="CK1723" s="2">
        <v>22</v>
      </c>
      <c r="CL1723" s="2" t="s">
        <v>86</v>
      </c>
      <c r="CM1723" s="2"/>
    </row>
    <row r="1724" spans="1:91">
      <c r="A1724" s="2" t="s">
        <v>71</v>
      </c>
      <c r="B1724" s="2" t="s">
        <v>72</v>
      </c>
      <c r="C1724" s="2" t="s">
        <v>73</v>
      </c>
      <c r="D1724" s="2"/>
      <c r="E1724" s="2" t="str">
        <f>"FES1162543182"</f>
        <v>FES1162543182</v>
      </c>
      <c r="F1724" s="3">
        <v>42837</v>
      </c>
      <c r="G1724" s="2">
        <v>201710</v>
      </c>
      <c r="H1724" s="2" t="s">
        <v>74</v>
      </c>
      <c r="I1724" s="2" t="s">
        <v>75</v>
      </c>
      <c r="J1724" s="2" t="s">
        <v>76</v>
      </c>
      <c r="K1724" s="2" t="s">
        <v>77</v>
      </c>
      <c r="L1724" s="2" t="s">
        <v>74</v>
      </c>
      <c r="M1724" s="2" t="s">
        <v>75</v>
      </c>
      <c r="N1724" s="2" t="s">
        <v>711</v>
      </c>
      <c r="O1724" s="2" t="s">
        <v>115</v>
      </c>
      <c r="P1724" s="2" t="str">
        <f>"2170559975                    "</f>
        <v xml:space="preserve">2170559975 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3.35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</v>
      </c>
      <c r="BJ1724" s="2">
        <v>0.2</v>
      </c>
      <c r="BK1724" s="2">
        <v>1</v>
      </c>
      <c r="BL1724" s="2">
        <v>32.6</v>
      </c>
      <c r="BM1724" s="2">
        <v>4.5599999999999996</v>
      </c>
      <c r="BN1724" s="2">
        <v>37.159999999999997</v>
      </c>
      <c r="BO1724" s="2">
        <v>37.159999999999997</v>
      </c>
      <c r="BP1724" s="2"/>
      <c r="BQ1724" s="2" t="s">
        <v>712</v>
      </c>
      <c r="BR1724" s="2" t="s">
        <v>84</v>
      </c>
      <c r="BS1724" s="3">
        <v>42838</v>
      </c>
      <c r="BT1724" s="4">
        <v>0.30555555555555552</v>
      </c>
      <c r="BU1724" s="2" t="s">
        <v>713</v>
      </c>
      <c r="BV1724" s="2" t="s">
        <v>111</v>
      </c>
      <c r="BW1724" s="2"/>
      <c r="BX1724" s="2"/>
      <c r="BY1724" s="2">
        <v>1200</v>
      </c>
      <c r="BZ1724" s="2"/>
      <c r="CA1724" s="2" t="s">
        <v>383</v>
      </c>
      <c r="CB1724" s="2"/>
      <c r="CC1724" s="2" t="s">
        <v>75</v>
      </c>
      <c r="CD1724" s="2">
        <v>1600</v>
      </c>
      <c r="CE1724" s="2" t="s">
        <v>118</v>
      </c>
      <c r="CF1724" s="5">
        <v>42838</v>
      </c>
      <c r="CG1724" s="2"/>
      <c r="CH1724" s="2"/>
      <c r="CI1724" s="2">
        <v>1</v>
      </c>
      <c r="CJ1724" s="2">
        <v>1</v>
      </c>
      <c r="CK1724" s="2">
        <v>22</v>
      </c>
      <c r="CL1724" s="2" t="s">
        <v>86</v>
      </c>
      <c r="CM1724" s="2"/>
    </row>
    <row r="1725" spans="1:91">
      <c r="A1725" s="2" t="s">
        <v>71</v>
      </c>
      <c r="B1725" s="2" t="s">
        <v>72</v>
      </c>
      <c r="C1725" s="2" t="s">
        <v>73</v>
      </c>
      <c r="D1725" s="2"/>
      <c r="E1725" s="2" t="str">
        <f>"FES1162543234"</f>
        <v>FES1162543234</v>
      </c>
      <c r="F1725" s="3">
        <v>42837</v>
      </c>
      <c r="G1725" s="2">
        <v>201710</v>
      </c>
      <c r="H1725" s="2" t="s">
        <v>74</v>
      </c>
      <c r="I1725" s="2" t="s">
        <v>75</v>
      </c>
      <c r="J1725" s="2" t="s">
        <v>76</v>
      </c>
      <c r="K1725" s="2" t="s">
        <v>77</v>
      </c>
      <c r="L1725" s="2" t="s">
        <v>591</v>
      </c>
      <c r="M1725" s="2" t="s">
        <v>592</v>
      </c>
      <c r="N1725" s="2" t="s">
        <v>593</v>
      </c>
      <c r="O1725" s="2" t="s">
        <v>115</v>
      </c>
      <c r="P1725" s="2" t="str">
        <f>"2170558600                    "</f>
        <v xml:space="preserve">2170558600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4.29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1</v>
      </c>
      <c r="BJ1725" s="2">
        <v>0.2</v>
      </c>
      <c r="BK1725" s="2">
        <v>1</v>
      </c>
      <c r="BL1725" s="2">
        <v>41.73</v>
      </c>
      <c r="BM1725" s="2">
        <v>5.84</v>
      </c>
      <c r="BN1725" s="2">
        <v>47.57</v>
      </c>
      <c r="BO1725" s="2">
        <v>47.57</v>
      </c>
      <c r="BP1725" s="2"/>
      <c r="BQ1725" s="2" t="s">
        <v>594</v>
      </c>
      <c r="BR1725" s="2" t="s">
        <v>84</v>
      </c>
      <c r="BS1725" s="3">
        <v>42838</v>
      </c>
      <c r="BT1725" s="4">
        <v>0.41666666666666669</v>
      </c>
      <c r="BU1725" s="2" t="s">
        <v>1049</v>
      </c>
      <c r="BV1725" s="2" t="s">
        <v>111</v>
      </c>
      <c r="BW1725" s="2"/>
      <c r="BX1725" s="2"/>
      <c r="BY1725" s="2">
        <v>1200</v>
      </c>
      <c r="BZ1725" s="2"/>
      <c r="CA1725" s="2"/>
      <c r="CB1725" s="2"/>
      <c r="CC1725" s="2" t="s">
        <v>592</v>
      </c>
      <c r="CD1725" s="2">
        <v>7599</v>
      </c>
      <c r="CE1725" s="2" t="s">
        <v>118</v>
      </c>
      <c r="CF1725" s="5">
        <v>42843</v>
      </c>
      <c r="CG1725" s="2"/>
      <c r="CH1725" s="2"/>
      <c r="CI1725" s="2">
        <v>1</v>
      </c>
      <c r="CJ1725" s="2">
        <v>1</v>
      </c>
      <c r="CK1725" s="2">
        <v>21</v>
      </c>
      <c r="CL1725" s="2" t="s">
        <v>86</v>
      </c>
      <c r="CM1725" s="2"/>
    </row>
    <row r="1726" spans="1:91">
      <c r="A1726" s="2" t="s">
        <v>71</v>
      </c>
      <c r="B1726" s="2" t="s">
        <v>72</v>
      </c>
      <c r="C1726" s="2" t="s">
        <v>73</v>
      </c>
      <c r="D1726" s="2"/>
      <c r="E1726" s="2" t="str">
        <f>"FES1162543383"</f>
        <v>FES1162543383</v>
      </c>
      <c r="F1726" s="3">
        <v>42837</v>
      </c>
      <c r="G1726" s="2">
        <v>201710</v>
      </c>
      <c r="H1726" s="2" t="s">
        <v>74</v>
      </c>
      <c r="I1726" s="2" t="s">
        <v>75</v>
      </c>
      <c r="J1726" s="2" t="s">
        <v>76</v>
      </c>
      <c r="K1726" s="2" t="s">
        <v>77</v>
      </c>
      <c r="L1726" s="2" t="s">
        <v>112</v>
      </c>
      <c r="M1726" s="2" t="s">
        <v>113</v>
      </c>
      <c r="N1726" s="2" t="s">
        <v>2217</v>
      </c>
      <c r="O1726" s="2" t="s">
        <v>115</v>
      </c>
      <c r="P1726" s="2" t="str">
        <f>"2170562077                    "</f>
        <v xml:space="preserve">2170562077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24.65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11.3</v>
      </c>
      <c r="BJ1726" s="2">
        <v>3.5</v>
      </c>
      <c r="BK1726" s="2">
        <v>11.5</v>
      </c>
      <c r="BL1726" s="2">
        <v>239.93</v>
      </c>
      <c r="BM1726" s="2">
        <v>33.590000000000003</v>
      </c>
      <c r="BN1726" s="2">
        <v>273.52</v>
      </c>
      <c r="BO1726" s="2">
        <v>273.52</v>
      </c>
      <c r="BP1726" s="2"/>
      <c r="BQ1726" s="2" t="s">
        <v>458</v>
      </c>
      <c r="BR1726" s="2" t="s">
        <v>84</v>
      </c>
      <c r="BS1726" s="3">
        <v>42838</v>
      </c>
      <c r="BT1726" s="4">
        <v>0.375</v>
      </c>
      <c r="BU1726" s="2" t="s">
        <v>2218</v>
      </c>
      <c r="BV1726" s="2" t="s">
        <v>111</v>
      </c>
      <c r="BW1726" s="2"/>
      <c r="BX1726" s="2"/>
      <c r="BY1726" s="2">
        <v>17372.16</v>
      </c>
      <c r="BZ1726" s="2"/>
      <c r="CA1726" s="2"/>
      <c r="CB1726" s="2"/>
      <c r="CC1726" s="2" t="s">
        <v>113</v>
      </c>
      <c r="CD1726" s="2">
        <v>3201</v>
      </c>
      <c r="CE1726" s="2" t="s">
        <v>89</v>
      </c>
      <c r="CF1726" s="5">
        <v>42843</v>
      </c>
      <c r="CG1726" s="2"/>
      <c r="CH1726" s="2"/>
      <c r="CI1726" s="2">
        <v>1</v>
      </c>
      <c r="CJ1726" s="2">
        <v>1</v>
      </c>
      <c r="CK1726" s="2">
        <v>21</v>
      </c>
      <c r="CL1726" s="2" t="s">
        <v>86</v>
      </c>
      <c r="CM1726" s="2"/>
    </row>
    <row r="1727" spans="1:91">
      <c r="A1727" s="2" t="s">
        <v>71</v>
      </c>
      <c r="B1727" s="2" t="s">
        <v>72</v>
      </c>
      <c r="C1727" s="2" t="s">
        <v>73</v>
      </c>
      <c r="D1727" s="2"/>
      <c r="E1727" s="2" t="str">
        <f>"FES1162543430"</f>
        <v>FES1162543430</v>
      </c>
      <c r="F1727" s="3">
        <v>42837</v>
      </c>
      <c r="G1727" s="2">
        <v>201710</v>
      </c>
      <c r="H1727" s="2" t="s">
        <v>74</v>
      </c>
      <c r="I1727" s="2" t="s">
        <v>75</v>
      </c>
      <c r="J1727" s="2" t="s">
        <v>76</v>
      </c>
      <c r="K1727" s="2" t="s">
        <v>77</v>
      </c>
      <c r="L1727" s="2" t="s">
        <v>180</v>
      </c>
      <c r="M1727" s="2" t="s">
        <v>181</v>
      </c>
      <c r="N1727" s="2" t="s">
        <v>2219</v>
      </c>
      <c r="O1727" s="2" t="s">
        <v>115</v>
      </c>
      <c r="P1727" s="2" t="str">
        <f>"2170562125                    "</f>
        <v xml:space="preserve">2170562125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8.57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2.2999999999999998</v>
      </c>
      <c r="BJ1727" s="2">
        <v>4</v>
      </c>
      <c r="BK1727" s="2">
        <v>4</v>
      </c>
      <c r="BL1727" s="2">
        <v>83.45</v>
      </c>
      <c r="BM1727" s="2">
        <v>11.68</v>
      </c>
      <c r="BN1727" s="2">
        <v>95.13</v>
      </c>
      <c r="BO1727" s="2">
        <v>95.13</v>
      </c>
      <c r="BP1727" s="2"/>
      <c r="BQ1727" s="2" t="s">
        <v>2220</v>
      </c>
      <c r="BR1727" s="2" t="s">
        <v>84</v>
      </c>
      <c r="BS1727" s="3">
        <v>42838</v>
      </c>
      <c r="BT1727" s="4">
        <v>0.4375</v>
      </c>
      <c r="BU1727" s="2" t="s">
        <v>245</v>
      </c>
      <c r="BV1727" s="2" t="s">
        <v>111</v>
      </c>
      <c r="BW1727" s="2"/>
      <c r="BX1727" s="2"/>
      <c r="BY1727" s="2">
        <v>20148</v>
      </c>
      <c r="BZ1727" s="2"/>
      <c r="CA1727" s="2"/>
      <c r="CB1727" s="2"/>
      <c r="CC1727" s="2" t="s">
        <v>181</v>
      </c>
      <c r="CD1727" s="2">
        <v>4051</v>
      </c>
      <c r="CE1727" s="2" t="s">
        <v>89</v>
      </c>
      <c r="CF1727" s="5">
        <v>42843</v>
      </c>
      <c r="CG1727" s="2"/>
      <c r="CH1727" s="2"/>
      <c r="CI1727" s="2">
        <v>1</v>
      </c>
      <c r="CJ1727" s="2">
        <v>1</v>
      </c>
      <c r="CK1727" s="2">
        <v>21</v>
      </c>
      <c r="CL1727" s="2" t="s">
        <v>86</v>
      </c>
      <c r="CM1727" s="2"/>
    </row>
    <row r="1728" spans="1:91">
      <c r="A1728" s="2" t="s">
        <v>71</v>
      </c>
      <c r="B1728" s="2" t="s">
        <v>72</v>
      </c>
      <c r="C1728" s="2" t="s">
        <v>73</v>
      </c>
      <c r="D1728" s="2"/>
      <c r="E1728" s="2" t="str">
        <f>"FES1162543373"</f>
        <v>FES1162543373</v>
      </c>
      <c r="F1728" s="3">
        <v>42837</v>
      </c>
      <c r="G1728" s="2">
        <v>201710</v>
      </c>
      <c r="H1728" s="2" t="s">
        <v>74</v>
      </c>
      <c r="I1728" s="2" t="s">
        <v>75</v>
      </c>
      <c r="J1728" s="2" t="s">
        <v>76</v>
      </c>
      <c r="K1728" s="2" t="s">
        <v>77</v>
      </c>
      <c r="L1728" s="2" t="s">
        <v>112</v>
      </c>
      <c r="M1728" s="2" t="s">
        <v>113</v>
      </c>
      <c r="N1728" s="2" t="s">
        <v>246</v>
      </c>
      <c r="O1728" s="2" t="s">
        <v>115</v>
      </c>
      <c r="P1728" s="2" t="str">
        <f>"2170561890                    "</f>
        <v xml:space="preserve">2170561890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10.72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4.7</v>
      </c>
      <c r="BJ1728" s="2">
        <v>1.9</v>
      </c>
      <c r="BK1728" s="2">
        <v>5</v>
      </c>
      <c r="BL1728" s="2">
        <v>104.32</v>
      </c>
      <c r="BM1728" s="2">
        <v>14.6</v>
      </c>
      <c r="BN1728" s="2">
        <v>118.92</v>
      </c>
      <c r="BO1728" s="2">
        <v>118.92</v>
      </c>
      <c r="BP1728" s="2"/>
      <c r="BQ1728" s="2" t="s">
        <v>122</v>
      </c>
      <c r="BR1728" s="2" t="s">
        <v>84</v>
      </c>
      <c r="BS1728" s="3">
        <v>42838</v>
      </c>
      <c r="BT1728" s="4">
        <v>0.39583333333333331</v>
      </c>
      <c r="BU1728" s="2" t="s">
        <v>2221</v>
      </c>
      <c r="BV1728" s="2" t="s">
        <v>111</v>
      </c>
      <c r="BW1728" s="2"/>
      <c r="BX1728" s="2"/>
      <c r="BY1728" s="2">
        <v>9278.83</v>
      </c>
      <c r="BZ1728" s="2"/>
      <c r="CA1728" s="2"/>
      <c r="CB1728" s="2"/>
      <c r="CC1728" s="2" t="s">
        <v>113</v>
      </c>
      <c r="CD1728" s="2">
        <v>3212</v>
      </c>
      <c r="CE1728" s="2" t="s">
        <v>89</v>
      </c>
      <c r="CF1728" s="5">
        <v>42843</v>
      </c>
      <c r="CG1728" s="2"/>
      <c r="CH1728" s="2"/>
      <c r="CI1728" s="2">
        <v>1</v>
      </c>
      <c r="CJ1728" s="2">
        <v>1</v>
      </c>
      <c r="CK1728" s="2">
        <v>21</v>
      </c>
      <c r="CL1728" s="2" t="s">
        <v>86</v>
      </c>
      <c r="CM1728" s="2"/>
    </row>
    <row r="1729" spans="1:91">
      <c r="A1729" s="2" t="s">
        <v>71</v>
      </c>
      <c r="B1729" s="2" t="s">
        <v>72</v>
      </c>
      <c r="C1729" s="2" t="s">
        <v>73</v>
      </c>
      <c r="D1729" s="2"/>
      <c r="E1729" s="2" t="str">
        <f>"FES1162543440"</f>
        <v>FES1162543440</v>
      </c>
      <c r="F1729" s="3">
        <v>42837</v>
      </c>
      <c r="G1729" s="2">
        <v>201710</v>
      </c>
      <c r="H1729" s="2" t="s">
        <v>74</v>
      </c>
      <c r="I1729" s="2" t="s">
        <v>75</v>
      </c>
      <c r="J1729" s="2" t="s">
        <v>76</v>
      </c>
      <c r="K1729" s="2" t="s">
        <v>77</v>
      </c>
      <c r="L1729" s="2" t="s">
        <v>139</v>
      </c>
      <c r="M1729" s="2" t="s">
        <v>140</v>
      </c>
      <c r="N1729" s="2" t="s">
        <v>141</v>
      </c>
      <c r="O1729" s="2" t="s">
        <v>115</v>
      </c>
      <c r="P1729" s="2" t="str">
        <f>"2170561915                    "</f>
        <v xml:space="preserve">2170561915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4.29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1.2</v>
      </c>
      <c r="BJ1729" s="2">
        <v>1.2</v>
      </c>
      <c r="BK1729" s="2">
        <v>1.5</v>
      </c>
      <c r="BL1729" s="2">
        <v>41.73</v>
      </c>
      <c r="BM1729" s="2">
        <v>5.84</v>
      </c>
      <c r="BN1729" s="2">
        <v>47.57</v>
      </c>
      <c r="BO1729" s="2">
        <v>47.57</v>
      </c>
      <c r="BP1729" s="2"/>
      <c r="BQ1729" s="2" t="s">
        <v>142</v>
      </c>
      <c r="BR1729" s="2" t="s">
        <v>84</v>
      </c>
      <c r="BS1729" s="3">
        <v>42838</v>
      </c>
      <c r="BT1729" s="4">
        <v>0.3576388888888889</v>
      </c>
      <c r="BU1729" s="2" t="s">
        <v>604</v>
      </c>
      <c r="BV1729" s="2" t="s">
        <v>111</v>
      </c>
      <c r="BW1729" s="2"/>
      <c r="BX1729" s="2"/>
      <c r="BY1729" s="2">
        <v>5904</v>
      </c>
      <c r="BZ1729" s="2"/>
      <c r="CA1729" s="2"/>
      <c r="CB1729" s="2"/>
      <c r="CC1729" s="2" t="s">
        <v>140</v>
      </c>
      <c r="CD1729" s="2">
        <v>157</v>
      </c>
      <c r="CE1729" s="2" t="s">
        <v>89</v>
      </c>
      <c r="CF1729" s="5">
        <v>42845</v>
      </c>
      <c r="CG1729" s="2"/>
      <c r="CH1729" s="2"/>
      <c r="CI1729" s="2">
        <v>0</v>
      </c>
      <c r="CJ1729" s="2">
        <v>0</v>
      </c>
      <c r="CK1729" s="2">
        <v>21</v>
      </c>
      <c r="CL1729" s="2" t="s">
        <v>86</v>
      </c>
      <c r="CM1729" s="2"/>
    </row>
    <row r="1730" spans="1:91">
      <c r="A1730" s="2" t="s">
        <v>71</v>
      </c>
      <c r="B1730" s="2" t="s">
        <v>72</v>
      </c>
      <c r="C1730" s="2" t="s">
        <v>73</v>
      </c>
      <c r="D1730" s="2"/>
      <c r="E1730" s="2" t="str">
        <f>"FES1162543446"</f>
        <v>FES1162543446</v>
      </c>
      <c r="F1730" s="3">
        <v>42837</v>
      </c>
      <c r="G1730" s="2">
        <v>201710</v>
      </c>
      <c r="H1730" s="2" t="s">
        <v>74</v>
      </c>
      <c r="I1730" s="2" t="s">
        <v>75</v>
      </c>
      <c r="J1730" s="2" t="s">
        <v>76</v>
      </c>
      <c r="K1730" s="2" t="s">
        <v>77</v>
      </c>
      <c r="L1730" s="2" t="s">
        <v>2142</v>
      </c>
      <c r="M1730" s="2" t="s">
        <v>2143</v>
      </c>
      <c r="N1730" s="2" t="s">
        <v>2144</v>
      </c>
      <c r="O1730" s="2" t="s">
        <v>115</v>
      </c>
      <c r="P1730" s="2" t="str">
        <f>"2170562141                    "</f>
        <v xml:space="preserve">2170562141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8.31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1</v>
      </c>
      <c r="BJ1730" s="2">
        <v>0.2</v>
      </c>
      <c r="BK1730" s="2">
        <v>1</v>
      </c>
      <c r="BL1730" s="2">
        <v>80.849999999999994</v>
      </c>
      <c r="BM1730" s="2">
        <v>11.32</v>
      </c>
      <c r="BN1730" s="2">
        <v>92.17</v>
      </c>
      <c r="BO1730" s="2">
        <v>92.17</v>
      </c>
      <c r="BP1730" s="2"/>
      <c r="BQ1730" s="2"/>
      <c r="BR1730" s="2" t="s">
        <v>84</v>
      </c>
      <c r="BS1730" s="3">
        <v>42838</v>
      </c>
      <c r="BT1730" s="4">
        <v>0.54166666666666663</v>
      </c>
      <c r="BU1730" s="2" t="s">
        <v>1137</v>
      </c>
      <c r="BV1730" s="2" t="s">
        <v>111</v>
      </c>
      <c r="BW1730" s="2"/>
      <c r="BX1730" s="2"/>
      <c r="BY1730" s="2">
        <v>1200</v>
      </c>
      <c r="BZ1730" s="2"/>
      <c r="CA1730" s="2"/>
      <c r="CB1730" s="2"/>
      <c r="CC1730" s="2" t="s">
        <v>2143</v>
      </c>
      <c r="CD1730" s="2">
        <v>4490</v>
      </c>
      <c r="CE1730" s="2" t="s">
        <v>118</v>
      </c>
      <c r="CF1730" s="5">
        <v>42843</v>
      </c>
      <c r="CG1730" s="2"/>
      <c r="CH1730" s="2"/>
      <c r="CI1730" s="2">
        <v>1</v>
      </c>
      <c r="CJ1730" s="2">
        <v>1</v>
      </c>
      <c r="CK1730" s="2">
        <v>23</v>
      </c>
      <c r="CL1730" s="2" t="s">
        <v>86</v>
      </c>
      <c r="CM1730" s="2"/>
    </row>
    <row r="1731" spans="1:91">
      <c r="A1731" s="2" t="s">
        <v>71</v>
      </c>
      <c r="B1731" s="2" t="s">
        <v>72</v>
      </c>
      <c r="C1731" s="2" t="s">
        <v>73</v>
      </c>
      <c r="D1731" s="2"/>
      <c r="E1731" s="2" t="str">
        <f>"FES1162543409"</f>
        <v>FES1162543409</v>
      </c>
      <c r="F1731" s="3">
        <v>42837</v>
      </c>
      <c r="G1731" s="2">
        <v>201710</v>
      </c>
      <c r="H1731" s="2" t="s">
        <v>74</v>
      </c>
      <c r="I1731" s="2" t="s">
        <v>75</v>
      </c>
      <c r="J1731" s="2" t="s">
        <v>76</v>
      </c>
      <c r="K1731" s="2" t="s">
        <v>77</v>
      </c>
      <c r="L1731" s="2" t="s">
        <v>166</v>
      </c>
      <c r="M1731" s="2" t="s">
        <v>167</v>
      </c>
      <c r="N1731" s="2" t="s">
        <v>168</v>
      </c>
      <c r="O1731" s="2" t="s">
        <v>115</v>
      </c>
      <c r="P1731" s="2" t="str">
        <f>"2170562097                    "</f>
        <v xml:space="preserve">2170562097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3.35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1</v>
      </c>
      <c r="BJ1731" s="2">
        <v>0.2</v>
      </c>
      <c r="BK1731" s="2">
        <v>1</v>
      </c>
      <c r="BL1731" s="2">
        <v>32.6</v>
      </c>
      <c r="BM1731" s="2">
        <v>4.5599999999999996</v>
      </c>
      <c r="BN1731" s="2">
        <v>37.159999999999997</v>
      </c>
      <c r="BO1731" s="2">
        <v>37.159999999999997</v>
      </c>
      <c r="BP1731" s="2"/>
      <c r="BQ1731" s="2" t="s">
        <v>169</v>
      </c>
      <c r="BR1731" s="2" t="s">
        <v>84</v>
      </c>
      <c r="BS1731" s="3">
        <v>42838</v>
      </c>
      <c r="BT1731" s="4">
        <v>0.38680555555555557</v>
      </c>
      <c r="BU1731" s="2" t="s">
        <v>290</v>
      </c>
      <c r="BV1731" s="2" t="s">
        <v>111</v>
      </c>
      <c r="BW1731" s="2"/>
      <c r="BX1731" s="2"/>
      <c r="BY1731" s="2">
        <v>1200</v>
      </c>
      <c r="BZ1731" s="2"/>
      <c r="CA1731" s="2" t="s">
        <v>171</v>
      </c>
      <c r="CB1731" s="2"/>
      <c r="CC1731" s="2" t="s">
        <v>167</v>
      </c>
      <c r="CD1731" s="2">
        <v>2094</v>
      </c>
      <c r="CE1731" s="2" t="s">
        <v>118</v>
      </c>
      <c r="CF1731" s="5">
        <v>42838</v>
      </c>
      <c r="CG1731" s="2"/>
      <c r="CH1731" s="2"/>
      <c r="CI1731" s="2">
        <v>1</v>
      </c>
      <c r="CJ1731" s="2">
        <v>1</v>
      </c>
      <c r="CK1731" s="2">
        <v>22</v>
      </c>
      <c r="CL1731" s="2" t="s">
        <v>86</v>
      </c>
      <c r="CM1731" s="2"/>
    </row>
    <row r="1732" spans="1:91">
      <c r="A1732" s="2" t="s">
        <v>71</v>
      </c>
      <c r="B1732" s="2" t="s">
        <v>72</v>
      </c>
      <c r="C1732" s="2" t="s">
        <v>73</v>
      </c>
      <c r="D1732" s="2"/>
      <c r="E1732" s="2" t="str">
        <f>"FES1162543357"</f>
        <v>FES1162543357</v>
      </c>
      <c r="F1732" s="3">
        <v>42837</v>
      </c>
      <c r="G1732" s="2">
        <v>201710</v>
      </c>
      <c r="H1732" s="2" t="s">
        <v>74</v>
      </c>
      <c r="I1732" s="2" t="s">
        <v>75</v>
      </c>
      <c r="J1732" s="2" t="s">
        <v>76</v>
      </c>
      <c r="K1732" s="2" t="s">
        <v>77</v>
      </c>
      <c r="L1732" s="2" t="s">
        <v>131</v>
      </c>
      <c r="M1732" s="2" t="s">
        <v>132</v>
      </c>
      <c r="N1732" s="2" t="s">
        <v>2222</v>
      </c>
      <c r="O1732" s="2" t="s">
        <v>115</v>
      </c>
      <c r="P1732" s="2" t="str">
        <f>"2170562039                    "</f>
        <v xml:space="preserve">2170562039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4.29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1</v>
      </c>
      <c r="BJ1732" s="2">
        <v>0.2</v>
      </c>
      <c r="BK1732" s="2">
        <v>1</v>
      </c>
      <c r="BL1732" s="2">
        <v>41.73</v>
      </c>
      <c r="BM1732" s="2">
        <v>5.84</v>
      </c>
      <c r="BN1732" s="2">
        <v>47.57</v>
      </c>
      <c r="BO1732" s="2">
        <v>47.57</v>
      </c>
      <c r="BP1732" s="2"/>
      <c r="BQ1732" s="2" t="s">
        <v>2223</v>
      </c>
      <c r="BR1732" s="2" t="s">
        <v>84</v>
      </c>
      <c r="BS1732" s="3">
        <v>42838</v>
      </c>
      <c r="BT1732" s="4">
        <v>0.3611111111111111</v>
      </c>
      <c r="BU1732" s="2" t="s">
        <v>2224</v>
      </c>
      <c r="BV1732" s="2" t="s">
        <v>111</v>
      </c>
      <c r="BW1732" s="2"/>
      <c r="BX1732" s="2"/>
      <c r="BY1732" s="2">
        <v>1200</v>
      </c>
      <c r="BZ1732" s="2"/>
      <c r="CA1732" s="2"/>
      <c r="CB1732" s="2"/>
      <c r="CC1732" s="2" t="s">
        <v>132</v>
      </c>
      <c r="CD1732" s="2">
        <v>7530</v>
      </c>
      <c r="CE1732" s="2" t="s">
        <v>118</v>
      </c>
      <c r="CF1732" s="5">
        <v>42843</v>
      </c>
      <c r="CG1732" s="2"/>
      <c r="CH1732" s="2"/>
      <c r="CI1732" s="2">
        <v>1</v>
      </c>
      <c r="CJ1732" s="2">
        <v>1</v>
      </c>
      <c r="CK1732" s="2">
        <v>21</v>
      </c>
      <c r="CL1732" s="2" t="s">
        <v>86</v>
      </c>
      <c r="CM1732" s="2"/>
    </row>
    <row r="1733" spans="1:91">
      <c r="A1733" s="2" t="s">
        <v>71</v>
      </c>
      <c r="B1733" s="2" t="s">
        <v>72</v>
      </c>
      <c r="C1733" s="2" t="s">
        <v>73</v>
      </c>
      <c r="D1733" s="2"/>
      <c r="E1733" s="2" t="str">
        <f>"FES1162543441"</f>
        <v>FES1162543441</v>
      </c>
      <c r="F1733" s="3">
        <v>42837</v>
      </c>
      <c r="G1733" s="2">
        <v>201710</v>
      </c>
      <c r="H1733" s="2" t="s">
        <v>74</v>
      </c>
      <c r="I1733" s="2" t="s">
        <v>75</v>
      </c>
      <c r="J1733" s="2" t="s">
        <v>76</v>
      </c>
      <c r="K1733" s="2" t="s">
        <v>77</v>
      </c>
      <c r="L1733" s="2" t="s">
        <v>99</v>
      </c>
      <c r="M1733" s="2" t="s">
        <v>100</v>
      </c>
      <c r="N1733" s="2" t="s">
        <v>433</v>
      </c>
      <c r="O1733" s="2" t="s">
        <v>115</v>
      </c>
      <c r="P1733" s="2" t="str">
        <f>"2170561934                    "</f>
        <v xml:space="preserve">2170561934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16.079999999999998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7.3</v>
      </c>
      <c r="BJ1733" s="2">
        <v>3.5</v>
      </c>
      <c r="BK1733" s="2">
        <v>7.5</v>
      </c>
      <c r="BL1733" s="2">
        <v>156.47999999999999</v>
      </c>
      <c r="BM1733" s="2">
        <v>21.91</v>
      </c>
      <c r="BN1733" s="2">
        <v>178.39</v>
      </c>
      <c r="BO1733" s="2">
        <v>178.39</v>
      </c>
      <c r="BP1733" s="2"/>
      <c r="BQ1733" s="2" t="s">
        <v>434</v>
      </c>
      <c r="BR1733" s="2" t="s">
        <v>84</v>
      </c>
      <c r="BS1733" s="3">
        <v>42838</v>
      </c>
      <c r="BT1733" s="4">
        <v>0.35416666666666669</v>
      </c>
      <c r="BU1733" s="2" t="s">
        <v>245</v>
      </c>
      <c r="BV1733" s="2" t="s">
        <v>111</v>
      </c>
      <c r="BW1733" s="2"/>
      <c r="BX1733" s="2"/>
      <c r="BY1733" s="2">
        <v>17484.63</v>
      </c>
      <c r="BZ1733" s="2"/>
      <c r="CA1733" s="2"/>
      <c r="CB1733" s="2"/>
      <c r="CC1733" s="2" t="s">
        <v>100</v>
      </c>
      <c r="CD1733" s="2">
        <v>6001</v>
      </c>
      <c r="CE1733" s="2" t="s">
        <v>172</v>
      </c>
      <c r="CF1733" s="5">
        <v>42843</v>
      </c>
      <c r="CG1733" s="2"/>
      <c r="CH1733" s="2"/>
      <c r="CI1733" s="2">
        <v>1</v>
      </c>
      <c r="CJ1733" s="2">
        <v>1</v>
      </c>
      <c r="CK1733" s="2">
        <v>21</v>
      </c>
      <c r="CL1733" s="2" t="s">
        <v>86</v>
      </c>
      <c r="CM1733" s="2"/>
    </row>
    <row r="1734" spans="1:91">
      <c r="A1734" s="2" t="s">
        <v>71</v>
      </c>
      <c r="B1734" s="2" t="s">
        <v>72</v>
      </c>
      <c r="C1734" s="2" t="s">
        <v>73</v>
      </c>
      <c r="D1734" s="2"/>
      <c r="E1734" s="2" t="str">
        <f>"FES1162543320"</f>
        <v>FES1162543320</v>
      </c>
      <c r="F1734" s="3">
        <v>42837</v>
      </c>
      <c r="G1734" s="2">
        <v>201710</v>
      </c>
      <c r="H1734" s="2" t="s">
        <v>74</v>
      </c>
      <c r="I1734" s="2" t="s">
        <v>75</v>
      </c>
      <c r="J1734" s="2" t="s">
        <v>76</v>
      </c>
      <c r="K1734" s="2" t="s">
        <v>77</v>
      </c>
      <c r="L1734" s="2" t="s">
        <v>176</v>
      </c>
      <c r="M1734" s="2" t="s">
        <v>176</v>
      </c>
      <c r="N1734" s="2" t="s">
        <v>1413</v>
      </c>
      <c r="O1734" s="2" t="s">
        <v>115</v>
      </c>
      <c r="P1734" s="2" t="str">
        <f>"2170561993                    "</f>
        <v xml:space="preserve">2170561993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4.29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1</v>
      </c>
      <c r="BJ1734" s="2">
        <v>0.2</v>
      </c>
      <c r="BK1734" s="2">
        <v>1</v>
      </c>
      <c r="BL1734" s="2">
        <v>41.73</v>
      </c>
      <c r="BM1734" s="2">
        <v>5.84</v>
      </c>
      <c r="BN1734" s="2">
        <v>47.57</v>
      </c>
      <c r="BO1734" s="2">
        <v>47.57</v>
      </c>
      <c r="BP1734" s="2"/>
      <c r="BQ1734" s="2" t="s">
        <v>83</v>
      </c>
      <c r="BR1734" s="2" t="s">
        <v>84</v>
      </c>
      <c r="BS1734" s="3">
        <v>42838</v>
      </c>
      <c r="BT1734" s="4">
        <v>0.47916666666666669</v>
      </c>
      <c r="BU1734" s="2" t="s">
        <v>1414</v>
      </c>
      <c r="BV1734" s="2" t="s">
        <v>111</v>
      </c>
      <c r="BW1734" s="2"/>
      <c r="BX1734" s="2"/>
      <c r="BY1734" s="2">
        <v>1200</v>
      </c>
      <c r="BZ1734" s="2"/>
      <c r="CA1734" s="2"/>
      <c r="CB1734" s="2"/>
      <c r="CC1734" s="2" t="s">
        <v>176</v>
      </c>
      <c r="CD1734" s="2">
        <v>7620</v>
      </c>
      <c r="CE1734" s="2" t="s">
        <v>118</v>
      </c>
      <c r="CF1734" s="5">
        <v>42843</v>
      </c>
      <c r="CG1734" s="2"/>
      <c r="CH1734" s="2"/>
      <c r="CI1734" s="2">
        <v>1</v>
      </c>
      <c r="CJ1734" s="2">
        <v>1</v>
      </c>
      <c r="CK1734" s="2">
        <v>21</v>
      </c>
      <c r="CL1734" s="2" t="s">
        <v>86</v>
      </c>
      <c r="CM1734" s="2"/>
    </row>
    <row r="1735" spans="1:91">
      <c r="A1735" s="2" t="s">
        <v>71</v>
      </c>
      <c r="B1735" s="2" t="s">
        <v>72</v>
      </c>
      <c r="C1735" s="2" t="s">
        <v>73</v>
      </c>
      <c r="D1735" s="2"/>
      <c r="E1735" s="2" t="str">
        <f>"FES1162543352"</f>
        <v>FES1162543352</v>
      </c>
      <c r="F1735" s="3">
        <v>42837</v>
      </c>
      <c r="G1735" s="2">
        <v>201710</v>
      </c>
      <c r="H1735" s="2" t="s">
        <v>74</v>
      </c>
      <c r="I1735" s="2" t="s">
        <v>75</v>
      </c>
      <c r="J1735" s="2" t="s">
        <v>76</v>
      </c>
      <c r="K1735" s="2" t="s">
        <v>77</v>
      </c>
      <c r="L1735" s="2" t="s">
        <v>176</v>
      </c>
      <c r="M1735" s="2" t="s">
        <v>176</v>
      </c>
      <c r="N1735" s="2" t="s">
        <v>460</v>
      </c>
      <c r="O1735" s="2" t="s">
        <v>115</v>
      </c>
      <c r="P1735" s="2" t="str">
        <f>"2170562031                    "</f>
        <v xml:space="preserve">2170562031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4.29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1</v>
      </c>
      <c r="BJ1735" s="2">
        <v>0.2</v>
      </c>
      <c r="BK1735" s="2">
        <v>1</v>
      </c>
      <c r="BL1735" s="2">
        <v>41.73</v>
      </c>
      <c r="BM1735" s="2">
        <v>5.84</v>
      </c>
      <c r="BN1735" s="2">
        <v>47.57</v>
      </c>
      <c r="BO1735" s="2">
        <v>47.57</v>
      </c>
      <c r="BP1735" s="2"/>
      <c r="BQ1735" s="2" t="s">
        <v>461</v>
      </c>
      <c r="BR1735" s="2" t="s">
        <v>84</v>
      </c>
      <c r="BS1735" s="3">
        <v>42838</v>
      </c>
      <c r="BT1735" s="4">
        <v>0.49652777777777773</v>
      </c>
      <c r="BU1735" s="2" t="s">
        <v>2225</v>
      </c>
      <c r="BV1735" s="2" t="s">
        <v>111</v>
      </c>
      <c r="BW1735" s="2"/>
      <c r="BX1735" s="2"/>
      <c r="BY1735" s="2">
        <v>1200</v>
      </c>
      <c r="BZ1735" s="2"/>
      <c r="CA1735" s="2"/>
      <c r="CB1735" s="2"/>
      <c r="CC1735" s="2" t="s">
        <v>176</v>
      </c>
      <c r="CD1735" s="2">
        <v>7646</v>
      </c>
      <c r="CE1735" s="2" t="s">
        <v>118</v>
      </c>
      <c r="CF1735" s="5">
        <v>42843</v>
      </c>
      <c r="CG1735" s="2"/>
      <c r="CH1735" s="2"/>
      <c r="CI1735" s="2">
        <v>1</v>
      </c>
      <c r="CJ1735" s="2">
        <v>1</v>
      </c>
      <c r="CK1735" s="2">
        <v>21</v>
      </c>
      <c r="CL1735" s="2" t="s">
        <v>86</v>
      </c>
      <c r="CM1735" s="2"/>
    </row>
    <row r="1736" spans="1:91">
      <c r="A1736" s="2" t="s">
        <v>71</v>
      </c>
      <c r="B1736" s="2" t="s">
        <v>72</v>
      </c>
      <c r="C1736" s="2" t="s">
        <v>73</v>
      </c>
      <c r="D1736" s="2"/>
      <c r="E1736" s="2" t="str">
        <f>"FES1162543389"</f>
        <v>FES1162543389</v>
      </c>
      <c r="F1736" s="3">
        <v>42837</v>
      </c>
      <c r="G1736" s="2">
        <v>201710</v>
      </c>
      <c r="H1736" s="2" t="s">
        <v>74</v>
      </c>
      <c r="I1736" s="2" t="s">
        <v>75</v>
      </c>
      <c r="J1736" s="2" t="s">
        <v>76</v>
      </c>
      <c r="K1736" s="2" t="s">
        <v>77</v>
      </c>
      <c r="L1736" s="2" t="s">
        <v>131</v>
      </c>
      <c r="M1736" s="2" t="s">
        <v>132</v>
      </c>
      <c r="N1736" s="2" t="s">
        <v>1497</v>
      </c>
      <c r="O1736" s="2" t="s">
        <v>115</v>
      </c>
      <c r="P1736" s="2" t="str">
        <f>"2170562083                    "</f>
        <v xml:space="preserve">2170562083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4.29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1.4</v>
      </c>
      <c r="BJ1736" s="2">
        <v>0.2</v>
      </c>
      <c r="BK1736" s="2">
        <v>1.5</v>
      </c>
      <c r="BL1736" s="2">
        <v>41.73</v>
      </c>
      <c r="BM1736" s="2">
        <v>5.84</v>
      </c>
      <c r="BN1736" s="2">
        <v>47.57</v>
      </c>
      <c r="BO1736" s="2">
        <v>47.57</v>
      </c>
      <c r="BP1736" s="2"/>
      <c r="BQ1736" s="2" t="s">
        <v>1498</v>
      </c>
      <c r="BR1736" s="2" t="s">
        <v>84</v>
      </c>
      <c r="BS1736" s="3">
        <v>42838</v>
      </c>
      <c r="BT1736" s="4">
        <v>0.41666666666666669</v>
      </c>
      <c r="BU1736" s="2" t="s">
        <v>2158</v>
      </c>
      <c r="BV1736" s="2" t="s">
        <v>111</v>
      </c>
      <c r="BW1736" s="2"/>
      <c r="BX1736" s="2"/>
      <c r="BY1736" s="2">
        <v>1200</v>
      </c>
      <c r="BZ1736" s="2"/>
      <c r="CA1736" s="2"/>
      <c r="CB1736" s="2"/>
      <c r="CC1736" s="2" t="s">
        <v>132</v>
      </c>
      <c r="CD1736" s="2">
        <v>7441</v>
      </c>
      <c r="CE1736" s="2" t="s">
        <v>118</v>
      </c>
      <c r="CF1736" s="5">
        <v>42843</v>
      </c>
      <c r="CG1736" s="2"/>
      <c r="CH1736" s="2"/>
      <c r="CI1736" s="2">
        <v>1</v>
      </c>
      <c r="CJ1736" s="2">
        <v>1</v>
      </c>
      <c r="CK1736" s="2">
        <v>21</v>
      </c>
      <c r="CL1736" s="2" t="s">
        <v>86</v>
      </c>
      <c r="CM1736" s="2"/>
    </row>
    <row r="1737" spans="1:91">
      <c r="A1737" s="2" t="s">
        <v>71</v>
      </c>
      <c r="B1737" s="2" t="s">
        <v>72</v>
      </c>
      <c r="C1737" s="2" t="s">
        <v>73</v>
      </c>
      <c r="D1737" s="2"/>
      <c r="E1737" s="2" t="str">
        <f>"FES1162543377"</f>
        <v>FES1162543377</v>
      </c>
      <c r="F1737" s="3">
        <v>42837</v>
      </c>
      <c r="G1737" s="2">
        <v>201710</v>
      </c>
      <c r="H1737" s="2" t="s">
        <v>74</v>
      </c>
      <c r="I1737" s="2" t="s">
        <v>75</v>
      </c>
      <c r="J1737" s="2" t="s">
        <v>76</v>
      </c>
      <c r="K1737" s="2" t="s">
        <v>77</v>
      </c>
      <c r="L1737" s="2" t="s">
        <v>176</v>
      </c>
      <c r="M1737" s="2" t="s">
        <v>176</v>
      </c>
      <c r="N1737" s="2" t="s">
        <v>2191</v>
      </c>
      <c r="O1737" s="2" t="s">
        <v>115</v>
      </c>
      <c r="P1737" s="2" t="str">
        <f>"210562065                     "</f>
        <v xml:space="preserve">210562065 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6.43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3</v>
      </c>
      <c r="BJ1737" s="2">
        <v>1.4</v>
      </c>
      <c r="BK1737" s="2">
        <v>3</v>
      </c>
      <c r="BL1737" s="2">
        <v>62.59</v>
      </c>
      <c r="BM1737" s="2">
        <v>8.76</v>
      </c>
      <c r="BN1737" s="2">
        <v>71.349999999999994</v>
      </c>
      <c r="BO1737" s="2">
        <v>71.349999999999994</v>
      </c>
      <c r="BP1737" s="2"/>
      <c r="BQ1737" s="2" t="s">
        <v>122</v>
      </c>
      <c r="BR1737" s="2" t="s">
        <v>84</v>
      </c>
      <c r="BS1737" s="3">
        <v>42838</v>
      </c>
      <c r="BT1737" s="4">
        <v>0.4375</v>
      </c>
      <c r="BU1737" s="2" t="s">
        <v>2226</v>
      </c>
      <c r="BV1737" s="2" t="s">
        <v>111</v>
      </c>
      <c r="BW1737" s="2"/>
      <c r="BX1737" s="2"/>
      <c r="BY1737" s="2">
        <v>6814.2</v>
      </c>
      <c r="BZ1737" s="2"/>
      <c r="CA1737" s="2"/>
      <c r="CB1737" s="2"/>
      <c r="CC1737" s="2" t="s">
        <v>176</v>
      </c>
      <c r="CD1737" s="2">
        <v>7646</v>
      </c>
      <c r="CE1737" s="2" t="s">
        <v>89</v>
      </c>
      <c r="CF1737" s="5">
        <v>42843</v>
      </c>
      <c r="CG1737" s="2"/>
      <c r="CH1737" s="2"/>
      <c r="CI1737" s="2">
        <v>1</v>
      </c>
      <c r="CJ1737" s="2">
        <v>1</v>
      </c>
      <c r="CK1737" s="2">
        <v>21</v>
      </c>
      <c r="CL1737" s="2" t="s">
        <v>86</v>
      </c>
      <c r="CM1737" s="2"/>
    </row>
    <row r="1738" spans="1:91">
      <c r="A1738" s="2" t="s">
        <v>71</v>
      </c>
      <c r="B1738" s="2" t="s">
        <v>72</v>
      </c>
      <c r="C1738" s="2" t="s">
        <v>73</v>
      </c>
      <c r="D1738" s="2"/>
      <c r="E1738" s="2" t="str">
        <f>"FES1162543406"</f>
        <v>FES1162543406</v>
      </c>
      <c r="F1738" s="3">
        <v>42837</v>
      </c>
      <c r="G1738" s="2">
        <v>201710</v>
      </c>
      <c r="H1738" s="2" t="s">
        <v>74</v>
      </c>
      <c r="I1738" s="2" t="s">
        <v>75</v>
      </c>
      <c r="J1738" s="2" t="s">
        <v>76</v>
      </c>
      <c r="K1738" s="2" t="s">
        <v>77</v>
      </c>
      <c r="L1738" s="2" t="s">
        <v>516</v>
      </c>
      <c r="M1738" s="2" t="s">
        <v>517</v>
      </c>
      <c r="N1738" s="2" t="s">
        <v>755</v>
      </c>
      <c r="O1738" s="2" t="s">
        <v>115</v>
      </c>
      <c r="P1738" s="2" t="str">
        <f>"2170562094                    "</f>
        <v xml:space="preserve">2170562094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3.35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1</v>
      </c>
      <c r="BJ1738" s="2">
        <v>0.2</v>
      </c>
      <c r="BK1738" s="2">
        <v>1</v>
      </c>
      <c r="BL1738" s="2">
        <v>32.6</v>
      </c>
      <c r="BM1738" s="2">
        <v>4.5599999999999996</v>
      </c>
      <c r="BN1738" s="2">
        <v>37.159999999999997</v>
      </c>
      <c r="BO1738" s="2">
        <v>37.159999999999997</v>
      </c>
      <c r="BP1738" s="2"/>
      <c r="BQ1738" s="2" t="s">
        <v>122</v>
      </c>
      <c r="BR1738" s="2" t="s">
        <v>84</v>
      </c>
      <c r="BS1738" s="3">
        <v>42838</v>
      </c>
      <c r="BT1738" s="4">
        <v>0.41944444444444445</v>
      </c>
      <c r="BU1738" s="2" t="s">
        <v>2227</v>
      </c>
      <c r="BV1738" s="2" t="s">
        <v>111</v>
      </c>
      <c r="BW1738" s="2"/>
      <c r="BX1738" s="2"/>
      <c r="BY1738" s="2">
        <v>1200</v>
      </c>
      <c r="BZ1738" s="2"/>
      <c r="CA1738" s="2"/>
      <c r="CB1738" s="2"/>
      <c r="CC1738" s="2" t="s">
        <v>517</v>
      </c>
      <c r="CD1738" s="2">
        <v>1459</v>
      </c>
      <c r="CE1738" s="2" t="s">
        <v>118</v>
      </c>
      <c r="CF1738" s="5">
        <v>42843</v>
      </c>
      <c r="CG1738" s="2"/>
      <c r="CH1738" s="2"/>
      <c r="CI1738" s="2">
        <v>1</v>
      </c>
      <c r="CJ1738" s="2">
        <v>1</v>
      </c>
      <c r="CK1738" s="2">
        <v>22</v>
      </c>
      <c r="CL1738" s="2" t="s">
        <v>86</v>
      </c>
      <c r="CM1738" s="2"/>
    </row>
    <row r="1739" spans="1:91">
      <c r="A1739" s="2" t="s">
        <v>71</v>
      </c>
      <c r="B1739" s="2" t="s">
        <v>72</v>
      </c>
      <c r="C1739" s="2" t="s">
        <v>73</v>
      </c>
      <c r="D1739" s="2"/>
      <c r="E1739" s="2" t="str">
        <f>"FES1162543436"</f>
        <v>FES1162543436</v>
      </c>
      <c r="F1739" s="3">
        <v>42837</v>
      </c>
      <c r="G1739" s="2">
        <v>201710</v>
      </c>
      <c r="H1739" s="2" t="s">
        <v>74</v>
      </c>
      <c r="I1739" s="2" t="s">
        <v>75</v>
      </c>
      <c r="J1739" s="2" t="s">
        <v>76</v>
      </c>
      <c r="K1739" s="2" t="s">
        <v>77</v>
      </c>
      <c r="L1739" s="2" t="s">
        <v>99</v>
      </c>
      <c r="M1739" s="2" t="s">
        <v>100</v>
      </c>
      <c r="N1739" s="2" t="s">
        <v>2089</v>
      </c>
      <c r="O1739" s="2" t="s">
        <v>115</v>
      </c>
      <c r="P1739" s="2" t="str">
        <f>"2170561859                    "</f>
        <v xml:space="preserve">2170561859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4.29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1</v>
      </c>
      <c r="BJ1739" s="2">
        <v>0.2</v>
      </c>
      <c r="BK1739" s="2">
        <v>1</v>
      </c>
      <c r="BL1739" s="2">
        <v>41.73</v>
      </c>
      <c r="BM1739" s="2">
        <v>5.84</v>
      </c>
      <c r="BN1739" s="2">
        <v>47.57</v>
      </c>
      <c r="BO1739" s="2">
        <v>47.57</v>
      </c>
      <c r="BP1739" s="2"/>
      <c r="BQ1739" s="2" t="s">
        <v>2090</v>
      </c>
      <c r="BR1739" s="2" t="s">
        <v>84</v>
      </c>
      <c r="BS1739" s="3">
        <v>42838</v>
      </c>
      <c r="BT1739" s="4">
        <v>0.35833333333333334</v>
      </c>
      <c r="BU1739" s="2" t="s">
        <v>544</v>
      </c>
      <c r="BV1739" s="2" t="s">
        <v>111</v>
      </c>
      <c r="BW1739" s="2"/>
      <c r="BX1739" s="2"/>
      <c r="BY1739" s="2">
        <v>1200</v>
      </c>
      <c r="BZ1739" s="2"/>
      <c r="CA1739" s="2"/>
      <c r="CB1739" s="2"/>
      <c r="CC1739" s="2" t="s">
        <v>100</v>
      </c>
      <c r="CD1739" s="2">
        <v>6001</v>
      </c>
      <c r="CE1739" s="2" t="s">
        <v>118</v>
      </c>
      <c r="CF1739" s="5">
        <v>42843</v>
      </c>
      <c r="CG1739" s="2"/>
      <c r="CH1739" s="2"/>
      <c r="CI1739" s="2">
        <v>1</v>
      </c>
      <c r="CJ1739" s="2">
        <v>1</v>
      </c>
      <c r="CK1739" s="2">
        <v>21</v>
      </c>
      <c r="CL1739" s="2" t="s">
        <v>86</v>
      </c>
      <c r="CM1739" s="2"/>
    </row>
    <row r="1740" spans="1:91">
      <c r="A1740" s="2" t="s">
        <v>71</v>
      </c>
      <c r="B1740" s="2" t="s">
        <v>72</v>
      </c>
      <c r="C1740" s="2" t="s">
        <v>73</v>
      </c>
      <c r="D1740" s="2"/>
      <c r="E1740" s="2" t="str">
        <f>"FES1162543472"</f>
        <v>FES1162543472</v>
      </c>
      <c r="F1740" s="3">
        <v>42837</v>
      </c>
      <c r="G1740" s="2">
        <v>201710</v>
      </c>
      <c r="H1740" s="2" t="s">
        <v>74</v>
      </c>
      <c r="I1740" s="2" t="s">
        <v>75</v>
      </c>
      <c r="J1740" s="2" t="s">
        <v>76</v>
      </c>
      <c r="K1740" s="2" t="s">
        <v>77</v>
      </c>
      <c r="L1740" s="2" t="s">
        <v>212</v>
      </c>
      <c r="M1740" s="2" t="s">
        <v>213</v>
      </c>
      <c r="N1740" s="2" t="s">
        <v>214</v>
      </c>
      <c r="O1740" s="2" t="s">
        <v>115</v>
      </c>
      <c r="P1740" s="2" t="str">
        <f>"2170562170                    "</f>
        <v xml:space="preserve">2170562170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6.03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1</v>
      </c>
      <c r="BJ1740" s="2">
        <v>0.2</v>
      </c>
      <c r="BK1740" s="2">
        <v>1</v>
      </c>
      <c r="BL1740" s="2">
        <v>58.68</v>
      </c>
      <c r="BM1740" s="2">
        <v>8.2200000000000006</v>
      </c>
      <c r="BN1740" s="2">
        <v>66.900000000000006</v>
      </c>
      <c r="BO1740" s="2">
        <v>66.900000000000006</v>
      </c>
      <c r="BP1740" s="2"/>
      <c r="BQ1740" s="2" t="s">
        <v>215</v>
      </c>
      <c r="BR1740" s="2" t="s">
        <v>84</v>
      </c>
      <c r="BS1740" s="3">
        <v>42838</v>
      </c>
      <c r="BT1740" s="4">
        <v>0.4826388888888889</v>
      </c>
      <c r="BU1740" s="2" t="s">
        <v>1137</v>
      </c>
      <c r="BV1740" s="2" t="s">
        <v>111</v>
      </c>
      <c r="BW1740" s="2"/>
      <c r="BX1740" s="2"/>
      <c r="BY1740" s="2">
        <v>1200</v>
      </c>
      <c r="BZ1740" s="2"/>
      <c r="CA1740" s="2" t="s">
        <v>2228</v>
      </c>
      <c r="CB1740" s="2"/>
      <c r="CC1740" s="2" t="s">
        <v>213</v>
      </c>
      <c r="CD1740" s="2">
        <v>1000</v>
      </c>
      <c r="CE1740" s="2" t="s">
        <v>118</v>
      </c>
      <c r="CF1740" s="5">
        <v>42838</v>
      </c>
      <c r="CG1740" s="2"/>
      <c r="CH1740" s="2"/>
      <c r="CI1740" s="2">
        <v>0</v>
      </c>
      <c r="CJ1740" s="2">
        <v>0</v>
      </c>
      <c r="CK1740" s="2">
        <v>24</v>
      </c>
      <c r="CL1740" s="2" t="s">
        <v>86</v>
      </c>
      <c r="CM1740" s="2"/>
    </row>
    <row r="1741" spans="1:91">
      <c r="A1741" s="2" t="s">
        <v>71</v>
      </c>
      <c r="B1741" s="2" t="s">
        <v>72</v>
      </c>
      <c r="C1741" s="2" t="s">
        <v>73</v>
      </c>
      <c r="D1741" s="2"/>
      <c r="E1741" s="2" t="str">
        <f>"FES1162543334"</f>
        <v>FES1162543334</v>
      </c>
      <c r="F1741" s="3">
        <v>42837</v>
      </c>
      <c r="G1741" s="2">
        <v>201710</v>
      </c>
      <c r="H1741" s="2" t="s">
        <v>74</v>
      </c>
      <c r="I1741" s="2" t="s">
        <v>75</v>
      </c>
      <c r="J1741" s="2" t="s">
        <v>76</v>
      </c>
      <c r="K1741" s="2" t="s">
        <v>77</v>
      </c>
      <c r="L1741" s="2" t="s">
        <v>131</v>
      </c>
      <c r="M1741" s="2" t="s">
        <v>132</v>
      </c>
      <c r="N1741" s="2" t="s">
        <v>363</v>
      </c>
      <c r="O1741" s="2" t="s">
        <v>115</v>
      </c>
      <c r="P1741" s="2" t="str">
        <f>"2170562009                    "</f>
        <v xml:space="preserve">2170562009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4.29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2</v>
      </c>
      <c r="BJ1741" s="2">
        <v>0.2</v>
      </c>
      <c r="BK1741" s="2">
        <v>2</v>
      </c>
      <c r="BL1741" s="2">
        <v>41.73</v>
      </c>
      <c r="BM1741" s="2">
        <v>5.84</v>
      </c>
      <c r="BN1741" s="2">
        <v>47.57</v>
      </c>
      <c r="BO1741" s="2">
        <v>47.57</v>
      </c>
      <c r="BP1741" s="2"/>
      <c r="BQ1741" s="2" t="s">
        <v>170</v>
      </c>
      <c r="BR1741" s="2" t="s">
        <v>84</v>
      </c>
      <c r="BS1741" s="3">
        <v>42838</v>
      </c>
      <c r="BT1741" s="4">
        <v>0.41666666666666669</v>
      </c>
      <c r="BU1741" s="2" t="s">
        <v>1934</v>
      </c>
      <c r="BV1741" s="2" t="s">
        <v>111</v>
      </c>
      <c r="BW1741" s="2"/>
      <c r="BX1741" s="2"/>
      <c r="BY1741" s="2">
        <v>1200</v>
      </c>
      <c r="BZ1741" s="2"/>
      <c r="CA1741" s="2"/>
      <c r="CB1741" s="2"/>
      <c r="CC1741" s="2" t="s">
        <v>132</v>
      </c>
      <c r="CD1741" s="2">
        <v>7441</v>
      </c>
      <c r="CE1741" s="2" t="s">
        <v>118</v>
      </c>
      <c r="CF1741" s="5">
        <v>42843</v>
      </c>
      <c r="CG1741" s="2"/>
      <c r="CH1741" s="2"/>
      <c r="CI1741" s="2">
        <v>1</v>
      </c>
      <c r="CJ1741" s="2">
        <v>1</v>
      </c>
      <c r="CK1741" s="2">
        <v>21</v>
      </c>
      <c r="CL1741" s="2" t="s">
        <v>86</v>
      </c>
      <c r="CM1741" s="2"/>
    </row>
    <row r="1742" spans="1:91">
      <c r="A1742" s="2" t="s">
        <v>71</v>
      </c>
      <c r="B1742" s="2" t="s">
        <v>72</v>
      </c>
      <c r="C1742" s="2" t="s">
        <v>73</v>
      </c>
      <c r="D1742" s="2"/>
      <c r="E1742" s="2" t="str">
        <f>"FES1162543747"</f>
        <v>FES1162543747</v>
      </c>
      <c r="F1742" s="3">
        <v>42838</v>
      </c>
      <c r="G1742" s="2">
        <v>201710</v>
      </c>
      <c r="H1742" s="2" t="s">
        <v>74</v>
      </c>
      <c r="I1742" s="2" t="s">
        <v>75</v>
      </c>
      <c r="J1742" s="2" t="s">
        <v>76</v>
      </c>
      <c r="K1742" s="2" t="s">
        <v>77</v>
      </c>
      <c r="L1742" s="2" t="s">
        <v>516</v>
      </c>
      <c r="M1742" s="2" t="s">
        <v>517</v>
      </c>
      <c r="N1742" s="2" t="s">
        <v>2229</v>
      </c>
      <c r="O1742" s="2" t="s">
        <v>81</v>
      </c>
      <c r="P1742" s="2" t="str">
        <f>"2170562386                    "</f>
        <v xml:space="preserve">2170562386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6.03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4.9000000000000004</v>
      </c>
      <c r="BJ1742" s="2">
        <v>2.6</v>
      </c>
      <c r="BK1742" s="2">
        <v>5</v>
      </c>
      <c r="BL1742" s="2">
        <v>63.68</v>
      </c>
      <c r="BM1742" s="2">
        <v>8.92</v>
      </c>
      <c r="BN1742" s="2">
        <v>72.599999999999994</v>
      </c>
      <c r="BO1742" s="2">
        <v>72.599999999999994</v>
      </c>
      <c r="BP1742" s="2" t="s">
        <v>82</v>
      </c>
      <c r="BQ1742" s="2" t="s">
        <v>122</v>
      </c>
      <c r="BR1742" s="2" t="s">
        <v>84</v>
      </c>
      <c r="BS1742" s="3">
        <v>42843</v>
      </c>
      <c r="BT1742" s="4">
        <v>0.41666666666666669</v>
      </c>
      <c r="BU1742" s="2" t="s">
        <v>2230</v>
      </c>
      <c r="BV1742" s="2" t="s">
        <v>86</v>
      </c>
      <c r="BW1742" s="2" t="s">
        <v>96</v>
      </c>
      <c r="BX1742" s="2" t="s">
        <v>97</v>
      </c>
      <c r="BY1742" s="2">
        <v>13057.2</v>
      </c>
      <c r="BZ1742" s="2"/>
      <c r="CA1742" s="2"/>
      <c r="CB1742" s="2"/>
      <c r="CC1742" s="2" t="s">
        <v>517</v>
      </c>
      <c r="CD1742" s="2">
        <v>1469</v>
      </c>
      <c r="CE1742" s="2" t="s">
        <v>89</v>
      </c>
      <c r="CF1742" s="5">
        <v>42845</v>
      </c>
      <c r="CG1742" s="2"/>
      <c r="CH1742" s="2"/>
      <c r="CI1742" s="2">
        <v>0</v>
      </c>
      <c r="CJ1742" s="2">
        <v>0</v>
      </c>
      <c r="CK1742" s="2" t="s">
        <v>98</v>
      </c>
      <c r="CL1742" s="2" t="s">
        <v>86</v>
      </c>
      <c r="CM1742" s="2"/>
    </row>
    <row r="1743" spans="1:91">
      <c r="A1743" s="2" t="s">
        <v>2231</v>
      </c>
      <c r="B1743" s="2" t="s">
        <v>72</v>
      </c>
      <c r="C1743" s="2" t="s">
        <v>73</v>
      </c>
      <c r="D1743" s="2"/>
      <c r="E1743" s="2" t="str">
        <f>"009935903220"</f>
        <v>009935903220</v>
      </c>
      <c r="F1743" s="3">
        <v>42830</v>
      </c>
      <c r="G1743" s="2">
        <v>201710</v>
      </c>
      <c r="H1743" s="2" t="s">
        <v>112</v>
      </c>
      <c r="I1743" s="2" t="s">
        <v>113</v>
      </c>
      <c r="J1743" s="2" t="s">
        <v>2232</v>
      </c>
      <c r="K1743" s="2" t="s">
        <v>77</v>
      </c>
      <c r="L1743" s="2" t="s">
        <v>74</v>
      </c>
      <c r="M1743" s="2" t="s">
        <v>75</v>
      </c>
      <c r="N1743" s="2" t="s">
        <v>2233</v>
      </c>
      <c r="O1743" s="2" t="s">
        <v>81</v>
      </c>
      <c r="P1743" s="2" t="str">
        <f>"                              "</f>
        <v xml:space="preserve">          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8.0399999999999991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2</v>
      </c>
      <c r="BJ1743" s="2">
        <v>1</v>
      </c>
      <c r="BK1743" s="2">
        <v>2</v>
      </c>
      <c r="BL1743" s="2">
        <v>83.24</v>
      </c>
      <c r="BM1743" s="2">
        <v>11.65</v>
      </c>
      <c r="BN1743" s="2">
        <v>94.89</v>
      </c>
      <c r="BO1743" s="2">
        <v>94.89</v>
      </c>
      <c r="BP1743" s="2"/>
      <c r="BQ1743" s="2" t="s">
        <v>2234</v>
      </c>
      <c r="BR1743" s="2" t="s">
        <v>2235</v>
      </c>
      <c r="BS1743" s="3">
        <v>42831</v>
      </c>
      <c r="BT1743" s="4">
        <v>0.57638888888888895</v>
      </c>
      <c r="BU1743" s="2" t="s">
        <v>198</v>
      </c>
      <c r="BV1743" s="2" t="s">
        <v>111</v>
      </c>
      <c r="BW1743" s="2"/>
      <c r="BX1743" s="2"/>
      <c r="BY1743" s="2">
        <v>4788</v>
      </c>
      <c r="BZ1743" s="2"/>
      <c r="CA1743" s="2"/>
      <c r="CB1743" s="2"/>
      <c r="CC1743" s="2" t="s">
        <v>75</v>
      </c>
      <c r="CD1743" s="2">
        <v>1600</v>
      </c>
      <c r="CE1743" s="2" t="s">
        <v>89</v>
      </c>
      <c r="CF1743" s="5">
        <v>42833</v>
      </c>
      <c r="CG1743" s="2"/>
      <c r="CH1743" s="2"/>
      <c r="CI1743" s="2">
        <v>0</v>
      </c>
      <c r="CJ1743" s="2">
        <v>0</v>
      </c>
      <c r="CK1743" s="2" t="s">
        <v>217</v>
      </c>
      <c r="CL1743" s="2" t="s">
        <v>86</v>
      </c>
      <c r="CM1743" s="2"/>
    </row>
    <row r="1744" spans="1:91">
      <c r="A1744" s="2" t="s">
        <v>71</v>
      </c>
      <c r="B1744" s="2" t="s">
        <v>72</v>
      </c>
      <c r="C1744" s="2" t="s">
        <v>73</v>
      </c>
      <c r="D1744" s="2"/>
      <c r="E1744" s="2" t="str">
        <f>"FES1162540974"</f>
        <v>FES1162540974</v>
      </c>
      <c r="F1744" s="3">
        <v>42828</v>
      </c>
      <c r="G1744" s="2">
        <v>201710</v>
      </c>
      <c r="H1744" s="2" t="s">
        <v>74</v>
      </c>
      <c r="I1744" s="2" t="s">
        <v>75</v>
      </c>
      <c r="J1744" s="2" t="s">
        <v>76</v>
      </c>
      <c r="K1744" s="2" t="s">
        <v>77</v>
      </c>
      <c r="L1744" s="2" t="s">
        <v>139</v>
      </c>
      <c r="M1744" s="2" t="s">
        <v>140</v>
      </c>
      <c r="N1744" s="2" t="s">
        <v>784</v>
      </c>
      <c r="O1744" s="2" t="s">
        <v>81</v>
      </c>
      <c r="P1744" s="2" t="str">
        <f>"2170557140                    "</f>
        <v xml:space="preserve">2170557140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8.77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20</v>
      </c>
      <c r="BJ1744" s="2">
        <v>17.899999999999999</v>
      </c>
      <c r="BK1744" s="2">
        <v>20</v>
      </c>
      <c r="BL1744" s="2">
        <v>88.07</v>
      </c>
      <c r="BM1744" s="2">
        <v>12.33</v>
      </c>
      <c r="BN1744" s="2">
        <v>100.4</v>
      </c>
      <c r="BO1744" s="2">
        <v>100.4</v>
      </c>
      <c r="BP1744" s="2"/>
      <c r="BQ1744" s="2"/>
      <c r="BR1744" s="2" t="s">
        <v>123</v>
      </c>
      <c r="BS1744" s="3">
        <v>42829</v>
      </c>
      <c r="BT1744" s="4">
        <v>0.61388888888888882</v>
      </c>
      <c r="BU1744" s="2" t="s">
        <v>785</v>
      </c>
      <c r="BV1744" s="2"/>
      <c r="BW1744" s="2"/>
      <c r="BX1744" s="2"/>
      <c r="BY1744" s="2">
        <v>89250</v>
      </c>
      <c r="BZ1744" s="2"/>
      <c r="CA1744" s="2"/>
      <c r="CB1744" s="2"/>
      <c r="CC1744" s="2" t="s">
        <v>140</v>
      </c>
      <c r="CD1744" s="2">
        <v>157</v>
      </c>
      <c r="CE1744" s="2" t="s">
        <v>287</v>
      </c>
      <c r="CF1744" s="5">
        <v>42832</v>
      </c>
      <c r="CG1744" s="2"/>
      <c r="CH1744" s="2"/>
      <c r="CI1744" s="2">
        <v>0</v>
      </c>
      <c r="CJ1744" s="2">
        <v>0</v>
      </c>
      <c r="CK1744" s="2" t="s">
        <v>150</v>
      </c>
      <c r="CL1744" s="2" t="s">
        <v>86</v>
      </c>
      <c r="CM1744" s="2"/>
    </row>
    <row r="1745" spans="1:91">
      <c r="A1745" s="2" t="s">
        <v>71</v>
      </c>
      <c r="B1745" s="2" t="s">
        <v>72</v>
      </c>
      <c r="C1745" s="2" t="s">
        <v>73</v>
      </c>
      <c r="D1745" s="2"/>
      <c r="E1745" s="2" t="str">
        <f>"FES1162543462"</f>
        <v>FES1162543462</v>
      </c>
      <c r="F1745" s="3">
        <v>42837</v>
      </c>
      <c r="G1745" s="2">
        <v>201710</v>
      </c>
      <c r="H1745" s="2" t="s">
        <v>74</v>
      </c>
      <c r="I1745" s="2" t="s">
        <v>75</v>
      </c>
      <c r="J1745" s="2" t="s">
        <v>76</v>
      </c>
      <c r="K1745" s="2" t="s">
        <v>77</v>
      </c>
      <c r="L1745" s="2" t="s">
        <v>358</v>
      </c>
      <c r="M1745" s="2" t="s">
        <v>359</v>
      </c>
      <c r="N1745" s="2" t="s">
        <v>776</v>
      </c>
      <c r="O1745" s="2" t="s">
        <v>81</v>
      </c>
      <c r="P1745" s="2" t="str">
        <f>"2170562157                    "</f>
        <v xml:space="preserve">2170562157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14.41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2</v>
      </c>
      <c r="BI1745" s="2">
        <v>29.8</v>
      </c>
      <c r="BJ1745" s="2">
        <v>8.3000000000000007</v>
      </c>
      <c r="BK1745" s="2">
        <v>30</v>
      </c>
      <c r="BL1745" s="2">
        <v>145.25</v>
      </c>
      <c r="BM1745" s="2">
        <v>20.34</v>
      </c>
      <c r="BN1745" s="2">
        <v>165.59</v>
      </c>
      <c r="BO1745" s="2">
        <v>165.59</v>
      </c>
      <c r="BP1745" s="2"/>
      <c r="BQ1745" s="2" t="s">
        <v>999</v>
      </c>
      <c r="BR1745" s="2" t="s">
        <v>84</v>
      </c>
      <c r="BS1745" s="3">
        <v>42843</v>
      </c>
      <c r="BT1745" s="4">
        <v>0.46875</v>
      </c>
      <c r="BU1745" s="2" t="s">
        <v>186</v>
      </c>
      <c r="BV1745" s="2" t="s">
        <v>86</v>
      </c>
      <c r="BW1745" s="2"/>
      <c r="BX1745" s="2"/>
      <c r="BY1745" s="2">
        <v>41654.730000000003</v>
      </c>
      <c r="BZ1745" s="2"/>
      <c r="CA1745" s="2" t="s">
        <v>159</v>
      </c>
      <c r="CB1745" s="2"/>
      <c r="CC1745" s="2" t="s">
        <v>359</v>
      </c>
      <c r="CD1745" s="2">
        <v>6229</v>
      </c>
      <c r="CE1745" s="2" t="s">
        <v>89</v>
      </c>
      <c r="CF1745" s="5">
        <v>42844</v>
      </c>
      <c r="CG1745" s="2"/>
      <c r="CH1745" s="2"/>
      <c r="CI1745" s="2">
        <v>0</v>
      </c>
      <c r="CJ1745" s="2">
        <v>0</v>
      </c>
      <c r="CK1745" s="2" t="s">
        <v>107</v>
      </c>
      <c r="CL1745" s="2" t="s">
        <v>86</v>
      </c>
      <c r="CM1745" s="2"/>
    </row>
    <row r="1746" spans="1:91">
      <c r="A1746" s="2" t="s">
        <v>71</v>
      </c>
      <c r="B1746" s="2" t="s">
        <v>72</v>
      </c>
      <c r="C1746" s="2" t="s">
        <v>73</v>
      </c>
      <c r="D1746" s="2"/>
      <c r="E1746" s="2" t="str">
        <f>"FES1162541529"</f>
        <v>FES1162541529</v>
      </c>
      <c r="F1746" s="3">
        <v>42830</v>
      </c>
      <c r="G1746" s="2">
        <v>201710</v>
      </c>
      <c r="H1746" s="2" t="s">
        <v>74</v>
      </c>
      <c r="I1746" s="2" t="s">
        <v>75</v>
      </c>
      <c r="J1746" s="2" t="s">
        <v>76</v>
      </c>
      <c r="K1746" s="2" t="s">
        <v>77</v>
      </c>
      <c r="L1746" s="2" t="s">
        <v>549</v>
      </c>
      <c r="M1746" s="2" t="s">
        <v>550</v>
      </c>
      <c r="N1746" s="2" t="s">
        <v>689</v>
      </c>
      <c r="O1746" s="2" t="s">
        <v>81</v>
      </c>
      <c r="P1746" s="2" t="str">
        <f>"2170559858                    "</f>
        <v xml:space="preserve">2170559858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6.03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2</v>
      </c>
      <c r="BI1746" s="2">
        <v>5</v>
      </c>
      <c r="BJ1746" s="2">
        <v>6.2</v>
      </c>
      <c r="BK1746" s="2">
        <v>7</v>
      </c>
      <c r="BL1746" s="2">
        <v>63.68</v>
      </c>
      <c r="BM1746" s="2">
        <v>8.92</v>
      </c>
      <c r="BN1746" s="2">
        <v>72.599999999999994</v>
      </c>
      <c r="BO1746" s="2">
        <v>72.599999999999994</v>
      </c>
      <c r="BP1746" s="2" t="s">
        <v>82</v>
      </c>
      <c r="BQ1746" s="2" t="s">
        <v>690</v>
      </c>
      <c r="BR1746" s="2" t="s">
        <v>123</v>
      </c>
      <c r="BS1746" s="3">
        <v>42831</v>
      </c>
      <c r="BT1746" s="4">
        <v>0.4375</v>
      </c>
      <c r="BU1746" s="2" t="s">
        <v>1650</v>
      </c>
      <c r="BV1746" s="2" t="s">
        <v>111</v>
      </c>
      <c r="BW1746" s="2"/>
      <c r="BX1746" s="2"/>
      <c r="BY1746" s="2">
        <v>30900.94</v>
      </c>
      <c r="BZ1746" s="2"/>
      <c r="CA1746" s="2"/>
      <c r="CB1746" s="2"/>
      <c r="CC1746" s="2" t="s">
        <v>550</v>
      </c>
      <c r="CD1746" s="2">
        <v>3699</v>
      </c>
      <c r="CE1746" s="2" t="s">
        <v>1232</v>
      </c>
      <c r="CF1746" s="5">
        <v>42833</v>
      </c>
      <c r="CG1746" s="2"/>
      <c r="CH1746" s="2"/>
      <c r="CI1746" s="2">
        <v>0</v>
      </c>
      <c r="CJ1746" s="2">
        <v>0</v>
      </c>
      <c r="CK1746" s="2" t="s">
        <v>2236</v>
      </c>
      <c r="CL1746" s="2" t="s">
        <v>86</v>
      </c>
      <c r="CM1746" s="2"/>
    </row>
    <row r="1747" spans="1:91">
      <c r="A1747" s="2" t="s">
        <v>71</v>
      </c>
      <c r="B1747" s="2" t="s">
        <v>72</v>
      </c>
      <c r="C1747" s="2" t="s">
        <v>73</v>
      </c>
      <c r="D1747" s="2"/>
      <c r="E1747" s="2" t="str">
        <f>"FES1162540995"</f>
        <v>FES1162540995</v>
      </c>
      <c r="F1747" s="3">
        <v>42828</v>
      </c>
      <c r="G1747" s="2">
        <v>201710</v>
      </c>
      <c r="H1747" s="2" t="s">
        <v>74</v>
      </c>
      <c r="I1747" s="2" t="s">
        <v>75</v>
      </c>
      <c r="J1747" s="2" t="s">
        <v>76</v>
      </c>
      <c r="K1747" s="2" t="s">
        <v>77</v>
      </c>
      <c r="L1747" s="2" t="s">
        <v>145</v>
      </c>
      <c r="M1747" s="2" t="s">
        <v>146</v>
      </c>
      <c r="N1747" s="2" t="s">
        <v>147</v>
      </c>
      <c r="O1747" s="2" t="s">
        <v>81</v>
      </c>
      <c r="P1747" s="2" t="str">
        <f>"2170560073                    "</f>
        <v xml:space="preserve">2170560073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7.6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9</v>
      </c>
      <c r="BJ1747" s="2">
        <v>12.1</v>
      </c>
      <c r="BK1747" s="2">
        <v>13</v>
      </c>
      <c r="BL1747" s="2">
        <v>76.95</v>
      </c>
      <c r="BM1747" s="2">
        <v>10.77</v>
      </c>
      <c r="BN1747" s="2">
        <v>87.72</v>
      </c>
      <c r="BO1747" s="2">
        <v>87.72</v>
      </c>
      <c r="BP1747" s="2"/>
      <c r="BQ1747" s="2" t="s">
        <v>148</v>
      </c>
      <c r="BR1747" s="2" t="s">
        <v>123</v>
      </c>
      <c r="BS1747" s="3">
        <v>42829</v>
      </c>
      <c r="BT1747" s="4">
        <v>0.35694444444444445</v>
      </c>
      <c r="BU1747" s="2" t="s">
        <v>148</v>
      </c>
      <c r="BV1747" s="2"/>
      <c r="BW1747" s="2"/>
      <c r="BX1747" s="2"/>
      <c r="BY1747" s="2">
        <v>60602.7</v>
      </c>
      <c r="BZ1747" s="2"/>
      <c r="CA1747" s="2"/>
      <c r="CB1747" s="2"/>
      <c r="CC1747" s="2" t="s">
        <v>146</v>
      </c>
      <c r="CD1747" s="2">
        <v>2</v>
      </c>
      <c r="CE1747" s="2" t="s">
        <v>287</v>
      </c>
      <c r="CF1747" s="5">
        <v>42832</v>
      </c>
      <c r="CG1747" s="2"/>
      <c r="CH1747" s="2"/>
      <c r="CI1747" s="2">
        <v>0</v>
      </c>
      <c r="CJ1747" s="2">
        <v>0</v>
      </c>
      <c r="CK1747" s="2" t="s">
        <v>150</v>
      </c>
      <c r="CL1747" s="2" t="s">
        <v>86</v>
      </c>
      <c r="CM1747" s="2"/>
    </row>
    <row r="1748" spans="1:91">
      <c r="A1748" s="2" t="s">
        <v>71</v>
      </c>
      <c r="B1748" s="2" t="s">
        <v>72</v>
      </c>
      <c r="C1748" s="2" t="s">
        <v>73</v>
      </c>
      <c r="D1748" s="2"/>
      <c r="E1748" s="2" t="str">
        <f>"009936076048"</f>
        <v>009936076048</v>
      </c>
      <c r="F1748" s="3">
        <v>42836</v>
      </c>
      <c r="G1748" s="2">
        <v>201710</v>
      </c>
      <c r="H1748" s="2" t="s">
        <v>74</v>
      </c>
      <c r="I1748" s="2" t="s">
        <v>75</v>
      </c>
      <c r="J1748" s="2" t="s">
        <v>2237</v>
      </c>
      <c r="K1748" s="2" t="s">
        <v>77</v>
      </c>
      <c r="L1748" s="2" t="s">
        <v>74</v>
      </c>
      <c r="M1748" s="2" t="s">
        <v>75</v>
      </c>
      <c r="N1748" s="2" t="s">
        <v>200</v>
      </c>
      <c r="O1748" s="2" t="s">
        <v>81</v>
      </c>
      <c r="P1748" s="2" t="str">
        <f>"                              "</f>
        <v xml:space="preserve">          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6.03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2.2999999999999998</v>
      </c>
      <c r="BJ1748" s="2">
        <v>1.3</v>
      </c>
      <c r="BK1748" s="2">
        <v>3</v>
      </c>
      <c r="BL1748" s="2">
        <v>63.68</v>
      </c>
      <c r="BM1748" s="2">
        <v>8.92</v>
      </c>
      <c r="BN1748" s="2">
        <v>72.599999999999994</v>
      </c>
      <c r="BO1748" s="2">
        <v>72.599999999999994</v>
      </c>
      <c r="BP1748" s="2"/>
      <c r="BQ1748" s="2"/>
      <c r="BR1748" s="2" t="s">
        <v>1704</v>
      </c>
      <c r="BS1748" s="3">
        <v>42837</v>
      </c>
      <c r="BT1748" s="4">
        <v>0.41666666666666669</v>
      </c>
      <c r="BU1748" s="2" t="s">
        <v>198</v>
      </c>
      <c r="BV1748" s="2" t="s">
        <v>111</v>
      </c>
      <c r="BW1748" s="2"/>
      <c r="BX1748" s="2"/>
      <c r="BY1748" s="2">
        <v>6293.43</v>
      </c>
      <c r="BZ1748" s="2"/>
      <c r="CA1748" s="2"/>
      <c r="CB1748" s="2"/>
      <c r="CC1748" s="2" t="s">
        <v>75</v>
      </c>
      <c r="CD1748" s="2">
        <v>1600</v>
      </c>
      <c r="CE1748" s="2" t="s">
        <v>89</v>
      </c>
      <c r="CF1748" s="5">
        <v>42838</v>
      </c>
      <c r="CG1748" s="2"/>
      <c r="CH1748" s="2"/>
      <c r="CI1748" s="2">
        <v>0</v>
      </c>
      <c r="CJ1748" s="2">
        <v>0</v>
      </c>
      <c r="CK1748" s="2" t="s">
        <v>98</v>
      </c>
      <c r="CL1748" s="2" t="s">
        <v>86</v>
      </c>
      <c r="CM1748" s="2"/>
    </row>
    <row r="1749" spans="1:91">
      <c r="A1749" s="2" t="s">
        <v>71</v>
      </c>
      <c r="B1749" s="2" t="s">
        <v>72</v>
      </c>
      <c r="C1749" s="2" t="s">
        <v>73</v>
      </c>
      <c r="D1749" s="2"/>
      <c r="E1749" s="2" t="str">
        <f>"FES1162542122"</f>
        <v>FES1162542122</v>
      </c>
      <c r="F1749" s="3">
        <v>42831</v>
      </c>
      <c r="G1749" s="2">
        <v>201710</v>
      </c>
      <c r="H1749" s="2" t="s">
        <v>74</v>
      </c>
      <c r="I1749" s="2" t="s">
        <v>75</v>
      </c>
      <c r="J1749" s="2" t="s">
        <v>76</v>
      </c>
      <c r="K1749" s="2" t="s">
        <v>77</v>
      </c>
      <c r="L1749" s="2" t="s">
        <v>145</v>
      </c>
      <c r="M1749" s="2" t="s">
        <v>146</v>
      </c>
      <c r="N1749" s="2" t="s">
        <v>2093</v>
      </c>
      <c r="O1749" s="2" t="s">
        <v>81</v>
      </c>
      <c r="P1749" s="2" t="str">
        <f>"2170561012                    "</f>
        <v xml:space="preserve">2170561012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7.37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15</v>
      </c>
      <c r="BJ1749" s="2">
        <v>9</v>
      </c>
      <c r="BK1749" s="2">
        <v>15</v>
      </c>
      <c r="BL1749" s="2">
        <v>76.72</v>
      </c>
      <c r="BM1749" s="2">
        <v>10.74</v>
      </c>
      <c r="BN1749" s="2">
        <v>87.46</v>
      </c>
      <c r="BO1749" s="2">
        <v>87.46</v>
      </c>
      <c r="BP1749" s="2"/>
      <c r="BQ1749" s="2" t="s">
        <v>2094</v>
      </c>
      <c r="BR1749" s="2" t="s">
        <v>123</v>
      </c>
      <c r="BS1749" s="3">
        <v>42832</v>
      </c>
      <c r="BT1749" s="4">
        <v>0.45833333333333331</v>
      </c>
      <c r="BU1749" s="2" t="s">
        <v>2238</v>
      </c>
      <c r="BV1749" s="2"/>
      <c r="BW1749" s="2"/>
      <c r="BX1749" s="2"/>
      <c r="BY1749" s="2">
        <v>44823.89</v>
      </c>
      <c r="BZ1749" s="2"/>
      <c r="CA1749" s="2"/>
      <c r="CB1749" s="2"/>
      <c r="CC1749" s="2" t="s">
        <v>146</v>
      </c>
      <c r="CD1749" s="2">
        <v>200</v>
      </c>
      <c r="CE1749" s="2" t="s">
        <v>172</v>
      </c>
      <c r="CF1749" s="5">
        <v>42836</v>
      </c>
      <c r="CG1749" s="2"/>
      <c r="CH1749" s="2"/>
      <c r="CI1749" s="2">
        <v>0</v>
      </c>
      <c r="CJ1749" s="2">
        <v>0</v>
      </c>
      <c r="CK1749" s="2" t="s">
        <v>150</v>
      </c>
      <c r="CL1749" s="2" t="s">
        <v>86</v>
      </c>
      <c r="CM1749" s="2"/>
    </row>
    <row r="1750" spans="1:91">
      <c r="A1750" s="2" t="s">
        <v>71</v>
      </c>
      <c r="B1750" s="2" t="s">
        <v>72</v>
      </c>
      <c r="C1750" s="2" t="s">
        <v>73</v>
      </c>
      <c r="D1750" s="2"/>
      <c r="E1750" s="2" t="str">
        <f>"FES1162541697"</f>
        <v>FES1162541697</v>
      </c>
      <c r="F1750" s="3">
        <v>42830</v>
      </c>
      <c r="G1750" s="2">
        <v>201710</v>
      </c>
      <c r="H1750" s="2" t="s">
        <v>74</v>
      </c>
      <c r="I1750" s="2" t="s">
        <v>75</v>
      </c>
      <c r="J1750" s="2" t="s">
        <v>76</v>
      </c>
      <c r="K1750" s="2" t="s">
        <v>77</v>
      </c>
      <c r="L1750" s="2" t="s">
        <v>145</v>
      </c>
      <c r="M1750" s="2" t="s">
        <v>146</v>
      </c>
      <c r="N1750" s="2" t="s">
        <v>147</v>
      </c>
      <c r="O1750" s="2" t="s">
        <v>81</v>
      </c>
      <c r="P1750" s="2" t="str">
        <f>"2170560703                    "</f>
        <v xml:space="preserve">2170560703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8.0500000000000007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12</v>
      </c>
      <c r="BJ1750" s="2">
        <v>17.7</v>
      </c>
      <c r="BK1750" s="2">
        <v>18</v>
      </c>
      <c r="BL1750" s="2">
        <v>83.37</v>
      </c>
      <c r="BM1750" s="2">
        <v>11.67</v>
      </c>
      <c r="BN1750" s="2">
        <v>95.04</v>
      </c>
      <c r="BO1750" s="2">
        <v>95.04</v>
      </c>
      <c r="BP1750" s="2"/>
      <c r="BQ1750" s="2" t="s">
        <v>148</v>
      </c>
      <c r="BR1750" s="2" t="s">
        <v>123</v>
      </c>
      <c r="BS1750" s="3">
        <v>42831</v>
      </c>
      <c r="BT1750" s="4">
        <v>0.35000000000000003</v>
      </c>
      <c r="BU1750" s="2" t="s">
        <v>149</v>
      </c>
      <c r="BV1750" s="2"/>
      <c r="BW1750" s="2"/>
      <c r="BX1750" s="2"/>
      <c r="BY1750" s="2">
        <v>88730.47</v>
      </c>
      <c r="BZ1750" s="2"/>
      <c r="CA1750" s="2"/>
      <c r="CB1750" s="2"/>
      <c r="CC1750" s="2" t="s">
        <v>146</v>
      </c>
      <c r="CD1750" s="2">
        <v>1</v>
      </c>
      <c r="CE1750" s="2" t="s">
        <v>135</v>
      </c>
      <c r="CF1750" s="5">
        <v>42835</v>
      </c>
      <c r="CG1750" s="2"/>
      <c r="CH1750" s="2"/>
      <c r="CI1750" s="2">
        <v>0</v>
      </c>
      <c r="CJ1750" s="2">
        <v>0</v>
      </c>
      <c r="CK1750" s="2" t="s">
        <v>150</v>
      </c>
      <c r="CL1750" s="2" t="s">
        <v>86</v>
      </c>
      <c r="CM1750" s="2"/>
    </row>
    <row r="1751" spans="1:91">
      <c r="A1751" s="2" t="s">
        <v>71</v>
      </c>
      <c r="B1751" s="2" t="s">
        <v>72</v>
      </c>
      <c r="C1751" s="2" t="s">
        <v>73</v>
      </c>
      <c r="D1751" s="2"/>
      <c r="E1751" s="2" t="str">
        <f>"FES1162542530"</f>
        <v>FES1162542530</v>
      </c>
      <c r="F1751" s="3">
        <v>42835</v>
      </c>
      <c r="G1751" s="2">
        <v>201710</v>
      </c>
      <c r="H1751" s="2" t="s">
        <v>74</v>
      </c>
      <c r="I1751" s="2" t="s">
        <v>75</v>
      </c>
      <c r="J1751" s="2" t="s">
        <v>76</v>
      </c>
      <c r="K1751" s="2" t="s">
        <v>77</v>
      </c>
      <c r="L1751" s="2" t="s">
        <v>714</v>
      </c>
      <c r="M1751" s="2" t="s">
        <v>715</v>
      </c>
      <c r="N1751" s="2" t="s">
        <v>1030</v>
      </c>
      <c r="O1751" s="2" t="s">
        <v>81</v>
      </c>
      <c r="P1751" s="2" t="str">
        <f>"2170561204                    "</f>
        <v xml:space="preserve">2170561204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7.64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23</v>
      </c>
      <c r="BJ1751" s="2">
        <v>7.9</v>
      </c>
      <c r="BK1751" s="2">
        <v>23</v>
      </c>
      <c r="BL1751" s="2">
        <v>79.37</v>
      </c>
      <c r="BM1751" s="2">
        <v>11.11</v>
      </c>
      <c r="BN1751" s="2">
        <v>90.48</v>
      </c>
      <c r="BO1751" s="2">
        <v>90.48</v>
      </c>
      <c r="BP1751" s="2"/>
      <c r="BQ1751" s="2" t="s">
        <v>1031</v>
      </c>
      <c r="BR1751" s="2" t="s">
        <v>123</v>
      </c>
      <c r="BS1751" s="3">
        <v>42837</v>
      </c>
      <c r="BT1751" s="4">
        <v>0.5</v>
      </c>
      <c r="BU1751" s="2" t="s">
        <v>2239</v>
      </c>
      <c r="BV1751" s="2" t="s">
        <v>86</v>
      </c>
      <c r="BW1751" s="2" t="s">
        <v>164</v>
      </c>
      <c r="BX1751" s="2" t="s">
        <v>2240</v>
      </c>
      <c r="BY1751" s="2">
        <v>39672</v>
      </c>
      <c r="BZ1751" s="2"/>
      <c r="CA1751" s="2"/>
      <c r="CB1751" s="2"/>
      <c r="CC1751" s="2" t="s">
        <v>715</v>
      </c>
      <c r="CD1751" s="2">
        <v>1451</v>
      </c>
      <c r="CE1751" s="2" t="s">
        <v>1923</v>
      </c>
      <c r="CF1751" s="5">
        <v>42838</v>
      </c>
      <c r="CG1751" s="2"/>
      <c r="CH1751" s="2"/>
      <c r="CI1751" s="2">
        <v>0</v>
      </c>
      <c r="CJ1751" s="2">
        <v>0</v>
      </c>
      <c r="CK1751" s="2" t="s">
        <v>98</v>
      </c>
      <c r="CL1751" s="2" t="s">
        <v>86</v>
      </c>
      <c r="CM1751" s="2"/>
    </row>
    <row r="1752" spans="1:91">
      <c r="A1752" s="2" t="s">
        <v>71</v>
      </c>
      <c r="B1752" s="2" t="s">
        <v>72</v>
      </c>
      <c r="C1752" s="2" t="s">
        <v>73</v>
      </c>
      <c r="D1752" s="2"/>
      <c r="E1752" s="2" t="str">
        <f>"FES1162541851"</f>
        <v>FES1162541851</v>
      </c>
      <c r="F1752" s="3">
        <v>42831</v>
      </c>
      <c r="G1752" s="2">
        <v>201710</v>
      </c>
      <c r="H1752" s="2" t="s">
        <v>74</v>
      </c>
      <c r="I1752" s="2" t="s">
        <v>75</v>
      </c>
      <c r="J1752" s="2" t="s">
        <v>76</v>
      </c>
      <c r="K1752" s="2" t="s">
        <v>77</v>
      </c>
      <c r="L1752" s="2" t="s">
        <v>74</v>
      </c>
      <c r="M1752" s="2" t="s">
        <v>75</v>
      </c>
      <c r="N1752" s="2" t="s">
        <v>2241</v>
      </c>
      <c r="O1752" s="2" t="s">
        <v>81</v>
      </c>
      <c r="P1752" s="2" t="str">
        <f>"2170560823                    "</f>
        <v xml:space="preserve">2170560823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27.99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68</v>
      </c>
      <c r="BJ1752" s="2">
        <v>123.5</v>
      </c>
      <c r="BK1752" s="2">
        <v>124</v>
      </c>
      <c r="BL1752" s="2">
        <v>277.48</v>
      </c>
      <c r="BM1752" s="2">
        <v>38.85</v>
      </c>
      <c r="BN1752" s="2">
        <v>316.33</v>
      </c>
      <c r="BO1752" s="2">
        <v>316.33</v>
      </c>
      <c r="BP1752" s="2"/>
      <c r="BQ1752" s="2" t="s">
        <v>2242</v>
      </c>
      <c r="BR1752" s="2" t="s">
        <v>123</v>
      </c>
      <c r="BS1752" s="3">
        <v>42832</v>
      </c>
      <c r="BT1752" s="4">
        <v>0.72916666666666663</v>
      </c>
      <c r="BU1752" s="2" t="s">
        <v>2243</v>
      </c>
      <c r="BV1752" s="2" t="s">
        <v>111</v>
      </c>
      <c r="BW1752" s="2"/>
      <c r="BX1752" s="2"/>
      <c r="BY1752" s="2">
        <v>617706</v>
      </c>
      <c r="BZ1752" s="2"/>
      <c r="CA1752" s="2" t="s">
        <v>2244</v>
      </c>
      <c r="CB1752" s="2"/>
      <c r="CC1752" s="2" t="s">
        <v>75</v>
      </c>
      <c r="CD1752" s="2">
        <v>1601</v>
      </c>
      <c r="CE1752" s="2" t="s">
        <v>135</v>
      </c>
      <c r="CF1752" s="5">
        <v>42832</v>
      </c>
      <c r="CG1752" s="2"/>
      <c r="CH1752" s="2"/>
      <c r="CI1752" s="2">
        <v>0</v>
      </c>
      <c r="CJ1752" s="2">
        <v>0</v>
      </c>
      <c r="CK1752" s="2" t="s">
        <v>98</v>
      </c>
      <c r="CL1752" s="2" t="s">
        <v>86</v>
      </c>
      <c r="CM1752" s="2"/>
    </row>
    <row r="1753" spans="1:91">
      <c r="A1753" s="2" t="s">
        <v>71</v>
      </c>
      <c r="B1753" s="2" t="s">
        <v>72</v>
      </c>
      <c r="C1753" s="2" t="s">
        <v>73</v>
      </c>
      <c r="D1753" s="2"/>
      <c r="E1753" s="2" t="str">
        <f>"FES1162542811"</f>
        <v>FES1162542811</v>
      </c>
      <c r="F1753" s="3">
        <v>42836</v>
      </c>
      <c r="G1753" s="2">
        <v>201710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633</v>
      </c>
      <c r="M1753" s="2" t="s">
        <v>634</v>
      </c>
      <c r="N1753" s="2" t="s">
        <v>2245</v>
      </c>
      <c r="O1753" s="2" t="s">
        <v>81</v>
      </c>
      <c r="P1753" s="2" t="str">
        <f>"2170550740                    "</f>
        <v xml:space="preserve">2170550740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9.4499999999999993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32</v>
      </c>
      <c r="BJ1753" s="2">
        <v>22.6</v>
      </c>
      <c r="BK1753" s="2">
        <v>32</v>
      </c>
      <c r="BL1753" s="2">
        <v>97.02</v>
      </c>
      <c r="BM1753" s="2">
        <v>13.58</v>
      </c>
      <c r="BN1753" s="2">
        <v>110.6</v>
      </c>
      <c r="BO1753" s="2">
        <v>110.6</v>
      </c>
      <c r="BP1753" s="2"/>
      <c r="BQ1753" s="2" t="s">
        <v>129</v>
      </c>
      <c r="BR1753" s="2" t="s">
        <v>123</v>
      </c>
      <c r="BS1753" s="3">
        <v>42837</v>
      </c>
      <c r="BT1753" s="4">
        <v>0.41666666666666669</v>
      </c>
      <c r="BU1753" s="2" t="s">
        <v>198</v>
      </c>
      <c r="BV1753" s="2" t="s">
        <v>111</v>
      </c>
      <c r="BW1753" s="2"/>
      <c r="BX1753" s="2"/>
      <c r="BY1753" s="2">
        <v>112860</v>
      </c>
      <c r="BZ1753" s="2"/>
      <c r="CA1753" s="2"/>
      <c r="CB1753" s="2"/>
      <c r="CC1753" s="2" t="s">
        <v>634</v>
      </c>
      <c r="CD1753" s="2">
        <v>1759</v>
      </c>
      <c r="CE1753" s="2" t="s">
        <v>287</v>
      </c>
      <c r="CF1753" s="5">
        <v>42838</v>
      </c>
      <c r="CG1753" s="2"/>
      <c r="CH1753" s="2"/>
      <c r="CI1753" s="2">
        <v>0</v>
      </c>
      <c r="CJ1753" s="2">
        <v>0</v>
      </c>
      <c r="CK1753" s="2" t="s">
        <v>98</v>
      </c>
      <c r="CL1753" s="2" t="s">
        <v>86</v>
      </c>
      <c r="CM1753" s="2"/>
    </row>
    <row r="1754" spans="1:91">
      <c r="A1754" s="2" t="s">
        <v>71</v>
      </c>
      <c r="B1754" s="2" t="s">
        <v>72</v>
      </c>
      <c r="C1754" s="2" t="s">
        <v>73</v>
      </c>
      <c r="D1754" s="2"/>
      <c r="E1754" s="2" t="str">
        <f>"FES1162541747"</f>
        <v>FES1162541747</v>
      </c>
      <c r="F1754" s="3">
        <v>42830</v>
      </c>
      <c r="G1754" s="2">
        <v>201710</v>
      </c>
      <c r="H1754" s="2" t="s">
        <v>74</v>
      </c>
      <c r="I1754" s="2" t="s">
        <v>75</v>
      </c>
      <c r="J1754" s="2" t="s">
        <v>76</v>
      </c>
      <c r="K1754" s="2" t="s">
        <v>77</v>
      </c>
      <c r="L1754" s="2" t="s">
        <v>180</v>
      </c>
      <c r="M1754" s="2" t="s">
        <v>181</v>
      </c>
      <c r="N1754" s="2" t="s">
        <v>605</v>
      </c>
      <c r="O1754" s="2" t="s">
        <v>81</v>
      </c>
      <c r="P1754" s="2" t="str">
        <f>"2170558707                    "</f>
        <v xml:space="preserve">2170558707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48.22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103</v>
      </c>
      <c r="BJ1754" s="2">
        <v>180.8</v>
      </c>
      <c r="BK1754" s="2">
        <v>181</v>
      </c>
      <c r="BL1754" s="2">
        <v>474.39</v>
      </c>
      <c r="BM1754" s="2">
        <v>66.41</v>
      </c>
      <c r="BN1754" s="2">
        <v>540.79999999999995</v>
      </c>
      <c r="BO1754" s="2">
        <v>540.79999999999995</v>
      </c>
      <c r="BP1754" s="2"/>
      <c r="BQ1754" s="2" t="s">
        <v>606</v>
      </c>
      <c r="BR1754" s="2" t="s">
        <v>123</v>
      </c>
      <c r="BS1754" s="3">
        <v>42831</v>
      </c>
      <c r="BT1754" s="4">
        <v>0.4375</v>
      </c>
      <c r="BU1754" s="2" t="s">
        <v>607</v>
      </c>
      <c r="BV1754" s="2" t="s">
        <v>111</v>
      </c>
      <c r="BW1754" s="2"/>
      <c r="BX1754" s="2"/>
      <c r="BY1754" s="2">
        <v>903960</v>
      </c>
      <c r="BZ1754" s="2"/>
      <c r="CA1754" s="2"/>
      <c r="CB1754" s="2"/>
      <c r="CC1754" s="2" t="s">
        <v>181</v>
      </c>
      <c r="CD1754" s="2">
        <v>4001</v>
      </c>
      <c r="CE1754" s="2" t="s">
        <v>135</v>
      </c>
      <c r="CF1754" s="5">
        <v>42832</v>
      </c>
      <c r="CG1754" s="2"/>
      <c r="CH1754" s="2"/>
      <c r="CI1754" s="2">
        <v>0</v>
      </c>
      <c r="CJ1754" s="2">
        <v>0</v>
      </c>
      <c r="CK1754" s="2" t="s">
        <v>2236</v>
      </c>
      <c r="CL1754" s="2" t="s">
        <v>86</v>
      </c>
      <c r="CM1754" s="2"/>
    </row>
    <row r="1755" spans="1:91">
      <c r="A1755" s="2" t="s">
        <v>71</v>
      </c>
      <c r="B1755" s="2" t="s">
        <v>72</v>
      </c>
      <c r="C1755" s="2" t="s">
        <v>73</v>
      </c>
      <c r="D1755" s="2"/>
      <c r="E1755" s="2" t="str">
        <f>"FES1162542884"</f>
        <v>FES1162542884</v>
      </c>
      <c r="F1755" s="3">
        <v>42836</v>
      </c>
      <c r="G1755" s="2">
        <v>201710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91</v>
      </c>
      <c r="M1755" s="2" t="s">
        <v>92</v>
      </c>
      <c r="N1755" s="2" t="s">
        <v>1445</v>
      </c>
      <c r="O1755" s="2" t="s">
        <v>81</v>
      </c>
      <c r="P1755" s="2" t="str">
        <f>"2170549004                    "</f>
        <v xml:space="preserve">2170549004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27.99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49</v>
      </c>
      <c r="BJ1755" s="2">
        <v>123.5</v>
      </c>
      <c r="BK1755" s="2">
        <v>124</v>
      </c>
      <c r="BL1755" s="2">
        <v>277.48</v>
      </c>
      <c r="BM1755" s="2">
        <v>38.85</v>
      </c>
      <c r="BN1755" s="2">
        <v>316.33</v>
      </c>
      <c r="BO1755" s="2">
        <v>316.33</v>
      </c>
      <c r="BP1755" s="2" t="s">
        <v>2246</v>
      </c>
      <c r="BQ1755" s="2" t="s">
        <v>1446</v>
      </c>
      <c r="BR1755" s="2" t="s">
        <v>123</v>
      </c>
      <c r="BS1755" s="3">
        <v>42837</v>
      </c>
      <c r="BT1755" s="4">
        <v>0.56319444444444444</v>
      </c>
      <c r="BU1755" s="2" t="s">
        <v>983</v>
      </c>
      <c r="BV1755" s="2" t="s">
        <v>111</v>
      </c>
      <c r="BW1755" s="2"/>
      <c r="BX1755" s="2"/>
      <c r="BY1755" s="2">
        <v>617706</v>
      </c>
      <c r="BZ1755" s="2"/>
      <c r="CA1755" s="2" t="s">
        <v>2247</v>
      </c>
      <c r="CB1755" s="2"/>
      <c r="CC1755" s="2" t="s">
        <v>92</v>
      </c>
      <c r="CD1755" s="2">
        <v>1406</v>
      </c>
      <c r="CE1755" s="2" t="s">
        <v>89</v>
      </c>
      <c r="CF1755" s="5">
        <v>42837</v>
      </c>
      <c r="CG1755" s="2"/>
      <c r="CH1755" s="2"/>
      <c r="CI1755" s="2">
        <v>0</v>
      </c>
      <c r="CJ1755" s="2">
        <v>0</v>
      </c>
      <c r="CK1755" s="2" t="s">
        <v>98</v>
      </c>
      <c r="CL1755" s="2" t="s">
        <v>86</v>
      </c>
      <c r="CM1755" s="2"/>
    </row>
    <row r="1756" spans="1:91">
      <c r="A1756" s="2" t="s">
        <v>71</v>
      </c>
      <c r="B1756" s="2" t="s">
        <v>72</v>
      </c>
      <c r="C1756" s="2" t="s">
        <v>73</v>
      </c>
      <c r="D1756" s="2"/>
      <c r="E1756" s="2" t="str">
        <f>"FES1162541979"</f>
        <v>FES1162541979</v>
      </c>
      <c r="F1756" s="3">
        <v>42831</v>
      </c>
      <c r="G1756" s="2">
        <v>201710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2248</v>
      </c>
      <c r="M1756" s="2" t="s">
        <v>132</v>
      </c>
      <c r="N1756" s="2" t="s">
        <v>1224</v>
      </c>
      <c r="O1756" s="2" t="s">
        <v>81</v>
      </c>
      <c r="P1756" s="2" t="str">
        <f>"2170558034                    "</f>
        <v xml:space="preserve">2170558034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15.54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32.1</v>
      </c>
      <c r="BJ1756" s="2">
        <v>18.100000000000001</v>
      </c>
      <c r="BK1756" s="2">
        <v>33</v>
      </c>
      <c r="BL1756" s="2">
        <v>156.22</v>
      </c>
      <c r="BM1756" s="2">
        <v>21.87</v>
      </c>
      <c r="BN1756" s="2">
        <v>178.09</v>
      </c>
      <c r="BO1756" s="2">
        <v>178.09</v>
      </c>
      <c r="BP1756" s="2"/>
      <c r="BQ1756" s="2" t="s">
        <v>122</v>
      </c>
      <c r="BR1756" s="2" t="s">
        <v>123</v>
      </c>
      <c r="BS1756" s="3">
        <v>42845</v>
      </c>
      <c r="BT1756" s="4">
        <v>0.4861111111111111</v>
      </c>
      <c r="BU1756" s="2" t="s">
        <v>837</v>
      </c>
      <c r="BV1756" s="2" t="s">
        <v>86</v>
      </c>
      <c r="BW1756" s="2" t="s">
        <v>164</v>
      </c>
      <c r="BX1756" s="2" t="s">
        <v>1370</v>
      </c>
      <c r="BY1756" s="2">
        <v>90565.48</v>
      </c>
      <c r="BZ1756" s="2"/>
      <c r="CA1756" s="2"/>
      <c r="CB1756" s="2"/>
      <c r="CC1756" s="2" t="s">
        <v>132</v>
      </c>
      <c r="CD1756" s="2">
        <v>7580</v>
      </c>
      <c r="CE1756" s="2" t="s">
        <v>89</v>
      </c>
      <c r="CF1756" s="5">
        <v>42846</v>
      </c>
      <c r="CG1756" s="2"/>
      <c r="CH1756" s="2"/>
      <c r="CI1756" s="2">
        <v>0</v>
      </c>
      <c r="CJ1756" s="2">
        <v>0</v>
      </c>
      <c r="CK1756" s="2" t="s">
        <v>107</v>
      </c>
      <c r="CL1756" s="2" t="s">
        <v>86</v>
      </c>
      <c r="CM1756" s="2"/>
    </row>
    <row r="1757" spans="1:91">
      <c r="A1757" s="2" t="s">
        <v>71</v>
      </c>
      <c r="B1757" s="2" t="s">
        <v>72</v>
      </c>
      <c r="C1757" s="2" t="s">
        <v>73</v>
      </c>
      <c r="D1757" s="2"/>
      <c r="E1757" s="2" t="str">
        <f>"FES1162541853"</f>
        <v>FES1162541853</v>
      </c>
      <c r="F1757" s="3">
        <v>42830</v>
      </c>
      <c r="G1757" s="2">
        <v>201710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231</v>
      </c>
      <c r="M1757" s="2" t="s">
        <v>232</v>
      </c>
      <c r="N1757" s="2" t="s">
        <v>623</v>
      </c>
      <c r="O1757" s="2" t="s">
        <v>81</v>
      </c>
      <c r="P1757" s="2" t="str">
        <f>"2170560859                    "</f>
        <v xml:space="preserve">2170560859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8.0399999999999991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8</v>
      </c>
      <c r="BJ1757" s="2">
        <v>11.1</v>
      </c>
      <c r="BK1757" s="2">
        <v>11</v>
      </c>
      <c r="BL1757" s="2">
        <v>83.24</v>
      </c>
      <c r="BM1757" s="2">
        <v>11.65</v>
      </c>
      <c r="BN1757" s="2">
        <v>94.89</v>
      </c>
      <c r="BO1757" s="2">
        <v>94.89</v>
      </c>
      <c r="BP1757" s="2"/>
      <c r="BQ1757" s="2" t="s">
        <v>122</v>
      </c>
      <c r="BR1757" s="2" t="s">
        <v>123</v>
      </c>
      <c r="BS1757" s="3">
        <v>42831</v>
      </c>
      <c r="BT1757" s="4">
        <v>0.53125</v>
      </c>
      <c r="BU1757" s="2" t="s">
        <v>2249</v>
      </c>
      <c r="BV1757" s="2"/>
      <c r="BW1757" s="2"/>
      <c r="BX1757" s="2"/>
      <c r="BY1757" s="2">
        <v>55289.49</v>
      </c>
      <c r="BZ1757" s="2"/>
      <c r="CA1757" s="2"/>
      <c r="CB1757" s="2"/>
      <c r="CC1757" s="2" t="s">
        <v>232</v>
      </c>
      <c r="CD1757" s="2">
        <v>250</v>
      </c>
      <c r="CE1757" s="2" t="s">
        <v>89</v>
      </c>
      <c r="CF1757" s="5">
        <v>42835</v>
      </c>
      <c r="CG1757" s="2"/>
      <c r="CH1757" s="2"/>
      <c r="CI1757" s="2">
        <v>0</v>
      </c>
      <c r="CJ1757" s="2">
        <v>0</v>
      </c>
      <c r="CK1757" s="2" t="s">
        <v>217</v>
      </c>
      <c r="CL1757" s="2" t="s">
        <v>86</v>
      </c>
      <c r="CM1757" s="2"/>
    </row>
    <row r="1758" spans="1:91">
      <c r="A1758" s="2" t="s">
        <v>71</v>
      </c>
      <c r="B1758" s="2" t="s">
        <v>72</v>
      </c>
      <c r="C1758" s="2" t="s">
        <v>73</v>
      </c>
      <c r="D1758" s="2"/>
      <c r="E1758" s="2" t="str">
        <f>"FES1162541819"</f>
        <v>FES1162541819</v>
      </c>
      <c r="F1758" s="3">
        <v>42831</v>
      </c>
      <c r="G1758" s="2">
        <v>201710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609</v>
      </c>
      <c r="M1758" s="2" t="s">
        <v>610</v>
      </c>
      <c r="N1758" s="2" t="s">
        <v>982</v>
      </c>
      <c r="O1758" s="2" t="s">
        <v>81</v>
      </c>
      <c r="P1758" s="2" t="str">
        <f>"2170553011                    "</f>
        <v xml:space="preserve">2170553011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32.659999999999997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88</v>
      </c>
      <c r="BJ1758" s="2">
        <v>125.5</v>
      </c>
      <c r="BK1758" s="2">
        <v>126</v>
      </c>
      <c r="BL1758" s="2">
        <v>322.89999999999998</v>
      </c>
      <c r="BM1758" s="2">
        <v>45.21</v>
      </c>
      <c r="BN1758" s="2">
        <v>368.11</v>
      </c>
      <c r="BO1758" s="2">
        <v>368.11</v>
      </c>
      <c r="BP1758" s="2"/>
      <c r="BQ1758" s="2" t="s">
        <v>2250</v>
      </c>
      <c r="BR1758" s="2" t="s">
        <v>123</v>
      </c>
      <c r="BS1758" s="3">
        <v>42835</v>
      </c>
      <c r="BT1758" s="4">
        <v>0.45833333333333331</v>
      </c>
      <c r="BU1758" s="2" t="s">
        <v>2251</v>
      </c>
      <c r="BV1758" s="2" t="s">
        <v>86</v>
      </c>
      <c r="BW1758" s="2"/>
      <c r="BX1758" s="2"/>
      <c r="BY1758" s="2">
        <v>627669</v>
      </c>
      <c r="BZ1758" s="2"/>
      <c r="CA1758" s="2"/>
      <c r="CB1758" s="2"/>
      <c r="CC1758" s="2" t="s">
        <v>610</v>
      </c>
      <c r="CD1758" s="2">
        <v>1911</v>
      </c>
      <c r="CE1758" s="2" t="s">
        <v>135</v>
      </c>
      <c r="CF1758" s="5">
        <v>42836</v>
      </c>
      <c r="CG1758" s="2"/>
      <c r="CH1758" s="2"/>
      <c r="CI1758" s="2">
        <v>0</v>
      </c>
      <c r="CJ1758" s="2">
        <v>0</v>
      </c>
      <c r="CK1758" s="2" t="s">
        <v>150</v>
      </c>
      <c r="CL1758" s="2" t="s">
        <v>86</v>
      </c>
      <c r="CM1758" s="2"/>
    </row>
    <row r="1759" spans="1:91">
      <c r="A1759" s="2" t="s">
        <v>71</v>
      </c>
      <c r="B1759" s="2" t="s">
        <v>72</v>
      </c>
      <c r="C1759" s="2" t="s">
        <v>73</v>
      </c>
      <c r="D1759" s="2"/>
      <c r="E1759" s="2" t="str">
        <f>"FES1162541604"</f>
        <v>FES1162541604</v>
      </c>
      <c r="F1759" s="3">
        <v>42830</v>
      </c>
      <c r="G1759" s="2">
        <v>201710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609</v>
      </c>
      <c r="M1759" s="2" t="s">
        <v>610</v>
      </c>
      <c r="N1759" s="2" t="s">
        <v>1120</v>
      </c>
      <c r="O1759" s="2" t="s">
        <v>81</v>
      </c>
      <c r="P1759" s="2" t="str">
        <f>"2170556383                    "</f>
        <v xml:space="preserve">2170556383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18.309999999999999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2</v>
      </c>
      <c r="BI1759" s="2">
        <v>58</v>
      </c>
      <c r="BJ1759" s="2">
        <v>62.4</v>
      </c>
      <c r="BK1759" s="2">
        <v>63</v>
      </c>
      <c r="BL1759" s="2">
        <v>183.18</v>
      </c>
      <c r="BM1759" s="2">
        <v>25.65</v>
      </c>
      <c r="BN1759" s="2">
        <v>208.83</v>
      </c>
      <c r="BO1759" s="2">
        <v>208.83</v>
      </c>
      <c r="BP1759" s="2"/>
      <c r="BQ1759" s="2" t="s">
        <v>1121</v>
      </c>
      <c r="BR1759" s="2" t="s">
        <v>123</v>
      </c>
      <c r="BS1759" s="3">
        <v>42831</v>
      </c>
      <c r="BT1759" s="4">
        <v>0.5</v>
      </c>
      <c r="BU1759" s="2" t="s">
        <v>1655</v>
      </c>
      <c r="BV1759" s="2" t="s">
        <v>111</v>
      </c>
      <c r="BW1759" s="2"/>
      <c r="BX1759" s="2"/>
      <c r="BY1759" s="2">
        <v>312125.18</v>
      </c>
      <c r="BZ1759" s="2"/>
      <c r="CA1759" s="2"/>
      <c r="CB1759" s="2"/>
      <c r="CC1759" s="2" t="s">
        <v>610</v>
      </c>
      <c r="CD1759" s="2">
        <v>1911</v>
      </c>
      <c r="CE1759" s="2" t="s">
        <v>1232</v>
      </c>
      <c r="CF1759" s="5">
        <v>42833</v>
      </c>
      <c r="CG1759" s="2"/>
      <c r="CH1759" s="2"/>
      <c r="CI1759" s="2">
        <v>0</v>
      </c>
      <c r="CJ1759" s="2">
        <v>0</v>
      </c>
      <c r="CK1759" s="2" t="s">
        <v>150</v>
      </c>
      <c r="CL1759" s="2" t="s">
        <v>86</v>
      </c>
      <c r="CM1759" s="2"/>
    </row>
    <row r="1760" spans="1:91">
      <c r="A1760" s="2" t="s">
        <v>71</v>
      </c>
      <c r="B1760" s="2" t="s">
        <v>72</v>
      </c>
      <c r="C1760" s="2" t="s">
        <v>73</v>
      </c>
      <c r="D1760" s="2"/>
      <c r="E1760" s="2" t="str">
        <f>"FES1162541584"</f>
        <v>FES1162541584</v>
      </c>
      <c r="F1760" s="3">
        <v>42830</v>
      </c>
      <c r="G1760" s="2">
        <v>201710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119</v>
      </c>
      <c r="M1760" s="2" t="s">
        <v>120</v>
      </c>
      <c r="N1760" s="2" t="s">
        <v>2252</v>
      </c>
      <c r="O1760" s="2" t="s">
        <v>81</v>
      </c>
      <c r="P1760" s="2" t="str">
        <f>"2170560260                    "</f>
        <v xml:space="preserve">2170560260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12.68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4</v>
      </c>
      <c r="BI1760" s="2">
        <v>47.8</v>
      </c>
      <c r="BJ1760" s="2">
        <v>15.2</v>
      </c>
      <c r="BK1760" s="2">
        <v>48</v>
      </c>
      <c r="BL1760" s="2">
        <v>128.41</v>
      </c>
      <c r="BM1760" s="2">
        <v>17.98</v>
      </c>
      <c r="BN1760" s="2">
        <v>146.38999999999999</v>
      </c>
      <c r="BO1760" s="2">
        <v>146.38999999999999</v>
      </c>
      <c r="BP1760" s="2"/>
      <c r="BQ1760" s="2" t="s">
        <v>2253</v>
      </c>
      <c r="BR1760" s="2" t="s">
        <v>123</v>
      </c>
      <c r="BS1760" s="3">
        <v>42831</v>
      </c>
      <c r="BT1760" s="4">
        <v>0.53888888888888886</v>
      </c>
      <c r="BU1760" s="2" t="s">
        <v>2254</v>
      </c>
      <c r="BV1760" s="2" t="s">
        <v>111</v>
      </c>
      <c r="BW1760" s="2"/>
      <c r="BX1760" s="2"/>
      <c r="BY1760" s="2">
        <v>76132.53</v>
      </c>
      <c r="BZ1760" s="2"/>
      <c r="CA1760" s="2"/>
      <c r="CB1760" s="2"/>
      <c r="CC1760" s="2" t="s">
        <v>120</v>
      </c>
      <c r="CD1760" s="2">
        <v>2163</v>
      </c>
      <c r="CE1760" s="2" t="s">
        <v>2255</v>
      </c>
      <c r="CF1760" s="5">
        <v>42833</v>
      </c>
      <c r="CG1760" s="2"/>
      <c r="CH1760" s="2"/>
      <c r="CI1760" s="2">
        <v>0</v>
      </c>
      <c r="CJ1760" s="2">
        <v>0</v>
      </c>
      <c r="CK1760" s="2" t="s">
        <v>98</v>
      </c>
      <c r="CL1760" s="2" t="s">
        <v>86</v>
      </c>
      <c r="CM1760" s="2"/>
    </row>
    <row r="1761" spans="1:91">
      <c r="A1761" s="2" t="s">
        <v>71</v>
      </c>
      <c r="B1761" s="2" t="s">
        <v>72</v>
      </c>
      <c r="C1761" s="2" t="s">
        <v>73</v>
      </c>
      <c r="D1761" s="2"/>
      <c r="E1761" s="2" t="str">
        <f>"FES1162541716"</f>
        <v>FES1162541716</v>
      </c>
      <c r="F1761" s="3">
        <v>42830</v>
      </c>
      <c r="G1761" s="2">
        <v>201710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2248</v>
      </c>
      <c r="M1761" s="2" t="s">
        <v>132</v>
      </c>
      <c r="N1761" s="2" t="s">
        <v>744</v>
      </c>
      <c r="O1761" s="2" t="s">
        <v>81</v>
      </c>
      <c r="P1761" s="2" t="str">
        <f>"2170560716                    "</f>
        <v xml:space="preserve">2170560716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8.7799999999999994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2</v>
      </c>
      <c r="BJ1761" s="2">
        <v>1.4</v>
      </c>
      <c r="BK1761" s="2">
        <v>2</v>
      </c>
      <c r="BL1761" s="2">
        <v>90.42</v>
      </c>
      <c r="BM1761" s="2">
        <v>12.66</v>
      </c>
      <c r="BN1761" s="2">
        <v>103.08</v>
      </c>
      <c r="BO1761" s="2">
        <v>103.08</v>
      </c>
      <c r="BP1761" s="2"/>
      <c r="BQ1761" s="2" t="s">
        <v>138</v>
      </c>
      <c r="BR1761" s="2" t="s">
        <v>123</v>
      </c>
      <c r="BS1761" s="3">
        <v>42832</v>
      </c>
      <c r="BT1761" s="4">
        <v>0.41666666666666669</v>
      </c>
      <c r="BU1761" s="2" t="s">
        <v>1493</v>
      </c>
      <c r="BV1761" s="2" t="s">
        <v>111</v>
      </c>
      <c r="BW1761" s="2"/>
      <c r="BX1761" s="2"/>
      <c r="BY1761" s="2">
        <v>6851.77</v>
      </c>
      <c r="BZ1761" s="2"/>
      <c r="CA1761" s="2"/>
      <c r="CB1761" s="2"/>
      <c r="CC1761" s="2" t="s">
        <v>132</v>
      </c>
      <c r="CD1761" s="2">
        <v>7405</v>
      </c>
      <c r="CE1761" s="2" t="s">
        <v>172</v>
      </c>
      <c r="CF1761" s="5">
        <v>42835</v>
      </c>
      <c r="CG1761" s="2"/>
      <c r="CH1761" s="2"/>
      <c r="CI1761" s="2">
        <v>0</v>
      </c>
      <c r="CJ1761" s="2">
        <v>0</v>
      </c>
      <c r="CK1761" s="2" t="s">
        <v>107</v>
      </c>
      <c r="CL1761" s="2" t="s">
        <v>86</v>
      </c>
      <c r="CM1761" s="2"/>
    </row>
    <row r="1762" spans="1:91">
      <c r="A1762" s="2" t="s">
        <v>71</v>
      </c>
      <c r="B1762" s="2" t="s">
        <v>72</v>
      </c>
      <c r="C1762" s="2" t="s">
        <v>73</v>
      </c>
      <c r="D1762" s="2"/>
      <c r="E1762" s="2" t="str">
        <f>"FES1162541744"</f>
        <v>FES1162541744</v>
      </c>
      <c r="F1762" s="3">
        <v>42830</v>
      </c>
      <c r="G1762" s="2">
        <v>201710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180</v>
      </c>
      <c r="M1762" s="2" t="s">
        <v>181</v>
      </c>
      <c r="N1762" s="2" t="s">
        <v>2256</v>
      </c>
      <c r="O1762" s="2" t="s">
        <v>81</v>
      </c>
      <c r="P1762" s="2" t="str">
        <f>"2170560751                    "</f>
        <v xml:space="preserve">2170560751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6.03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2</v>
      </c>
      <c r="BJ1762" s="2">
        <v>1.3</v>
      </c>
      <c r="BK1762" s="2">
        <v>2</v>
      </c>
      <c r="BL1762" s="2">
        <v>63.68</v>
      </c>
      <c r="BM1762" s="2">
        <v>8.92</v>
      </c>
      <c r="BN1762" s="2">
        <v>72.599999999999994</v>
      </c>
      <c r="BO1762" s="2">
        <v>72.599999999999994</v>
      </c>
      <c r="BP1762" s="2" t="s">
        <v>82</v>
      </c>
      <c r="BQ1762" s="2" t="s">
        <v>83</v>
      </c>
      <c r="BR1762" s="2" t="s">
        <v>123</v>
      </c>
      <c r="BS1762" s="3">
        <v>42831</v>
      </c>
      <c r="BT1762" s="4">
        <v>0.4375</v>
      </c>
      <c r="BU1762" s="2" t="s">
        <v>130</v>
      </c>
      <c r="BV1762" s="2" t="s">
        <v>111</v>
      </c>
      <c r="BW1762" s="2"/>
      <c r="BX1762" s="2"/>
      <c r="BY1762" s="2">
        <v>6607.44</v>
      </c>
      <c r="BZ1762" s="2"/>
      <c r="CA1762" s="2"/>
      <c r="CB1762" s="2"/>
      <c r="CC1762" s="2" t="s">
        <v>181</v>
      </c>
      <c r="CD1762" s="2">
        <v>4051</v>
      </c>
      <c r="CE1762" s="2" t="s">
        <v>172</v>
      </c>
      <c r="CF1762" s="5">
        <v>42833</v>
      </c>
      <c r="CG1762" s="2"/>
      <c r="CH1762" s="2"/>
      <c r="CI1762" s="2">
        <v>0</v>
      </c>
      <c r="CJ1762" s="2">
        <v>0</v>
      </c>
      <c r="CK1762" s="2" t="s">
        <v>2236</v>
      </c>
      <c r="CL1762" s="2" t="s">
        <v>86</v>
      </c>
      <c r="CM1762" s="2"/>
    </row>
    <row r="1763" spans="1:91">
      <c r="A1763" s="2" t="s">
        <v>71</v>
      </c>
      <c r="B1763" s="2" t="s">
        <v>72</v>
      </c>
      <c r="C1763" s="2" t="s">
        <v>73</v>
      </c>
      <c r="D1763" s="2"/>
      <c r="E1763" s="2" t="str">
        <f>"FES1162541752"</f>
        <v>FES1162541752</v>
      </c>
      <c r="F1763" s="3">
        <v>42830</v>
      </c>
      <c r="G1763" s="2">
        <v>201710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180</v>
      </c>
      <c r="M1763" s="2" t="s">
        <v>181</v>
      </c>
      <c r="N1763" s="2" t="s">
        <v>1858</v>
      </c>
      <c r="O1763" s="2" t="s">
        <v>81</v>
      </c>
      <c r="P1763" s="2" t="str">
        <f>"2170557554                    "</f>
        <v xml:space="preserve">2170557554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19.25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67</v>
      </c>
      <c r="BJ1763" s="2">
        <v>40.1</v>
      </c>
      <c r="BK1763" s="2">
        <v>67</v>
      </c>
      <c r="BL1763" s="2">
        <v>192.34</v>
      </c>
      <c r="BM1763" s="2">
        <v>26.93</v>
      </c>
      <c r="BN1763" s="2">
        <v>219.27</v>
      </c>
      <c r="BO1763" s="2">
        <v>219.27</v>
      </c>
      <c r="BP1763" s="2"/>
      <c r="BQ1763" s="2" t="s">
        <v>129</v>
      </c>
      <c r="BR1763" s="2" t="s">
        <v>123</v>
      </c>
      <c r="BS1763" s="3">
        <v>42831</v>
      </c>
      <c r="BT1763" s="4">
        <v>0.4375</v>
      </c>
      <c r="BU1763" s="2" t="s">
        <v>2257</v>
      </c>
      <c r="BV1763" s="2" t="s">
        <v>111</v>
      </c>
      <c r="BW1763" s="2"/>
      <c r="BX1763" s="2"/>
      <c r="BY1763" s="2">
        <v>200408</v>
      </c>
      <c r="BZ1763" s="2"/>
      <c r="CA1763" s="2"/>
      <c r="CB1763" s="2"/>
      <c r="CC1763" s="2" t="s">
        <v>181</v>
      </c>
      <c r="CD1763" s="2">
        <v>4052</v>
      </c>
      <c r="CE1763" s="2" t="s">
        <v>89</v>
      </c>
      <c r="CF1763" s="5">
        <v>42832</v>
      </c>
      <c r="CG1763" s="2"/>
      <c r="CH1763" s="2"/>
      <c r="CI1763" s="2">
        <v>0</v>
      </c>
      <c r="CJ1763" s="2">
        <v>0</v>
      </c>
      <c r="CK1763" s="2" t="s">
        <v>2236</v>
      </c>
      <c r="CL1763" s="2" t="s">
        <v>86</v>
      </c>
      <c r="CM1763" s="2"/>
    </row>
    <row r="1764" spans="1:91">
      <c r="A1764" s="2" t="s">
        <v>71</v>
      </c>
      <c r="B1764" s="2" t="s">
        <v>72</v>
      </c>
      <c r="C1764" s="2" t="s">
        <v>73</v>
      </c>
      <c r="D1764" s="2"/>
      <c r="E1764" s="2" t="str">
        <f>"FES1162541494"</f>
        <v>FES1162541494</v>
      </c>
      <c r="F1764" s="3">
        <v>42830</v>
      </c>
      <c r="G1764" s="2">
        <v>201710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1326</v>
      </c>
      <c r="M1764" s="2" t="s">
        <v>1326</v>
      </c>
      <c r="N1764" s="2" t="s">
        <v>1327</v>
      </c>
      <c r="O1764" s="2" t="s">
        <v>81</v>
      </c>
      <c r="P1764" s="2" t="str">
        <f>"2170560582                    "</f>
        <v xml:space="preserve">2170560582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10.45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2</v>
      </c>
      <c r="BJ1764" s="2">
        <v>2.4</v>
      </c>
      <c r="BK1764" s="2">
        <v>3</v>
      </c>
      <c r="BL1764" s="2">
        <v>106.71</v>
      </c>
      <c r="BM1764" s="2">
        <v>14.94</v>
      </c>
      <c r="BN1764" s="2">
        <v>121.65</v>
      </c>
      <c r="BO1764" s="2">
        <v>121.65</v>
      </c>
      <c r="BP1764" s="2" t="s">
        <v>82</v>
      </c>
      <c r="BQ1764" s="2" t="s">
        <v>116</v>
      </c>
      <c r="BR1764" s="2" t="s">
        <v>123</v>
      </c>
      <c r="BS1764" s="3">
        <v>42834</v>
      </c>
      <c r="BT1764" s="4">
        <v>0.5</v>
      </c>
      <c r="BU1764" s="2" t="s">
        <v>2258</v>
      </c>
      <c r="BV1764" s="2" t="s">
        <v>111</v>
      </c>
      <c r="BW1764" s="2"/>
      <c r="BX1764" s="2"/>
      <c r="BY1764" s="2">
        <v>11934</v>
      </c>
      <c r="BZ1764" s="2"/>
      <c r="CA1764" s="2"/>
      <c r="CB1764" s="2"/>
      <c r="CC1764" s="2" t="s">
        <v>1326</v>
      </c>
      <c r="CD1764" s="2">
        <v>5470</v>
      </c>
      <c r="CE1764" s="2" t="s">
        <v>172</v>
      </c>
      <c r="CF1764" s="5">
        <v>42838</v>
      </c>
      <c r="CG1764" s="2"/>
      <c r="CH1764" s="2"/>
      <c r="CI1764" s="2">
        <v>0</v>
      </c>
      <c r="CJ1764" s="2">
        <v>0</v>
      </c>
      <c r="CK1764" s="2" t="s">
        <v>90</v>
      </c>
      <c r="CL1764" s="2" t="s">
        <v>86</v>
      </c>
      <c r="CM1764" s="2"/>
    </row>
    <row r="1765" spans="1:91">
      <c r="A1765" s="2" t="s">
        <v>71</v>
      </c>
      <c r="B1765" s="2" t="s">
        <v>72</v>
      </c>
      <c r="C1765" s="2" t="s">
        <v>73</v>
      </c>
      <c r="D1765" s="2"/>
      <c r="E1765" s="2" t="str">
        <f>"FES1162541770"</f>
        <v>FES1162541770</v>
      </c>
      <c r="F1765" s="3">
        <v>42830</v>
      </c>
      <c r="G1765" s="2">
        <v>201710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2259</v>
      </c>
      <c r="M1765" s="2" t="s">
        <v>2260</v>
      </c>
      <c r="N1765" s="2" t="s">
        <v>2261</v>
      </c>
      <c r="O1765" s="2" t="s">
        <v>81</v>
      </c>
      <c r="P1765" s="2" t="str">
        <f>"2170560772                    "</f>
        <v xml:space="preserve">2170560772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27.93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3</v>
      </c>
      <c r="BI1765" s="2">
        <v>66</v>
      </c>
      <c r="BJ1765" s="2">
        <v>27.8</v>
      </c>
      <c r="BK1765" s="2">
        <v>66</v>
      </c>
      <c r="BL1765" s="2">
        <v>276.85000000000002</v>
      </c>
      <c r="BM1765" s="2">
        <v>38.76</v>
      </c>
      <c r="BN1765" s="2">
        <v>315.61</v>
      </c>
      <c r="BO1765" s="2">
        <v>315.61</v>
      </c>
      <c r="BP1765" s="2" t="s">
        <v>82</v>
      </c>
      <c r="BQ1765" s="2" t="s">
        <v>129</v>
      </c>
      <c r="BR1765" s="2" t="s">
        <v>123</v>
      </c>
      <c r="BS1765" s="3">
        <v>42831</v>
      </c>
      <c r="BT1765" s="4">
        <v>0.63958333333333328</v>
      </c>
      <c r="BU1765" s="2" t="s">
        <v>2262</v>
      </c>
      <c r="BV1765" s="2" t="s">
        <v>111</v>
      </c>
      <c r="BW1765" s="2"/>
      <c r="BX1765" s="2"/>
      <c r="BY1765" s="2">
        <v>139125</v>
      </c>
      <c r="BZ1765" s="2"/>
      <c r="CA1765" s="2"/>
      <c r="CB1765" s="2"/>
      <c r="CC1765" s="2" t="s">
        <v>2260</v>
      </c>
      <c r="CD1765" s="2">
        <v>2410</v>
      </c>
      <c r="CE1765" s="2" t="s">
        <v>2263</v>
      </c>
      <c r="CF1765" s="5">
        <v>42833</v>
      </c>
      <c r="CG1765" s="2"/>
      <c r="CH1765" s="2"/>
      <c r="CI1765" s="2">
        <v>0</v>
      </c>
      <c r="CJ1765" s="2">
        <v>0</v>
      </c>
      <c r="CK1765" s="2" t="s">
        <v>107</v>
      </c>
      <c r="CL1765" s="2" t="s">
        <v>86</v>
      </c>
      <c r="CM1765" s="2"/>
    </row>
    <row r="1766" spans="1:91">
      <c r="A1766" s="2" t="s">
        <v>71</v>
      </c>
      <c r="B1766" s="2" t="s">
        <v>72</v>
      </c>
      <c r="C1766" s="2" t="s">
        <v>73</v>
      </c>
      <c r="D1766" s="2"/>
      <c r="E1766" s="2" t="str">
        <f>"009935912146"</f>
        <v>009935912146</v>
      </c>
      <c r="F1766" s="3">
        <v>42831</v>
      </c>
      <c r="G1766" s="2">
        <v>201710</v>
      </c>
      <c r="H1766" s="2" t="s">
        <v>609</v>
      </c>
      <c r="I1766" s="2" t="s">
        <v>610</v>
      </c>
      <c r="J1766" s="2" t="s">
        <v>2264</v>
      </c>
      <c r="K1766" s="2" t="s">
        <v>77</v>
      </c>
      <c r="L1766" s="2" t="s">
        <v>74</v>
      </c>
      <c r="M1766" s="2" t="s">
        <v>75</v>
      </c>
      <c r="N1766" s="2" t="s">
        <v>200</v>
      </c>
      <c r="O1766" s="2" t="s">
        <v>81</v>
      </c>
      <c r="P1766" s="2" t="str">
        <f>"                              "</f>
        <v xml:space="preserve">          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6.03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3.6</v>
      </c>
      <c r="BJ1766" s="2">
        <v>0.4</v>
      </c>
      <c r="BK1766" s="2">
        <v>4</v>
      </c>
      <c r="BL1766" s="2">
        <v>63.68</v>
      </c>
      <c r="BM1766" s="2">
        <v>8.92</v>
      </c>
      <c r="BN1766" s="2">
        <v>72.599999999999994</v>
      </c>
      <c r="BO1766" s="2">
        <v>72.599999999999994</v>
      </c>
      <c r="BP1766" s="2"/>
      <c r="BQ1766" s="2"/>
      <c r="BR1766" s="2"/>
      <c r="BS1766" s="3">
        <v>42832</v>
      </c>
      <c r="BT1766" s="4">
        <v>0.72430555555555554</v>
      </c>
      <c r="BU1766" s="2" t="s">
        <v>2265</v>
      </c>
      <c r="BV1766" s="2" t="s">
        <v>111</v>
      </c>
      <c r="BW1766" s="2"/>
      <c r="BX1766" s="2"/>
      <c r="BY1766" s="2">
        <v>1960.29</v>
      </c>
      <c r="BZ1766" s="2"/>
      <c r="CA1766" s="2" t="s">
        <v>2266</v>
      </c>
      <c r="CB1766" s="2"/>
      <c r="CC1766" s="2" t="s">
        <v>75</v>
      </c>
      <c r="CD1766" s="2">
        <v>1619</v>
      </c>
      <c r="CE1766" s="2" t="s">
        <v>89</v>
      </c>
      <c r="CF1766" s="5">
        <v>42832</v>
      </c>
      <c r="CG1766" s="2"/>
      <c r="CH1766" s="2"/>
      <c r="CI1766" s="2">
        <v>0</v>
      </c>
      <c r="CJ1766" s="2">
        <v>0</v>
      </c>
      <c r="CK1766" s="2" t="s">
        <v>2267</v>
      </c>
      <c r="CL1766" s="2" t="s">
        <v>86</v>
      </c>
      <c r="CM1766" s="2"/>
    </row>
    <row r="1767" spans="1:91">
      <c r="A1767" s="2" t="s">
        <v>71</v>
      </c>
      <c r="B1767" s="2" t="s">
        <v>72</v>
      </c>
      <c r="C1767" s="2" t="s">
        <v>73</v>
      </c>
      <c r="D1767" s="2"/>
      <c r="E1767" s="2" t="str">
        <f>"FES1162541816"</f>
        <v>FES1162541816</v>
      </c>
      <c r="F1767" s="3">
        <v>42832</v>
      </c>
      <c r="G1767" s="2">
        <v>201710</v>
      </c>
      <c r="H1767" s="2" t="s">
        <v>74</v>
      </c>
      <c r="I1767" s="2" t="s">
        <v>75</v>
      </c>
      <c r="J1767" s="2" t="s">
        <v>76</v>
      </c>
      <c r="K1767" s="2" t="s">
        <v>77</v>
      </c>
      <c r="L1767" s="2" t="s">
        <v>516</v>
      </c>
      <c r="M1767" s="2" t="s">
        <v>517</v>
      </c>
      <c r="N1767" s="2" t="s">
        <v>1911</v>
      </c>
      <c r="O1767" s="2" t="s">
        <v>81</v>
      </c>
      <c r="P1767" s="2" t="str">
        <f>"2170560832                    "</f>
        <v xml:space="preserve">2170560832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11.27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4</v>
      </c>
      <c r="BI1767" s="2">
        <v>28</v>
      </c>
      <c r="BJ1767" s="2">
        <v>40.299999999999997</v>
      </c>
      <c r="BK1767" s="2">
        <v>41</v>
      </c>
      <c r="BL1767" s="2">
        <v>114.68</v>
      </c>
      <c r="BM1767" s="2">
        <v>16.059999999999999</v>
      </c>
      <c r="BN1767" s="2">
        <v>130.74</v>
      </c>
      <c r="BO1767" s="2">
        <v>130.74</v>
      </c>
      <c r="BP1767" s="2"/>
      <c r="BQ1767" s="2" t="s">
        <v>1912</v>
      </c>
      <c r="BR1767" s="2" t="s">
        <v>123</v>
      </c>
      <c r="BS1767" s="3">
        <v>42835</v>
      </c>
      <c r="BT1767" s="4">
        <v>0.39513888888888887</v>
      </c>
      <c r="BU1767" s="2" t="s">
        <v>2268</v>
      </c>
      <c r="BV1767" s="2" t="s">
        <v>111</v>
      </c>
      <c r="BW1767" s="2"/>
      <c r="BX1767" s="2"/>
      <c r="BY1767" s="2">
        <v>201690.86</v>
      </c>
      <c r="BZ1767" s="2"/>
      <c r="CA1767" s="2"/>
      <c r="CB1767" s="2"/>
      <c r="CC1767" s="2" t="s">
        <v>517</v>
      </c>
      <c r="CD1767" s="2">
        <v>1459</v>
      </c>
      <c r="CE1767" s="2" t="s">
        <v>2269</v>
      </c>
      <c r="CF1767" s="5">
        <v>42836</v>
      </c>
      <c r="CG1767" s="2"/>
      <c r="CH1767" s="2"/>
      <c r="CI1767" s="2">
        <v>0</v>
      </c>
      <c r="CJ1767" s="2">
        <v>0</v>
      </c>
      <c r="CK1767" s="2" t="s">
        <v>98</v>
      </c>
      <c r="CL1767" s="2" t="s">
        <v>86</v>
      </c>
      <c r="CM1767" s="2"/>
    </row>
    <row r="1768" spans="1:91">
      <c r="A1768" s="2" t="s">
        <v>71</v>
      </c>
      <c r="B1768" s="2" t="s">
        <v>72</v>
      </c>
      <c r="C1768" s="2" t="s">
        <v>73</v>
      </c>
      <c r="D1768" s="2"/>
      <c r="E1768" s="2" t="str">
        <f>"FES1162542339"</f>
        <v>FES1162542339</v>
      </c>
      <c r="F1768" s="3">
        <v>42832</v>
      </c>
      <c r="G1768" s="2">
        <v>201710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934</v>
      </c>
      <c r="M1768" s="2" t="s">
        <v>935</v>
      </c>
      <c r="N1768" s="2" t="s">
        <v>2270</v>
      </c>
      <c r="O1768" s="2" t="s">
        <v>81</v>
      </c>
      <c r="P1768" s="2" t="str">
        <f>"2170561212                    "</f>
        <v xml:space="preserve">2170561212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7.37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10</v>
      </c>
      <c r="BJ1768" s="2">
        <v>3.6</v>
      </c>
      <c r="BK1768" s="2">
        <v>10</v>
      </c>
      <c r="BL1768" s="2">
        <v>76.72</v>
      </c>
      <c r="BM1768" s="2">
        <v>10.74</v>
      </c>
      <c r="BN1768" s="2">
        <v>87.46</v>
      </c>
      <c r="BO1768" s="2">
        <v>87.46</v>
      </c>
      <c r="BP1768" s="2"/>
      <c r="BQ1768" s="2" t="s">
        <v>83</v>
      </c>
      <c r="BR1768" s="2" t="s">
        <v>123</v>
      </c>
      <c r="BS1768" s="3">
        <v>42835</v>
      </c>
      <c r="BT1768" s="4">
        <v>0.50694444444444442</v>
      </c>
      <c r="BU1768" s="2" t="s">
        <v>2271</v>
      </c>
      <c r="BV1768" s="2" t="s">
        <v>111</v>
      </c>
      <c r="BW1768" s="2"/>
      <c r="BX1768" s="2"/>
      <c r="BY1768" s="2">
        <v>17900.93</v>
      </c>
      <c r="BZ1768" s="2"/>
      <c r="CA1768" s="2"/>
      <c r="CB1768" s="2"/>
      <c r="CC1768" s="2" t="s">
        <v>935</v>
      </c>
      <c r="CD1768" s="2">
        <v>1961</v>
      </c>
      <c r="CE1768" s="2" t="s">
        <v>135</v>
      </c>
      <c r="CF1768" s="5">
        <v>42836</v>
      </c>
      <c r="CG1768" s="2"/>
      <c r="CH1768" s="2"/>
      <c r="CI1768" s="2">
        <v>0</v>
      </c>
      <c r="CJ1768" s="2">
        <v>0</v>
      </c>
      <c r="CK1768" s="2" t="s">
        <v>150</v>
      </c>
      <c r="CL1768" s="2" t="s">
        <v>86</v>
      </c>
      <c r="CM1768" s="2"/>
    </row>
    <row r="1769" spans="1:91">
      <c r="A1769" s="2" t="s">
        <v>71</v>
      </c>
      <c r="B1769" s="2" t="s">
        <v>72</v>
      </c>
      <c r="C1769" s="2" t="s">
        <v>73</v>
      </c>
      <c r="D1769" s="2"/>
      <c r="E1769" s="2" t="str">
        <f>"FES1162542310"</f>
        <v>FES1162542310</v>
      </c>
      <c r="F1769" s="3">
        <v>42832</v>
      </c>
      <c r="G1769" s="2">
        <v>201710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591</v>
      </c>
      <c r="M1769" s="2" t="s">
        <v>592</v>
      </c>
      <c r="N1769" s="2" t="s">
        <v>593</v>
      </c>
      <c r="O1769" s="2" t="s">
        <v>81</v>
      </c>
      <c r="P1769" s="2" t="str">
        <f>"2170558600                    "</f>
        <v xml:space="preserve">2170558600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23.42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54</v>
      </c>
      <c r="BJ1769" s="2">
        <v>20.399999999999999</v>
      </c>
      <c r="BK1769" s="2">
        <v>54</v>
      </c>
      <c r="BL1769" s="2">
        <v>232.98</v>
      </c>
      <c r="BM1769" s="2">
        <v>32.619999999999997</v>
      </c>
      <c r="BN1769" s="2">
        <v>265.60000000000002</v>
      </c>
      <c r="BO1769" s="2">
        <v>265.60000000000002</v>
      </c>
      <c r="BP1769" s="2"/>
      <c r="BQ1769" s="2" t="s">
        <v>2272</v>
      </c>
      <c r="BR1769" s="2" t="s">
        <v>123</v>
      </c>
      <c r="BS1769" s="3">
        <v>42835</v>
      </c>
      <c r="BT1769" s="4">
        <v>0.41666666666666669</v>
      </c>
      <c r="BU1769" s="2" t="s">
        <v>130</v>
      </c>
      <c r="BV1769" s="2" t="s">
        <v>111</v>
      </c>
      <c r="BW1769" s="2"/>
      <c r="BX1769" s="2"/>
      <c r="BY1769" s="2">
        <v>101920</v>
      </c>
      <c r="BZ1769" s="2"/>
      <c r="CA1769" s="2"/>
      <c r="CB1769" s="2"/>
      <c r="CC1769" s="2" t="s">
        <v>592</v>
      </c>
      <c r="CD1769" s="2">
        <v>7599</v>
      </c>
      <c r="CE1769" s="2" t="s">
        <v>135</v>
      </c>
      <c r="CF1769" s="5">
        <v>42836</v>
      </c>
      <c r="CG1769" s="2"/>
      <c r="CH1769" s="2"/>
      <c r="CI1769" s="2">
        <v>0</v>
      </c>
      <c r="CJ1769" s="2">
        <v>0</v>
      </c>
      <c r="CK1769" s="2" t="s">
        <v>107</v>
      </c>
      <c r="CL1769" s="2" t="s">
        <v>86</v>
      </c>
      <c r="CM1769" s="2"/>
    </row>
    <row r="1770" spans="1:91">
      <c r="A1770" s="2" t="s">
        <v>71</v>
      </c>
      <c r="B1770" s="2" t="s">
        <v>72</v>
      </c>
      <c r="C1770" s="2" t="s">
        <v>73</v>
      </c>
      <c r="D1770" s="2"/>
      <c r="E1770" s="2" t="str">
        <f>"FES1162541131"</f>
        <v>FES1162541131</v>
      </c>
      <c r="F1770" s="3">
        <v>42828</v>
      </c>
      <c r="G1770" s="2">
        <v>201710</v>
      </c>
      <c r="H1770" s="2" t="s">
        <v>74</v>
      </c>
      <c r="I1770" s="2" t="s">
        <v>75</v>
      </c>
      <c r="J1770" s="2" t="s">
        <v>76</v>
      </c>
      <c r="K1770" s="2" t="s">
        <v>77</v>
      </c>
      <c r="L1770" s="2" t="s">
        <v>99</v>
      </c>
      <c r="M1770" s="2" t="s">
        <v>100</v>
      </c>
      <c r="N1770" s="2" t="s">
        <v>581</v>
      </c>
      <c r="O1770" s="2" t="s">
        <v>81</v>
      </c>
      <c r="P1770" s="2" t="str">
        <f>"2170560215                    "</f>
        <v xml:space="preserve">2170560215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9.0500000000000007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2</v>
      </c>
      <c r="BJ1770" s="2">
        <v>1.5</v>
      </c>
      <c r="BK1770" s="2">
        <v>2</v>
      </c>
      <c r="BL1770" s="2">
        <v>90.69</v>
      </c>
      <c r="BM1770" s="2">
        <v>12.7</v>
      </c>
      <c r="BN1770" s="2">
        <v>103.39</v>
      </c>
      <c r="BO1770" s="2">
        <v>103.39</v>
      </c>
      <c r="BP1770" s="2" t="s">
        <v>82</v>
      </c>
      <c r="BQ1770" s="2" t="s">
        <v>129</v>
      </c>
      <c r="BR1770" s="2" t="s">
        <v>123</v>
      </c>
      <c r="BS1770" s="3">
        <v>42830</v>
      </c>
      <c r="BT1770" s="4">
        <v>0.33194444444444443</v>
      </c>
      <c r="BU1770" s="2" t="s">
        <v>245</v>
      </c>
      <c r="BV1770" s="2" t="s">
        <v>111</v>
      </c>
      <c r="BW1770" s="2"/>
      <c r="BX1770" s="2"/>
      <c r="BY1770" s="2">
        <v>7540</v>
      </c>
      <c r="BZ1770" s="2"/>
      <c r="CA1770" s="2"/>
      <c r="CB1770" s="2"/>
      <c r="CC1770" s="2" t="s">
        <v>100</v>
      </c>
      <c r="CD1770" s="2">
        <v>6045</v>
      </c>
      <c r="CE1770" s="2" t="s">
        <v>89</v>
      </c>
      <c r="CF1770" s="5">
        <v>42832</v>
      </c>
      <c r="CG1770" s="2"/>
      <c r="CH1770" s="2"/>
      <c r="CI1770" s="2">
        <v>0</v>
      </c>
      <c r="CJ1770" s="2">
        <v>0</v>
      </c>
      <c r="CK1770" s="2" t="s">
        <v>107</v>
      </c>
      <c r="CL1770" s="2" t="s">
        <v>86</v>
      </c>
      <c r="CM1770" s="2"/>
    </row>
    <row r="1771" spans="1:91">
      <c r="A1771" s="2" t="s">
        <v>71</v>
      </c>
      <c r="B1771" s="2" t="s">
        <v>72</v>
      </c>
      <c r="C1771" s="2" t="s">
        <v>73</v>
      </c>
      <c r="D1771" s="2"/>
      <c r="E1771" s="2" t="str">
        <f>"FES1162541114"</f>
        <v>FES1162541114</v>
      </c>
      <c r="F1771" s="3">
        <v>42828</v>
      </c>
      <c r="G1771" s="2">
        <v>201710</v>
      </c>
      <c r="H1771" s="2" t="s">
        <v>74</v>
      </c>
      <c r="I1771" s="2" t="s">
        <v>75</v>
      </c>
      <c r="J1771" s="2" t="s">
        <v>76</v>
      </c>
      <c r="K1771" s="2" t="s">
        <v>77</v>
      </c>
      <c r="L1771" s="2" t="s">
        <v>714</v>
      </c>
      <c r="M1771" s="2" t="s">
        <v>715</v>
      </c>
      <c r="N1771" s="2" t="s">
        <v>2099</v>
      </c>
      <c r="O1771" s="2" t="s">
        <v>81</v>
      </c>
      <c r="P1771" s="2" t="str">
        <f>"2170560129                    "</f>
        <v xml:space="preserve">2170560129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6.22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10</v>
      </c>
      <c r="BJ1771" s="2">
        <v>5.0999999999999996</v>
      </c>
      <c r="BK1771" s="2">
        <v>10</v>
      </c>
      <c r="BL1771" s="2">
        <v>63.87</v>
      </c>
      <c r="BM1771" s="2">
        <v>8.94</v>
      </c>
      <c r="BN1771" s="2">
        <v>72.81</v>
      </c>
      <c r="BO1771" s="2">
        <v>72.81</v>
      </c>
      <c r="BP1771" s="2" t="s">
        <v>82</v>
      </c>
      <c r="BQ1771" s="2" t="s">
        <v>122</v>
      </c>
      <c r="BR1771" s="2" t="s">
        <v>123</v>
      </c>
      <c r="BS1771" s="3">
        <v>42830</v>
      </c>
      <c r="BT1771" s="4">
        <v>0.61805555555555558</v>
      </c>
      <c r="BU1771" s="2" t="s">
        <v>2273</v>
      </c>
      <c r="BV1771" s="2" t="s">
        <v>86</v>
      </c>
      <c r="BW1771" s="2" t="s">
        <v>96</v>
      </c>
      <c r="BX1771" s="2" t="s">
        <v>939</v>
      </c>
      <c r="BY1771" s="2">
        <v>25280.639999999999</v>
      </c>
      <c r="BZ1771" s="2"/>
      <c r="CA1771" s="2"/>
      <c r="CB1771" s="2"/>
      <c r="CC1771" s="2" t="s">
        <v>715</v>
      </c>
      <c r="CD1771" s="2">
        <v>1451</v>
      </c>
      <c r="CE1771" s="2" t="s">
        <v>89</v>
      </c>
      <c r="CF1771" s="5">
        <v>42832</v>
      </c>
      <c r="CG1771" s="2"/>
      <c r="CH1771" s="2"/>
      <c r="CI1771" s="2">
        <v>0</v>
      </c>
      <c r="CJ1771" s="2">
        <v>0</v>
      </c>
      <c r="CK1771" s="2" t="s">
        <v>98</v>
      </c>
      <c r="CL1771" s="2" t="s">
        <v>86</v>
      </c>
      <c r="CM1771" s="2"/>
    </row>
    <row r="1772" spans="1:91">
      <c r="A1772" s="2" t="s">
        <v>71</v>
      </c>
      <c r="B1772" s="2" t="s">
        <v>72</v>
      </c>
      <c r="C1772" s="2" t="s">
        <v>73</v>
      </c>
      <c r="D1772" s="2"/>
      <c r="E1772" s="2" t="str">
        <f>"FES1162541080"</f>
        <v>FES1162541080</v>
      </c>
      <c r="F1772" s="3">
        <v>42829</v>
      </c>
      <c r="G1772" s="2">
        <v>201710</v>
      </c>
      <c r="H1772" s="2" t="s">
        <v>74</v>
      </c>
      <c r="I1772" s="2" t="s">
        <v>75</v>
      </c>
      <c r="J1772" s="2" t="s">
        <v>76</v>
      </c>
      <c r="K1772" s="2" t="s">
        <v>77</v>
      </c>
      <c r="L1772" s="2" t="s">
        <v>633</v>
      </c>
      <c r="M1772" s="2" t="s">
        <v>634</v>
      </c>
      <c r="N1772" s="2" t="s">
        <v>635</v>
      </c>
      <c r="O1772" s="2" t="s">
        <v>81</v>
      </c>
      <c r="P1772" s="2" t="str">
        <f>"2170560140                    "</f>
        <v xml:space="preserve">2170560140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11.62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21</v>
      </c>
      <c r="BJ1772" s="2">
        <v>40.299999999999997</v>
      </c>
      <c r="BK1772" s="2">
        <v>41</v>
      </c>
      <c r="BL1772" s="2">
        <v>115.03</v>
      </c>
      <c r="BM1772" s="2">
        <v>16.100000000000001</v>
      </c>
      <c r="BN1772" s="2">
        <v>131.13</v>
      </c>
      <c r="BO1772" s="2">
        <v>131.13</v>
      </c>
      <c r="BP1772" s="2"/>
      <c r="BQ1772" s="2" t="s">
        <v>636</v>
      </c>
      <c r="BR1772" s="2" t="s">
        <v>123</v>
      </c>
      <c r="BS1772" s="3">
        <v>42830</v>
      </c>
      <c r="BT1772" s="4">
        <v>0.53749999999999998</v>
      </c>
      <c r="BU1772" s="2" t="s">
        <v>2274</v>
      </c>
      <c r="BV1772" s="2" t="s">
        <v>111</v>
      </c>
      <c r="BW1772" s="2"/>
      <c r="BX1772" s="2"/>
      <c r="BY1772" s="2">
        <v>201349.49</v>
      </c>
      <c r="BZ1772" s="2"/>
      <c r="CA1772" s="2"/>
      <c r="CB1772" s="2"/>
      <c r="CC1772" s="2" t="s">
        <v>634</v>
      </c>
      <c r="CD1772" s="2">
        <v>1759</v>
      </c>
      <c r="CE1772" s="2" t="s">
        <v>135</v>
      </c>
      <c r="CF1772" s="5">
        <v>42832</v>
      </c>
      <c r="CG1772" s="2"/>
      <c r="CH1772" s="2"/>
      <c r="CI1772" s="2">
        <v>0</v>
      </c>
      <c r="CJ1772" s="2">
        <v>0</v>
      </c>
      <c r="CK1772" s="2" t="s">
        <v>98</v>
      </c>
      <c r="CL1772" s="2" t="s">
        <v>86</v>
      </c>
      <c r="CM1772" s="2"/>
    </row>
    <row r="1773" spans="1:91">
      <c r="A1773" s="2" t="s">
        <v>71</v>
      </c>
      <c r="B1773" s="2" t="s">
        <v>72</v>
      </c>
      <c r="C1773" s="2" t="s">
        <v>73</v>
      </c>
      <c r="D1773" s="2"/>
      <c r="E1773" s="2" t="str">
        <f>"FES1162541026"</f>
        <v>FES1162541026</v>
      </c>
      <c r="F1773" s="3">
        <v>42829</v>
      </c>
      <c r="G1773" s="2">
        <v>201710</v>
      </c>
      <c r="H1773" s="2" t="s">
        <v>74</v>
      </c>
      <c r="I1773" s="2" t="s">
        <v>75</v>
      </c>
      <c r="J1773" s="2" t="s">
        <v>76</v>
      </c>
      <c r="K1773" s="2" t="s">
        <v>77</v>
      </c>
      <c r="L1773" s="2" t="s">
        <v>1073</v>
      </c>
      <c r="M1773" s="2" t="s">
        <v>1074</v>
      </c>
      <c r="N1773" s="2" t="s">
        <v>2275</v>
      </c>
      <c r="O1773" s="2" t="s">
        <v>81</v>
      </c>
      <c r="P1773" s="2" t="str">
        <f>"2170560096                    "</f>
        <v xml:space="preserve">2170560096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8.2899999999999991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10</v>
      </c>
      <c r="BJ1773" s="2">
        <v>3</v>
      </c>
      <c r="BK1773" s="2">
        <v>10</v>
      </c>
      <c r="BL1773" s="2">
        <v>83.49</v>
      </c>
      <c r="BM1773" s="2">
        <v>11.69</v>
      </c>
      <c r="BN1773" s="2">
        <v>95.18</v>
      </c>
      <c r="BO1773" s="2">
        <v>95.18</v>
      </c>
      <c r="BP1773" s="2"/>
      <c r="BQ1773" s="2" t="s">
        <v>116</v>
      </c>
      <c r="BR1773" s="2" t="s">
        <v>123</v>
      </c>
      <c r="BS1773" s="3">
        <v>42830</v>
      </c>
      <c r="BT1773" s="4">
        <v>0.5</v>
      </c>
      <c r="BU1773" s="2" t="s">
        <v>2276</v>
      </c>
      <c r="BV1773" s="2" t="s">
        <v>111</v>
      </c>
      <c r="BW1773" s="2"/>
      <c r="BX1773" s="2"/>
      <c r="BY1773" s="2">
        <v>15120</v>
      </c>
      <c r="BZ1773" s="2"/>
      <c r="CA1773" s="2"/>
      <c r="CB1773" s="2"/>
      <c r="CC1773" s="2" t="s">
        <v>1074</v>
      </c>
      <c r="CD1773" s="2">
        <v>1947</v>
      </c>
      <c r="CE1773" s="2" t="s">
        <v>287</v>
      </c>
      <c r="CF1773" s="5">
        <v>42832</v>
      </c>
      <c r="CG1773" s="2"/>
      <c r="CH1773" s="2"/>
      <c r="CI1773" s="2">
        <v>0</v>
      </c>
      <c r="CJ1773" s="2">
        <v>0</v>
      </c>
      <c r="CK1773" s="2" t="s">
        <v>217</v>
      </c>
      <c r="CL1773" s="2" t="s">
        <v>86</v>
      </c>
      <c r="CM1773" s="2"/>
    </row>
    <row r="1774" spans="1:91">
      <c r="A1774" s="2" t="s">
        <v>71</v>
      </c>
      <c r="B1774" s="2" t="s">
        <v>72</v>
      </c>
      <c r="C1774" s="2" t="s">
        <v>73</v>
      </c>
      <c r="D1774" s="2"/>
      <c r="E1774" s="2" t="str">
        <f>"FES1162541247"</f>
        <v>FES1162541247</v>
      </c>
      <c r="F1774" s="3">
        <v>42829</v>
      </c>
      <c r="G1774" s="2">
        <v>201710</v>
      </c>
      <c r="H1774" s="2" t="s">
        <v>74</v>
      </c>
      <c r="I1774" s="2" t="s">
        <v>75</v>
      </c>
      <c r="J1774" s="2" t="s">
        <v>76</v>
      </c>
      <c r="K1774" s="2" t="s">
        <v>77</v>
      </c>
      <c r="L1774" s="2" t="s">
        <v>609</v>
      </c>
      <c r="M1774" s="2" t="s">
        <v>610</v>
      </c>
      <c r="N1774" s="2" t="s">
        <v>1263</v>
      </c>
      <c r="O1774" s="2" t="s">
        <v>81</v>
      </c>
      <c r="P1774" s="2" t="str">
        <f>"2170541247                    "</f>
        <v xml:space="preserve">2170541247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7.6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4</v>
      </c>
      <c r="BJ1774" s="2">
        <v>2.5</v>
      </c>
      <c r="BK1774" s="2">
        <v>4</v>
      </c>
      <c r="BL1774" s="2">
        <v>76.95</v>
      </c>
      <c r="BM1774" s="2">
        <v>10.77</v>
      </c>
      <c r="BN1774" s="2">
        <v>87.72</v>
      </c>
      <c r="BO1774" s="2">
        <v>87.72</v>
      </c>
      <c r="BP1774" s="2" t="s">
        <v>82</v>
      </c>
      <c r="BQ1774" s="2" t="s">
        <v>1264</v>
      </c>
      <c r="BR1774" s="2" t="s">
        <v>123</v>
      </c>
      <c r="BS1774" s="3">
        <v>42830</v>
      </c>
      <c r="BT1774" s="4">
        <v>0.54166666666666663</v>
      </c>
      <c r="BU1774" s="2" t="s">
        <v>983</v>
      </c>
      <c r="BV1774" s="2" t="s">
        <v>111</v>
      </c>
      <c r="BW1774" s="2"/>
      <c r="BX1774" s="2"/>
      <c r="BY1774" s="2">
        <v>12704.06</v>
      </c>
      <c r="BZ1774" s="2"/>
      <c r="CA1774" s="2"/>
      <c r="CB1774" s="2"/>
      <c r="CC1774" s="2" t="s">
        <v>610</v>
      </c>
      <c r="CD1774" s="2">
        <v>1900</v>
      </c>
      <c r="CE1774" s="2" t="s">
        <v>135</v>
      </c>
      <c r="CF1774" s="5">
        <v>42832</v>
      </c>
      <c r="CG1774" s="2"/>
      <c r="CH1774" s="2"/>
      <c r="CI1774" s="2">
        <v>0</v>
      </c>
      <c r="CJ1774" s="2">
        <v>0</v>
      </c>
      <c r="CK1774" s="2" t="s">
        <v>150</v>
      </c>
      <c r="CL1774" s="2" t="s">
        <v>86</v>
      </c>
      <c r="CM1774" s="2"/>
    </row>
    <row r="1775" spans="1:91">
      <c r="A1775" s="2" t="s">
        <v>71</v>
      </c>
      <c r="B1775" s="2" t="s">
        <v>72</v>
      </c>
      <c r="C1775" s="2" t="s">
        <v>73</v>
      </c>
      <c r="D1775" s="2"/>
      <c r="E1775" s="2" t="str">
        <f>"FES1162541041"</f>
        <v>FES1162541041</v>
      </c>
      <c r="F1775" s="3">
        <v>42829</v>
      </c>
      <c r="G1775" s="2">
        <v>201710</v>
      </c>
      <c r="H1775" s="2" t="s">
        <v>74</v>
      </c>
      <c r="I1775" s="2" t="s">
        <v>75</v>
      </c>
      <c r="J1775" s="2" t="s">
        <v>76</v>
      </c>
      <c r="K1775" s="2" t="s">
        <v>77</v>
      </c>
      <c r="L1775" s="2" t="s">
        <v>160</v>
      </c>
      <c r="M1775" s="2" t="s">
        <v>161</v>
      </c>
      <c r="N1775" s="2" t="s">
        <v>463</v>
      </c>
      <c r="O1775" s="2" t="s">
        <v>81</v>
      </c>
      <c r="P1775" s="2" t="str">
        <f>"2170560109                    "</f>
        <v xml:space="preserve">2170560109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33.840000000000003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3</v>
      </c>
      <c r="BI1775" s="2">
        <v>79</v>
      </c>
      <c r="BJ1775" s="2">
        <v>71.3</v>
      </c>
      <c r="BK1775" s="2">
        <v>79</v>
      </c>
      <c r="BL1775" s="2">
        <v>325.39999999999998</v>
      </c>
      <c r="BM1775" s="2">
        <v>45.56</v>
      </c>
      <c r="BN1775" s="2">
        <v>370.96</v>
      </c>
      <c r="BO1775" s="2">
        <v>370.96</v>
      </c>
      <c r="BP1775" s="2"/>
      <c r="BQ1775" s="2" t="s">
        <v>129</v>
      </c>
      <c r="BR1775" s="2" t="s">
        <v>123</v>
      </c>
      <c r="BS1775" s="3">
        <v>42831</v>
      </c>
      <c r="BT1775" s="4">
        <v>0.41666666666666669</v>
      </c>
      <c r="BU1775" s="2" t="s">
        <v>803</v>
      </c>
      <c r="BV1775" s="2" t="s">
        <v>111</v>
      </c>
      <c r="BW1775" s="2"/>
      <c r="BX1775" s="2"/>
      <c r="BY1775" s="2">
        <v>356443.24</v>
      </c>
      <c r="BZ1775" s="2"/>
      <c r="CA1775" s="2"/>
      <c r="CB1775" s="2"/>
      <c r="CC1775" s="2" t="s">
        <v>161</v>
      </c>
      <c r="CD1775" s="2">
        <v>5201</v>
      </c>
      <c r="CE1775" s="2" t="s">
        <v>2263</v>
      </c>
      <c r="CF1775" s="5">
        <v>42834</v>
      </c>
      <c r="CG1775" s="2"/>
      <c r="CH1775" s="2"/>
      <c r="CI1775" s="2">
        <v>0</v>
      </c>
      <c r="CJ1775" s="2">
        <v>0</v>
      </c>
      <c r="CK1775" s="2" t="s">
        <v>2277</v>
      </c>
      <c r="CL1775" s="2" t="s">
        <v>86</v>
      </c>
      <c r="CM1775" s="2"/>
    </row>
    <row r="1776" spans="1:91">
      <c r="A1776" s="2" t="s">
        <v>71</v>
      </c>
      <c r="B1776" s="2" t="s">
        <v>72</v>
      </c>
      <c r="C1776" s="2" t="s">
        <v>73</v>
      </c>
      <c r="D1776" s="2"/>
      <c r="E1776" s="2" t="str">
        <f>"FES1162543561"</f>
        <v>FES1162543561</v>
      </c>
      <c r="F1776" s="3">
        <v>42838</v>
      </c>
      <c r="G1776" s="2">
        <v>201710</v>
      </c>
      <c r="H1776" s="2" t="s">
        <v>74</v>
      </c>
      <c r="I1776" s="2" t="s">
        <v>75</v>
      </c>
      <c r="J1776" s="2" t="s">
        <v>76</v>
      </c>
      <c r="K1776" s="2" t="s">
        <v>77</v>
      </c>
      <c r="L1776" s="2" t="s">
        <v>74</v>
      </c>
      <c r="M1776" s="2" t="s">
        <v>75</v>
      </c>
      <c r="N1776" s="2" t="s">
        <v>2278</v>
      </c>
      <c r="O1776" s="2" t="s">
        <v>115</v>
      </c>
      <c r="P1776" s="2" t="str">
        <f>"2170562211                    "</f>
        <v xml:space="preserve">2170562211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3.35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1</v>
      </c>
      <c r="BJ1776" s="2">
        <v>0.2</v>
      </c>
      <c r="BK1776" s="2">
        <v>1</v>
      </c>
      <c r="BL1776" s="2">
        <v>32.6</v>
      </c>
      <c r="BM1776" s="2">
        <v>4.5599999999999996</v>
      </c>
      <c r="BN1776" s="2">
        <v>37.159999999999997</v>
      </c>
      <c r="BO1776" s="2">
        <v>37.159999999999997</v>
      </c>
      <c r="BP1776" s="2"/>
      <c r="BQ1776" s="2" t="s">
        <v>2279</v>
      </c>
      <c r="BR1776" s="2" t="s">
        <v>84</v>
      </c>
      <c r="BS1776" s="3">
        <v>42843</v>
      </c>
      <c r="BT1776" s="4">
        <v>0.41666666666666669</v>
      </c>
      <c r="BU1776" s="2" t="s">
        <v>2280</v>
      </c>
      <c r="BV1776" s="2" t="s">
        <v>86</v>
      </c>
      <c r="BW1776" s="2" t="s">
        <v>164</v>
      </c>
      <c r="BX1776" s="2" t="s">
        <v>2211</v>
      </c>
      <c r="BY1776" s="2">
        <v>1200</v>
      </c>
      <c r="BZ1776" s="2"/>
      <c r="CA1776" s="2" t="s">
        <v>159</v>
      </c>
      <c r="CB1776" s="2"/>
      <c r="CC1776" s="2" t="s">
        <v>75</v>
      </c>
      <c r="CD1776" s="2">
        <v>1645</v>
      </c>
      <c r="CE1776" s="2" t="s">
        <v>118</v>
      </c>
      <c r="CF1776" s="5">
        <v>42844</v>
      </c>
      <c r="CG1776" s="2"/>
      <c r="CH1776" s="2"/>
      <c r="CI1776" s="2">
        <v>1</v>
      </c>
      <c r="CJ1776" s="2">
        <v>3</v>
      </c>
      <c r="CK1776" s="2">
        <v>22</v>
      </c>
      <c r="CL1776" s="2" t="s">
        <v>86</v>
      </c>
      <c r="CM1776" s="2"/>
    </row>
    <row r="1777" spans="1:91">
      <c r="A1777" s="2" t="s">
        <v>71</v>
      </c>
      <c r="B1777" s="2" t="s">
        <v>72</v>
      </c>
      <c r="C1777" s="2" t="s">
        <v>73</v>
      </c>
      <c r="D1777" s="2"/>
      <c r="E1777" s="2" t="str">
        <f>"FES1162543756"</f>
        <v>FES1162543756</v>
      </c>
      <c r="F1777" s="3">
        <v>42838</v>
      </c>
      <c r="G1777" s="2">
        <v>201710</v>
      </c>
      <c r="H1777" s="2" t="s">
        <v>74</v>
      </c>
      <c r="I1777" s="2" t="s">
        <v>75</v>
      </c>
      <c r="J1777" s="2" t="s">
        <v>76</v>
      </c>
      <c r="K1777" s="2" t="s">
        <v>77</v>
      </c>
      <c r="L1777" s="2" t="s">
        <v>112</v>
      </c>
      <c r="M1777" s="2" t="s">
        <v>113</v>
      </c>
      <c r="N1777" s="2" t="s">
        <v>1816</v>
      </c>
      <c r="O1777" s="2" t="s">
        <v>115</v>
      </c>
      <c r="P1777" s="2" t="str">
        <f>"2170562394                    "</f>
        <v xml:space="preserve">2170562394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4.29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41.73</v>
      </c>
      <c r="BM1777" s="2">
        <v>5.84</v>
      </c>
      <c r="BN1777" s="2">
        <v>47.57</v>
      </c>
      <c r="BO1777" s="2">
        <v>47.57</v>
      </c>
      <c r="BP1777" s="2"/>
      <c r="BQ1777" s="2" t="s">
        <v>1817</v>
      </c>
      <c r="BR1777" s="2" t="s">
        <v>84</v>
      </c>
      <c r="BS1777" s="3">
        <v>42843</v>
      </c>
      <c r="BT1777" s="4">
        <v>0.34375</v>
      </c>
      <c r="BU1777" s="2" t="s">
        <v>2281</v>
      </c>
      <c r="BV1777" s="2" t="s">
        <v>86</v>
      </c>
      <c r="BW1777" s="2" t="s">
        <v>2282</v>
      </c>
      <c r="BX1777" s="2" t="s">
        <v>2283</v>
      </c>
      <c r="BY1777" s="2">
        <v>1200</v>
      </c>
      <c r="BZ1777" s="2"/>
      <c r="CA1777" s="2"/>
      <c r="CB1777" s="2"/>
      <c r="CC1777" s="2" t="s">
        <v>113</v>
      </c>
      <c r="CD1777" s="2">
        <v>3200</v>
      </c>
      <c r="CE1777" s="2" t="s">
        <v>118</v>
      </c>
      <c r="CF1777" s="5">
        <v>42844</v>
      </c>
      <c r="CG1777" s="2"/>
      <c r="CH1777" s="2"/>
      <c r="CI1777" s="2">
        <v>1</v>
      </c>
      <c r="CJ1777" s="2">
        <v>3</v>
      </c>
      <c r="CK1777" s="2">
        <v>21</v>
      </c>
      <c r="CL1777" s="2" t="s">
        <v>86</v>
      </c>
      <c r="CM1777" s="2"/>
    </row>
    <row r="1778" spans="1:91">
      <c r="A1778" s="2" t="s">
        <v>71</v>
      </c>
      <c r="B1778" s="2" t="s">
        <v>72</v>
      </c>
      <c r="C1778" s="2" t="s">
        <v>73</v>
      </c>
      <c r="D1778" s="2"/>
      <c r="E1778" s="2" t="str">
        <f>"FES1162544366"</f>
        <v>FES1162544366</v>
      </c>
      <c r="F1778" s="3">
        <v>42844</v>
      </c>
      <c r="G1778" s="2">
        <v>201710</v>
      </c>
      <c r="H1778" s="2" t="s">
        <v>74</v>
      </c>
      <c r="I1778" s="2" t="s">
        <v>75</v>
      </c>
      <c r="J1778" s="2" t="s">
        <v>200</v>
      </c>
      <c r="K1778" s="2" t="s">
        <v>77</v>
      </c>
      <c r="L1778" s="2" t="s">
        <v>396</v>
      </c>
      <c r="M1778" s="2" t="s">
        <v>397</v>
      </c>
      <c r="N1778" s="2" t="s">
        <v>2284</v>
      </c>
      <c r="O1778" s="2" t="s">
        <v>115</v>
      </c>
      <c r="P1778" s="2" t="str">
        <f>"2170562973                    "</f>
        <v xml:space="preserve">2170562973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203.63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3</v>
      </c>
      <c r="BI1778" s="2">
        <v>94.8</v>
      </c>
      <c r="BJ1778" s="2">
        <v>74.599999999999994</v>
      </c>
      <c r="BK1778" s="2">
        <v>95</v>
      </c>
      <c r="BL1778" s="2">
        <v>1982.03</v>
      </c>
      <c r="BM1778" s="2">
        <v>277.48</v>
      </c>
      <c r="BN1778" s="2">
        <v>2259.5100000000002</v>
      </c>
      <c r="BO1778" s="2">
        <v>2259.5100000000002</v>
      </c>
      <c r="BP1778" s="2" t="s">
        <v>2285</v>
      </c>
      <c r="BQ1778" s="2" t="s">
        <v>2286</v>
      </c>
      <c r="BR1778" s="2" t="s">
        <v>2287</v>
      </c>
      <c r="BS1778" s="3">
        <v>42845</v>
      </c>
      <c r="BT1778" s="4">
        <v>0.41666666666666669</v>
      </c>
      <c r="BU1778" s="2" t="s">
        <v>2288</v>
      </c>
      <c r="BV1778" s="2" t="s">
        <v>111</v>
      </c>
      <c r="BW1778" s="2"/>
      <c r="BX1778" s="2"/>
      <c r="BY1778" s="2">
        <v>373155.13</v>
      </c>
      <c r="BZ1778" s="2" t="s">
        <v>27</v>
      </c>
      <c r="CA1778" s="2"/>
      <c r="CB1778" s="2"/>
      <c r="CC1778" s="2" t="s">
        <v>397</v>
      </c>
      <c r="CD1778" s="2">
        <v>4300</v>
      </c>
      <c r="CE1778" s="2" t="s">
        <v>2289</v>
      </c>
      <c r="CF1778" s="5">
        <v>42846</v>
      </c>
      <c r="CG1778" s="2"/>
      <c r="CH1778" s="2"/>
      <c r="CI1778" s="2">
        <v>1</v>
      </c>
      <c r="CJ1778" s="2">
        <v>1</v>
      </c>
      <c r="CK1778" s="2">
        <v>21</v>
      </c>
      <c r="CL1778" s="2" t="s">
        <v>86</v>
      </c>
      <c r="CM1778" s="2"/>
    </row>
    <row r="1779" spans="1:91">
      <c r="A1779" s="2" t="s">
        <v>71</v>
      </c>
      <c r="B1779" s="2" t="s">
        <v>72</v>
      </c>
      <c r="C1779" s="2" t="s">
        <v>73</v>
      </c>
      <c r="D1779" s="2"/>
      <c r="E1779" s="2" t="str">
        <f>"FES1162543786"</f>
        <v>FES1162543786</v>
      </c>
      <c r="F1779" s="3">
        <v>42838</v>
      </c>
      <c r="G1779" s="2">
        <v>201710</v>
      </c>
      <c r="H1779" s="2" t="s">
        <v>74</v>
      </c>
      <c r="I1779" s="2" t="s">
        <v>75</v>
      </c>
      <c r="J1779" s="2" t="s">
        <v>76</v>
      </c>
      <c r="K1779" s="2" t="s">
        <v>77</v>
      </c>
      <c r="L1779" s="2" t="s">
        <v>166</v>
      </c>
      <c r="M1779" s="2" t="s">
        <v>167</v>
      </c>
      <c r="N1779" s="2" t="s">
        <v>2290</v>
      </c>
      <c r="O1779" s="2" t="s">
        <v>1014</v>
      </c>
      <c r="P1779" s="2" t="str">
        <f>"2170543786                    "</f>
        <v xml:space="preserve">2170543786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4.8499999999999996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2</v>
      </c>
      <c r="BI1779" s="2">
        <v>11.5</v>
      </c>
      <c r="BJ1779" s="2">
        <v>4</v>
      </c>
      <c r="BK1779" s="2">
        <v>12</v>
      </c>
      <c r="BL1779" s="2">
        <v>47.22</v>
      </c>
      <c r="BM1779" s="2">
        <v>6.61</v>
      </c>
      <c r="BN1779" s="2">
        <v>53.83</v>
      </c>
      <c r="BO1779" s="2">
        <v>53.83</v>
      </c>
      <c r="BP1779" s="2"/>
      <c r="BQ1779" s="2"/>
      <c r="BR1779" s="2" t="s">
        <v>84</v>
      </c>
      <c r="BS1779" s="3">
        <v>42843</v>
      </c>
      <c r="BT1779" s="4">
        <v>0.3354166666666667</v>
      </c>
      <c r="BU1779" s="2" t="s">
        <v>2291</v>
      </c>
      <c r="BV1779" s="2" t="s">
        <v>86</v>
      </c>
      <c r="BW1779" s="2" t="s">
        <v>164</v>
      </c>
      <c r="BX1779" s="2" t="s">
        <v>618</v>
      </c>
      <c r="BY1779" s="2">
        <v>20142.48</v>
      </c>
      <c r="BZ1779" s="2"/>
      <c r="CA1779" s="2" t="s">
        <v>159</v>
      </c>
      <c r="CB1779" s="2"/>
      <c r="CC1779" s="2" t="s">
        <v>167</v>
      </c>
      <c r="CD1779" s="2">
        <v>2196</v>
      </c>
      <c r="CE1779" s="2" t="s">
        <v>89</v>
      </c>
      <c r="CF1779" s="5">
        <v>42844</v>
      </c>
      <c r="CG1779" s="2"/>
      <c r="CH1779" s="2"/>
      <c r="CI1779" s="2">
        <v>1</v>
      </c>
      <c r="CJ1779" s="2">
        <v>3</v>
      </c>
      <c r="CK1779" s="2">
        <v>32</v>
      </c>
      <c r="CL1779" s="2" t="s">
        <v>86</v>
      </c>
      <c r="CM1779" s="2"/>
    </row>
    <row r="1780" spans="1:91">
      <c r="A1780" s="2" t="s">
        <v>71</v>
      </c>
      <c r="B1780" s="2" t="s">
        <v>72</v>
      </c>
      <c r="C1780" s="2" t="s">
        <v>73</v>
      </c>
      <c r="D1780" s="2"/>
      <c r="E1780" s="2" t="str">
        <f>"FES1162543282"</f>
        <v>FES1162543282</v>
      </c>
      <c r="F1780" s="3">
        <v>42837</v>
      </c>
      <c r="G1780" s="2">
        <v>201710</v>
      </c>
      <c r="H1780" s="2" t="s">
        <v>74</v>
      </c>
      <c r="I1780" s="2" t="s">
        <v>75</v>
      </c>
      <c r="J1780" s="2" t="s">
        <v>76</v>
      </c>
      <c r="K1780" s="2" t="s">
        <v>77</v>
      </c>
      <c r="L1780" s="2" t="s">
        <v>358</v>
      </c>
      <c r="M1780" s="2" t="s">
        <v>359</v>
      </c>
      <c r="N1780" s="2" t="s">
        <v>800</v>
      </c>
      <c r="O1780" s="2" t="s">
        <v>115</v>
      </c>
      <c r="P1780" s="2" t="str">
        <f>"2170559786                    "</f>
        <v xml:space="preserve">2170559786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7.5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3.1</v>
      </c>
      <c r="BJ1780" s="2">
        <v>1.8</v>
      </c>
      <c r="BK1780" s="2">
        <v>3.5</v>
      </c>
      <c r="BL1780" s="2">
        <v>73.02</v>
      </c>
      <c r="BM1780" s="2">
        <v>10.220000000000001</v>
      </c>
      <c r="BN1780" s="2">
        <v>83.24</v>
      </c>
      <c r="BO1780" s="2">
        <v>83.24</v>
      </c>
      <c r="BP1780" s="2"/>
      <c r="BQ1780" s="2" t="s">
        <v>801</v>
      </c>
      <c r="BR1780" s="2" t="s">
        <v>84</v>
      </c>
      <c r="BS1780" s="3">
        <v>42844</v>
      </c>
      <c r="BT1780" s="4">
        <v>0.61458333333333337</v>
      </c>
      <c r="BU1780" s="2" t="s">
        <v>2292</v>
      </c>
      <c r="BV1780" s="2" t="s">
        <v>86</v>
      </c>
      <c r="BW1780" s="2" t="s">
        <v>811</v>
      </c>
      <c r="BX1780" s="2" t="s">
        <v>485</v>
      </c>
      <c r="BY1780" s="2">
        <v>8950.66</v>
      </c>
      <c r="BZ1780" s="2"/>
      <c r="CA1780" s="2" t="s">
        <v>590</v>
      </c>
      <c r="CB1780" s="2"/>
      <c r="CC1780" s="2" t="s">
        <v>359</v>
      </c>
      <c r="CD1780" s="2">
        <v>6230</v>
      </c>
      <c r="CE1780" s="2" t="s">
        <v>89</v>
      </c>
      <c r="CF1780" s="5">
        <v>42845</v>
      </c>
      <c r="CG1780" s="2"/>
      <c r="CH1780" s="2"/>
      <c r="CI1780" s="2">
        <v>1</v>
      </c>
      <c r="CJ1780" s="2">
        <v>5</v>
      </c>
      <c r="CK1780" s="2">
        <v>21</v>
      </c>
      <c r="CL1780" s="2" t="s">
        <v>86</v>
      </c>
      <c r="CM1780" s="2"/>
    </row>
    <row r="1781" spans="1:91">
      <c r="A1781" s="2" t="s">
        <v>71</v>
      </c>
      <c r="B1781" s="2" t="s">
        <v>72</v>
      </c>
      <c r="C1781" s="2" t="s">
        <v>73</v>
      </c>
      <c r="D1781" s="2"/>
      <c r="E1781" s="2" t="str">
        <f>"FES1162543599"</f>
        <v>FES1162543599</v>
      </c>
      <c r="F1781" s="3">
        <v>42838</v>
      </c>
      <c r="G1781" s="2">
        <v>201710</v>
      </c>
      <c r="H1781" s="2" t="s">
        <v>74</v>
      </c>
      <c r="I1781" s="2" t="s">
        <v>75</v>
      </c>
      <c r="J1781" s="2" t="s">
        <v>76</v>
      </c>
      <c r="K1781" s="2" t="s">
        <v>77</v>
      </c>
      <c r="L1781" s="2" t="s">
        <v>91</v>
      </c>
      <c r="M1781" s="2" t="s">
        <v>92</v>
      </c>
      <c r="N1781" s="2" t="s">
        <v>356</v>
      </c>
      <c r="O1781" s="2" t="s">
        <v>115</v>
      </c>
      <c r="P1781" s="2" t="str">
        <f>"2170562270                    "</f>
        <v xml:space="preserve">2170562270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3.35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4.3</v>
      </c>
      <c r="BJ1781" s="2">
        <v>4.4000000000000004</v>
      </c>
      <c r="BK1781" s="2">
        <v>5</v>
      </c>
      <c r="BL1781" s="2">
        <v>32.6</v>
      </c>
      <c r="BM1781" s="2">
        <v>4.5599999999999996</v>
      </c>
      <c r="BN1781" s="2">
        <v>37.159999999999997</v>
      </c>
      <c r="BO1781" s="2">
        <v>37.159999999999997</v>
      </c>
      <c r="BP1781" s="2"/>
      <c r="BQ1781" s="2" t="s">
        <v>122</v>
      </c>
      <c r="BR1781" s="2" t="s">
        <v>84</v>
      </c>
      <c r="BS1781" s="3">
        <v>42843</v>
      </c>
      <c r="BT1781" s="4">
        <v>0.41666666666666669</v>
      </c>
      <c r="BU1781" s="2" t="s">
        <v>290</v>
      </c>
      <c r="BV1781" s="2" t="s">
        <v>86</v>
      </c>
      <c r="BW1781" s="2" t="s">
        <v>164</v>
      </c>
      <c r="BX1781" s="2" t="s">
        <v>2211</v>
      </c>
      <c r="BY1781" s="2">
        <v>21780.04</v>
      </c>
      <c r="BZ1781" s="2"/>
      <c r="CA1781" s="2"/>
      <c r="CB1781" s="2"/>
      <c r="CC1781" s="2" t="s">
        <v>92</v>
      </c>
      <c r="CD1781" s="2">
        <v>1422</v>
      </c>
      <c r="CE1781" s="2" t="s">
        <v>89</v>
      </c>
      <c r="CF1781" s="5">
        <v>42844</v>
      </c>
      <c r="CG1781" s="2"/>
      <c r="CH1781" s="2"/>
      <c r="CI1781" s="2">
        <v>1</v>
      </c>
      <c r="CJ1781" s="2">
        <v>3</v>
      </c>
      <c r="CK1781" s="2">
        <v>22</v>
      </c>
      <c r="CL1781" s="2" t="s">
        <v>86</v>
      </c>
      <c r="CM1781" s="2"/>
    </row>
    <row r="1782" spans="1:91">
      <c r="A1782" s="2" t="s">
        <v>71</v>
      </c>
      <c r="B1782" s="2" t="s">
        <v>72</v>
      </c>
      <c r="C1782" s="2" t="s">
        <v>73</v>
      </c>
      <c r="D1782" s="2"/>
      <c r="E1782" s="2" t="str">
        <f>"080001608310"</f>
        <v>080001608310</v>
      </c>
      <c r="F1782" s="3">
        <v>42838</v>
      </c>
      <c r="G1782" s="2">
        <v>201710</v>
      </c>
      <c r="H1782" s="2" t="s">
        <v>231</v>
      </c>
      <c r="I1782" s="2" t="s">
        <v>232</v>
      </c>
      <c r="J1782" s="2" t="s">
        <v>334</v>
      </c>
      <c r="K1782" s="2" t="s">
        <v>77</v>
      </c>
      <c r="L1782" s="2" t="s">
        <v>74</v>
      </c>
      <c r="M1782" s="2" t="s">
        <v>75</v>
      </c>
      <c r="N1782" s="2" t="s">
        <v>200</v>
      </c>
      <c r="O1782" s="2" t="s">
        <v>115</v>
      </c>
      <c r="P1782" s="2" t="str">
        <f>"ZA1000635403/RBG 174300424    "</f>
        <v xml:space="preserve">ZA1000635403/RBG 174300424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22.18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3</v>
      </c>
      <c r="BI1782" s="2">
        <v>7.3</v>
      </c>
      <c r="BJ1782" s="2">
        <v>7.1</v>
      </c>
      <c r="BK1782" s="2">
        <v>7.5</v>
      </c>
      <c r="BL1782" s="2">
        <v>215.85</v>
      </c>
      <c r="BM1782" s="2">
        <v>30.22</v>
      </c>
      <c r="BN1782" s="2">
        <v>246.07</v>
      </c>
      <c r="BO1782" s="2">
        <v>246.07</v>
      </c>
      <c r="BP1782" s="2" t="s">
        <v>2293</v>
      </c>
      <c r="BQ1782" s="2" t="s">
        <v>134</v>
      </c>
      <c r="BR1782" s="2" t="s">
        <v>2294</v>
      </c>
      <c r="BS1782" s="3">
        <v>42843</v>
      </c>
      <c r="BT1782" s="4">
        <v>0.35902777777777778</v>
      </c>
      <c r="BU1782" s="2" t="s">
        <v>1450</v>
      </c>
      <c r="BV1782" s="2" t="s">
        <v>86</v>
      </c>
      <c r="BW1782" s="2" t="s">
        <v>164</v>
      </c>
      <c r="BX1782" s="2" t="s">
        <v>309</v>
      </c>
      <c r="BY1782" s="2">
        <v>35403.46</v>
      </c>
      <c r="BZ1782" s="2"/>
      <c r="CA1782" s="2"/>
      <c r="CB1782" s="2"/>
      <c r="CC1782" s="2" t="s">
        <v>75</v>
      </c>
      <c r="CD1782" s="2">
        <v>1601</v>
      </c>
      <c r="CE1782" s="2" t="s">
        <v>89</v>
      </c>
      <c r="CF1782" s="5">
        <v>42844</v>
      </c>
      <c r="CG1782" s="2"/>
      <c r="CH1782" s="2"/>
      <c r="CI1782" s="2">
        <v>1</v>
      </c>
      <c r="CJ1782" s="2">
        <v>3</v>
      </c>
      <c r="CK1782" s="2">
        <v>24</v>
      </c>
      <c r="CL1782" s="2" t="s">
        <v>86</v>
      </c>
      <c r="CM1782" s="2"/>
    </row>
    <row r="1783" spans="1:91">
      <c r="A1783" s="2" t="s">
        <v>71</v>
      </c>
      <c r="B1783" s="2" t="s">
        <v>72</v>
      </c>
      <c r="C1783" s="2" t="s">
        <v>73</v>
      </c>
      <c r="D1783" s="2"/>
      <c r="E1783" s="2" t="str">
        <f>"FES1162543663"</f>
        <v>FES1162543663</v>
      </c>
      <c r="F1783" s="3">
        <v>42838</v>
      </c>
      <c r="G1783" s="2">
        <v>201710</v>
      </c>
      <c r="H1783" s="2" t="s">
        <v>74</v>
      </c>
      <c r="I1783" s="2" t="s">
        <v>75</v>
      </c>
      <c r="J1783" s="2" t="s">
        <v>76</v>
      </c>
      <c r="K1783" s="2" t="s">
        <v>77</v>
      </c>
      <c r="L1783" s="2" t="s">
        <v>358</v>
      </c>
      <c r="M1783" s="2" t="s">
        <v>359</v>
      </c>
      <c r="N1783" s="2" t="s">
        <v>360</v>
      </c>
      <c r="O1783" s="2" t="s">
        <v>115</v>
      </c>
      <c r="P1783" s="2" t="str">
        <f>"2170557882                    "</f>
        <v xml:space="preserve">2170557882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6.43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2.9</v>
      </c>
      <c r="BJ1783" s="2">
        <v>1.7</v>
      </c>
      <c r="BK1783" s="2">
        <v>3</v>
      </c>
      <c r="BL1783" s="2">
        <v>62.59</v>
      </c>
      <c r="BM1783" s="2">
        <v>8.76</v>
      </c>
      <c r="BN1783" s="2">
        <v>71.349999999999994</v>
      </c>
      <c r="BO1783" s="2">
        <v>71.349999999999994</v>
      </c>
      <c r="BP1783" s="2"/>
      <c r="BQ1783" s="2" t="s">
        <v>361</v>
      </c>
      <c r="BR1783" s="2" t="s">
        <v>84</v>
      </c>
      <c r="BS1783" s="3">
        <v>42843</v>
      </c>
      <c r="BT1783" s="4">
        <v>0.31527777777777777</v>
      </c>
      <c r="BU1783" s="2" t="s">
        <v>1271</v>
      </c>
      <c r="BV1783" s="2" t="s">
        <v>86</v>
      </c>
      <c r="BW1783" s="2" t="s">
        <v>104</v>
      </c>
      <c r="BX1783" s="2" t="s">
        <v>105</v>
      </c>
      <c r="BY1783" s="2">
        <v>8614.4</v>
      </c>
      <c r="BZ1783" s="2"/>
      <c r="CA1783" s="2"/>
      <c r="CB1783" s="2"/>
      <c r="CC1783" s="2" t="s">
        <v>359</v>
      </c>
      <c r="CD1783" s="2">
        <v>6229</v>
      </c>
      <c r="CE1783" s="2" t="s">
        <v>89</v>
      </c>
      <c r="CF1783" s="5">
        <v>42845</v>
      </c>
      <c r="CG1783" s="2"/>
      <c r="CH1783" s="2"/>
      <c r="CI1783" s="2">
        <v>1</v>
      </c>
      <c r="CJ1783" s="2">
        <v>3</v>
      </c>
      <c r="CK1783" s="2">
        <v>21</v>
      </c>
      <c r="CL1783" s="2" t="s">
        <v>86</v>
      </c>
      <c r="CM1783" s="2"/>
    </row>
    <row r="1784" spans="1:91">
      <c r="A1784" s="2" t="s">
        <v>71</v>
      </c>
      <c r="B1784" s="2" t="s">
        <v>72</v>
      </c>
      <c r="C1784" s="2" t="s">
        <v>73</v>
      </c>
      <c r="D1784" s="2"/>
      <c r="E1784" s="2" t="str">
        <f>"FES1162543588"</f>
        <v>FES1162543588</v>
      </c>
      <c r="F1784" s="3">
        <v>42838</v>
      </c>
      <c r="G1784" s="2">
        <v>201710</v>
      </c>
      <c r="H1784" s="2" t="s">
        <v>74</v>
      </c>
      <c r="I1784" s="2" t="s">
        <v>75</v>
      </c>
      <c r="J1784" s="2" t="s">
        <v>76</v>
      </c>
      <c r="K1784" s="2" t="s">
        <v>77</v>
      </c>
      <c r="L1784" s="2" t="s">
        <v>358</v>
      </c>
      <c r="M1784" s="2" t="s">
        <v>359</v>
      </c>
      <c r="N1784" s="2" t="s">
        <v>2295</v>
      </c>
      <c r="O1784" s="2" t="s">
        <v>115</v>
      </c>
      <c r="P1784" s="2" t="str">
        <f>"2170562260                    "</f>
        <v xml:space="preserve">2170562260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4.29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1</v>
      </c>
      <c r="BJ1784" s="2">
        <v>0.2</v>
      </c>
      <c r="BK1784" s="2">
        <v>1</v>
      </c>
      <c r="BL1784" s="2">
        <v>41.73</v>
      </c>
      <c r="BM1784" s="2">
        <v>5.84</v>
      </c>
      <c r="BN1784" s="2">
        <v>47.57</v>
      </c>
      <c r="BO1784" s="2">
        <v>47.57</v>
      </c>
      <c r="BP1784" s="2"/>
      <c r="BQ1784" s="2" t="s">
        <v>2296</v>
      </c>
      <c r="BR1784" s="2" t="s">
        <v>84</v>
      </c>
      <c r="BS1784" s="3">
        <v>42843</v>
      </c>
      <c r="BT1784" s="4">
        <v>0.34375</v>
      </c>
      <c r="BU1784" s="2" t="s">
        <v>2297</v>
      </c>
      <c r="BV1784" s="2" t="s">
        <v>86</v>
      </c>
      <c r="BW1784" s="2" t="s">
        <v>104</v>
      </c>
      <c r="BX1784" s="2" t="s">
        <v>105</v>
      </c>
      <c r="BY1784" s="2">
        <v>1200</v>
      </c>
      <c r="BZ1784" s="2"/>
      <c r="CA1784" s="2"/>
      <c r="CB1784" s="2"/>
      <c r="CC1784" s="2" t="s">
        <v>359</v>
      </c>
      <c r="CD1784" s="2">
        <v>6229</v>
      </c>
      <c r="CE1784" s="2" t="s">
        <v>118</v>
      </c>
      <c r="CF1784" s="5">
        <v>42845</v>
      </c>
      <c r="CG1784" s="2"/>
      <c r="CH1784" s="2"/>
      <c r="CI1784" s="2">
        <v>1</v>
      </c>
      <c r="CJ1784" s="2">
        <v>3</v>
      </c>
      <c r="CK1784" s="2">
        <v>21</v>
      </c>
      <c r="CL1784" s="2" t="s">
        <v>86</v>
      </c>
      <c r="CM1784" s="2"/>
    </row>
    <row r="1785" spans="1:91">
      <c r="A1785" s="2" t="s">
        <v>71</v>
      </c>
      <c r="B1785" s="2" t="s">
        <v>72</v>
      </c>
      <c r="C1785" s="2" t="s">
        <v>73</v>
      </c>
      <c r="D1785" s="2"/>
      <c r="E1785" s="2" t="str">
        <f>"080001608406"</f>
        <v>080001608406</v>
      </c>
      <c r="F1785" s="3">
        <v>42838</v>
      </c>
      <c r="G1785" s="2">
        <v>201710</v>
      </c>
      <c r="H1785" s="2" t="s">
        <v>1073</v>
      </c>
      <c r="I1785" s="2" t="s">
        <v>1074</v>
      </c>
      <c r="J1785" s="2" t="s">
        <v>2298</v>
      </c>
      <c r="K1785" s="2" t="s">
        <v>77</v>
      </c>
      <c r="L1785" s="2" t="s">
        <v>180</v>
      </c>
      <c r="M1785" s="2" t="s">
        <v>181</v>
      </c>
      <c r="N1785" s="2" t="s">
        <v>2037</v>
      </c>
      <c r="O1785" s="2" t="s">
        <v>115</v>
      </c>
      <c r="P1785" s="2" t="str">
        <f>"1162540087 UPLIFTMENT         "</f>
        <v xml:space="preserve">1162540087 UPLIFTMENT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10.18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1.7</v>
      </c>
      <c r="BJ1785" s="2">
        <v>2.2000000000000002</v>
      </c>
      <c r="BK1785" s="2">
        <v>2.5</v>
      </c>
      <c r="BL1785" s="2">
        <v>99.1</v>
      </c>
      <c r="BM1785" s="2">
        <v>13.87</v>
      </c>
      <c r="BN1785" s="2">
        <v>112.97</v>
      </c>
      <c r="BO1785" s="2">
        <v>112.97</v>
      </c>
      <c r="BP1785" s="2" t="s">
        <v>307</v>
      </c>
      <c r="BQ1785" s="2" t="s">
        <v>2299</v>
      </c>
      <c r="BR1785" s="2" t="s">
        <v>882</v>
      </c>
      <c r="BS1785" s="3">
        <v>42843</v>
      </c>
      <c r="BT1785" s="4">
        <v>0.35486111111111113</v>
      </c>
      <c r="BU1785" s="2" t="s">
        <v>2300</v>
      </c>
      <c r="BV1785" s="2" t="s">
        <v>86</v>
      </c>
      <c r="BW1785" s="2" t="s">
        <v>2282</v>
      </c>
      <c r="BX1785" s="2" t="s">
        <v>88</v>
      </c>
      <c r="BY1785" s="2">
        <v>11160.53</v>
      </c>
      <c r="BZ1785" s="2"/>
      <c r="CA1785" s="2"/>
      <c r="CB1785" s="2"/>
      <c r="CC1785" s="2" t="s">
        <v>181</v>
      </c>
      <c r="CD1785" s="2">
        <v>3629</v>
      </c>
      <c r="CE1785" s="2" t="s">
        <v>89</v>
      </c>
      <c r="CF1785" s="5">
        <v>42844</v>
      </c>
      <c r="CG1785" s="2"/>
      <c r="CH1785" s="2"/>
      <c r="CI1785" s="2">
        <v>1</v>
      </c>
      <c r="CJ1785" s="2">
        <v>3</v>
      </c>
      <c r="CK1785" s="2">
        <v>23</v>
      </c>
      <c r="CL1785" s="2" t="s">
        <v>86</v>
      </c>
      <c r="CM1785" s="2"/>
    </row>
    <row r="1786" spans="1:91">
      <c r="A1786" s="2" t="s">
        <v>71</v>
      </c>
      <c r="B1786" s="2" t="s">
        <v>72</v>
      </c>
      <c r="C1786" s="2" t="s">
        <v>73</v>
      </c>
      <c r="D1786" s="2"/>
      <c r="E1786" s="2" t="str">
        <f>"FES1162543543"</f>
        <v>FES1162543543</v>
      </c>
      <c r="F1786" s="3">
        <v>42838</v>
      </c>
      <c r="G1786" s="2">
        <v>201710</v>
      </c>
      <c r="H1786" s="2" t="s">
        <v>74</v>
      </c>
      <c r="I1786" s="2" t="s">
        <v>75</v>
      </c>
      <c r="J1786" s="2" t="s">
        <v>76</v>
      </c>
      <c r="K1786" s="2" t="s">
        <v>77</v>
      </c>
      <c r="L1786" s="2" t="s">
        <v>496</v>
      </c>
      <c r="M1786" s="2" t="s">
        <v>497</v>
      </c>
      <c r="N1786" s="2" t="s">
        <v>498</v>
      </c>
      <c r="O1786" s="2" t="s">
        <v>115</v>
      </c>
      <c r="P1786" s="2" t="str">
        <f>"2170560762                    "</f>
        <v xml:space="preserve">2170560762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3.35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3.2</v>
      </c>
      <c r="BJ1786" s="2">
        <v>2</v>
      </c>
      <c r="BK1786" s="2">
        <v>4</v>
      </c>
      <c r="BL1786" s="2">
        <v>32.6</v>
      </c>
      <c r="BM1786" s="2">
        <v>4.5599999999999996</v>
      </c>
      <c r="BN1786" s="2">
        <v>37.159999999999997</v>
      </c>
      <c r="BO1786" s="2">
        <v>37.159999999999997</v>
      </c>
      <c r="BP1786" s="2"/>
      <c r="BQ1786" s="2" t="s">
        <v>122</v>
      </c>
      <c r="BR1786" s="2" t="s">
        <v>84</v>
      </c>
      <c r="BS1786" s="3">
        <v>42843</v>
      </c>
      <c r="BT1786" s="4">
        <v>0.3125</v>
      </c>
      <c r="BU1786" s="2" t="s">
        <v>499</v>
      </c>
      <c r="BV1786" s="2" t="s">
        <v>86</v>
      </c>
      <c r="BW1786" s="2" t="s">
        <v>96</v>
      </c>
      <c r="BX1786" s="2" t="s">
        <v>812</v>
      </c>
      <c r="BY1786" s="2">
        <v>9994.73</v>
      </c>
      <c r="BZ1786" s="2"/>
      <c r="CA1786" s="2"/>
      <c r="CB1786" s="2"/>
      <c r="CC1786" s="2" t="s">
        <v>497</v>
      </c>
      <c r="CD1786" s="2">
        <v>1559</v>
      </c>
      <c r="CE1786" s="2" t="s">
        <v>118</v>
      </c>
      <c r="CF1786" s="5">
        <v>42844</v>
      </c>
      <c r="CG1786" s="2"/>
      <c r="CH1786" s="2"/>
      <c r="CI1786" s="2">
        <v>1</v>
      </c>
      <c r="CJ1786" s="2">
        <v>3</v>
      </c>
      <c r="CK1786" s="2">
        <v>22</v>
      </c>
      <c r="CL1786" s="2" t="s">
        <v>86</v>
      </c>
      <c r="CM1786" s="2"/>
    </row>
    <row r="1787" spans="1:91">
      <c r="A1787" s="2" t="s">
        <v>71</v>
      </c>
      <c r="B1787" s="2" t="s">
        <v>72</v>
      </c>
      <c r="C1787" s="2" t="s">
        <v>73</v>
      </c>
      <c r="D1787" s="2"/>
      <c r="E1787" s="2" t="str">
        <f>"FES1162543681"</f>
        <v>FES1162543681</v>
      </c>
      <c r="F1787" s="3">
        <v>42838</v>
      </c>
      <c r="G1787" s="2">
        <v>201710</v>
      </c>
      <c r="H1787" s="2" t="s">
        <v>74</v>
      </c>
      <c r="I1787" s="2" t="s">
        <v>75</v>
      </c>
      <c r="J1787" s="2" t="s">
        <v>76</v>
      </c>
      <c r="K1787" s="2" t="s">
        <v>77</v>
      </c>
      <c r="L1787" s="2" t="s">
        <v>99</v>
      </c>
      <c r="M1787" s="2" t="s">
        <v>100</v>
      </c>
      <c r="N1787" s="2" t="s">
        <v>1471</v>
      </c>
      <c r="O1787" s="2" t="s">
        <v>115</v>
      </c>
      <c r="P1787" s="2" t="str">
        <f>"2170562305                    "</f>
        <v xml:space="preserve">2170562305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4.29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1</v>
      </c>
      <c r="BJ1787" s="2">
        <v>0.2</v>
      </c>
      <c r="BK1787" s="2">
        <v>1</v>
      </c>
      <c r="BL1787" s="2">
        <v>41.73</v>
      </c>
      <c r="BM1787" s="2">
        <v>5.84</v>
      </c>
      <c r="BN1787" s="2">
        <v>47.57</v>
      </c>
      <c r="BO1787" s="2">
        <v>47.57</v>
      </c>
      <c r="BP1787" s="2"/>
      <c r="BQ1787" s="2" t="s">
        <v>1472</v>
      </c>
      <c r="BR1787" s="2" t="s">
        <v>84</v>
      </c>
      <c r="BS1787" s="3">
        <v>42843</v>
      </c>
      <c r="BT1787" s="4">
        <v>0.32569444444444445</v>
      </c>
      <c r="BU1787" s="2" t="s">
        <v>2301</v>
      </c>
      <c r="BV1787" s="2" t="s">
        <v>86</v>
      </c>
      <c r="BW1787" s="2" t="s">
        <v>104</v>
      </c>
      <c r="BX1787" s="2" t="s">
        <v>105</v>
      </c>
      <c r="BY1787" s="2">
        <v>1200</v>
      </c>
      <c r="BZ1787" s="2"/>
      <c r="CA1787" s="2" t="s">
        <v>106</v>
      </c>
      <c r="CB1787" s="2"/>
      <c r="CC1787" s="2" t="s">
        <v>100</v>
      </c>
      <c r="CD1787" s="2">
        <v>6001</v>
      </c>
      <c r="CE1787" s="2" t="s">
        <v>118</v>
      </c>
      <c r="CF1787" s="5">
        <v>42843</v>
      </c>
      <c r="CG1787" s="2"/>
      <c r="CH1787" s="2"/>
      <c r="CI1787" s="2">
        <v>1</v>
      </c>
      <c r="CJ1787" s="2">
        <v>3</v>
      </c>
      <c r="CK1787" s="2">
        <v>21</v>
      </c>
      <c r="CL1787" s="2" t="s">
        <v>86</v>
      </c>
      <c r="CM1787" s="2"/>
    </row>
    <row r="1788" spans="1:91">
      <c r="A1788" s="2" t="s">
        <v>71</v>
      </c>
      <c r="B1788" s="2" t="s">
        <v>72</v>
      </c>
      <c r="C1788" s="2" t="s">
        <v>73</v>
      </c>
      <c r="D1788" s="2"/>
      <c r="E1788" s="2" t="str">
        <f>"FES1162543690"</f>
        <v>FES1162543690</v>
      </c>
      <c r="F1788" s="3">
        <v>42838</v>
      </c>
      <c r="G1788" s="2">
        <v>201710</v>
      </c>
      <c r="H1788" s="2" t="s">
        <v>74</v>
      </c>
      <c r="I1788" s="2" t="s">
        <v>75</v>
      </c>
      <c r="J1788" s="2" t="s">
        <v>76</v>
      </c>
      <c r="K1788" s="2" t="s">
        <v>77</v>
      </c>
      <c r="L1788" s="2" t="s">
        <v>358</v>
      </c>
      <c r="M1788" s="2" t="s">
        <v>359</v>
      </c>
      <c r="N1788" s="2" t="s">
        <v>800</v>
      </c>
      <c r="O1788" s="2" t="s">
        <v>115</v>
      </c>
      <c r="P1788" s="2" t="str">
        <f>"2170562280                    "</f>
        <v xml:space="preserve">2170562280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4.29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1</v>
      </c>
      <c r="BJ1788" s="2">
        <v>0.2</v>
      </c>
      <c r="BK1788" s="2">
        <v>1</v>
      </c>
      <c r="BL1788" s="2">
        <v>41.73</v>
      </c>
      <c r="BM1788" s="2">
        <v>5.84</v>
      </c>
      <c r="BN1788" s="2">
        <v>47.57</v>
      </c>
      <c r="BO1788" s="2">
        <v>47.57</v>
      </c>
      <c r="BP1788" s="2"/>
      <c r="BQ1788" s="2" t="s">
        <v>801</v>
      </c>
      <c r="BR1788" s="2" t="s">
        <v>84</v>
      </c>
      <c r="BS1788" s="3">
        <v>42843</v>
      </c>
      <c r="BT1788" s="4">
        <v>0.3125</v>
      </c>
      <c r="BU1788" s="2" t="s">
        <v>2302</v>
      </c>
      <c r="BV1788" s="2" t="s">
        <v>86</v>
      </c>
      <c r="BW1788" s="2" t="s">
        <v>104</v>
      </c>
      <c r="BX1788" s="2" t="s">
        <v>105</v>
      </c>
      <c r="BY1788" s="2">
        <v>1200</v>
      </c>
      <c r="BZ1788" s="2"/>
      <c r="CA1788" s="2"/>
      <c r="CB1788" s="2"/>
      <c r="CC1788" s="2" t="s">
        <v>359</v>
      </c>
      <c r="CD1788" s="2">
        <v>6230</v>
      </c>
      <c r="CE1788" s="2" t="s">
        <v>118</v>
      </c>
      <c r="CF1788" s="5">
        <v>42845</v>
      </c>
      <c r="CG1788" s="2"/>
      <c r="CH1788" s="2"/>
      <c r="CI1788" s="2">
        <v>1</v>
      </c>
      <c r="CJ1788" s="2">
        <v>3</v>
      </c>
      <c r="CK1788" s="2">
        <v>21</v>
      </c>
      <c r="CL1788" s="2" t="s">
        <v>86</v>
      </c>
      <c r="CM1788" s="2"/>
    </row>
    <row r="1789" spans="1:91">
      <c r="A1789" s="2" t="s">
        <v>71</v>
      </c>
      <c r="B1789" s="2" t="s">
        <v>72</v>
      </c>
      <c r="C1789" s="2" t="s">
        <v>73</v>
      </c>
      <c r="D1789" s="2"/>
      <c r="E1789" s="2" t="str">
        <f>"FES1162543133"</f>
        <v>FES1162543133</v>
      </c>
      <c r="F1789" s="3">
        <v>42838</v>
      </c>
      <c r="G1789" s="2">
        <v>201710</v>
      </c>
      <c r="H1789" s="2" t="s">
        <v>74</v>
      </c>
      <c r="I1789" s="2" t="s">
        <v>75</v>
      </c>
      <c r="J1789" s="2" t="s">
        <v>76</v>
      </c>
      <c r="K1789" s="2" t="s">
        <v>77</v>
      </c>
      <c r="L1789" s="2" t="s">
        <v>74</v>
      </c>
      <c r="M1789" s="2" t="s">
        <v>75</v>
      </c>
      <c r="N1789" s="2" t="s">
        <v>1157</v>
      </c>
      <c r="O1789" s="2" t="s">
        <v>115</v>
      </c>
      <c r="P1789" s="2" t="str">
        <f>"2170558561                    "</f>
        <v xml:space="preserve">2170558561 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3.35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1</v>
      </c>
      <c r="BJ1789" s="2">
        <v>0.2</v>
      </c>
      <c r="BK1789" s="2">
        <v>1</v>
      </c>
      <c r="BL1789" s="2">
        <v>32.6</v>
      </c>
      <c r="BM1789" s="2">
        <v>4.5599999999999996</v>
      </c>
      <c r="BN1789" s="2">
        <v>37.159999999999997</v>
      </c>
      <c r="BO1789" s="2">
        <v>37.159999999999997</v>
      </c>
      <c r="BP1789" s="2"/>
      <c r="BQ1789" s="2" t="s">
        <v>1158</v>
      </c>
      <c r="BR1789" s="2" t="s">
        <v>84</v>
      </c>
      <c r="BS1789" s="3">
        <v>42843</v>
      </c>
      <c r="BT1789" s="4">
        <v>0.41666666666666669</v>
      </c>
      <c r="BU1789" s="2" t="s">
        <v>1167</v>
      </c>
      <c r="BV1789" s="2" t="s">
        <v>86</v>
      </c>
      <c r="BW1789" s="2" t="s">
        <v>96</v>
      </c>
      <c r="BX1789" s="2" t="s">
        <v>812</v>
      </c>
      <c r="BY1789" s="2">
        <v>1200</v>
      </c>
      <c r="BZ1789" s="2"/>
      <c r="CA1789" s="2"/>
      <c r="CB1789" s="2"/>
      <c r="CC1789" s="2" t="s">
        <v>75</v>
      </c>
      <c r="CD1789" s="2">
        <v>1666</v>
      </c>
      <c r="CE1789" s="2" t="s">
        <v>118</v>
      </c>
      <c r="CF1789" s="5">
        <v>42844</v>
      </c>
      <c r="CG1789" s="2"/>
      <c r="CH1789" s="2"/>
      <c r="CI1789" s="2">
        <v>1</v>
      </c>
      <c r="CJ1789" s="2">
        <v>3</v>
      </c>
      <c r="CK1789" s="2">
        <v>22</v>
      </c>
      <c r="CL1789" s="2" t="s">
        <v>86</v>
      </c>
      <c r="CM1789" s="2"/>
    </row>
    <row r="1790" spans="1:91">
      <c r="A1790" s="2" t="s">
        <v>71</v>
      </c>
      <c r="B1790" s="2" t="s">
        <v>72</v>
      </c>
      <c r="C1790" s="2" t="s">
        <v>73</v>
      </c>
      <c r="D1790" s="2"/>
      <c r="E1790" s="2" t="str">
        <f>"FES1162543576"</f>
        <v>FES1162543576</v>
      </c>
      <c r="F1790" s="3">
        <v>42838</v>
      </c>
      <c r="G1790" s="2">
        <v>201710</v>
      </c>
      <c r="H1790" s="2" t="s">
        <v>74</v>
      </c>
      <c r="I1790" s="2" t="s">
        <v>75</v>
      </c>
      <c r="J1790" s="2" t="s">
        <v>76</v>
      </c>
      <c r="K1790" s="2" t="s">
        <v>77</v>
      </c>
      <c r="L1790" s="2" t="s">
        <v>74</v>
      </c>
      <c r="M1790" s="2" t="s">
        <v>75</v>
      </c>
      <c r="N1790" s="2" t="s">
        <v>2303</v>
      </c>
      <c r="O1790" s="2" t="s">
        <v>115</v>
      </c>
      <c r="P1790" s="2" t="str">
        <f>"2170562118                    "</f>
        <v xml:space="preserve">2170562118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3.35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1</v>
      </c>
      <c r="BJ1790" s="2">
        <v>0.2</v>
      </c>
      <c r="BK1790" s="2">
        <v>1</v>
      </c>
      <c r="BL1790" s="2">
        <v>32.6</v>
      </c>
      <c r="BM1790" s="2">
        <v>4.5599999999999996</v>
      </c>
      <c r="BN1790" s="2">
        <v>37.159999999999997</v>
      </c>
      <c r="BO1790" s="2">
        <v>37.159999999999997</v>
      </c>
      <c r="BP1790" s="2"/>
      <c r="BQ1790" s="2"/>
      <c r="BR1790" s="2" t="s">
        <v>84</v>
      </c>
      <c r="BS1790" s="3">
        <v>42843</v>
      </c>
      <c r="BT1790" s="4">
        <v>0.3125</v>
      </c>
      <c r="BU1790" s="2" t="s">
        <v>198</v>
      </c>
      <c r="BV1790" s="2" t="s">
        <v>86</v>
      </c>
      <c r="BW1790" s="2" t="s">
        <v>164</v>
      </c>
      <c r="BX1790" s="2" t="s">
        <v>618</v>
      </c>
      <c r="BY1790" s="2">
        <v>1200</v>
      </c>
      <c r="BZ1790" s="2"/>
      <c r="CA1790" s="2"/>
      <c r="CB1790" s="2"/>
      <c r="CC1790" s="2" t="s">
        <v>75</v>
      </c>
      <c r="CD1790" s="2">
        <v>1600</v>
      </c>
      <c r="CE1790" s="2" t="s">
        <v>118</v>
      </c>
      <c r="CF1790" s="5">
        <v>42844</v>
      </c>
      <c r="CG1790" s="2"/>
      <c r="CH1790" s="2"/>
      <c r="CI1790" s="2">
        <v>1</v>
      </c>
      <c r="CJ1790" s="2">
        <v>3</v>
      </c>
      <c r="CK1790" s="2">
        <v>22</v>
      </c>
      <c r="CL1790" s="2" t="s">
        <v>86</v>
      </c>
      <c r="CM1790" s="2"/>
    </row>
    <row r="1791" spans="1:91">
      <c r="A1791" s="2" t="s">
        <v>71</v>
      </c>
      <c r="B1791" s="2" t="s">
        <v>72</v>
      </c>
      <c r="C1791" s="2" t="s">
        <v>73</v>
      </c>
      <c r="D1791" s="2"/>
      <c r="E1791" s="2" t="str">
        <f>"FES1162543578"</f>
        <v>FES1162543578</v>
      </c>
      <c r="F1791" s="3">
        <v>42838</v>
      </c>
      <c r="G1791" s="2">
        <v>201710</v>
      </c>
      <c r="H1791" s="2" t="s">
        <v>74</v>
      </c>
      <c r="I1791" s="2" t="s">
        <v>75</v>
      </c>
      <c r="J1791" s="2" t="s">
        <v>76</v>
      </c>
      <c r="K1791" s="2" t="s">
        <v>77</v>
      </c>
      <c r="L1791" s="2" t="s">
        <v>91</v>
      </c>
      <c r="M1791" s="2" t="s">
        <v>92</v>
      </c>
      <c r="N1791" s="2" t="s">
        <v>2304</v>
      </c>
      <c r="O1791" s="2" t="s">
        <v>115</v>
      </c>
      <c r="P1791" s="2" t="str">
        <f>"2170562250                    "</f>
        <v xml:space="preserve">2170562250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3.35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1</v>
      </c>
      <c r="BJ1791" s="2">
        <v>0.2</v>
      </c>
      <c r="BK1791" s="2">
        <v>1</v>
      </c>
      <c r="BL1791" s="2">
        <v>32.6</v>
      </c>
      <c r="BM1791" s="2">
        <v>4.5599999999999996</v>
      </c>
      <c r="BN1791" s="2">
        <v>37.159999999999997</v>
      </c>
      <c r="BO1791" s="2">
        <v>37.159999999999997</v>
      </c>
      <c r="BP1791" s="2"/>
      <c r="BQ1791" s="2" t="s">
        <v>2305</v>
      </c>
      <c r="BR1791" s="2" t="s">
        <v>84</v>
      </c>
      <c r="BS1791" s="3">
        <v>42843</v>
      </c>
      <c r="BT1791" s="4">
        <v>0.41666666666666669</v>
      </c>
      <c r="BU1791" s="2" t="s">
        <v>2305</v>
      </c>
      <c r="BV1791" s="2" t="s">
        <v>86</v>
      </c>
      <c r="BW1791" s="2" t="s">
        <v>164</v>
      </c>
      <c r="BX1791" s="2" t="s">
        <v>2211</v>
      </c>
      <c r="BY1791" s="2">
        <v>1200</v>
      </c>
      <c r="BZ1791" s="2"/>
      <c r="CA1791" s="2"/>
      <c r="CB1791" s="2"/>
      <c r="CC1791" s="2" t="s">
        <v>92</v>
      </c>
      <c r="CD1791" s="2">
        <v>1428</v>
      </c>
      <c r="CE1791" s="2" t="s">
        <v>118</v>
      </c>
      <c r="CF1791" s="5">
        <v>42844</v>
      </c>
      <c r="CG1791" s="2"/>
      <c r="CH1791" s="2"/>
      <c r="CI1791" s="2">
        <v>1</v>
      </c>
      <c r="CJ1791" s="2">
        <v>3</v>
      </c>
      <c r="CK1791" s="2">
        <v>22</v>
      </c>
      <c r="CL1791" s="2" t="s">
        <v>86</v>
      </c>
      <c r="CM1791" s="2"/>
    </row>
    <row r="1792" spans="1:91">
      <c r="A1792" s="2" t="s">
        <v>71</v>
      </c>
      <c r="B1792" s="2" t="s">
        <v>72</v>
      </c>
      <c r="C1792" s="2" t="s">
        <v>73</v>
      </c>
      <c r="D1792" s="2"/>
      <c r="E1792" s="2" t="str">
        <f>"FES1162543524"</f>
        <v>FES1162543524</v>
      </c>
      <c r="F1792" s="3">
        <v>42838</v>
      </c>
      <c r="G1792" s="2">
        <v>201710</v>
      </c>
      <c r="H1792" s="2" t="s">
        <v>74</v>
      </c>
      <c r="I1792" s="2" t="s">
        <v>75</v>
      </c>
      <c r="J1792" s="2" t="s">
        <v>76</v>
      </c>
      <c r="K1792" s="2" t="s">
        <v>77</v>
      </c>
      <c r="L1792" s="2" t="s">
        <v>74</v>
      </c>
      <c r="M1792" s="2" t="s">
        <v>75</v>
      </c>
      <c r="N1792" s="2" t="s">
        <v>1684</v>
      </c>
      <c r="O1792" s="2" t="s">
        <v>115</v>
      </c>
      <c r="P1792" s="2" t="str">
        <f>"2170560038                    "</f>
        <v xml:space="preserve">2170560038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3.35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1.3</v>
      </c>
      <c r="BJ1792" s="2">
        <v>0.2</v>
      </c>
      <c r="BK1792" s="2">
        <v>2</v>
      </c>
      <c r="BL1792" s="2">
        <v>32.6</v>
      </c>
      <c r="BM1792" s="2">
        <v>4.5599999999999996</v>
      </c>
      <c r="BN1792" s="2">
        <v>37.159999999999997</v>
      </c>
      <c r="BO1792" s="2">
        <v>37.159999999999997</v>
      </c>
      <c r="BP1792" s="2"/>
      <c r="BQ1792" s="2" t="s">
        <v>1685</v>
      </c>
      <c r="BR1792" s="2" t="s">
        <v>84</v>
      </c>
      <c r="BS1792" s="3">
        <v>42843</v>
      </c>
      <c r="BT1792" s="4">
        <v>0.41666666666666669</v>
      </c>
      <c r="BU1792" s="2" t="s">
        <v>266</v>
      </c>
      <c r="BV1792" s="2" t="s">
        <v>86</v>
      </c>
      <c r="BW1792" s="2" t="s">
        <v>96</v>
      </c>
      <c r="BX1792" s="2" t="s">
        <v>812</v>
      </c>
      <c r="BY1792" s="2">
        <v>1200</v>
      </c>
      <c r="BZ1792" s="2"/>
      <c r="CA1792" s="2"/>
      <c r="CB1792" s="2"/>
      <c r="CC1792" s="2" t="s">
        <v>75</v>
      </c>
      <c r="CD1792" s="2">
        <v>1609</v>
      </c>
      <c r="CE1792" s="2" t="s">
        <v>118</v>
      </c>
      <c r="CF1792" s="5">
        <v>42844</v>
      </c>
      <c r="CG1792" s="2"/>
      <c r="CH1792" s="2"/>
      <c r="CI1792" s="2">
        <v>1</v>
      </c>
      <c r="CJ1792" s="2">
        <v>3</v>
      </c>
      <c r="CK1792" s="2">
        <v>22</v>
      </c>
      <c r="CL1792" s="2" t="s">
        <v>86</v>
      </c>
      <c r="CM1792" s="2"/>
    </row>
    <row r="1793" spans="1:91">
      <c r="A1793" s="2" t="s">
        <v>71</v>
      </c>
      <c r="B1793" s="2" t="s">
        <v>72</v>
      </c>
      <c r="C1793" s="2" t="s">
        <v>73</v>
      </c>
      <c r="D1793" s="2"/>
      <c r="E1793" s="2" t="str">
        <f>"FES1162543610"</f>
        <v>FES1162543610</v>
      </c>
      <c r="F1793" s="3">
        <v>42838</v>
      </c>
      <c r="G1793" s="2">
        <v>201710</v>
      </c>
      <c r="H1793" s="2" t="s">
        <v>74</v>
      </c>
      <c r="I1793" s="2" t="s">
        <v>75</v>
      </c>
      <c r="J1793" s="2" t="s">
        <v>76</v>
      </c>
      <c r="K1793" s="2" t="s">
        <v>77</v>
      </c>
      <c r="L1793" s="2" t="s">
        <v>99</v>
      </c>
      <c r="M1793" s="2" t="s">
        <v>100</v>
      </c>
      <c r="N1793" s="2" t="s">
        <v>2306</v>
      </c>
      <c r="O1793" s="2" t="s">
        <v>115</v>
      </c>
      <c r="P1793" s="2" t="str">
        <f>"2170562284                    "</f>
        <v xml:space="preserve">2170562284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4.29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0.6</v>
      </c>
      <c r="BJ1793" s="2">
        <v>0.9</v>
      </c>
      <c r="BK1793" s="2">
        <v>1</v>
      </c>
      <c r="BL1793" s="2">
        <v>41.73</v>
      </c>
      <c r="BM1793" s="2">
        <v>5.84</v>
      </c>
      <c r="BN1793" s="2">
        <v>47.57</v>
      </c>
      <c r="BO1793" s="2">
        <v>47.57</v>
      </c>
      <c r="BP1793" s="2"/>
      <c r="BQ1793" s="2" t="s">
        <v>2307</v>
      </c>
      <c r="BR1793" s="2" t="s">
        <v>84</v>
      </c>
      <c r="BS1793" s="3">
        <v>42843</v>
      </c>
      <c r="BT1793" s="4">
        <v>0.29652777777777778</v>
      </c>
      <c r="BU1793" s="2" t="s">
        <v>130</v>
      </c>
      <c r="BV1793" s="2" t="s">
        <v>86</v>
      </c>
      <c r="BW1793" s="2" t="s">
        <v>96</v>
      </c>
      <c r="BX1793" s="2" t="s">
        <v>1140</v>
      </c>
      <c r="BY1793" s="2">
        <v>4379.12</v>
      </c>
      <c r="BZ1793" s="2"/>
      <c r="CA1793" s="2"/>
      <c r="CB1793" s="2"/>
      <c r="CC1793" s="2" t="s">
        <v>100</v>
      </c>
      <c r="CD1793" s="2">
        <v>6210</v>
      </c>
      <c r="CE1793" s="2" t="s">
        <v>118</v>
      </c>
      <c r="CF1793" s="5">
        <v>42844</v>
      </c>
      <c r="CG1793" s="2"/>
      <c r="CH1793" s="2"/>
      <c r="CI1793" s="2">
        <v>1</v>
      </c>
      <c r="CJ1793" s="2">
        <v>3</v>
      </c>
      <c r="CK1793" s="2">
        <v>21</v>
      </c>
      <c r="CL1793" s="2" t="s">
        <v>86</v>
      </c>
      <c r="CM1793" s="2"/>
    </row>
    <row r="1794" spans="1:91">
      <c r="A1794" s="2" t="s">
        <v>71</v>
      </c>
      <c r="B1794" s="2" t="s">
        <v>72</v>
      </c>
      <c r="C1794" s="2" t="s">
        <v>73</v>
      </c>
      <c r="D1794" s="2"/>
      <c r="E1794" s="2" t="str">
        <f>"FES1162543627"</f>
        <v>FES1162543627</v>
      </c>
      <c r="F1794" s="3">
        <v>42838</v>
      </c>
      <c r="G1794" s="2">
        <v>201710</v>
      </c>
      <c r="H1794" s="2" t="s">
        <v>74</v>
      </c>
      <c r="I1794" s="2" t="s">
        <v>75</v>
      </c>
      <c r="J1794" s="2" t="s">
        <v>76</v>
      </c>
      <c r="K1794" s="2" t="s">
        <v>77</v>
      </c>
      <c r="L1794" s="2" t="s">
        <v>99</v>
      </c>
      <c r="M1794" s="2" t="s">
        <v>100</v>
      </c>
      <c r="N1794" s="2" t="s">
        <v>1442</v>
      </c>
      <c r="O1794" s="2" t="s">
        <v>115</v>
      </c>
      <c r="P1794" s="2" t="str">
        <f>"2170562195                    "</f>
        <v xml:space="preserve">2170562195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4.29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1</v>
      </c>
      <c r="BJ1794" s="2">
        <v>0.2</v>
      </c>
      <c r="BK1794" s="2">
        <v>1</v>
      </c>
      <c r="BL1794" s="2">
        <v>41.73</v>
      </c>
      <c r="BM1794" s="2">
        <v>5.84</v>
      </c>
      <c r="BN1794" s="2">
        <v>47.57</v>
      </c>
      <c r="BO1794" s="2">
        <v>47.57</v>
      </c>
      <c r="BP1794" s="2"/>
      <c r="BQ1794" s="2" t="s">
        <v>2064</v>
      </c>
      <c r="BR1794" s="2" t="s">
        <v>84</v>
      </c>
      <c r="BS1794" s="3">
        <v>42843</v>
      </c>
      <c r="BT1794" s="4">
        <v>0.36458333333333331</v>
      </c>
      <c r="BU1794" s="2" t="s">
        <v>2308</v>
      </c>
      <c r="BV1794" s="2" t="s">
        <v>86</v>
      </c>
      <c r="BW1794" s="2" t="s">
        <v>164</v>
      </c>
      <c r="BX1794" s="2" t="s">
        <v>1140</v>
      </c>
      <c r="BY1794" s="2">
        <v>1200</v>
      </c>
      <c r="BZ1794" s="2"/>
      <c r="CA1794" s="2" t="s">
        <v>378</v>
      </c>
      <c r="CB1794" s="2"/>
      <c r="CC1794" s="2" t="s">
        <v>100</v>
      </c>
      <c r="CD1794" s="2">
        <v>6045</v>
      </c>
      <c r="CE1794" s="2" t="s">
        <v>118</v>
      </c>
      <c r="CF1794" s="5">
        <v>42843</v>
      </c>
      <c r="CG1794" s="2"/>
      <c r="CH1794" s="2"/>
      <c r="CI1794" s="2">
        <v>1</v>
      </c>
      <c r="CJ1794" s="2">
        <v>3</v>
      </c>
      <c r="CK1794" s="2">
        <v>21</v>
      </c>
      <c r="CL1794" s="2" t="s">
        <v>86</v>
      </c>
      <c r="CM1794" s="2"/>
    </row>
    <row r="1795" spans="1:91">
      <c r="A1795" s="2" t="s">
        <v>71</v>
      </c>
      <c r="B1795" s="2" t="s">
        <v>72</v>
      </c>
      <c r="C1795" s="2" t="s">
        <v>73</v>
      </c>
      <c r="D1795" s="2"/>
      <c r="E1795" s="2" t="str">
        <f>"FES1162543642"</f>
        <v>FES1162543642</v>
      </c>
      <c r="F1795" s="3">
        <v>42838</v>
      </c>
      <c r="G1795" s="2">
        <v>201710</v>
      </c>
      <c r="H1795" s="2" t="s">
        <v>74</v>
      </c>
      <c r="I1795" s="2" t="s">
        <v>75</v>
      </c>
      <c r="J1795" s="2" t="s">
        <v>76</v>
      </c>
      <c r="K1795" s="2" t="s">
        <v>77</v>
      </c>
      <c r="L1795" s="2" t="s">
        <v>99</v>
      </c>
      <c r="M1795" s="2" t="s">
        <v>100</v>
      </c>
      <c r="N1795" s="2" t="s">
        <v>313</v>
      </c>
      <c r="O1795" s="2" t="s">
        <v>115</v>
      </c>
      <c r="P1795" s="2" t="str">
        <f>"2170560078                    "</f>
        <v xml:space="preserve">2170560078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6.43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2.6</v>
      </c>
      <c r="BJ1795" s="2">
        <v>1.7</v>
      </c>
      <c r="BK1795" s="2">
        <v>3</v>
      </c>
      <c r="BL1795" s="2">
        <v>62.59</v>
      </c>
      <c r="BM1795" s="2">
        <v>8.76</v>
      </c>
      <c r="BN1795" s="2">
        <v>71.349999999999994</v>
      </c>
      <c r="BO1795" s="2">
        <v>71.349999999999994</v>
      </c>
      <c r="BP1795" s="2"/>
      <c r="BQ1795" s="2" t="s">
        <v>314</v>
      </c>
      <c r="BR1795" s="2" t="s">
        <v>84</v>
      </c>
      <c r="BS1795" s="3">
        <v>42843</v>
      </c>
      <c r="BT1795" s="4">
        <v>0.3</v>
      </c>
      <c r="BU1795" s="2" t="s">
        <v>2309</v>
      </c>
      <c r="BV1795" s="2" t="s">
        <v>86</v>
      </c>
      <c r="BW1795" s="2" t="s">
        <v>104</v>
      </c>
      <c r="BX1795" s="2" t="s">
        <v>105</v>
      </c>
      <c r="BY1795" s="2">
        <v>8432.42</v>
      </c>
      <c r="BZ1795" s="2"/>
      <c r="CA1795" s="2" t="s">
        <v>106</v>
      </c>
      <c r="CB1795" s="2"/>
      <c r="CC1795" s="2" t="s">
        <v>100</v>
      </c>
      <c r="CD1795" s="2">
        <v>6012</v>
      </c>
      <c r="CE1795" s="2" t="s">
        <v>89</v>
      </c>
      <c r="CF1795" s="5">
        <v>42843</v>
      </c>
      <c r="CG1795" s="2"/>
      <c r="CH1795" s="2"/>
      <c r="CI1795" s="2">
        <v>1</v>
      </c>
      <c r="CJ1795" s="2">
        <v>3</v>
      </c>
      <c r="CK1795" s="2">
        <v>21</v>
      </c>
      <c r="CL1795" s="2" t="s">
        <v>86</v>
      </c>
      <c r="CM1795" s="2"/>
    </row>
    <row r="1796" spans="1:91">
      <c r="A1796" s="2" t="s">
        <v>71</v>
      </c>
      <c r="B1796" s="2" t="s">
        <v>72</v>
      </c>
      <c r="C1796" s="2" t="s">
        <v>73</v>
      </c>
      <c r="D1796" s="2"/>
      <c r="E1796" s="2" t="str">
        <f>"FES1162543509"</f>
        <v>FES1162543509</v>
      </c>
      <c r="F1796" s="3">
        <v>42838</v>
      </c>
      <c r="G1796" s="2">
        <v>201710</v>
      </c>
      <c r="H1796" s="2" t="s">
        <v>74</v>
      </c>
      <c r="I1796" s="2" t="s">
        <v>75</v>
      </c>
      <c r="J1796" s="2" t="s">
        <v>76</v>
      </c>
      <c r="K1796" s="2" t="s">
        <v>77</v>
      </c>
      <c r="L1796" s="2" t="s">
        <v>99</v>
      </c>
      <c r="M1796" s="2" t="s">
        <v>100</v>
      </c>
      <c r="N1796" s="2" t="s">
        <v>151</v>
      </c>
      <c r="O1796" s="2" t="s">
        <v>115</v>
      </c>
      <c r="P1796" s="2" t="str">
        <f>"2170562205                    "</f>
        <v xml:space="preserve">2170562205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4.29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1</v>
      </c>
      <c r="BJ1796" s="2">
        <v>0.2</v>
      </c>
      <c r="BK1796" s="2">
        <v>1</v>
      </c>
      <c r="BL1796" s="2">
        <v>41.73</v>
      </c>
      <c r="BM1796" s="2">
        <v>5.84</v>
      </c>
      <c r="BN1796" s="2">
        <v>47.57</v>
      </c>
      <c r="BO1796" s="2">
        <v>47.57</v>
      </c>
      <c r="BP1796" s="2"/>
      <c r="BQ1796" s="2" t="s">
        <v>152</v>
      </c>
      <c r="BR1796" s="2" t="s">
        <v>84</v>
      </c>
      <c r="BS1796" s="3">
        <v>42843</v>
      </c>
      <c r="BT1796" s="4">
        <v>0.37152777777777773</v>
      </c>
      <c r="BU1796" s="2" t="s">
        <v>545</v>
      </c>
      <c r="BV1796" s="2" t="s">
        <v>86</v>
      </c>
      <c r="BW1796" s="2"/>
      <c r="BX1796" s="2"/>
      <c r="BY1796" s="2">
        <v>1200</v>
      </c>
      <c r="BZ1796" s="2"/>
      <c r="CA1796" s="2" t="s">
        <v>154</v>
      </c>
      <c r="CB1796" s="2"/>
      <c r="CC1796" s="2" t="s">
        <v>100</v>
      </c>
      <c r="CD1796" s="2">
        <v>6001</v>
      </c>
      <c r="CE1796" s="2" t="s">
        <v>118</v>
      </c>
      <c r="CF1796" s="5">
        <v>42843</v>
      </c>
      <c r="CG1796" s="2"/>
      <c r="CH1796" s="2"/>
      <c r="CI1796" s="2">
        <v>1</v>
      </c>
      <c r="CJ1796" s="2">
        <v>3</v>
      </c>
      <c r="CK1796" s="2">
        <v>21</v>
      </c>
      <c r="CL1796" s="2" t="s">
        <v>86</v>
      </c>
      <c r="CM1796" s="2"/>
    </row>
    <row r="1797" spans="1:91">
      <c r="A1797" s="2" t="s">
        <v>71</v>
      </c>
      <c r="B1797" s="2" t="s">
        <v>72</v>
      </c>
      <c r="C1797" s="2" t="s">
        <v>73</v>
      </c>
      <c r="D1797" s="2"/>
      <c r="E1797" s="2" t="str">
        <f>"FES1162543514"</f>
        <v>FES1162543514</v>
      </c>
      <c r="F1797" s="3">
        <v>42838</v>
      </c>
      <c r="G1797" s="2">
        <v>201710</v>
      </c>
      <c r="H1797" s="2" t="s">
        <v>74</v>
      </c>
      <c r="I1797" s="2" t="s">
        <v>75</v>
      </c>
      <c r="J1797" s="2" t="s">
        <v>76</v>
      </c>
      <c r="K1797" s="2" t="s">
        <v>77</v>
      </c>
      <c r="L1797" s="2" t="s">
        <v>99</v>
      </c>
      <c r="M1797" s="2" t="s">
        <v>100</v>
      </c>
      <c r="N1797" s="2" t="s">
        <v>1682</v>
      </c>
      <c r="O1797" s="2" t="s">
        <v>115</v>
      </c>
      <c r="P1797" s="2" t="str">
        <f>"2170562213                    "</f>
        <v xml:space="preserve">2170562213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10.72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3.4</v>
      </c>
      <c r="BJ1797" s="2">
        <v>4.9000000000000004</v>
      </c>
      <c r="BK1797" s="2">
        <v>5</v>
      </c>
      <c r="BL1797" s="2">
        <v>104.32</v>
      </c>
      <c r="BM1797" s="2">
        <v>14.6</v>
      </c>
      <c r="BN1797" s="2">
        <v>118.92</v>
      </c>
      <c r="BO1797" s="2">
        <v>118.92</v>
      </c>
      <c r="BP1797" s="2"/>
      <c r="BQ1797" s="2"/>
      <c r="BR1797" s="2" t="s">
        <v>84</v>
      </c>
      <c r="BS1797" s="3">
        <v>42843</v>
      </c>
      <c r="BT1797" s="4">
        <v>0.33194444444444443</v>
      </c>
      <c r="BU1797" s="2" t="s">
        <v>130</v>
      </c>
      <c r="BV1797" s="2" t="s">
        <v>86</v>
      </c>
      <c r="BW1797" s="2"/>
      <c r="BX1797" s="2"/>
      <c r="BY1797" s="2">
        <v>24333.77</v>
      </c>
      <c r="BZ1797" s="2"/>
      <c r="CA1797" s="2"/>
      <c r="CB1797" s="2"/>
      <c r="CC1797" s="2" t="s">
        <v>100</v>
      </c>
      <c r="CD1797" s="2">
        <v>6000</v>
      </c>
      <c r="CE1797" s="2" t="s">
        <v>172</v>
      </c>
      <c r="CF1797" s="5">
        <v>42844</v>
      </c>
      <c r="CG1797" s="2"/>
      <c r="CH1797" s="2"/>
      <c r="CI1797" s="2">
        <v>1</v>
      </c>
      <c r="CJ1797" s="2">
        <v>3</v>
      </c>
      <c r="CK1797" s="2">
        <v>21</v>
      </c>
      <c r="CL1797" s="2" t="s">
        <v>86</v>
      </c>
      <c r="CM1797" s="2"/>
    </row>
    <row r="1798" spans="1:91">
      <c r="A1798" s="2" t="s">
        <v>71</v>
      </c>
      <c r="B1798" s="2" t="s">
        <v>72</v>
      </c>
      <c r="C1798" s="2" t="s">
        <v>73</v>
      </c>
      <c r="D1798" s="2"/>
      <c r="E1798" s="2" t="str">
        <f>"FES1162543533"</f>
        <v>FES1162543533</v>
      </c>
      <c r="F1798" s="3">
        <v>42838</v>
      </c>
      <c r="G1798" s="2">
        <v>201710</v>
      </c>
      <c r="H1798" s="2" t="s">
        <v>74</v>
      </c>
      <c r="I1798" s="2" t="s">
        <v>75</v>
      </c>
      <c r="J1798" s="2" t="s">
        <v>76</v>
      </c>
      <c r="K1798" s="2" t="s">
        <v>77</v>
      </c>
      <c r="L1798" s="2" t="s">
        <v>99</v>
      </c>
      <c r="M1798" s="2" t="s">
        <v>100</v>
      </c>
      <c r="N1798" s="2" t="s">
        <v>108</v>
      </c>
      <c r="O1798" s="2" t="s">
        <v>115</v>
      </c>
      <c r="P1798" s="2" t="str">
        <f>"2170560213                    "</f>
        <v xml:space="preserve">2170560213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10.72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4.8</v>
      </c>
      <c r="BJ1798" s="2">
        <v>3.3</v>
      </c>
      <c r="BK1798" s="2">
        <v>5</v>
      </c>
      <c r="BL1798" s="2">
        <v>104.32</v>
      </c>
      <c r="BM1798" s="2">
        <v>14.6</v>
      </c>
      <c r="BN1798" s="2">
        <v>118.92</v>
      </c>
      <c r="BO1798" s="2">
        <v>118.92</v>
      </c>
      <c r="BP1798" s="2"/>
      <c r="BQ1798" s="2" t="s">
        <v>109</v>
      </c>
      <c r="BR1798" s="2" t="s">
        <v>84</v>
      </c>
      <c r="BS1798" s="3">
        <v>42843</v>
      </c>
      <c r="BT1798" s="4">
        <v>0.40277777777777773</v>
      </c>
      <c r="BU1798" s="2" t="s">
        <v>109</v>
      </c>
      <c r="BV1798" s="2" t="s">
        <v>86</v>
      </c>
      <c r="BW1798" s="2" t="s">
        <v>104</v>
      </c>
      <c r="BX1798" s="2" t="s">
        <v>105</v>
      </c>
      <c r="BY1798" s="2">
        <v>16525.740000000002</v>
      </c>
      <c r="BZ1798" s="2"/>
      <c r="CA1798" s="2"/>
      <c r="CB1798" s="2"/>
      <c r="CC1798" s="2" t="s">
        <v>100</v>
      </c>
      <c r="CD1798" s="2">
        <v>6001</v>
      </c>
      <c r="CE1798" s="2" t="s">
        <v>89</v>
      </c>
      <c r="CF1798" s="5">
        <v>42845</v>
      </c>
      <c r="CG1798" s="2"/>
      <c r="CH1798" s="2"/>
      <c r="CI1798" s="2">
        <v>1</v>
      </c>
      <c r="CJ1798" s="2">
        <v>3</v>
      </c>
      <c r="CK1798" s="2">
        <v>21</v>
      </c>
      <c r="CL1798" s="2" t="s">
        <v>86</v>
      </c>
      <c r="CM1798" s="2"/>
    </row>
    <row r="1799" spans="1:91">
      <c r="A1799" s="2" t="s">
        <v>71</v>
      </c>
      <c r="B1799" s="2" t="s">
        <v>72</v>
      </c>
      <c r="C1799" s="2" t="s">
        <v>73</v>
      </c>
      <c r="D1799" s="2"/>
      <c r="E1799" s="2" t="str">
        <f>"FES1162543558"</f>
        <v>FES1162543558</v>
      </c>
      <c r="F1799" s="3">
        <v>42838</v>
      </c>
      <c r="G1799" s="2">
        <v>201710</v>
      </c>
      <c r="H1799" s="2" t="s">
        <v>74</v>
      </c>
      <c r="I1799" s="2" t="s">
        <v>75</v>
      </c>
      <c r="J1799" s="2" t="s">
        <v>76</v>
      </c>
      <c r="K1799" s="2" t="s">
        <v>77</v>
      </c>
      <c r="L1799" s="2" t="s">
        <v>160</v>
      </c>
      <c r="M1799" s="2" t="s">
        <v>161</v>
      </c>
      <c r="N1799" s="2" t="s">
        <v>463</v>
      </c>
      <c r="O1799" s="2" t="s">
        <v>115</v>
      </c>
      <c r="P1799" s="2" t="str">
        <f>"2170562234                    "</f>
        <v xml:space="preserve">2170562234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4.29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1</v>
      </c>
      <c r="BI1799" s="2">
        <v>2</v>
      </c>
      <c r="BJ1799" s="2">
        <v>0.2</v>
      </c>
      <c r="BK1799" s="2">
        <v>2</v>
      </c>
      <c r="BL1799" s="2">
        <v>41.73</v>
      </c>
      <c r="BM1799" s="2">
        <v>5.84</v>
      </c>
      <c r="BN1799" s="2">
        <v>47.57</v>
      </c>
      <c r="BO1799" s="2">
        <v>47.57</v>
      </c>
      <c r="BP1799" s="2"/>
      <c r="BQ1799" s="2" t="s">
        <v>129</v>
      </c>
      <c r="BR1799" s="2" t="s">
        <v>84</v>
      </c>
      <c r="BS1799" s="3">
        <v>42843</v>
      </c>
      <c r="BT1799" s="4">
        <v>0.41666666666666669</v>
      </c>
      <c r="BU1799" s="2" t="s">
        <v>223</v>
      </c>
      <c r="BV1799" s="2" t="s">
        <v>86</v>
      </c>
      <c r="BW1799" s="2" t="s">
        <v>157</v>
      </c>
      <c r="BX1799" s="2" t="s">
        <v>251</v>
      </c>
      <c r="BY1799" s="2">
        <v>1200</v>
      </c>
      <c r="BZ1799" s="2"/>
      <c r="CA1799" s="2"/>
      <c r="CB1799" s="2"/>
      <c r="CC1799" s="2" t="s">
        <v>161</v>
      </c>
      <c r="CD1799" s="2">
        <v>5201</v>
      </c>
      <c r="CE1799" s="2" t="s">
        <v>118</v>
      </c>
      <c r="CF1799" s="5">
        <v>42844</v>
      </c>
      <c r="CG1799" s="2"/>
      <c r="CH1799" s="2"/>
      <c r="CI1799" s="2">
        <v>1</v>
      </c>
      <c r="CJ1799" s="2">
        <v>3</v>
      </c>
      <c r="CK1799" s="2">
        <v>21</v>
      </c>
      <c r="CL1799" s="2" t="s">
        <v>86</v>
      </c>
      <c r="CM1799" s="2"/>
    </row>
    <row r="1800" spans="1:91">
      <c r="A1800" s="2" t="s">
        <v>71</v>
      </c>
      <c r="B1800" s="2" t="s">
        <v>72</v>
      </c>
      <c r="C1800" s="2" t="s">
        <v>73</v>
      </c>
      <c r="D1800" s="2"/>
      <c r="E1800" s="2" t="str">
        <f>"FES1162543541"</f>
        <v>FES1162543541</v>
      </c>
      <c r="F1800" s="3">
        <v>42838</v>
      </c>
      <c r="G1800" s="2">
        <v>201710</v>
      </c>
      <c r="H1800" s="2" t="s">
        <v>74</v>
      </c>
      <c r="I1800" s="2" t="s">
        <v>75</v>
      </c>
      <c r="J1800" s="2" t="s">
        <v>76</v>
      </c>
      <c r="K1800" s="2" t="s">
        <v>77</v>
      </c>
      <c r="L1800" s="2" t="s">
        <v>74</v>
      </c>
      <c r="M1800" s="2" t="s">
        <v>75</v>
      </c>
      <c r="N1800" s="2" t="s">
        <v>1684</v>
      </c>
      <c r="O1800" s="2" t="s">
        <v>115</v>
      </c>
      <c r="P1800" s="2" t="str">
        <f>"2170560311                    "</f>
        <v xml:space="preserve">2170560311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3.35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1</v>
      </c>
      <c r="BJ1800" s="2">
        <v>0.2</v>
      </c>
      <c r="BK1800" s="2">
        <v>1</v>
      </c>
      <c r="BL1800" s="2">
        <v>32.6</v>
      </c>
      <c r="BM1800" s="2">
        <v>4.5599999999999996</v>
      </c>
      <c r="BN1800" s="2">
        <v>37.159999999999997</v>
      </c>
      <c r="BO1800" s="2">
        <v>37.159999999999997</v>
      </c>
      <c r="BP1800" s="2"/>
      <c r="BQ1800" s="2" t="s">
        <v>1685</v>
      </c>
      <c r="BR1800" s="2" t="s">
        <v>84</v>
      </c>
      <c r="BS1800" s="3">
        <v>42843</v>
      </c>
      <c r="BT1800" s="4">
        <v>0.41666666666666669</v>
      </c>
      <c r="BU1800" s="2" t="s">
        <v>266</v>
      </c>
      <c r="BV1800" s="2" t="s">
        <v>86</v>
      </c>
      <c r="BW1800" s="2" t="s">
        <v>96</v>
      </c>
      <c r="BX1800" s="2" t="s">
        <v>812</v>
      </c>
      <c r="BY1800" s="2">
        <v>1200</v>
      </c>
      <c r="BZ1800" s="2"/>
      <c r="CA1800" s="2"/>
      <c r="CB1800" s="2"/>
      <c r="CC1800" s="2" t="s">
        <v>75</v>
      </c>
      <c r="CD1800" s="2">
        <v>1609</v>
      </c>
      <c r="CE1800" s="2" t="s">
        <v>118</v>
      </c>
      <c r="CF1800" s="5">
        <v>42844</v>
      </c>
      <c r="CG1800" s="2"/>
      <c r="CH1800" s="2"/>
      <c r="CI1800" s="2">
        <v>1</v>
      </c>
      <c r="CJ1800" s="2">
        <v>3</v>
      </c>
      <c r="CK1800" s="2">
        <v>22</v>
      </c>
      <c r="CL1800" s="2" t="s">
        <v>86</v>
      </c>
      <c r="CM1800" s="2"/>
    </row>
    <row r="1801" spans="1:91">
      <c r="A1801" s="2" t="s">
        <v>71</v>
      </c>
      <c r="B1801" s="2" t="s">
        <v>72</v>
      </c>
      <c r="C1801" s="2" t="s">
        <v>73</v>
      </c>
      <c r="D1801" s="2"/>
      <c r="E1801" s="2" t="str">
        <f>"FES1162543534"</f>
        <v>FES1162543534</v>
      </c>
      <c r="F1801" s="3">
        <v>42838</v>
      </c>
      <c r="G1801" s="2">
        <v>201710</v>
      </c>
      <c r="H1801" s="2" t="s">
        <v>74</v>
      </c>
      <c r="I1801" s="2" t="s">
        <v>75</v>
      </c>
      <c r="J1801" s="2" t="s">
        <v>76</v>
      </c>
      <c r="K1801" s="2" t="s">
        <v>77</v>
      </c>
      <c r="L1801" s="2" t="s">
        <v>166</v>
      </c>
      <c r="M1801" s="2" t="s">
        <v>167</v>
      </c>
      <c r="N1801" s="2" t="s">
        <v>272</v>
      </c>
      <c r="O1801" s="2" t="s">
        <v>115</v>
      </c>
      <c r="P1801" s="2" t="str">
        <f>"2170560228                    "</f>
        <v xml:space="preserve">2170560228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3.35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1.1000000000000001</v>
      </c>
      <c r="BJ1801" s="2">
        <v>2.2000000000000002</v>
      </c>
      <c r="BK1801" s="2">
        <v>3</v>
      </c>
      <c r="BL1801" s="2">
        <v>32.6</v>
      </c>
      <c r="BM1801" s="2">
        <v>4.5599999999999996</v>
      </c>
      <c r="BN1801" s="2">
        <v>37.159999999999997</v>
      </c>
      <c r="BO1801" s="2">
        <v>37.159999999999997</v>
      </c>
      <c r="BP1801" s="2"/>
      <c r="BQ1801" s="2" t="s">
        <v>273</v>
      </c>
      <c r="BR1801" s="2" t="s">
        <v>84</v>
      </c>
      <c r="BS1801" s="3">
        <v>42843</v>
      </c>
      <c r="BT1801" s="4">
        <v>0.41666666666666669</v>
      </c>
      <c r="BU1801" s="2" t="s">
        <v>2310</v>
      </c>
      <c r="BV1801" s="2" t="s">
        <v>86</v>
      </c>
      <c r="BW1801" s="2" t="s">
        <v>164</v>
      </c>
      <c r="BX1801" s="2" t="s">
        <v>2211</v>
      </c>
      <c r="BY1801" s="2">
        <v>11222.62</v>
      </c>
      <c r="BZ1801" s="2"/>
      <c r="CA1801" s="2" t="s">
        <v>159</v>
      </c>
      <c r="CB1801" s="2"/>
      <c r="CC1801" s="2" t="s">
        <v>167</v>
      </c>
      <c r="CD1801" s="2">
        <v>2042</v>
      </c>
      <c r="CE1801" s="2" t="s">
        <v>118</v>
      </c>
      <c r="CF1801" s="2"/>
      <c r="CG1801" s="2"/>
      <c r="CH1801" s="2"/>
      <c r="CI1801" s="2">
        <v>1</v>
      </c>
      <c r="CJ1801" s="2">
        <v>3</v>
      </c>
      <c r="CK1801" s="2">
        <v>22</v>
      </c>
      <c r="CL1801" s="2" t="s">
        <v>86</v>
      </c>
      <c r="CM1801" s="2"/>
    </row>
    <row r="1802" spans="1:91">
      <c r="A1802" s="2" t="s">
        <v>71</v>
      </c>
      <c r="B1802" s="2" t="s">
        <v>72</v>
      </c>
      <c r="C1802" s="2" t="s">
        <v>73</v>
      </c>
      <c r="D1802" s="2"/>
      <c r="E1802" s="2" t="str">
        <f>"FES1162543531"</f>
        <v>FES1162543531</v>
      </c>
      <c r="F1802" s="3">
        <v>42838</v>
      </c>
      <c r="G1802" s="2">
        <v>201710</v>
      </c>
      <c r="H1802" s="2" t="s">
        <v>74</v>
      </c>
      <c r="I1802" s="2" t="s">
        <v>75</v>
      </c>
      <c r="J1802" s="2" t="s">
        <v>76</v>
      </c>
      <c r="K1802" s="2" t="s">
        <v>77</v>
      </c>
      <c r="L1802" s="2" t="s">
        <v>166</v>
      </c>
      <c r="M1802" s="2" t="s">
        <v>167</v>
      </c>
      <c r="N1802" s="2" t="s">
        <v>168</v>
      </c>
      <c r="O1802" s="2" t="s">
        <v>115</v>
      </c>
      <c r="P1802" s="2" t="str">
        <f>"2170560177                    "</f>
        <v xml:space="preserve">2170560177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3.35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1</v>
      </c>
      <c r="BJ1802" s="2">
        <v>0.2</v>
      </c>
      <c r="BK1802" s="2">
        <v>1</v>
      </c>
      <c r="BL1802" s="2">
        <v>32.6</v>
      </c>
      <c r="BM1802" s="2">
        <v>4.5599999999999996</v>
      </c>
      <c r="BN1802" s="2">
        <v>37.159999999999997</v>
      </c>
      <c r="BO1802" s="2">
        <v>37.159999999999997</v>
      </c>
      <c r="BP1802" s="2"/>
      <c r="BQ1802" s="2" t="s">
        <v>169</v>
      </c>
      <c r="BR1802" s="2" t="s">
        <v>84</v>
      </c>
      <c r="BS1802" s="3">
        <v>42843</v>
      </c>
      <c r="BT1802" s="4">
        <v>0.38958333333333334</v>
      </c>
      <c r="BU1802" s="2" t="s">
        <v>2311</v>
      </c>
      <c r="BV1802" s="2" t="s">
        <v>86</v>
      </c>
      <c r="BW1802" s="2" t="s">
        <v>164</v>
      </c>
      <c r="BX1802" s="2" t="s">
        <v>618</v>
      </c>
      <c r="BY1802" s="2">
        <v>1200</v>
      </c>
      <c r="BZ1802" s="2"/>
      <c r="CA1802" s="2" t="s">
        <v>2312</v>
      </c>
      <c r="CB1802" s="2"/>
      <c r="CC1802" s="2" t="s">
        <v>167</v>
      </c>
      <c r="CD1802" s="2">
        <v>2094</v>
      </c>
      <c r="CE1802" s="2" t="s">
        <v>118</v>
      </c>
      <c r="CF1802" s="5">
        <v>42843</v>
      </c>
      <c r="CG1802" s="2"/>
      <c r="CH1802" s="2"/>
      <c r="CI1802" s="2">
        <v>1</v>
      </c>
      <c r="CJ1802" s="2">
        <v>3</v>
      </c>
      <c r="CK1802" s="2">
        <v>22</v>
      </c>
      <c r="CL1802" s="2" t="s">
        <v>86</v>
      </c>
      <c r="CM1802" s="2"/>
    </row>
    <row r="1803" spans="1:91">
      <c r="A1803" s="2" t="s">
        <v>71</v>
      </c>
      <c r="B1803" s="2" t="s">
        <v>72</v>
      </c>
      <c r="C1803" s="2" t="s">
        <v>73</v>
      </c>
      <c r="D1803" s="2"/>
      <c r="E1803" s="2" t="str">
        <f>"FES1162543528"</f>
        <v>FES1162543528</v>
      </c>
      <c r="F1803" s="3">
        <v>42838</v>
      </c>
      <c r="G1803" s="2">
        <v>201710</v>
      </c>
      <c r="H1803" s="2" t="s">
        <v>74</v>
      </c>
      <c r="I1803" s="2" t="s">
        <v>75</v>
      </c>
      <c r="J1803" s="2" t="s">
        <v>76</v>
      </c>
      <c r="K1803" s="2" t="s">
        <v>77</v>
      </c>
      <c r="L1803" s="2" t="s">
        <v>74</v>
      </c>
      <c r="M1803" s="2" t="s">
        <v>75</v>
      </c>
      <c r="N1803" s="2" t="s">
        <v>1157</v>
      </c>
      <c r="O1803" s="2" t="s">
        <v>115</v>
      </c>
      <c r="P1803" s="2" t="str">
        <f>"2170560085                    "</f>
        <v xml:space="preserve">2170560085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3.35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1</v>
      </c>
      <c r="BJ1803" s="2">
        <v>0.2</v>
      </c>
      <c r="BK1803" s="2">
        <v>1</v>
      </c>
      <c r="BL1803" s="2">
        <v>32.6</v>
      </c>
      <c r="BM1803" s="2">
        <v>4.5599999999999996</v>
      </c>
      <c r="BN1803" s="2">
        <v>37.159999999999997</v>
      </c>
      <c r="BO1803" s="2">
        <v>37.159999999999997</v>
      </c>
      <c r="BP1803" s="2"/>
      <c r="BQ1803" s="2" t="s">
        <v>1158</v>
      </c>
      <c r="BR1803" s="2" t="s">
        <v>84</v>
      </c>
      <c r="BS1803" s="3">
        <v>42843</v>
      </c>
      <c r="BT1803" s="4">
        <v>0.41666666666666669</v>
      </c>
      <c r="BU1803" s="2" t="s">
        <v>1167</v>
      </c>
      <c r="BV1803" s="2" t="s">
        <v>86</v>
      </c>
      <c r="BW1803" s="2" t="s">
        <v>96</v>
      </c>
      <c r="BX1803" s="2" t="s">
        <v>812</v>
      </c>
      <c r="BY1803" s="2">
        <v>1200</v>
      </c>
      <c r="BZ1803" s="2"/>
      <c r="CA1803" s="2"/>
      <c r="CB1803" s="2"/>
      <c r="CC1803" s="2" t="s">
        <v>75</v>
      </c>
      <c r="CD1803" s="2">
        <v>1666</v>
      </c>
      <c r="CE1803" s="2" t="s">
        <v>118</v>
      </c>
      <c r="CF1803" s="5">
        <v>42844</v>
      </c>
      <c r="CG1803" s="2"/>
      <c r="CH1803" s="2"/>
      <c r="CI1803" s="2">
        <v>1</v>
      </c>
      <c r="CJ1803" s="2">
        <v>3</v>
      </c>
      <c r="CK1803" s="2">
        <v>22</v>
      </c>
      <c r="CL1803" s="2" t="s">
        <v>86</v>
      </c>
      <c r="CM1803" s="2"/>
    </row>
    <row r="1804" spans="1:91">
      <c r="A1804" s="2" t="s">
        <v>71</v>
      </c>
      <c r="B1804" s="2" t="s">
        <v>72</v>
      </c>
      <c r="C1804" s="2" t="s">
        <v>73</v>
      </c>
      <c r="D1804" s="2"/>
      <c r="E1804" s="2" t="str">
        <f>"FES1162543544"</f>
        <v>FES1162543544</v>
      </c>
      <c r="F1804" s="3">
        <v>42838</v>
      </c>
      <c r="G1804" s="2">
        <v>201710</v>
      </c>
      <c r="H1804" s="2" t="s">
        <v>74</v>
      </c>
      <c r="I1804" s="2" t="s">
        <v>75</v>
      </c>
      <c r="J1804" s="2" t="s">
        <v>76</v>
      </c>
      <c r="K1804" s="2" t="s">
        <v>77</v>
      </c>
      <c r="L1804" s="2" t="s">
        <v>74</v>
      </c>
      <c r="M1804" s="2" t="s">
        <v>75</v>
      </c>
      <c r="N1804" s="2" t="s">
        <v>1475</v>
      </c>
      <c r="O1804" s="2" t="s">
        <v>115</v>
      </c>
      <c r="P1804" s="2" t="str">
        <f>"2170561300                    "</f>
        <v xml:space="preserve">2170561300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3.35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4.5</v>
      </c>
      <c r="BJ1804" s="2">
        <v>1.3</v>
      </c>
      <c r="BK1804" s="2">
        <v>5</v>
      </c>
      <c r="BL1804" s="2">
        <v>32.6</v>
      </c>
      <c r="BM1804" s="2">
        <v>4.5599999999999996</v>
      </c>
      <c r="BN1804" s="2">
        <v>37.159999999999997</v>
      </c>
      <c r="BO1804" s="2">
        <v>37.159999999999997</v>
      </c>
      <c r="BP1804" s="2"/>
      <c r="BQ1804" s="2" t="s">
        <v>1476</v>
      </c>
      <c r="BR1804" s="2" t="s">
        <v>84</v>
      </c>
      <c r="BS1804" s="3">
        <v>42843</v>
      </c>
      <c r="BT1804" s="4">
        <v>0.33333333333333331</v>
      </c>
      <c r="BU1804" s="2" t="s">
        <v>1894</v>
      </c>
      <c r="BV1804" s="2" t="s">
        <v>86</v>
      </c>
      <c r="BW1804" s="2" t="s">
        <v>96</v>
      </c>
      <c r="BX1804" s="2" t="s">
        <v>812</v>
      </c>
      <c r="BY1804" s="2">
        <v>6353.71</v>
      </c>
      <c r="BZ1804" s="2"/>
      <c r="CA1804" s="2"/>
      <c r="CB1804" s="2"/>
      <c r="CC1804" s="2" t="s">
        <v>75</v>
      </c>
      <c r="CD1804" s="2">
        <v>1665</v>
      </c>
      <c r="CE1804" s="2" t="s">
        <v>172</v>
      </c>
      <c r="CF1804" s="5">
        <v>42844</v>
      </c>
      <c r="CG1804" s="2"/>
      <c r="CH1804" s="2"/>
      <c r="CI1804" s="2">
        <v>1</v>
      </c>
      <c r="CJ1804" s="2">
        <v>3</v>
      </c>
      <c r="CK1804" s="2">
        <v>22</v>
      </c>
      <c r="CL1804" s="2" t="s">
        <v>86</v>
      </c>
      <c r="CM1804" s="2"/>
    </row>
    <row r="1805" spans="1:91">
      <c r="A1805" s="2" t="s">
        <v>71</v>
      </c>
      <c r="B1805" s="2" t="s">
        <v>72</v>
      </c>
      <c r="C1805" s="2" t="s">
        <v>73</v>
      </c>
      <c r="D1805" s="2"/>
      <c r="E1805" s="2" t="str">
        <f>"FES1162543532"</f>
        <v>FES1162543532</v>
      </c>
      <c r="F1805" s="3">
        <v>42838</v>
      </c>
      <c r="G1805" s="2">
        <v>201710</v>
      </c>
      <c r="H1805" s="2" t="s">
        <v>74</v>
      </c>
      <c r="I1805" s="2" t="s">
        <v>75</v>
      </c>
      <c r="J1805" s="2" t="s">
        <v>76</v>
      </c>
      <c r="K1805" s="2" t="s">
        <v>77</v>
      </c>
      <c r="L1805" s="2" t="s">
        <v>99</v>
      </c>
      <c r="M1805" s="2" t="s">
        <v>100</v>
      </c>
      <c r="N1805" s="2" t="s">
        <v>671</v>
      </c>
      <c r="O1805" s="2" t="s">
        <v>115</v>
      </c>
      <c r="P1805" s="2" t="str">
        <f>"2170560181                    "</f>
        <v xml:space="preserve">2170560181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4.29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1</v>
      </c>
      <c r="BJ1805" s="2">
        <v>0.2</v>
      </c>
      <c r="BK1805" s="2">
        <v>1</v>
      </c>
      <c r="BL1805" s="2">
        <v>41.73</v>
      </c>
      <c r="BM1805" s="2">
        <v>5.84</v>
      </c>
      <c r="BN1805" s="2">
        <v>47.57</v>
      </c>
      <c r="BO1805" s="2">
        <v>47.57</v>
      </c>
      <c r="BP1805" s="2"/>
      <c r="BQ1805" s="2" t="s">
        <v>672</v>
      </c>
      <c r="BR1805" s="2" t="s">
        <v>84</v>
      </c>
      <c r="BS1805" s="3">
        <v>42843</v>
      </c>
      <c r="BT1805" s="4">
        <v>0.38263888888888892</v>
      </c>
      <c r="BU1805" s="2" t="s">
        <v>672</v>
      </c>
      <c r="BV1805" s="2" t="s">
        <v>86</v>
      </c>
      <c r="BW1805" s="2" t="s">
        <v>104</v>
      </c>
      <c r="BX1805" s="2" t="s">
        <v>105</v>
      </c>
      <c r="BY1805" s="2">
        <v>1200</v>
      </c>
      <c r="BZ1805" s="2"/>
      <c r="CA1805" s="2"/>
      <c r="CB1805" s="2"/>
      <c r="CC1805" s="2" t="s">
        <v>100</v>
      </c>
      <c r="CD1805" s="2">
        <v>6001</v>
      </c>
      <c r="CE1805" s="2" t="s">
        <v>118</v>
      </c>
      <c r="CF1805" s="5">
        <v>42845</v>
      </c>
      <c r="CG1805" s="2"/>
      <c r="CH1805" s="2"/>
      <c r="CI1805" s="2">
        <v>1</v>
      </c>
      <c r="CJ1805" s="2">
        <v>3</v>
      </c>
      <c r="CK1805" s="2">
        <v>21</v>
      </c>
      <c r="CL1805" s="2" t="s">
        <v>86</v>
      </c>
      <c r="CM1805" s="2"/>
    </row>
    <row r="1806" spans="1:91">
      <c r="A1806" s="2" t="s">
        <v>71</v>
      </c>
      <c r="B1806" s="2" t="s">
        <v>72</v>
      </c>
      <c r="C1806" s="2" t="s">
        <v>73</v>
      </c>
      <c r="D1806" s="2"/>
      <c r="E1806" s="2" t="str">
        <f>"FES1162543526"</f>
        <v>FES1162543526</v>
      </c>
      <c r="F1806" s="3">
        <v>42838</v>
      </c>
      <c r="G1806" s="2">
        <v>201710</v>
      </c>
      <c r="H1806" s="2" t="s">
        <v>74</v>
      </c>
      <c r="I1806" s="2" t="s">
        <v>75</v>
      </c>
      <c r="J1806" s="2" t="s">
        <v>76</v>
      </c>
      <c r="K1806" s="2" t="s">
        <v>77</v>
      </c>
      <c r="L1806" s="2" t="s">
        <v>190</v>
      </c>
      <c r="M1806" s="2" t="s">
        <v>191</v>
      </c>
      <c r="N1806" s="2" t="s">
        <v>192</v>
      </c>
      <c r="O1806" s="2" t="s">
        <v>115</v>
      </c>
      <c r="P1806" s="2" t="str">
        <f>"2170560071                    "</f>
        <v xml:space="preserve">2170560071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6.03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1</v>
      </c>
      <c r="BJ1806" s="2">
        <v>0.2</v>
      </c>
      <c r="BK1806" s="2">
        <v>1</v>
      </c>
      <c r="BL1806" s="2">
        <v>58.68</v>
      </c>
      <c r="BM1806" s="2">
        <v>8.2200000000000006</v>
      </c>
      <c r="BN1806" s="2">
        <v>66.900000000000006</v>
      </c>
      <c r="BO1806" s="2">
        <v>66.900000000000006</v>
      </c>
      <c r="BP1806" s="2"/>
      <c r="BQ1806" s="2" t="s">
        <v>193</v>
      </c>
      <c r="BR1806" s="2" t="s">
        <v>84</v>
      </c>
      <c r="BS1806" s="3">
        <v>42843</v>
      </c>
      <c r="BT1806" s="4">
        <v>0.38194444444444442</v>
      </c>
      <c r="BU1806" s="2" t="s">
        <v>194</v>
      </c>
      <c r="BV1806" s="2" t="s">
        <v>86</v>
      </c>
      <c r="BW1806" s="2" t="s">
        <v>164</v>
      </c>
      <c r="BX1806" s="2" t="s">
        <v>2211</v>
      </c>
      <c r="BY1806" s="2">
        <v>1200</v>
      </c>
      <c r="BZ1806" s="2"/>
      <c r="CA1806" s="2"/>
      <c r="CB1806" s="2"/>
      <c r="CC1806" s="2" t="s">
        <v>191</v>
      </c>
      <c r="CD1806" s="2">
        <v>1739</v>
      </c>
      <c r="CE1806" s="2" t="s">
        <v>118</v>
      </c>
      <c r="CF1806" s="5">
        <v>42844</v>
      </c>
      <c r="CG1806" s="2"/>
      <c r="CH1806" s="2"/>
      <c r="CI1806" s="2">
        <v>1</v>
      </c>
      <c r="CJ1806" s="2">
        <v>3</v>
      </c>
      <c r="CK1806" s="2">
        <v>24</v>
      </c>
      <c r="CL1806" s="2" t="s">
        <v>86</v>
      </c>
      <c r="CM1806" s="2"/>
    </row>
    <row r="1807" spans="1:91">
      <c r="A1807" s="2" t="s">
        <v>71</v>
      </c>
      <c r="B1807" s="2" t="s">
        <v>72</v>
      </c>
      <c r="C1807" s="2" t="s">
        <v>73</v>
      </c>
      <c r="D1807" s="2"/>
      <c r="E1807" s="2" t="str">
        <f>"FES1162543523"</f>
        <v>FES1162543523</v>
      </c>
      <c r="F1807" s="3">
        <v>42838</v>
      </c>
      <c r="G1807" s="2">
        <v>201710</v>
      </c>
      <c r="H1807" s="2" t="s">
        <v>74</v>
      </c>
      <c r="I1807" s="2" t="s">
        <v>75</v>
      </c>
      <c r="J1807" s="2" t="s">
        <v>76</v>
      </c>
      <c r="K1807" s="2" t="s">
        <v>77</v>
      </c>
      <c r="L1807" s="2" t="s">
        <v>516</v>
      </c>
      <c r="M1807" s="2" t="s">
        <v>517</v>
      </c>
      <c r="N1807" s="2" t="s">
        <v>2313</v>
      </c>
      <c r="O1807" s="2" t="s">
        <v>115</v>
      </c>
      <c r="P1807" s="2" t="str">
        <f>"2170559888                    "</f>
        <v xml:space="preserve">2170559888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3.35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1</v>
      </c>
      <c r="BJ1807" s="2">
        <v>0.2</v>
      </c>
      <c r="BK1807" s="2">
        <v>1</v>
      </c>
      <c r="BL1807" s="2">
        <v>32.6</v>
      </c>
      <c r="BM1807" s="2">
        <v>4.5599999999999996</v>
      </c>
      <c r="BN1807" s="2">
        <v>37.159999999999997</v>
      </c>
      <c r="BO1807" s="2">
        <v>37.159999999999997</v>
      </c>
      <c r="BP1807" s="2"/>
      <c r="BQ1807" s="2" t="s">
        <v>2314</v>
      </c>
      <c r="BR1807" s="2" t="s">
        <v>84</v>
      </c>
      <c r="BS1807" s="3">
        <v>42843</v>
      </c>
      <c r="BT1807" s="4">
        <v>0.40625</v>
      </c>
      <c r="BU1807" s="2" t="s">
        <v>2315</v>
      </c>
      <c r="BV1807" s="2" t="s">
        <v>86</v>
      </c>
      <c r="BW1807" s="2" t="s">
        <v>164</v>
      </c>
      <c r="BX1807" s="2" t="s">
        <v>618</v>
      </c>
      <c r="BY1807" s="2">
        <v>1200</v>
      </c>
      <c r="BZ1807" s="2"/>
      <c r="CA1807" s="2" t="s">
        <v>159</v>
      </c>
      <c r="CB1807" s="2"/>
      <c r="CC1807" s="2" t="s">
        <v>517</v>
      </c>
      <c r="CD1807" s="2">
        <v>1459</v>
      </c>
      <c r="CE1807" s="2" t="s">
        <v>118</v>
      </c>
      <c r="CF1807" s="5">
        <v>42844</v>
      </c>
      <c r="CG1807" s="2"/>
      <c r="CH1807" s="2"/>
      <c r="CI1807" s="2">
        <v>1</v>
      </c>
      <c r="CJ1807" s="2">
        <v>3</v>
      </c>
      <c r="CK1807" s="2">
        <v>22</v>
      </c>
      <c r="CL1807" s="2" t="s">
        <v>86</v>
      </c>
      <c r="CM1807" s="2"/>
    </row>
    <row r="1808" spans="1:91">
      <c r="A1808" s="2" t="s">
        <v>71</v>
      </c>
      <c r="B1808" s="2" t="s">
        <v>72</v>
      </c>
      <c r="C1808" s="2" t="s">
        <v>73</v>
      </c>
      <c r="D1808" s="2"/>
      <c r="E1808" s="2" t="str">
        <f>"FES1162543516"</f>
        <v>FES1162543516</v>
      </c>
      <c r="F1808" s="3">
        <v>42838</v>
      </c>
      <c r="G1808" s="2">
        <v>201710</v>
      </c>
      <c r="H1808" s="2" t="s">
        <v>74</v>
      </c>
      <c r="I1808" s="2" t="s">
        <v>75</v>
      </c>
      <c r="J1808" s="2" t="s">
        <v>76</v>
      </c>
      <c r="K1808" s="2" t="s">
        <v>77</v>
      </c>
      <c r="L1808" s="2" t="s">
        <v>160</v>
      </c>
      <c r="M1808" s="2" t="s">
        <v>161</v>
      </c>
      <c r="N1808" s="2" t="s">
        <v>741</v>
      </c>
      <c r="O1808" s="2" t="s">
        <v>115</v>
      </c>
      <c r="P1808" s="2" t="str">
        <f>"2170548301                    "</f>
        <v xml:space="preserve">2170548301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4.29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1</v>
      </c>
      <c r="BJ1808" s="2">
        <v>0.2</v>
      </c>
      <c r="BK1808" s="2">
        <v>1</v>
      </c>
      <c r="BL1808" s="2">
        <v>41.73</v>
      </c>
      <c r="BM1808" s="2">
        <v>5.84</v>
      </c>
      <c r="BN1808" s="2">
        <v>47.57</v>
      </c>
      <c r="BO1808" s="2">
        <v>47.57</v>
      </c>
      <c r="BP1808" s="2"/>
      <c r="BQ1808" s="2" t="s">
        <v>742</v>
      </c>
      <c r="BR1808" s="2" t="s">
        <v>84</v>
      </c>
      <c r="BS1808" s="3">
        <v>42843</v>
      </c>
      <c r="BT1808" s="4">
        <v>0.41666666666666669</v>
      </c>
      <c r="BU1808" s="2" t="s">
        <v>833</v>
      </c>
      <c r="BV1808" s="2" t="s">
        <v>86</v>
      </c>
      <c r="BW1808" s="2" t="s">
        <v>157</v>
      </c>
      <c r="BX1808" s="2" t="s">
        <v>251</v>
      </c>
      <c r="BY1808" s="2">
        <v>1200</v>
      </c>
      <c r="BZ1808" s="2"/>
      <c r="CA1808" s="2"/>
      <c r="CB1808" s="2"/>
      <c r="CC1808" s="2" t="s">
        <v>161</v>
      </c>
      <c r="CD1808" s="2">
        <v>5201</v>
      </c>
      <c r="CE1808" s="2" t="s">
        <v>118</v>
      </c>
      <c r="CF1808" s="5">
        <v>42845</v>
      </c>
      <c r="CG1808" s="2"/>
      <c r="CH1808" s="2"/>
      <c r="CI1808" s="2">
        <v>1</v>
      </c>
      <c r="CJ1808" s="2">
        <v>3</v>
      </c>
      <c r="CK1808" s="2">
        <v>21</v>
      </c>
      <c r="CL1808" s="2" t="s">
        <v>86</v>
      </c>
      <c r="CM1808" s="2"/>
    </row>
    <row r="1809" spans="1:91">
      <c r="A1809" s="2" t="s">
        <v>71</v>
      </c>
      <c r="B1809" s="2" t="s">
        <v>72</v>
      </c>
      <c r="C1809" s="2" t="s">
        <v>73</v>
      </c>
      <c r="D1809" s="2"/>
      <c r="E1809" s="2" t="str">
        <f>"FES1162543548"</f>
        <v>FES1162543548</v>
      </c>
      <c r="F1809" s="3">
        <v>42838</v>
      </c>
      <c r="G1809" s="2">
        <v>201710</v>
      </c>
      <c r="H1809" s="2" t="s">
        <v>74</v>
      </c>
      <c r="I1809" s="2" t="s">
        <v>75</v>
      </c>
      <c r="J1809" s="2" t="s">
        <v>76</v>
      </c>
      <c r="K1809" s="2" t="s">
        <v>77</v>
      </c>
      <c r="L1809" s="2" t="s">
        <v>99</v>
      </c>
      <c r="M1809" s="2" t="s">
        <v>100</v>
      </c>
      <c r="N1809" s="2" t="s">
        <v>1274</v>
      </c>
      <c r="O1809" s="2" t="s">
        <v>115</v>
      </c>
      <c r="P1809" s="2" t="str">
        <f>"2170562216                    "</f>
        <v xml:space="preserve">2170562216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4.29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1</v>
      </c>
      <c r="BJ1809" s="2">
        <v>0.2</v>
      </c>
      <c r="BK1809" s="2">
        <v>1</v>
      </c>
      <c r="BL1809" s="2">
        <v>41.73</v>
      </c>
      <c r="BM1809" s="2">
        <v>5.84</v>
      </c>
      <c r="BN1809" s="2">
        <v>47.57</v>
      </c>
      <c r="BO1809" s="2">
        <v>47.57</v>
      </c>
      <c r="BP1809" s="2"/>
      <c r="BQ1809" s="2" t="s">
        <v>116</v>
      </c>
      <c r="BR1809" s="2" t="s">
        <v>84</v>
      </c>
      <c r="BS1809" s="3">
        <v>42843</v>
      </c>
      <c r="BT1809" s="4">
        <v>0.33680555555555558</v>
      </c>
      <c r="BU1809" s="2" t="s">
        <v>2316</v>
      </c>
      <c r="BV1809" s="2" t="s">
        <v>86</v>
      </c>
      <c r="BW1809" s="2" t="s">
        <v>484</v>
      </c>
      <c r="BX1809" s="2" t="s">
        <v>485</v>
      </c>
      <c r="BY1809" s="2">
        <v>1200</v>
      </c>
      <c r="BZ1809" s="2"/>
      <c r="CA1809" s="2"/>
      <c r="CB1809" s="2"/>
      <c r="CC1809" s="2" t="s">
        <v>100</v>
      </c>
      <c r="CD1809" s="2">
        <v>6014</v>
      </c>
      <c r="CE1809" s="2" t="s">
        <v>118</v>
      </c>
      <c r="CF1809" s="5">
        <v>42843</v>
      </c>
      <c r="CG1809" s="2"/>
      <c r="CH1809" s="2"/>
      <c r="CI1809" s="2">
        <v>1</v>
      </c>
      <c r="CJ1809" s="2">
        <v>3</v>
      </c>
      <c r="CK1809" s="2">
        <v>21</v>
      </c>
      <c r="CL1809" s="2" t="s">
        <v>86</v>
      </c>
      <c r="CM1809" s="2"/>
    </row>
    <row r="1810" spans="1:91">
      <c r="A1810" s="2" t="s">
        <v>71</v>
      </c>
      <c r="B1810" s="2" t="s">
        <v>72</v>
      </c>
      <c r="C1810" s="2" t="s">
        <v>73</v>
      </c>
      <c r="D1810" s="2"/>
      <c r="E1810" s="2" t="str">
        <f>"FES1162543549"</f>
        <v>FES1162543549</v>
      </c>
      <c r="F1810" s="3">
        <v>42838</v>
      </c>
      <c r="G1810" s="2">
        <v>201710</v>
      </c>
      <c r="H1810" s="2" t="s">
        <v>74</v>
      </c>
      <c r="I1810" s="2" t="s">
        <v>75</v>
      </c>
      <c r="J1810" s="2" t="s">
        <v>76</v>
      </c>
      <c r="K1810" s="2" t="s">
        <v>77</v>
      </c>
      <c r="L1810" s="2" t="s">
        <v>322</v>
      </c>
      <c r="M1810" s="2" t="s">
        <v>323</v>
      </c>
      <c r="N1810" s="2" t="s">
        <v>947</v>
      </c>
      <c r="O1810" s="2" t="s">
        <v>115</v>
      </c>
      <c r="P1810" s="2" t="str">
        <f>"2170562219                    "</f>
        <v xml:space="preserve">2170562219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3.35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1</v>
      </c>
      <c r="BJ1810" s="2">
        <v>0.2</v>
      </c>
      <c r="BK1810" s="2">
        <v>1</v>
      </c>
      <c r="BL1810" s="2">
        <v>32.6</v>
      </c>
      <c r="BM1810" s="2">
        <v>4.5599999999999996</v>
      </c>
      <c r="BN1810" s="2">
        <v>37.159999999999997</v>
      </c>
      <c r="BO1810" s="2">
        <v>37.159999999999997</v>
      </c>
      <c r="BP1810" s="2"/>
      <c r="BQ1810" s="2" t="s">
        <v>948</v>
      </c>
      <c r="BR1810" s="2" t="s">
        <v>84</v>
      </c>
      <c r="BS1810" s="3">
        <v>42843</v>
      </c>
      <c r="BT1810" s="4">
        <v>0.35416666666666669</v>
      </c>
      <c r="BU1810" s="2" t="s">
        <v>198</v>
      </c>
      <c r="BV1810" s="2" t="s">
        <v>86</v>
      </c>
      <c r="BW1810" s="2" t="s">
        <v>164</v>
      </c>
      <c r="BX1810" s="2" t="s">
        <v>618</v>
      </c>
      <c r="BY1810" s="2">
        <v>1200</v>
      </c>
      <c r="BZ1810" s="2"/>
      <c r="CA1810" s="2"/>
      <c r="CB1810" s="2"/>
      <c r="CC1810" s="2" t="s">
        <v>323</v>
      </c>
      <c r="CD1810" s="2">
        <v>1682</v>
      </c>
      <c r="CE1810" s="2" t="s">
        <v>118</v>
      </c>
      <c r="CF1810" s="5">
        <v>42844</v>
      </c>
      <c r="CG1810" s="2"/>
      <c r="CH1810" s="2"/>
      <c r="CI1810" s="2">
        <v>1</v>
      </c>
      <c r="CJ1810" s="2">
        <v>3</v>
      </c>
      <c r="CK1810" s="2">
        <v>22</v>
      </c>
      <c r="CL1810" s="2" t="s">
        <v>86</v>
      </c>
      <c r="CM1810" s="2"/>
    </row>
    <row r="1811" spans="1:91">
      <c r="A1811" s="2" t="s">
        <v>71</v>
      </c>
      <c r="B1811" s="2" t="s">
        <v>72</v>
      </c>
      <c r="C1811" s="2" t="s">
        <v>73</v>
      </c>
      <c r="D1811" s="2"/>
      <c r="E1811" s="2" t="str">
        <f>"FES1162543519"</f>
        <v>FES1162543519</v>
      </c>
      <c r="F1811" s="3">
        <v>42838</v>
      </c>
      <c r="G1811" s="2">
        <v>201710</v>
      </c>
      <c r="H1811" s="2" t="s">
        <v>74</v>
      </c>
      <c r="I1811" s="2" t="s">
        <v>75</v>
      </c>
      <c r="J1811" s="2" t="s">
        <v>76</v>
      </c>
      <c r="K1811" s="2" t="s">
        <v>77</v>
      </c>
      <c r="L1811" s="2" t="s">
        <v>99</v>
      </c>
      <c r="M1811" s="2" t="s">
        <v>100</v>
      </c>
      <c r="N1811" s="2" t="s">
        <v>108</v>
      </c>
      <c r="O1811" s="2" t="s">
        <v>115</v>
      </c>
      <c r="P1811" s="2" t="str">
        <f>"2170556342                    "</f>
        <v xml:space="preserve">2170556342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4.29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1</v>
      </c>
      <c r="BJ1811" s="2">
        <v>0.2</v>
      </c>
      <c r="BK1811" s="2">
        <v>1</v>
      </c>
      <c r="BL1811" s="2">
        <v>41.73</v>
      </c>
      <c r="BM1811" s="2">
        <v>5.84</v>
      </c>
      <c r="BN1811" s="2">
        <v>47.57</v>
      </c>
      <c r="BO1811" s="2">
        <v>47.57</v>
      </c>
      <c r="BP1811" s="2"/>
      <c r="BQ1811" s="2" t="s">
        <v>109</v>
      </c>
      <c r="BR1811" s="2" t="s">
        <v>84</v>
      </c>
      <c r="BS1811" s="3">
        <v>42843</v>
      </c>
      <c r="BT1811" s="4">
        <v>0.40277777777777773</v>
      </c>
      <c r="BU1811" s="2" t="s">
        <v>109</v>
      </c>
      <c r="BV1811" s="2" t="s">
        <v>86</v>
      </c>
      <c r="BW1811" s="2" t="s">
        <v>104</v>
      </c>
      <c r="BX1811" s="2" t="s">
        <v>105</v>
      </c>
      <c r="BY1811" s="2">
        <v>1200</v>
      </c>
      <c r="BZ1811" s="2"/>
      <c r="CA1811" s="2"/>
      <c r="CB1811" s="2"/>
      <c r="CC1811" s="2" t="s">
        <v>100</v>
      </c>
      <c r="CD1811" s="2">
        <v>6001</v>
      </c>
      <c r="CE1811" s="2" t="s">
        <v>118</v>
      </c>
      <c r="CF1811" s="5">
        <v>42845</v>
      </c>
      <c r="CG1811" s="2"/>
      <c r="CH1811" s="2"/>
      <c r="CI1811" s="2">
        <v>1</v>
      </c>
      <c r="CJ1811" s="2">
        <v>3</v>
      </c>
      <c r="CK1811" s="2">
        <v>21</v>
      </c>
      <c r="CL1811" s="2" t="s">
        <v>86</v>
      </c>
      <c r="CM1811" s="2"/>
    </row>
    <row r="1812" spans="1:91">
      <c r="A1812" s="2" t="s">
        <v>71</v>
      </c>
      <c r="B1812" s="2" t="s">
        <v>72</v>
      </c>
      <c r="C1812" s="2" t="s">
        <v>73</v>
      </c>
      <c r="D1812" s="2"/>
      <c r="E1812" s="2" t="str">
        <f>"FES1162543527"</f>
        <v>FES1162543527</v>
      </c>
      <c r="F1812" s="3">
        <v>42838</v>
      </c>
      <c r="G1812" s="2">
        <v>201710</v>
      </c>
      <c r="H1812" s="2" t="s">
        <v>74</v>
      </c>
      <c r="I1812" s="2" t="s">
        <v>75</v>
      </c>
      <c r="J1812" s="2" t="s">
        <v>76</v>
      </c>
      <c r="K1812" s="2" t="s">
        <v>77</v>
      </c>
      <c r="L1812" s="2" t="s">
        <v>99</v>
      </c>
      <c r="M1812" s="2" t="s">
        <v>100</v>
      </c>
      <c r="N1812" s="2" t="s">
        <v>313</v>
      </c>
      <c r="O1812" s="2" t="s">
        <v>115</v>
      </c>
      <c r="P1812" s="2" t="str">
        <f>"2170560078                    "</f>
        <v xml:space="preserve">2170560078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4.29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1</v>
      </c>
      <c r="BJ1812" s="2">
        <v>0.2</v>
      </c>
      <c r="BK1812" s="2">
        <v>1</v>
      </c>
      <c r="BL1812" s="2">
        <v>41.73</v>
      </c>
      <c r="BM1812" s="2">
        <v>5.84</v>
      </c>
      <c r="BN1812" s="2">
        <v>47.57</v>
      </c>
      <c r="BO1812" s="2">
        <v>47.57</v>
      </c>
      <c r="BP1812" s="2"/>
      <c r="BQ1812" s="2" t="s">
        <v>314</v>
      </c>
      <c r="BR1812" s="2" t="s">
        <v>84</v>
      </c>
      <c r="BS1812" s="3">
        <v>42843</v>
      </c>
      <c r="BT1812" s="4">
        <v>0.3</v>
      </c>
      <c r="BU1812" s="2" t="s">
        <v>2309</v>
      </c>
      <c r="BV1812" s="2" t="s">
        <v>86</v>
      </c>
      <c r="BW1812" s="2" t="s">
        <v>104</v>
      </c>
      <c r="BX1812" s="2" t="s">
        <v>105</v>
      </c>
      <c r="BY1812" s="2">
        <v>1200</v>
      </c>
      <c r="BZ1812" s="2"/>
      <c r="CA1812" s="2" t="s">
        <v>106</v>
      </c>
      <c r="CB1812" s="2"/>
      <c r="CC1812" s="2" t="s">
        <v>100</v>
      </c>
      <c r="CD1812" s="2">
        <v>6012</v>
      </c>
      <c r="CE1812" s="2" t="s">
        <v>118</v>
      </c>
      <c r="CF1812" s="5">
        <v>42843</v>
      </c>
      <c r="CG1812" s="2"/>
      <c r="CH1812" s="2"/>
      <c r="CI1812" s="2">
        <v>1</v>
      </c>
      <c r="CJ1812" s="2">
        <v>3</v>
      </c>
      <c r="CK1812" s="2">
        <v>21</v>
      </c>
      <c r="CL1812" s="2" t="s">
        <v>86</v>
      </c>
      <c r="CM1812" s="2"/>
    </row>
    <row r="1813" spans="1:91">
      <c r="A1813" s="2" t="s">
        <v>71</v>
      </c>
      <c r="B1813" s="2" t="s">
        <v>72</v>
      </c>
      <c r="C1813" s="2" t="s">
        <v>73</v>
      </c>
      <c r="D1813" s="2"/>
      <c r="E1813" s="2" t="str">
        <f>"FES1162542142"</f>
        <v>FES1162542142</v>
      </c>
      <c r="F1813" s="3">
        <v>42838</v>
      </c>
      <c r="G1813" s="2">
        <v>201710</v>
      </c>
      <c r="H1813" s="2" t="s">
        <v>74</v>
      </c>
      <c r="I1813" s="2" t="s">
        <v>75</v>
      </c>
      <c r="J1813" s="2" t="s">
        <v>76</v>
      </c>
      <c r="K1813" s="2" t="s">
        <v>77</v>
      </c>
      <c r="L1813" s="2" t="s">
        <v>503</v>
      </c>
      <c r="M1813" s="2" t="s">
        <v>504</v>
      </c>
      <c r="N1813" s="2" t="s">
        <v>2317</v>
      </c>
      <c r="O1813" s="2" t="s">
        <v>115</v>
      </c>
      <c r="P1813" s="2" t="str">
        <f>"2170560587                    "</f>
        <v xml:space="preserve">2170560587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3.35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4.3</v>
      </c>
      <c r="BJ1813" s="2">
        <v>1.1000000000000001</v>
      </c>
      <c r="BK1813" s="2">
        <v>5</v>
      </c>
      <c r="BL1813" s="2">
        <v>32.6</v>
      </c>
      <c r="BM1813" s="2">
        <v>4.5599999999999996</v>
      </c>
      <c r="BN1813" s="2">
        <v>37.159999999999997</v>
      </c>
      <c r="BO1813" s="2">
        <v>37.159999999999997</v>
      </c>
      <c r="BP1813" s="2"/>
      <c r="BQ1813" s="2" t="s">
        <v>2318</v>
      </c>
      <c r="BR1813" s="2" t="s">
        <v>84</v>
      </c>
      <c r="BS1813" s="3">
        <v>42843</v>
      </c>
      <c r="BT1813" s="4">
        <v>0.30555555555555552</v>
      </c>
      <c r="BU1813" s="2" t="s">
        <v>2319</v>
      </c>
      <c r="BV1813" s="2" t="s">
        <v>86</v>
      </c>
      <c r="BW1813" s="2" t="s">
        <v>164</v>
      </c>
      <c r="BX1813" s="2" t="s">
        <v>618</v>
      </c>
      <c r="BY1813" s="2">
        <v>5444.91</v>
      </c>
      <c r="BZ1813" s="2"/>
      <c r="CA1813" s="2" t="s">
        <v>2320</v>
      </c>
      <c r="CB1813" s="2"/>
      <c r="CC1813" s="2" t="s">
        <v>504</v>
      </c>
      <c r="CD1813" s="2">
        <v>1501</v>
      </c>
      <c r="CE1813" s="2" t="s">
        <v>89</v>
      </c>
      <c r="CF1813" s="5">
        <v>42843</v>
      </c>
      <c r="CG1813" s="2"/>
      <c r="CH1813" s="2"/>
      <c r="CI1813" s="2">
        <v>1</v>
      </c>
      <c r="CJ1813" s="2">
        <v>3</v>
      </c>
      <c r="CK1813" s="2">
        <v>22</v>
      </c>
      <c r="CL1813" s="2" t="s">
        <v>86</v>
      </c>
      <c r="CM1813" s="2"/>
    </row>
    <row r="1814" spans="1:91">
      <c r="A1814" s="2" t="s">
        <v>71</v>
      </c>
      <c r="B1814" s="2" t="s">
        <v>72</v>
      </c>
      <c r="C1814" s="2" t="s">
        <v>73</v>
      </c>
      <c r="D1814" s="2"/>
      <c r="E1814" s="2" t="str">
        <f>"FES1162543518"</f>
        <v>FES1162543518</v>
      </c>
      <c r="F1814" s="3">
        <v>42838</v>
      </c>
      <c r="G1814" s="2">
        <v>201710</v>
      </c>
      <c r="H1814" s="2" t="s">
        <v>74</v>
      </c>
      <c r="I1814" s="2" t="s">
        <v>75</v>
      </c>
      <c r="J1814" s="2" t="s">
        <v>76</v>
      </c>
      <c r="K1814" s="2" t="s">
        <v>77</v>
      </c>
      <c r="L1814" s="2" t="s">
        <v>166</v>
      </c>
      <c r="M1814" s="2" t="s">
        <v>167</v>
      </c>
      <c r="N1814" s="2" t="s">
        <v>2183</v>
      </c>
      <c r="O1814" s="2" t="s">
        <v>115</v>
      </c>
      <c r="P1814" s="2" t="str">
        <f>"2170556273                    "</f>
        <v xml:space="preserve">2170556273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3.35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2.1</v>
      </c>
      <c r="BJ1814" s="2">
        <v>3.2</v>
      </c>
      <c r="BK1814" s="2">
        <v>4</v>
      </c>
      <c r="BL1814" s="2">
        <v>32.6</v>
      </c>
      <c r="BM1814" s="2">
        <v>4.5599999999999996</v>
      </c>
      <c r="BN1814" s="2">
        <v>37.159999999999997</v>
      </c>
      <c r="BO1814" s="2">
        <v>37.159999999999997</v>
      </c>
      <c r="BP1814" s="2"/>
      <c r="BQ1814" s="2" t="s">
        <v>2184</v>
      </c>
      <c r="BR1814" s="2" t="s">
        <v>84</v>
      </c>
      <c r="BS1814" s="3">
        <v>42843</v>
      </c>
      <c r="BT1814" s="4">
        <v>0.37083333333333335</v>
      </c>
      <c r="BU1814" s="2" t="s">
        <v>2321</v>
      </c>
      <c r="BV1814" s="2" t="s">
        <v>86</v>
      </c>
      <c r="BW1814" s="2" t="s">
        <v>164</v>
      </c>
      <c r="BX1814" s="2" t="s">
        <v>618</v>
      </c>
      <c r="BY1814" s="2">
        <v>15934.05</v>
      </c>
      <c r="BZ1814" s="2"/>
      <c r="CA1814" s="2" t="s">
        <v>2312</v>
      </c>
      <c r="CB1814" s="2"/>
      <c r="CC1814" s="2" t="s">
        <v>167</v>
      </c>
      <c r="CD1814" s="2">
        <v>2094</v>
      </c>
      <c r="CE1814" s="2" t="s">
        <v>775</v>
      </c>
      <c r="CF1814" s="5">
        <v>42843</v>
      </c>
      <c r="CG1814" s="2"/>
      <c r="CH1814" s="2"/>
      <c r="CI1814" s="2">
        <v>1</v>
      </c>
      <c r="CJ1814" s="2">
        <v>3</v>
      </c>
      <c r="CK1814" s="2">
        <v>22</v>
      </c>
      <c r="CL1814" s="2" t="s">
        <v>86</v>
      </c>
      <c r="CM1814" s="2"/>
    </row>
    <row r="1815" spans="1:91">
      <c r="A1815" s="2" t="s">
        <v>71</v>
      </c>
      <c r="B1815" s="2" t="s">
        <v>72</v>
      </c>
      <c r="C1815" s="2" t="s">
        <v>73</v>
      </c>
      <c r="D1815" s="2"/>
      <c r="E1815" s="2" t="str">
        <f>"FES1162543643"</f>
        <v>FES1162543643</v>
      </c>
      <c r="F1815" s="3">
        <v>42838</v>
      </c>
      <c r="G1815" s="2">
        <v>201710</v>
      </c>
      <c r="H1815" s="2" t="s">
        <v>74</v>
      </c>
      <c r="I1815" s="2" t="s">
        <v>75</v>
      </c>
      <c r="J1815" s="2" t="s">
        <v>76</v>
      </c>
      <c r="K1815" s="2" t="s">
        <v>77</v>
      </c>
      <c r="L1815" s="2" t="s">
        <v>74</v>
      </c>
      <c r="M1815" s="2" t="s">
        <v>75</v>
      </c>
      <c r="N1815" s="2" t="s">
        <v>1157</v>
      </c>
      <c r="O1815" s="2" t="s">
        <v>115</v>
      </c>
      <c r="P1815" s="2" t="str">
        <f>"2170560085                    "</f>
        <v xml:space="preserve">2170560085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3.35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1</v>
      </c>
      <c r="BJ1815" s="2">
        <v>0.2</v>
      </c>
      <c r="BK1815" s="2">
        <v>1</v>
      </c>
      <c r="BL1815" s="2">
        <v>32.6</v>
      </c>
      <c r="BM1815" s="2">
        <v>4.5599999999999996</v>
      </c>
      <c r="BN1815" s="2">
        <v>37.159999999999997</v>
      </c>
      <c r="BO1815" s="2">
        <v>37.159999999999997</v>
      </c>
      <c r="BP1815" s="2"/>
      <c r="BQ1815" s="2" t="s">
        <v>1158</v>
      </c>
      <c r="BR1815" s="2" t="s">
        <v>84</v>
      </c>
      <c r="BS1815" s="3">
        <v>42843</v>
      </c>
      <c r="BT1815" s="4">
        <v>0.41666666666666669</v>
      </c>
      <c r="BU1815" s="2" t="s">
        <v>1167</v>
      </c>
      <c r="BV1815" s="2" t="s">
        <v>86</v>
      </c>
      <c r="BW1815" s="2" t="s">
        <v>96</v>
      </c>
      <c r="BX1815" s="2" t="s">
        <v>812</v>
      </c>
      <c r="BY1815" s="2">
        <v>1200</v>
      </c>
      <c r="BZ1815" s="2"/>
      <c r="CA1815" s="2"/>
      <c r="CB1815" s="2"/>
      <c r="CC1815" s="2" t="s">
        <v>75</v>
      </c>
      <c r="CD1815" s="2">
        <v>1666</v>
      </c>
      <c r="CE1815" s="2" t="s">
        <v>118</v>
      </c>
      <c r="CF1815" s="5">
        <v>42844</v>
      </c>
      <c r="CG1815" s="2"/>
      <c r="CH1815" s="2"/>
      <c r="CI1815" s="2">
        <v>1</v>
      </c>
      <c r="CJ1815" s="2">
        <v>3</v>
      </c>
      <c r="CK1815" s="2">
        <v>22</v>
      </c>
      <c r="CL1815" s="2" t="s">
        <v>86</v>
      </c>
      <c r="CM1815" s="2"/>
    </row>
    <row r="1816" spans="1:91">
      <c r="A1816" s="2" t="s">
        <v>71</v>
      </c>
      <c r="B1816" s="2" t="s">
        <v>72</v>
      </c>
      <c r="C1816" s="2" t="s">
        <v>73</v>
      </c>
      <c r="D1816" s="2"/>
      <c r="E1816" s="2" t="str">
        <f>"FES1162543515"</f>
        <v>FES1162543515</v>
      </c>
      <c r="F1816" s="3">
        <v>42838</v>
      </c>
      <c r="G1816" s="2">
        <v>201710</v>
      </c>
      <c r="H1816" s="2" t="s">
        <v>74</v>
      </c>
      <c r="I1816" s="2" t="s">
        <v>75</v>
      </c>
      <c r="J1816" s="2" t="s">
        <v>76</v>
      </c>
      <c r="K1816" s="2" t="s">
        <v>77</v>
      </c>
      <c r="L1816" s="2" t="s">
        <v>99</v>
      </c>
      <c r="M1816" s="2" t="s">
        <v>100</v>
      </c>
      <c r="N1816" s="2" t="s">
        <v>1682</v>
      </c>
      <c r="O1816" s="2" t="s">
        <v>115</v>
      </c>
      <c r="P1816" s="2" t="str">
        <f>"2170562214                    "</f>
        <v xml:space="preserve">2170562214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4.29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1</v>
      </c>
      <c r="BJ1816" s="2">
        <v>0.2</v>
      </c>
      <c r="BK1816" s="2">
        <v>1</v>
      </c>
      <c r="BL1816" s="2">
        <v>41.73</v>
      </c>
      <c r="BM1816" s="2">
        <v>5.84</v>
      </c>
      <c r="BN1816" s="2">
        <v>47.57</v>
      </c>
      <c r="BO1816" s="2">
        <v>47.57</v>
      </c>
      <c r="BP1816" s="2"/>
      <c r="BQ1816" s="2" t="s">
        <v>1683</v>
      </c>
      <c r="BR1816" s="2" t="s">
        <v>84</v>
      </c>
      <c r="BS1816" s="3">
        <v>42843</v>
      </c>
      <c r="BT1816" s="4">
        <v>0.33194444444444443</v>
      </c>
      <c r="BU1816" s="2" t="s">
        <v>130</v>
      </c>
      <c r="BV1816" s="2" t="s">
        <v>86</v>
      </c>
      <c r="BW1816" s="2" t="s">
        <v>96</v>
      </c>
      <c r="BX1816" s="2" t="s">
        <v>1140</v>
      </c>
      <c r="BY1816" s="2">
        <v>1200</v>
      </c>
      <c r="BZ1816" s="2"/>
      <c r="CA1816" s="2"/>
      <c r="CB1816" s="2"/>
      <c r="CC1816" s="2" t="s">
        <v>100</v>
      </c>
      <c r="CD1816" s="2">
        <v>6001</v>
      </c>
      <c r="CE1816" s="2" t="s">
        <v>118</v>
      </c>
      <c r="CF1816" s="5">
        <v>42844</v>
      </c>
      <c r="CG1816" s="2"/>
      <c r="CH1816" s="2"/>
      <c r="CI1816" s="2">
        <v>1</v>
      </c>
      <c r="CJ1816" s="2">
        <v>3</v>
      </c>
      <c r="CK1816" s="2">
        <v>21</v>
      </c>
      <c r="CL1816" s="2" t="s">
        <v>86</v>
      </c>
      <c r="CM1816" s="2"/>
    </row>
    <row r="1817" spans="1:91">
      <c r="A1817" s="2" t="s">
        <v>71</v>
      </c>
      <c r="B1817" s="2" t="s">
        <v>72</v>
      </c>
      <c r="C1817" s="2" t="s">
        <v>73</v>
      </c>
      <c r="D1817" s="2"/>
      <c r="E1817" s="2" t="str">
        <f>"FES1162543563"</f>
        <v>FES1162543563</v>
      </c>
      <c r="F1817" s="3">
        <v>42838</v>
      </c>
      <c r="G1817" s="2">
        <v>201710</v>
      </c>
      <c r="H1817" s="2" t="s">
        <v>74</v>
      </c>
      <c r="I1817" s="2" t="s">
        <v>75</v>
      </c>
      <c r="J1817" s="2" t="s">
        <v>76</v>
      </c>
      <c r="K1817" s="2" t="s">
        <v>77</v>
      </c>
      <c r="L1817" s="2" t="s">
        <v>358</v>
      </c>
      <c r="M1817" s="2" t="s">
        <v>359</v>
      </c>
      <c r="N1817" s="2" t="s">
        <v>800</v>
      </c>
      <c r="O1817" s="2" t="s">
        <v>115</v>
      </c>
      <c r="P1817" s="2" t="str">
        <f>"2170562229                    "</f>
        <v xml:space="preserve">2170562229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4.29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1</v>
      </c>
      <c r="BJ1817" s="2">
        <v>0.2</v>
      </c>
      <c r="BK1817" s="2">
        <v>1</v>
      </c>
      <c r="BL1817" s="2">
        <v>41.73</v>
      </c>
      <c r="BM1817" s="2">
        <v>5.84</v>
      </c>
      <c r="BN1817" s="2">
        <v>47.57</v>
      </c>
      <c r="BO1817" s="2">
        <v>47.57</v>
      </c>
      <c r="BP1817" s="2"/>
      <c r="BQ1817" s="2" t="s">
        <v>801</v>
      </c>
      <c r="BR1817" s="2" t="s">
        <v>84</v>
      </c>
      <c r="BS1817" s="3">
        <v>42843</v>
      </c>
      <c r="BT1817" s="4">
        <v>0.3125</v>
      </c>
      <c r="BU1817" s="2" t="s">
        <v>2302</v>
      </c>
      <c r="BV1817" s="2" t="s">
        <v>86</v>
      </c>
      <c r="BW1817" s="2" t="s">
        <v>104</v>
      </c>
      <c r="BX1817" s="2" t="s">
        <v>105</v>
      </c>
      <c r="BY1817" s="2">
        <v>1200</v>
      </c>
      <c r="BZ1817" s="2"/>
      <c r="CA1817" s="2"/>
      <c r="CB1817" s="2"/>
      <c r="CC1817" s="2" t="s">
        <v>359</v>
      </c>
      <c r="CD1817" s="2">
        <v>6230</v>
      </c>
      <c r="CE1817" s="2" t="s">
        <v>118</v>
      </c>
      <c r="CF1817" s="5">
        <v>42845</v>
      </c>
      <c r="CG1817" s="2"/>
      <c r="CH1817" s="2"/>
      <c r="CI1817" s="2">
        <v>1</v>
      </c>
      <c r="CJ1817" s="2">
        <v>3</v>
      </c>
      <c r="CK1817" s="2">
        <v>21</v>
      </c>
      <c r="CL1817" s="2" t="s">
        <v>86</v>
      </c>
      <c r="CM1817" s="2"/>
    </row>
    <row r="1818" spans="1:91">
      <c r="A1818" s="2" t="s">
        <v>71</v>
      </c>
      <c r="B1818" s="2" t="s">
        <v>72</v>
      </c>
      <c r="C1818" s="2" t="s">
        <v>73</v>
      </c>
      <c r="D1818" s="2"/>
      <c r="E1818" s="2" t="str">
        <f>"FES1162543629"</f>
        <v>FES1162543629</v>
      </c>
      <c r="F1818" s="3">
        <v>42838</v>
      </c>
      <c r="G1818" s="2">
        <v>201710</v>
      </c>
      <c r="H1818" s="2" t="s">
        <v>74</v>
      </c>
      <c r="I1818" s="2" t="s">
        <v>75</v>
      </c>
      <c r="J1818" s="2" t="s">
        <v>76</v>
      </c>
      <c r="K1818" s="2" t="s">
        <v>77</v>
      </c>
      <c r="L1818" s="2" t="s">
        <v>99</v>
      </c>
      <c r="M1818" s="2" t="s">
        <v>100</v>
      </c>
      <c r="N1818" s="2" t="s">
        <v>1471</v>
      </c>
      <c r="O1818" s="2" t="s">
        <v>115</v>
      </c>
      <c r="P1818" s="2" t="str">
        <f>"2170562288                    "</f>
        <v xml:space="preserve">2170562288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4.29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1</v>
      </c>
      <c r="BJ1818" s="2">
        <v>0.2</v>
      </c>
      <c r="BK1818" s="2">
        <v>1</v>
      </c>
      <c r="BL1818" s="2">
        <v>41.73</v>
      </c>
      <c r="BM1818" s="2">
        <v>5.84</v>
      </c>
      <c r="BN1818" s="2">
        <v>47.57</v>
      </c>
      <c r="BO1818" s="2">
        <v>47.57</v>
      </c>
      <c r="BP1818" s="2"/>
      <c r="BQ1818" s="2" t="s">
        <v>1472</v>
      </c>
      <c r="BR1818" s="2" t="s">
        <v>84</v>
      </c>
      <c r="BS1818" s="3">
        <v>42843</v>
      </c>
      <c r="BT1818" s="4">
        <v>0.32569444444444445</v>
      </c>
      <c r="BU1818" s="2" t="s">
        <v>2301</v>
      </c>
      <c r="BV1818" s="2" t="s">
        <v>86</v>
      </c>
      <c r="BW1818" s="2" t="s">
        <v>104</v>
      </c>
      <c r="BX1818" s="2" t="s">
        <v>105</v>
      </c>
      <c r="BY1818" s="2">
        <v>1200</v>
      </c>
      <c r="BZ1818" s="2"/>
      <c r="CA1818" s="2" t="s">
        <v>106</v>
      </c>
      <c r="CB1818" s="2"/>
      <c r="CC1818" s="2" t="s">
        <v>100</v>
      </c>
      <c r="CD1818" s="2">
        <v>6001</v>
      </c>
      <c r="CE1818" s="2" t="s">
        <v>118</v>
      </c>
      <c r="CF1818" s="5">
        <v>42843</v>
      </c>
      <c r="CG1818" s="2"/>
      <c r="CH1818" s="2"/>
      <c r="CI1818" s="2">
        <v>1</v>
      </c>
      <c r="CJ1818" s="2">
        <v>3</v>
      </c>
      <c r="CK1818" s="2">
        <v>21</v>
      </c>
      <c r="CL1818" s="2" t="s">
        <v>86</v>
      </c>
      <c r="CM1818" s="2"/>
    </row>
    <row r="1819" spans="1:91">
      <c r="A1819" s="2" t="s">
        <v>71</v>
      </c>
      <c r="B1819" s="2" t="s">
        <v>72</v>
      </c>
      <c r="C1819" s="2" t="s">
        <v>73</v>
      </c>
      <c r="D1819" s="2"/>
      <c r="E1819" s="2" t="str">
        <f>"FES1162543644"</f>
        <v>FES1162543644</v>
      </c>
      <c r="F1819" s="3">
        <v>42838</v>
      </c>
      <c r="G1819" s="2">
        <v>201710</v>
      </c>
      <c r="H1819" s="2" t="s">
        <v>74</v>
      </c>
      <c r="I1819" s="2" t="s">
        <v>75</v>
      </c>
      <c r="J1819" s="2" t="s">
        <v>76</v>
      </c>
      <c r="K1819" s="2" t="s">
        <v>77</v>
      </c>
      <c r="L1819" s="2" t="s">
        <v>74</v>
      </c>
      <c r="M1819" s="2" t="s">
        <v>75</v>
      </c>
      <c r="N1819" s="2" t="s">
        <v>1475</v>
      </c>
      <c r="O1819" s="2" t="s">
        <v>115</v>
      </c>
      <c r="P1819" s="2" t="str">
        <f>"2170560143                    "</f>
        <v xml:space="preserve">2170560143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3.35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1</v>
      </c>
      <c r="BJ1819" s="2">
        <v>0.2</v>
      </c>
      <c r="BK1819" s="2">
        <v>1</v>
      </c>
      <c r="BL1819" s="2">
        <v>32.6</v>
      </c>
      <c r="BM1819" s="2">
        <v>4.5599999999999996</v>
      </c>
      <c r="BN1819" s="2">
        <v>37.159999999999997</v>
      </c>
      <c r="BO1819" s="2">
        <v>37.159999999999997</v>
      </c>
      <c r="BP1819" s="2"/>
      <c r="BQ1819" s="2" t="s">
        <v>1476</v>
      </c>
      <c r="BR1819" s="2" t="s">
        <v>84</v>
      </c>
      <c r="BS1819" s="3">
        <v>42843</v>
      </c>
      <c r="BT1819" s="4">
        <v>0.33333333333333331</v>
      </c>
      <c r="BU1819" s="2" t="s">
        <v>1894</v>
      </c>
      <c r="BV1819" s="2" t="s">
        <v>86</v>
      </c>
      <c r="BW1819" s="2" t="s">
        <v>96</v>
      </c>
      <c r="BX1819" s="2" t="s">
        <v>812</v>
      </c>
      <c r="BY1819" s="2">
        <v>1200</v>
      </c>
      <c r="BZ1819" s="2"/>
      <c r="CA1819" s="2"/>
      <c r="CB1819" s="2"/>
      <c r="CC1819" s="2" t="s">
        <v>75</v>
      </c>
      <c r="CD1819" s="2">
        <v>1665</v>
      </c>
      <c r="CE1819" s="2" t="s">
        <v>118</v>
      </c>
      <c r="CF1819" s="5">
        <v>42844</v>
      </c>
      <c r="CG1819" s="2"/>
      <c r="CH1819" s="2"/>
      <c r="CI1819" s="2">
        <v>1</v>
      </c>
      <c r="CJ1819" s="2">
        <v>3</v>
      </c>
      <c r="CK1819" s="2">
        <v>22</v>
      </c>
      <c r="CL1819" s="2" t="s">
        <v>86</v>
      </c>
      <c r="CM1819" s="2"/>
    </row>
    <row r="1820" spans="1:91">
      <c r="A1820" s="2" t="s">
        <v>71</v>
      </c>
      <c r="B1820" s="2" t="s">
        <v>72</v>
      </c>
      <c r="C1820" s="2" t="s">
        <v>73</v>
      </c>
      <c r="D1820" s="2"/>
      <c r="E1820" s="2" t="str">
        <f>"009932187245"</f>
        <v>009932187245</v>
      </c>
      <c r="F1820" s="3">
        <v>42838</v>
      </c>
      <c r="G1820" s="2">
        <v>201710</v>
      </c>
      <c r="H1820" s="2" t="s">
        <v>74</v>
      </c>
      <c r="I1820" s="2" t="s">
        <v>75</v>
      </c>
      <c r="J1820" s="2" t="s">
        <v>76</v>
      </c>
      <c r="K1820" s="2" t="s">
        <v>77</v>
      </c>
      <c r="L1820" s="2" t="s">
        <v>187</v>
      </c>
      <c r="M1820" s="2" t="s">
        <v>146</v>
      </c>
      <c r="N1820" s="2" t="s">
        <v>1461</v>
      </c>
      <c r="O1820" s="2" t="s">
        <v>115</v>
      </c>
      <c r="P1820" s="2" t="str">
        <f>"1162541055                    "</f>
        <v xml:space="preserve">1162541055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4.29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1.2</v>
      </c>
      <c r="BJ1820" s="2">
        <v>1.6</v>
      </c>
      <c r="BK1820" s="2">
        <v>2</v>
      </c>
      <c r="BL1820" s="2">
        <v>41.73</v>
      </c>
      <c r="BM1820" s="2">
        <v>5.84</v>
      </c>
      <c r="BN1820" s="2">
        <v>47.57</v>
      </c>
      <c r="BO1820" s="2">
        <v>47.57</v>
      </c>
      <c r="BP1820" s="2" t="s">
        <v>2165</v>
      </c>
      <c r="BQ1820" s="2" t="s">
        <v>1462</v>
      </c>
      <c r="BR1820" s="2" t="s">
        <v>84</v>
      </c>
      <c r="BS1820" s="3">
        <v>42843</v>
      </c>
      <c r="BT1820" s="4">
        <v>0.39652777777777781</v>
      </c>
      <c r="BU1820" s="2" t="s">
        <v>2322</v>
      </c>
      <c r="BV1820" s="2" t="s">
        <v>86</v>
      </c>
      <c r="BW1820" s="2"/>
      <c r="BX1820" s="2"/>
      <c r="BY1820" s="2">
        <v>8094.68</v>
      </c>
      <c r="BZ1820" s="2"/>
      <c r="CA1820" s="2" t="s">
        <v>1812</v>
      </c>
      <c r="CB1820" s="2"/>
      <c r="CC1820" s="2" t="s">
        <v>146</v>
      </c>
      <c r="CD1820" s="2">
        <v>182</v>
      </c>
      <c r="CE1820" s="2" t="s">
        <v>118</v>
      </c>
      <c r="CF1820" s="5">
        <v>42845</v>
      </c>
      <c r="CG1820" s="2"/>
      <c r="CH1820" s="2"/>
      <c r="CI1820" s="2">
        <v>0</v>
      </c>
      <c r="CJ1820" s="2">
        <v>0</v>
      </c>
      <c r="CK1820" s="2">
        <v>21</v>
      </c>
      <c r="CL1820" s="2" t="s">
        <v>86</v>
      </c>
      <c r="CM1820" s="2"/>
    </row>
    <row r="1821" spans="1:91">
      <c r="A1821" s="2" t="s">
        <v>71</v>
      </c>
      <c r="B1821" s="2" t="s">
        <v>72</v>
      </c>
      <c r="C1821" s="2" t="s">
        <v>73</v>
      </c>
      <c r="D1821" s="2"/>
      <c r="E1821" s="2" t="str">
        <f>"FES1162543619"</f>
        <v>FES1162543619</v>
      </c>
      <c r="F1821" s="3">
        <v>42838</v>
      </c>
      <c r="G1821" s="2">
        <v>201710</v>
      </c>
      <c r="H1821" s="2" t="s">
        <v>74</v>
      </c>
      <c r="I1821" s="2" t="s">
        <v>75</v>
      </c>
      <c r="J1821" s="2" t="s">
        <v>76</v>
      </c>
      <c r="K1821" s="2" t="s">
        <v>77</v>
      </c>
      <c r="L1821" s="2" t="s">
        <v>99</v>
      </c>
      <c r="M1821" s="2" t="s">
        <v>100</v>
      </c>
      <c r="N1821" s="2" t="s">
        <v>108</v>
      </c>
      <c r="O1821" s="2" t="s">
        <v>115</v>
      </c>
      <c r="P1821" s="2" t="str">
        <f>"2170560213                    "</f>
        <v xml:space="preserve">2170560213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8.57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3.9</v>
      </c>
      <c r="BJ1821" s="2">
        <v>1.7</v>
      </c>
      <c r="BK1821" s="2">
        <v>4</v>
      </c>
      <c r="BL1821" s="2">
        <v>83.45</v>
      </c>
      <c r="BM1821" s="2">
        <v>11.68</v>
      </c>
      <c r="BN1821" s="2">
        <v>95.13</v>
      </c>
      <c r="BO1821" s="2">
        <v>95.13</v>
      </c>
      <c r="BP1821" s="2"/>
      <c r="BQ1821" s="2" t="s">
        <v>109</v>
      </c>
      <c r="BR1821" s="2" t="s">
        <v>84</v>
      </c>
      <c r="BS1821" s="3">
        <v>42843</v>
      </c>
      <c r="BT1821" s="4">
        <v>0.40277777777777773</v>
      </c>
      <c r="BU1821" s="2" t="s">
        <v>109</v>
      </c>
      <c r="BV1821" s="2" t="s">
        <v>86</v>
      </c>
      <c r="BW1821" s="2" t="s">
        <v>104</v>
      </c>
      <c r="BX1821" s="2" t="s">
        <v>105</v>
      </c>
      <c r="BY1821" s="2">
        <v>8266.1</v>
      </c>
      <c r="BZ1821" s="2"/>
      <c r="CA1821" s="2"/>
      <c r="CB1821" s="2"/>
      <c r="CC1821" s="2" t="s">
        <v>100</v>
      </c>
      <c r="CD1821" s="2">
        <v>6001</v>
      </c>
      <c r="CE1821" s="2" t="s">
        <v>89</v>
      </c>
      <c r="CF1821" s="5">
        <v>42845</v>
      </c>
      <c r="CG1821" s="2"/>
      <c r="CH1821" s="2"/>
      <c r="CI1821" s="2">
        <v>1</v>
      </c>
      <c r="CJ1821" s="2">
        <v>3</v>
      </c>
      <c r="CK1821" s="2">
        <v>21</v>
      </c>
      <c r="CL1821" s="2" t="s">
        <v>86</v>
      </c>
      <c r="CM1821" s="2"/>
    </row>
    <row r="1822" spans="1:91">
      <c r="A1822" s="2" t="s">
        <v>71</v>
      </c>
      <c r="B1822" s="2" t="s">
        <v>72</v>
      </c>
      <c r="C1822" s="2" t="s">
        <v>73</v>
      </c>
      <c r="D1822" s="2"/>
      <c r="E1822" s="2" t="str">
        <f>"FES1162543621"</f>
        <v>FES1162543621</v>
      </c>
      <c r="F1822" s="3">
        <v>42838</v>
      </c>
      <c r="G1822" s="2">
        <v>201710</v>
      </c>
      <c r="H1822" s="2" t="s">
        <v>74</v>
      </c>
      <c r="I1822" s="2" t="s">
        <v>75</v>
      </c>
      <c r="J1822" s="2" t="s">
        <v>76</v>
      </c>
      <c r="K1822" s="2" t="s">
        <v>77</v>
      </c>
      <c r="L1822" s="2" t="s">
        <v>99</v>
      </c>
      <c r="M1822" s="2" t="s">
        <v>100</v>
      </c>
      <c r="N1822" s="2" t="s">
        <v>848</v>
      </c>
      <c r="O1822" s="2" t="s">
        <v>115</v>
      </c>
      <c r="P1822" s="2" t="str">
        <f>"2170560287                    "</f>
        <v xml:space="preserve">2170560287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7.5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1.5</v>
      </c>
      <c r="BJ1822" s="2">
        <v>3.3</v>
      </c>
      <c r="BK1822" s="2">
        <v>3.5</v>
      </c>
      <c r="BL1822" s="2">
        <v>73.02</v>
      </c>
      <c r="BM1822" s="2">
        <v>10.220000000000001</v>
      </c>
      <c r="BN1822" s="2">
        <v>83.24</v>
      </c>
      <c r="BO1822" s="2">
        <v>83.24</v>
      </c>
      <c r="BP1822" s="2"/>
      <c r="BQ1822" s="2" t="s">
        <v>849</v>
      </c>
      <c r="BR1822" s="2" t="s">
        <v>84</v>
      </c>
      <c r="BS1822" s="3">
        <v>42843</v>
      </c>
      <c r="BT1822" s="4">
        <v>0.3034722222222222</v>
      </c>
      <c r="BU1822" s="2" t="s">
        <v>2323</v>
      </c>
      <c r="BV1822" s="2" t="s">
        <v>86</v>
      </c>
      <c r="BW1822" s="2" t="s">
        <v>104</v>
      </c>
      <c r="BX1822" s="2" t="s">
        <v>105</v>
      </c>
      <c r="BY1822" s="2">
        <v>16634.88</v>
      </c>
      <c r="BZ1822" s="2"/>
      <c r="CA1822" s="2" t="s">
        <v>106</v>
      </c>
      <c r="CB1822" s="2"/>
      <c r="CC1822" s="2" t="s">
        <v>100</v>
      </c>
      <c r="CD1822" s="2">
        <v>6012</v>
      </c>
      <c r="CE1822" s="2" t="s">
        <v>89</v>
      </c>
      <c r="CF1822" s="5">
        <v>42843</v>
      </c>
      <c r="CG1822" s="2"/>
      <c r="CH1822" s="2"/>
      <c r="CI1822" s="2">
        <v>1</v>
      </c>
      <c r="CJ1822" s="2">
        <v>3</v>
      </c>
      <c r="CK1822" s="2">
        <v>21</v>
      </c>
      <c r="CL1822" s="2" t="s">
        <v>86</v>
      </c>
      <c r="CM1822" s="2"/>
    </row>
    <row r="1823" spans="1:91">
      <c r="A1823" s="2" t="s">
        <v>71</v>
      </c>
      <c r="B1823" s="2" t="s">
        <v>72</v>
      </c>
      <c r="C1823" s="2" t="s">
        <v>73</v>
      </c>
      <c r="D1823" s="2"/>
      <c r="E1823" s="2" t="str">
        <f>"FES1162543590"</f>
        <v>FES1162543590</v>
      </c>
      <c r="F1823" s="3">
        <v>42838</v>
      </c>
      <c r="G1823" s="2">
        <v>201710</v>
      </c>
      <c r="H1823" s="2" t="s">
        <v>74</v>
      </c>
      <c r="I1823" s="2" t="s">
        <v>75</v>
      </c>
      <c r="J1823" s="2" t="s">
        <v>76</v>
      </c>
      <c r="K1823" s="2" t="s">
        <v>77</v>
      </c>
      <c r="L1823" s="2" t="s">
        <v>166</v>
      </c>
      <c r="M1823" s="2" t="s">
        <v>167</v>
      </c>
      <c r="N1823" s="2" t="s">
        <v>168</v>
      </c>
      <c r="O1823" s="2" t="s">
        <v>115</v>
      </c>
      <c r="P1823" s="2" t="str">
        <f>"2170562262                    "</f>
        <v xml:space="preserve">2170562262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3.35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1.4</v>
      </c>
      <c r="BJ1823" s="2">
        <v>3.1</v>
      </c>
      <c r="BK1823" s="2">
        <v>4</v>
      </c>
      <c r="BL1823" s="2">
        <v>32.6</v>
      </c>
      <c r="BM1823" s="2">
        <v>4.5599999999999996</v>
      </c>
      <c r="BN1823" s="2">
        <v>37.159999999999997</v>
      </c>
      <c r="BO1823" s="2">
        <v>37.159999999999997</v>
      </c>
      <c r="BP1823" s="2"/>
      <c r="BQ1823" s="2" t="s">
        <v>169</v>
      </c>
      <c r="BR1823" s="2" t="s">
        <v>84</v>
      </c>
      <c r="BS1823" s="3">
        <v>42843</v>
      </c>
      <c r="BT1823" s="4">
        <v>0.38958333333333334</v>
      </c>
      <c r="BU1823" s="2" t="s">
        <v>2311</v>
      </c>
      <c r="BV1823" s="2" t="s">
        <v>86</v>
      </c>
      <c r="BW1823" s="2" t="s">
        <v>164</v>
      </c>
      <c r="BX1823" s="2" t="s">
        <v>618</v>
      </c>
      <c r="BY1823" s="2">
        <v>15738.94</v>
      </c>
      <c r="BZ1823" s="2"/>
      <c r="CA1823" s="2" t="s">
        <v>2312</v>
      </c>
      <c r="CB1823" s="2"/>
      <c r="CC1823" s="2" t="s">
        <v>167</v>
      </c>
      <c r="CD1823" s="2">
        <v>2094</v>
      </c>
      <c r="CE1823" s="2" t="s">
        <v>89</v>
      </c>
      <c r="CF1823" s="5">
        <v>42843</v>
      </c>
      <c r="CG1823" s="2"/>
      <c r="CH1823" s="2"/>
      <c r="CI1823" s="2">
        <v>1</v>
      </c>
      <c r="CJ1823" s="2">
        <v>3</v>
      </c>
      <c r="CK1823" s="2">
        <v>22</v>
      </c>
      <c r="CL1823" s="2" t="s">
        <v>86</v>
      </c>
      <c r="CM1823" s="2"/>
    </row>
    <row r="1824" spans="1:91">
      <c r="A1824" s="2" t="s">
        <v>71</v>
      </c>
      <c r="B1824" s="2" t="s">
        <v>72</v>
      </c>
      <c r="C1824" s="2" t="s">
        <v>73</v>
      </c>
      <c r="D1824" s="2"/>
      <c r="E1824" s="2" t="str">
        <f>"FES1162543520"</f>
        <v>FES1162543520</v>
      </c>
      <c r="F1824" s="3">
        <v>42838</v>
      </c>
      <c r="G1824" s="2">
        <v>201710</v>
      </c>
      <c r="H1824" s="2" t="s">
        <v>74</v>
      </c>
      <c r="I1824" s="2" t="s">
        <v>75</v>
      </c>
      <c r="J1824" s="2" t="s">
        <v>76</v>
      </c>
      <c r="K1824" s="2" t="s">
        <v>77</v>
      </c>
      <c r="L1824" s="2" t="s">
        <v>1611</v>
      </c>
      <c r="M1824" s="2" t="s">
        <v>1612</v>
      </c>
      <c r="N1824" s="2" t="s">
        <v>1613</v>
      </c>
      <c r="O1824" s="2" t="s">
        <v>115</v>
      </c>
      <c r="P1824" s="2" t="str">
        <f>"2170557133                    "</f>
        <v xml:space="preserve">2170557133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15.81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3.7</v>
      </c>
      <c r="BJ1824" s="2">
        <v>1.1000000000000001</v>
      </c>
      <c r="BK1824" s="2">
        <v>4</v>
      </c>
      <c r="BL1824" s="2">
        <v>153.87</v>
      </c>
      <c r="BM1824" s="2">
        <v>21.54</v>
      </c>
      <c r="BN1824" s="2">
        <v>175.41</v>
      </c>
      <c r="BO1824" s="2">
        <v>175.41</v>
      </c>
      <c r="BP1824" s="2"/>
      <c r="BQ1824" s="2" t="s">
        <v>1614</v>
      </c>
      <c r="BR1824" s="2" t="s">
        <v>84</v>
      </c>
      <c r="BS1824" s="3">
        <v>42843</v>
      </c>
      <c r="BT1824" s="4">
        <v>0.39583333333333331</v>
      </c>
      <c r="BU1824" s="2" t="s">
        <v>2324</v>
      </c>
      <c r="BV1824" s="2" t="s">
        <v>86</v>
      </c>
      <c r="BW1824" s="2" t="s">
        <v>96</v>
      </c>
      <c r="BX1824" s="2" t="s">
        <v>925</v>
      </c>
      <c r="BY1824" s="2">
        <v>5673.21</v>
      </c>
      <c r="BZ1824" s="2"/>
      <c r="CA1824" s="2" t="s">
        <v>159</v>
      </c>
      <c r="CB1824" s="2"/>
      <c r="CC1824" s="2" t="s">
        <v>1612</v>
      </c>
      <c r="CD1824" s="2">
        <v>9880</v>
      </c>
      <c r="CE1824" s="2" t="s">
        <v>89</v>
      </c>
      <c r="CF1824" s="5">
        <v>42845</v>
      </c>
      <c r="CG1824" s="2"/>
      <c r="CH1824" s="2"/>
      <c r="CI1824" s="2">
        <v>1</v>
      </c>
      <c r="CJ1824" s="2">
        <v>3</v>
      </c>
      <c r="CK1824" s="2">
        <v>23</v>
      </c>
      <c r="CL1824" s="2" t="s">
        <v>86</v>
      </c>
      <c r="CM1824" s="2"/>
    </row>
    <row r="1825" spans="1:91">
      <c r="A1825" s="2" t="s">
        <v>71</v>
      </c>
      <c r="B1825" s="2" t="s">
        <v>72</v>
      </c>
      <c r="C1825" s="2" t="s">
        <v>73</v>
      </c>
      <c r="D1825" s="2"/>
      <c r="E1825" s="2" t="str">
        <f>"FES1162543674"</f>
        <v>FES1162543674</v>
      </c>
      <c r="F1825" s="3">
        <v>42838</v>
      </c>
      <c r="G1825" s="2">
        <v>201710</v>
      </c>
      <c r="H1825" s="2" t="s">
        <v>74</v>
      </c>
      <c r="I1825" s="2" t="s">
        <v>75</v>
      </c>
      <c r="J1825" s="2" t="s">
        <v>76</v>
      </c>
      <c r="K1825" s="2" t="s">
        <v>77</v>
      </c>
      <c r="L1825" s="2" t="s">
        <v>99</v>
      </c>
      <c r="M1825" s="2" t="s">
        <v>100</v>
      </c>
      <c r="N1825" s="2" t="s">
        <v>848</v>
      </c>
      <c r="O1825" s="2" t="s">
        <v>115</v>
      </c>
      <c r="P1825" s="2" t="str">
        <f>"2170560287                    "</f>
        <v xml:space="preserve">2170560287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4.29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1</v>
      </c>
      <c r="BJ1825" s="2">
        <v>0.2</v>
      </c>
      <c r="BK1825" s="2">
        <v>1</v>
      </c>
      <c r="BL1825" s="2">
        <v>41.73</v>
      </c>
      <c r="BM1825" s="2">
        <v>5.84</v>
      </c>
      <c r="BN1825" s="2">
        <v>47.57</v>
      </c>
      <c r="BO1825" s="2">
        <v>47.57</v>
      </c>
      <c r="BP1825" s="2"/>
      <c r="BQ1825" s="2" t="s">
        <v>849</v>
      </c>
      <c r="BR1825" s="2" t="s">
        <v>84</v>
      </c>
      <c r="BS1825" s="3">
        <v>42843</v>
      </c>
      <c r="BT1825" s="4">
        <v>0.3034722222222222</v>
      </c>
      <c r="BU1825" s="2" t="s">
        <v>2323</v>
      </c>
      <c r="BV1825" s="2" t="s">
        <v>86</v>
      </c>
      <c r="BW1825" s="2" t="s">
        <v>104</v>
      </c>
      <c r="BX1825" s="2" t="s">
        <v>105</v>
      </c>
      <c r="BY1825" s="2">
        <v>1200</v>
      </c>
      <c r="BZ1825" s="2"/>
      <c r="CA1825" s="2" t="s">
        <v>106</v>
      </c>
      <c r="CB1825" s="2"/>
      <c r="CC1825" s="2" t="s">
        <v>100</v>
      </c>
      <c r="CD1825" s="2">
        <v>6012</v>
      </c>
      <c r="CE1825" s="2" t="s">
        <v>118</v>
      </c>
      <c r="CF1825" s="5">
        <v>42843</v>
      </c>
      <c r="CG1825" s="2"/>
      <c r="CH1825" s="2"/>
      <c r="CI1825" s="2">
        <v>1</v>
      </c>
      <c r="CJ1825" s="2">
        <v>3</v>
      </c>
      <c r="CK1825" s="2">
        <v>21</v>
      </c>
      <c r="CL1825" s="2" t="s">
        <v>86</v>
      </c>
      <c r="CM1825" s="2"/>
    </row>
    <row r="1826" spans="1:91">
      <c r="A1826" s="2" t="s">
        <v>71</v>
      </c>
      <c r="B1826" s="2" t="s">
        <v>72</v>
      </c>
      <c r="C1826" s="2" t="s">
        <v>73</v>
      </c>
      <c r="D1826" s="2"/>
      <c r="E1826" s="2" t="str">
        <f>"FES1162543554"</f>
        <v>FES1162543554</v>
      </c>
      <c r="F1826" s="3">
        <v>42838</v>
      </c>
      <c r="G1826" s="2">
        <v>201710</v>
      </c>
      <c r="H1826" s="2" t="s">
        <v>74</v>
      </c>
      <c r="I1826" s="2" t="s">
        <v>75</v>
      </c>
      <c r="J1826" s="2" t="s">
        <v>76</v>
      </c>
      <c r="K1826" s="2" t="s">
        <v>77</v>
      </c>
      <c r="L1826" s="2" t="s">
        <v>234</v>
      </c>
      <c r="M1826" s="2" t="s">
        <v>235</v>
      </c>
      <c r="N1826" s="2" t="s">
        <v>236</v>
      </c>
      <c r="O1826" s="2" t="s">
        <v>115</v>
      </c>
      <c r="P1826" s="2" t="str">
        <f>"2170562225                    "</f>
        <v xml:space="preserve">2170562225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4.29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1</v>
      </c>
      <c r="BJ1826" s="2">
        <v>0.2</v>
      </c>
      <c r="BK1826" s="2">
        <v>1</v>
      </c>
      <c r="BL1826" s="2">
        <v>41.73</v>
      </c>
      <c r="BM1826" s="2">
        <v>5.84</v>
      </c>
      <c r="BN1826" s="2">
        <v>47.57</v>
      </c>
      <c r="BO1826" s="2">
        <v>47.57</v>
      </c>
      <c r="BP1826" s="2"/>
      <c r="BQ1826" s="2" t="s">
        <v>285</v>
      </c>
      <c r="BR1826" s="2" t="s">
        <v>84</v>
      </c>
      <c r="BS1826" s="3">
        <v>42843</v>
      </c>
      <c r="BT1826" s="4">
        <v>0.35069444444444442</v>
      </c>
      <c r="BU1826" s="2" t="s">
        <v>130</v>
      </c>
      <c r="BV1826" s="2" t="s">
        <v>86</v>
      </c>
      <c r="BW1826" s="2" t="s">
        <v>164</v>
      </c>
      <c r="BX1826" s="2" t="s">
        <v>1140</v>
      </c>
      <c r="BY1826" s="2">
        <v>1200</v>
      </c>
      <c r="BZ1826" s="2"/>
      <c r="CA1826" s="2"/>
      <c r="CB1826" s="2"/>
      <c r="CC1826" s="2" t="s">
        <v>235</v>
      </c>
      <c r="CD1826" s="2">
        <v>6220</v>
      </c>
      <c r="CE1826" s="2" t="s">
        <v>118</v>
      </c>
      <c r="CF1826" s="5">
        <v>42844</v>
      </c>
      <c r="CG1826" s="2"/>
      <c r="CH1826" s="2"/>
      <c r="CI1826" s="2">
        <v>1</v>
      </c>
      <c r="CJ1826" s="2">
        <v>3</v>
      </c>
      <c r="CK1826" s="2">
        <v>21</v>
      </c>
      <c r="CL1826" s="2" t="s">
        <v>86</v>
      </c>
      <c r="CM1826" s="2"/>
    </row>
    <row r="1827" spans="1:91">
      <c r="A1827" s="2" t="s">
        <v>71</v>
      </c>
      <c r="B1827" s="2" t="s">
        <v>72</v>
      </c>
      <c r="C1827" s="2" t="s">
        <v>73</v>
      </c>
      <c r="D1827" s="2"/>
      <c r="E1827" s="2" t="str">
        <f>"FES1162543721"</f>
        <v>FES1162543721</v>
      </c>
      <c r="F1827" s="3">
        <v>42838</v>
      </c>
      <c r="G1827" s="2">
        <v>201710</v>
      </c>
      <c r="H1827" s="2" t="s">
        <v>74</v>
      </c>
      <c r="I1827" s="2" t="s">
        <v>75</v>
      </c>
      <c r="J1827" s="2" t="s">
        <v>76</v>
      </c>
      <c r="K1827" s="2" t="s">
        <v>77</v>
      </c>
      <c r="L1827" s="2" t="s">
        <v>112</v>
      </c>
      <c r="M1827" s="2" t="s">
        <v>113</v>
      </c>
      <c r="N1827" s="2" t="s">
        <v>114</v>
      </c>
      <c r="O1827" s="2" t="s">
        <v>115</v>
      </c>
      <c r="P1827" s="2" t="str">
        <f>"2170558880                    "</f>
        <v xml:space="preserve">2170558880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16.079999999999998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7.4</v>
      </c>
      <c r="BJ1827" s="2">
        <v>3.5</v>
      </c>
      <c r="BK1827" s="2">
        <v>7.5</v>
      </c>
      <c r="BL1827" s="2">
        <v>156.47999999999999</v>
      </c>
      <c r="BM1827" s="2">
        <v>21.91</v>
      </c>
      <c r="BN1827" s="2">
        <v>178.39</v>
      </c>
      <c r="BO1827" s="2">
        <v>178.39</v>
      </c>
      <c r="BP1827" s="2"/>
      <c r="BQ1827" s="2" t="s">
        <v>116</v>
      </c>
      <c r="BR1827" s="2" t="s">
        <v>84</v>
      </c>
      <c r="BS1827" s="3">
        <v>42843</v>
      </c>
      <c r="BT1827" s="4">
        <v>0.40972222222222227</v>
      </c>
      <c r="BU1827" s="2" t="s">
        <v>533</v>
      </c>
      <c r="BV1827" s="2" t="s">
        <v>86</v>
      </c>
      <c r="BW1827" s="2" t="s">
        <v>2282</v>
      </c>
      <c r="BX1827" s="2" t="s">
        <v>2283</v>
      </c>
      <c r="BY1827" s="2">
        <v>17589.02</v>
      </c>
      <c r="BZ1827" s="2"/>
      <c r="CA1827" s="2"/>
      <c r="CB1827" s="2"/>
      <c r="CC1827" s="2" t="s">
        <v>113</v>
      </c>
      <c r="CD1827" s="2">
        <v>3201</v>
      </c>
      <c r="CE1827" s="2" t="s">
        <v>89</v>
      </c>
      <c r="CF1827" s="5">
        <v>42844</v>
      </c>
      <c r="CG1827" s="2"/>
      <c r="CH1827" s="2"/>
      <c r="CI1827" s="2">
        <v>1</v>
      </c>
      <c r="CJ1827" s="2">
        <v>3</v>
      </c>
      <c r="CK1827" s="2">
        <v>21</v>
      </c>
      <c r="CL1827" s="2" t="s">
        <v>86</v>
      </c>
      <c r="CM1827" s="2"/>
    </row>
    <row r="1828" spans="1:91">
      <c r="A1828" s="2" t="s">
        <v>71</v>
      </c>
      <c r="B1828" s="2" t="s">
        <v>72</v>
      </c>
      <c r="C1828" s="2" t="s">
        <v>73</v>
      </c>
      <c r="D1828" s="2"/>
      <c r="E1828" s="2" t="str">
        <f>"FES1162543703"</f>
        <v>FES1162543703</v>
      </c>
      <c r="F1828" s="3">
        <v>42838</v>
      </c>
      <c r="G1828" s="2">
        <v>201710</v>
      </c>
      <c r="H1828" s="2" t="s">
        <v>74</v>
      </c>
      <c r="I1828" s="2" t="s">
        <v>75</v>
      </c>
      <c r="J1828" s="2" t="s">
        <v>76</v>
      </c>
      <c r="K1828" s="2" t="s">
        <v>77</v>
      </c>
      <c r="L1828" s="2" t="s">
        <v>131</v>
      </c>
      <c r="M1828" s="2" t="s">
        <v>132</v>
      </c>
      <c r="N1828" s="2" t="s">
        <v>1069</v>
      </c>
      <c r="O1828" s="2" t="s">
        <v>115</v>
      </c>
      <c r="P1828" s="2" t="str">
        <f>"2170562340                    "</f>
        <v xml:space="preserve">2170562340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4.29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1</v>
      </c>
      <c r="BJ1828" s="2">
        <v>0.2</v>
      </c>
      <c r="BK1828" s="2">
        <v>1</v>
      </c>
      <c r="BL1828" s="2">
        <v>41.73</v>
      </c>
      <c r="BM1828" s="2">
        <v>5.84</v>
      </c>
      <c r="BN1828" s="2">
        <v>47.57</v>
      </c>
      <c r="BO1828" s="2">
        <v>47.57</v>
      </c>
      <c r="BP1828" s="2"/>
      <c r="BQ1828" s="2" t="s">
        <v>1070</v>
      </c>
      <c r="BR1828" s="2" t="s">
        <v>84</v>
      </c>
      <c r="BS1828" s="3">
        <v>42843</v>
      </c>
      <c r="BT1828" s="4">
        <v>0.39583333333333331</v>
      </c>
      <c r="BU1828" s="2" t="s">
        <v>896</v>
      </c>
      <c r="BV1828" s="2" t="s">
        <v>86</v>
      </c>
      <c r="BW1828" s="2" t="s">
        <v>157</v>
      </c>
      <c r="BX1828" s="2" t="s">
        <v>1537</v>
      </c>
      <c r="BY1828" s="2">
        <v>1200</v>
      </c>
      <c r="BZ1828" s="2"/>
      <c r="CA1828" s="2"/>
      <c r="CB1828" s="2"/>
      <c r="CC1828" s="2" t="s">
        <v>132</v>
      </c>
      <c r="CD1828" s="2">
        <v>7800</v>
      </c>
      <c r="CE1828" s="2" t="s">
        <v>118</v>
      </c>
      <c r="CF1828" s="5">
        <v>42844</v>
      </c>
      <c r="CG1828" s="2"/>
      <c r="CH1828" s="2"/>
      <c r="CI1828" s="2">
        <v>1</v>
      </c>
      <c r="CJ1828" s="2">
        <v>3</v>
      </c>
      <c r="CK1828" s="2">
        <v>21</v>
      </c>
      <c r="CL1828" s="2" t="s">
        <v>86</v>
      </c>
      <c r="CM1828" s="2"/>
    </row>
    <row r="1829" spans="1:91">
      <c r="A1829" s="2" t="s">
        <v>71</v>
      </c>
      <c r="B1829" s="2" t="s">
        <v>72</v>
      </c>
      <c r="C1829" s="2" t="s">
        <v>73</v>
      </c>
      <c r="D1829" s="2"/>
      <c r="E1829" s="2" t="str">
        <f>"FES1162543767"</f>
        <v>FES1162543767</v>
      </c>
      <c r="F1829" s="3">
        <v>42838</v>
      </c>
      <c r="G1829" s="2">
        <v>201710</v>
      </c>
      <c r="H1829" s="2" t="s">
        <v>74</v>
      </c>
      <c r="I1829" s="2" t="s">
        <v>75</v>
      </c>
      <c r="J1829" s="2" t="s">
        <v>76</v>
      </c>
      <c r="K1829" s="2" t="s">
        <v>77</v>
      </c>
      <c r="L1829" s="2" t="s">
        <v>516</v>
      </c>
      <c r="M1829" s="2" t="s">
        <v>517</v>
      </c>
      <c r="N1829" s="2" t="s">
        <v>1017</v>
      </c>
      <c r="O1829" s="2" t="s">
        <v>115</v>
      </c>
      <c r="P1829" s="2" t="str">
        <f>"2170562405                    "</f>
        <v xml:space="preserve">2170562405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3.35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1</v>
      </c>
      <c r="BJ1829" s="2">
        <v>0.2</v>
      </c>
      <c r="BK1829" s="2">
        <v>1</v>
      </c>
      <c r="BL1829" s="2">
        <v>32.6</v>
      </c>
      <c r="BM1829" s="2">
        <v>4.5599999999999996</v>
      </c>
      <c r="BN1829" s="2">
        <v>37.159999999999997</v>
      </c>
      <c r="BO1829" s="2">
        <v>37.159999999999997</v>
      </c>
      <c r="BP1829" s="2"/>
      <c r="BQ1829" s="2" t="s">
        <v>1018</v>
      </c>
      <c r="BR1829" s="2" t="s">
        <v>84</v>
      </c>
      <c r="BS1829" s="3">
        <v>42843</v>
      </c>
      <c r="BT1829" s="4">
        <v>0.4375</v>
      </c>
      <c r="BU1829" s="2" t="s">
        <v>2325</v>
      </c>
      <c r="BV1829" s="2" t="s">
        <v>86</v>
      </c>
      <c r="BW1829" s="2" t="s">
        <v>164</v>
      </c>
      <c r="BX1829" s="2" t="s">
        <v>618</v>
      </c>
      <c r="BY1829" s="2">
        <v>1200</v>
      </c>
      <c r="BZ1829" s="2"/>
      <c r="CA1829" s="2" t="s">
        <v>159</v>
      </c>
      <c r="CB1829" s="2"/>
      <c r="CC1829" s="2" t="s">
        <v>517</v>
      </c>
      <c r="CD1829" s="2">
        <v>1459</v>
      </c>
      <c r="CE1829" s="2" t="s">
        <v>118</v>
      </c>
      <c r="CF1829" s="5">
        <v>42844</v>
      </c>
      <c r="CG1829" s="2"/>
      <c r="CH1829" s="2"/>
      <c r="CI1829" s="2">
        <v>1</v>
      </c>
      <c r="CJ1829" s="2">
        <v>3</v>
      </c>
      <c r="CK1829" s="2">
        <v>22</v>
      </c>
      <c r="CL1829" s="2" t="s">
        <v>86</v>
      </c>
      <c r="CM1829" s="2"/>
    </row>
    <row r="1830" spans="1:91">
      <c r="A1830" s="2" t="s">
        <v>71</v>
      </c>
      <c r="B1830" s="2" t="s">
        <v>72</v>
      </c>
      <c r="C1830" s="2" t="s">
        <v>73</v>
      </c>
      <c r="D1830" s="2"/>
      <c r="E1830" s="2" t="str">
        <f>"FES1162543699"</f>
        <v>FES1162543699</v>
      </c>
      <c r="F1830" s="3">
        <v>42838</v>
      </c>
      <c r="G1830" s="2">
        <v>201710</v>
      </c>
      <c r="H1830" s="2" t="s">
        <v>74</v>
      </c>
      <c r="I1830" s="2" t="s">
        <v>75</v>
      </c>
      <c r="J1830" s="2" t="s">
        <v>76</v>
      </c>
      <c r="K1830" s="2" t="s">
        <v>77</v>
      </c>
      <c r="L1830" s="2" t="s">
        <v>176</v>
      </c>
      <c r="M1830" s="2" t="s">
        <v>176</v>
      </c>
      <c r="N1830" s="2" t="s">
        <v>1413</v>
      </c>
      <c r="O1830" s="2" t="s">
        <v>115</v>
      </c>
      <c r="P1830" s="2" t="str">
        <f>"2170562304                    "</f>
        <v xml:space="preserve">2170562304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4.29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1</v>
      </c>
      <c r="BJ1830" s="2">
        <v>0.2</v>
      </c>
      <c r="BK1830" s="2">
        <v>1</v>
      </c>
      <c r="BL1830" s="2">
        <v>41.73</v>
      </c>
      <c r="BM1830" s="2">
        <v>5.84</v>
      </c>
      <c r="BN1830" s="2">
        <v>47.57</v>
      </c>
      <c r="BO1830" s="2">
        <v>47.57</v>
      </c>
      <c r="BP1830" s="2"/>
      <c r="BQ1830" s="2" t="s">
        <v>83</v>
      </c>
      <c r="BR1830" s="2" t="s">
        <v>84</v>
      </c>
      <c r="BS1830" s="3">
        <v>42843</v>
      </c>
      <c r="BT1830" s="4">
        <v>0.53194444444444444</v>
      </c>
      <c r="BU1830" s="2" t="s">
        <v>1531</v>
      </c>
      <c r="BV1830" s="2" t="s">
        <v>86</v>
      </c>
      <c r="BW1830" s="2" t="s">
        <v>87</v>
      </c>
      <c r="BX1830" s="2" t="s">
        <v>1370</v>
      </c>
      <c r="BY1830" s="2">
        <v>1200</v>
      </c>
      <c r="BZ1830" s="2"/>
      <c r="CA1830" s="2"/>
      <c r="CB1830" s="2"/>
      <c r="CC1830" s="2" t="s">
        <v>176</v>
      </c>
      <c r="CD1830" s="2">
        <v>7620</v>
      </c>
      <c r="CE1830" s="2" t="s">
        <v>118</v>
      </c>
      <c r="CF1830" s="5">
        <v>42844</v>
      </c>
      <c r="CG1830" s="2"/>
      <c r="CH1830" s="2"/>
      <c r="CI1830" s="2">
        <v>1</v>
      </c>
      <c r="CJ1830" s="2">
        <v>3</v>
      </c>
      <c r="CK1830" s="2">
        <v>21</v>
      </c>
      <c r="CL1830" s="2" t="s">
        <v>86</v>
      </c>
      <c r="CM1830" s="2"/>
    </row>
    <row r="1831" spans="1:91">
      <c r="A1831" s="2" t="s">
        <v>71</v>
      </c>
      <c r="B1831" s="2" t="s">
        <v>72</v>
      </c>
      <c r="C1831" s="2" t="s">
        <v>73</v>
      </c>
      <c r="D1831" s="2"/>
      <c r="E1831" s="2" t="str">
        <f>"FES1162543586"</f>
        <v>FES1162543586</v>
      </c>
      <c r="F1831" s="3">
        <v>42838</v>
      </c>
      <c r="G1831" s="2">
        <v>201710</v>
      </c>
      <c r="H1831" s="2" t="s">
        <v>74</v>
      </c>
      <c r="I1831" s="2" t="s">
        <v>75</v>
      </c>
      <c r="J1831" s="2" t="s">
        <v>76</v>
      </c>
      <c r="K1831" s="2" t="s">
        <v>77</v>
      </c>
      <c r="L1831" s="2" t="s">
        <v>443</v>
      </c>
      <c r="M1831" s="2" t="s">
        <v>444</v>
      </c>
      <c r="N1831" s="2" t="s">
        <v>445</v>
      </c>
      <c r="O1831" s="2" t="s">
        <v>115</v>
      </c>
      <c r="P1831" s="2" t="str">
        <f>"2170562257                    "</f>
        <v xml:space="preserve">2170562257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4.29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1</v>
      </c>
      <c r="BJ1831" s="2">
        <v>0.2</v>
      </c>
      <c r="BK1831" s="2">
        <v>1</v>
      </c>
      <c r="BL1831" s="2">
        <v>41.73</v>
      </c>
      <c r="BM1831" s="2">
        <v>5.84</v>
      </c>
      <c r="BN1831" s="2">
        <v>47.57</v>
      </c>
      <c r="BO1831" s="2">
        <v>47.57</v>
      </c>
      <c r="BP1831" s="2"/>
      <c r="BQ1831" s="2" t="s">
        <v>129</v>
      </c>
      <c r="BR1831" s="2" t="s">
        <v>84</v>
      </c>
      <c r="BS1831" s="3">
        <v>42843</v>
      </c>
      <c r="BT1831" s="4">
        <v>0.41666666666666669</v>
      </c>
      <c r="BU1831" s="2" t="s">
        <v>2326</v>
      </c>
      <c r="BV1831" s="2" t="s">
        <v>86</v>
      </c>
      <c r="BW1831" s="2"/>
      <c r="BX1831" s="2"/>
      <c r="BY1831" s="2">
        <v>1200</v>
      </c>
      <c r="BZ1831" s="2"/>
      <c r="CA1831" s="2" t="s">
        <v>159</v>
      </c>
      <c r="CB1831" s="2"/>
      <c r="CC1831" s="2" t="s">
        <v>444</v>
      </c>
      <c r="CD1831" s="2">
        <v>7130</v>
      </c>
      <c r="CE1831" s="2" t="s">
        <v>118</v>
      </c>
      <c r="CF1831" s="5">
        <v>42844</v>
      </c>
      <c r="CG1831" s="2"/>
      <c r="CH1831" s="2"/>
      <c r="CI1831" s="2">
        <v>1</v>
      </c>
      <c r="CJ1831" s="2">
        <v>3</v>
      </c>
      <c r="CK1831" s="2">
        <v>21</v>
      </c>
      <c r="CL1831" s="2" t="s">
        <v>86</v>
      </c>
      <c r="CM1831" s="2"/>
    </row>
    <row r="1832" spans="1:91">
      <c r="A1832" s="2" t="s">
        <v>71</v>
      </c>
      <c r="B1832" s="2" t="s">
        <v>72</v>
      </c>
      <c r="C1832" s="2" t="s">
        <v>73</v>
      </c>
      <c r="D1832" s="2"/>
      <c r="E1832" s="2" t="str">
        <f>"FES1162543630"</f>
        <v>FES1162543630</v>
      </c>
      <c r="F1832" s="3">
        <v>42838</v>
      </c>
      <c r="G1832" s="2">
        <v>201710</v>
      </c>
      <c r="H1832" s="2" t="s">
        <v>74</v>
      </c>
      <c r="I1832" s="2" t="s">
        <v>75</v>
      </c>
      <c r="J1832" s="2" t="s">
        <v>76</v>
      </c>
      <c r="K1832" s="2" t="s">
        <v>77</v>
      </c>
      <c r="L1832" s="2" t="s">
        <v>131</v>
      </c>
      <c r="M1832" s="2" t="s">
        <v>132</v>
      </c>
      <c r="N1832" s="2" t="s">
        <v>2327</v>
      </c>
      <c r="O1832" s="2" t="s">
        <v>115</v>
      </c>
      <c r="P1832" s="2" t="str">
        <f>"2170562289                    "</f>
        <v xml:space="preserve">2170562289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4.29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1</v>
      </c>
      <c r="BJ1832" s="2">
        <v>0.2</v>
      </c>
      <c r="BK1832" s="2">
        <v>1</v>
      </c>
      <c r="BL1832" s="2">
        <v>41.73</v>
      </c>
      <c r="BM1832" s="2">
        <v>5.84</v>
      </c>
      <c r="BN1832" s="2">
        <v>47.57</v>
      </c>
      <c r="BO1832" s="2">
        <v>47.57</v>
      </c>
      <c r="BP1832" s="2"/>
      <c r="BQ1832" s="2" t="s">
        <v>2328</v>
      </c>
      <c r="BR1832" s="2" t="s">
        <v>84</v>
      </c>
      <c r="BS1832" s="3">
        <v>42843</v>
      </c>
      <c r="BT1832" s="4">
        <v>0.39583333333333331</v>
      </c>
      <c r="BU1832" s="2" t="s">
        <v>2329</v>
      </c>
      <c r="BV1832" s="2" t="s">
        <v>86</v>
      </c>
      <c r="BW1832" s="2" t="s">
        <v>157</v>
      </c>
      <c r="BX1832" s="2" t="s">
        <v>1537</v>
      </c>
      <c r="BY1832" s="2">
        <v>1200</v>
      </c>
      <c r="BZ1832" s="2"/>
      <c r="CA1832" s="2"/>
      <c r="CB1832" s="2"/>
      <c r="CC1832" s="2" t="s">
        <v>132</v>
      </c>
      <c r="CD1832" s="2">
        <v>7530</v>
      </c>
      <c r="CE1832" s="2" t="s">
        <v>118</v>
      </c>
      <c r="CF1832" s="5">
        <v>42844</v>
      </c>
      <c r="CG1832" s="2"/>
      <c r="CH1832" s="2"/>
      <c r="CI1832" s="2">
        <v>1</v>
      </c>
      <c r="CJ1832" s="2">
        <v>3</v>
      </c>
      <c r="CK1832" s="2">
        <v>21</v>
      </c>
      <c r="CL1832" s="2" t="s">
        <v>86</v>
      </c>
      <c r="CM1832" s="2"/>
    </row>
    <row r="1833" spans="1:91">
      <c r="A1833" s="2" t="s">
        <v>71</v>
      </c>
      <c r="B1833" s="2" t="s">
        <v>72</v>
      </c>
      <c r="C1833" s="2" t="s">
        <v>73</v>
      </c>
      <c r="D1833" s="2"/>
      <c r="E1833" s="2" t="str">
        <f>"FES1162543740"</f>
        <v>FES1162543740</v>
      </c>
      <c r="F1833" s="3">
        <v>42838</v>
      </c>
      <c r="G1833" s="2">
        <v>201710</v>
      </c>
      <c r="H1833" s="2" t="s">
        <v>74</v>
      </c>
      <c r="I1833" s="2" t="s">
        <v>75</v>
      </c>
      <c r="J1833" s="2" t="s">
        <v>76</v>
      </c>
      <c r="K1833" s="2" t="s">
        <v>77</v>
      </c>
      <c r="L1833" s="2" t="s">
        <v>74</v>
      </c>
      <c r="M1833" s="2" t="s">
        <v>75</v>
      </c>
      <c r="N1833" s="2" t="s">
        <v>2330</v>
      </c>
      <c r="O1833" s="2" t="s">
        <v>115</v>
      </c>
      <c r="P1833" s="2" t="str">
        <f>"2170562373                    "</f>
        <v xml:space="preserve">2170562373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3.35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</v>
      </c>
      <c r="BJ1833" s="2">
        <v>0.2</v>
      </c>
      <c r="BK1833" s="2">
        <v>1</v>
      </c>
      <c r="BL1833" s="2">
        <v>32.6</v>
      </c>
      <c r="BM1833" s="2">
        <v>4.5599999999999996</v>
      </c>
      <c r="BN1833" s="2">
        <v>37.159999999999997</v>
      </c>
      <c r="BO1833" s="2">
        <v>37.159999999999997</v>
      </c>
      <c r="BP1833" s="2"/>
      <c r="BQ1833" s="2" t="s">
        <v>122</v>
      </c>
      <c r="BR1833" s="2" t="s">
        <v>84</v>
      </c>
      <c r="BS1833" s="3">
        <v>42843</v>
      </c>
      <c r="BT1833" s="4">
        <v>0.3611111111111111</v>
      </c>
      <c r="BU1833" s="2" t="s">
        <v>2331</v>
      </c>
      <c r="BV1833" s="2" t="s">
        <v>86</v>
      </c>
      <c r="BW1833" s="2" t="s">
        <v>164</v>
      </c>
      <c r="BX1833" s="2" t="s">
        <v>2211</v>
      </c>
      <c r="BY1833" s="2">
        <v>1200</v>
      </c>
      <c r="BZ1833" s="2"/>
      <c r="CA1833" s="2"/>
      <c r="CB1833" s="2"/>
      <c r="CC1833" s="2" t="s">
        <v>75</v>
      </c>
      <c r="CD1833" s="2">
        <v>1600</v>
      </c>
      <c r="CE1833" s="2" t="s">
        <v>118</v>
      </c>
      <c r="CF1833" s="5">
        <v>42844</v>
      </c>
      <c r="CG1833" s="2"/>
      <c r="CH1833" s="2"/>
      <c r="CI1833" s="2">
        <v>1</v>
      </c>
      <c r="CJ1833" s="2">
        <v>3</v>
      </c>
      <c r="CK1833" s="2">
        <v>22</v>
      </c>
      <c r="CL1833" s="2" t="s">
        <v>86</v>
      </c>
      <c r="CM1833" s="2"/>
    </row>
    <row r="1834" spans="1:91">
      <c r="A1834" s="2" t="s">
        <v>71</v>
      </c>
      <c r="B1834" s="2" t="s">
        <v>72</v>
      </c>
      <c r="C1834" s="2" t="s">
        <v>73</v>
      </c>
      <c r="D1834" s="2"/>
      <c r="E1834" s="2" t="str">
        <f>"FES1162543766"</f>
        <v>FES1162543766</v>
      </c>
      <c r="F1834" s="3">
        <v>42838</v>
      </c>
      <c r="G1834" s="2">
        <v>201710</v>
      </c>
      <c r="H1834" s="2" t="s">
        <v>74</v>
      </c>
      <c r="I1834" s="2" t="s">
        <v>75</v>
      </c>
      <c r="J1834" s="2" t="s">
        <v>76</v>
      </c>
      <c r="K1834" s="2" t="s">
        <v>77</v>
      </c>
      <c r="L1834" s="2" t="s">
        <v>187</v>
      </c>
      <c r="M1834" s="2" t="s">
        <v>146</v>
      </c>
      <c r="N1834" s="2" t="s">
        <v>203</v>
      </c>
      <c r="O1834" s="2" t="s">
        <v>115</v>
      </c>
      <c r="P1834" s="2" t="str">
        <f>"2170562404                    "</f>
        <v xml:space="preserve">2170562404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4.29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1</v>
      </c>
      <c r="BJ1834" s="2">
        <v>0.2</v>
      </c>
      <c r="BK1834" s="2">
        <v>1</v>
      </c>
      <c r="BL1834" s="2">
        <v>41.73</v>
      </c>
      <c r="BM1834" s="2">
        <v>5.84</v>
      </c>
      <c r="BN1834" s="2">
        <v>47.57</v>
      </c>
      <c r="BO1834" s="2">
        <v>47.57</v>
      </c>
      <c r="BP1834" s="2"/>
      <c r="BQ1834" s="2" t="s">
        <v>122</v>
      </c>
      <c r="BR1834" s="2" t="s">
        <v>84</v>
      </c>
      <c r="BS1834" s="3">
        <v>42843</v>
      </c>
      <c r="BT1834" s="4">
        <v>0.35069444444444442</v>
      </c>
      <c r="BU1834" s="2" t="s">
        <v>2332</v>
      </c>
      <c r="BV1834" s="2" t="s">
        <v>86</v>
      </c>
      <c r="BW1834" s="2"/>
      <c r="BX1834" s="2"/>
      <c r="BY1834" s="2">
        <v>1200</v>
      </c>
      <c r="BZ1834" s="2"/>
      <c r="CA1834" s="2"/>
      <c r="CB1834" s="2"/>
      <c r="CC1834" s="2" t="s">
        <v>146</v>
      </c>
      <c r="CD1834" s="2">
        <v>183</v>
      </c>
      <c r="CE1834" s="2" t="s">
        <v>118</v>
      </c>
      <c r="CF1834" s="5">
        <v>42845</v>
      </c>
      <c r="CG1834" s="2"/>
      <c r="CH1834" s="2"/>
      <c r="CI1834" s="2">
        <v>0</v>
      </c>
      <c r="CJ1834" s="2">
        <v>0</v>
      </c>
      <c r="CK1834" s="2">
        <v>21</v>
      </c>
      <c r="CL1834" s="2" t="s">
        <v>86</v>
      </c>
      <c r="CM1834" s="2"/>
    </row>
    <row r="1835" spans="1:91">
      <c r="A1835" s="2" t="s">
        <v>71</v>
      </c>
      <c r="B1835" s="2" t="s">
        <v>72</v>
      </c>
      <c r="C1835" s="2" t="s">
        <v>73</v>
      </c>
      <c r="D1835" s="2"/>
      <c r="E1835" s="2" t="str">
        <f>"FES1162543688"</f>
        <v>FES1162543688</v>
      </c>
      <c r="F1835" s="3">
        <v>42838</v>
      </c>
      <c r="G1835" s="2">
        <v>201710</v>
      </c>
      <c r="H1835" s="2" t="s">
        <v>74</v>
      </c>
      <c r="I1835" s="2" t="s">
        <v>75</v>
      </c>
      <c r="J1835" s="2" t="s">
        <v>76</v>
      </c>
      <c r="K1835" s="2" t="s">
        <v>77</v>
      </c>
      <c r="L1835" s="2" t="s">
        <v>126</v>
      </c>
      <c r="M1835" s="2" t="s">
        <v>127</v>
      </c>
      <c r="N1835" s="2" t="s">
        <v>2172</v>
      </c>
      <c r="O1835" s="2" t="s">
        <v>115</v>
      </c>
      <c r="P1835" s="2" t="str">
        <f>"2170562317                    "</f>
        <v xml:space="preserve">2170562317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4.29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1</v>
      </c>
      <c r="BJ1835" s="2">
        <v>0.2</v>
      </c>
      <c r="BK1835" s="2">
        <v>1</v>
      </c>
      <c r="BL1835" s="2">
        <v>41.73</v>
      </c>
      <c r="BM1835" s="2">
        <v>5.84</v>
      </c>
      <c r="BN1835" s="2">
        <v>47.57</v>
      </c>
      <c r="BO1835" s="2">
        <v>47.57</v>
      </c>
      <c r="BP1835" s="2"/>
      <c r="BQ1835" s="2" t="s">
        <v>2173</v>
      </c>
      <c r="BR1835" s="2" t="s">
        <v>84</v>
      </c>
      <c r="BS1835" s="3">
        <v>42843</v>
      </c>
      <c r="BT1835" s="4">
        <v>0.41666666666666669</v>
      </c>
      <c r="BU1835" s="2" t="s">
        <v>2333</v>
      </c>
      <c r="BV1835" s="2" t="s">
        <v>111</v>
      </c>
      <c r="BW1835" s="2"/>
      <c r="BX1835" s="2"/>
      <c r="BY1835" s="2">
        <v>1200</v>
      </c>
      <c r="BZ1835" s="2"/>
      <c r="CA1835" s="2"/>
      <c r="CB1835" s="2"/>
      <c r="CC1835" s="2" t="s">
        <v>127</v>
      </c>
      <c r="CD1835" s="2">
        <v>6850</v>
      </c>
      <c r="CE1835" s="2" t="s">
        <v>118</v>
      </c>
      <c r="CF1835" s="5">
        <v>42844</v>
      </c>
      <c r="CG1835" s="2"/>
      <c r="CH1835" s="2"/>
      <c r="CI1835" s="2">
        <v>3</v>
      </c>
      <c r="CJ1835" s="2">
        <v>3</v>
      </c>
      <c r="CK1835" s="2">
        <v>21</v>
      </c>
      <c r="CL1835" s="2" t="s">
        <v>86</v>
      </c>
      <c r="CM1835" s="2"/>
    </row>
    <row r="1836" spans="1:91">
      <c r="A1836" s="2" t="s">
        <v>71</v>
      </c>
      <c r="B1836" s="2" t="s">
        <v>72</v>
      </c>
      <c r="C1836" s="2" t="s">
        <v>73</v>
      </c>
      <c r="D1836" s="2"/>
      <c r="E1836" s="2" t="str">
        <f>"FES1162543687"</f>
        <v>FES1162543687</v>
      </c>
      <c r="F1836" s="3">
        <v>42838</v>
      </c>
      <c r="G1836" s="2">
        <v>201710</v>
      </c>
      <c r="H1836" s="2" t="s">
        <v>74</v>
      </c>
      <c r="I1836" s="2" t="s">
        <v>75</v>
      </c>
      <c r="J1836" s="2" t="s">
        <v>76</v>
      </c>
      <c r="K1836" s="2" t="s">
        <v>77</v>
      </c>
      <c r="L1836" s="2" t="s">
        <v>176</v>
      </c>
      <c r="M1836" s="2" t="s">
        <v>176</v>
      </c>
      <c r="N1836" s="2" t="s">
        <v>177</v>
      </c>
      <c r="O1836" s="2" t="s">
        <v>115</v>
      </c>
      <c r="P1836" s="2" t="str">
        <f>"2170562316                    "</f>
        <v xml:space="preserve">2170562316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4.29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1</v>
      </c>
      <c r="BJ1836" s="2">
        <v>0.2</v>
      </c>
      <c r="BK1836" s="2">
        <v>1</v>
      </c>
      <c r="BL1836" s="2">
        <v>41.73</v>
      </c>
      <c r="BM1836" s="2">
        <v>5.84</v>
      </c>
      <c r="BN1836" s="2">
        <v>47.57</v>
      </c>
      <c r="BO1836" s="2">
        <v>47.57</v>
      </c>
      <c r="BP1836" s="2"/>
      <c r="BQ1836" s="2" t="s">
        <v>178</v>
      </c>
      <c r="BR1836" s="2" t="s">
        <v>84</v>
      </c>
      <c r="BS1836" s="3">
        <v>42843</v>
      </c>
      <c r="BT1836" s="4">
        <v>0.51041666666666663</v>
      </c>
      <c r="BU1836" s="2" t="s">
        <v>1487</v>
      </c>
      <c r="BV1836" s="2" t="s">
        <v>86</v>
      </c>
      <c r="BW1836" s="2" t="s">
        <v>87</v>
      </c>
      <c r="BX1836" s="2" t="s">
        <v>1370</v>
      </c>
      <c r="BY1836" s="2">
        <v>1200</v>
      </c>
      <c r="BZ1836" s="2"/>
      <c r="CA1836" s="2"/>
      <c r="CB1836" s="2"/>
      <c r="CC1836" s="2" t="s">
        <v>176</v>
      </c>
      <c r="CD1836" s="2">
        <v>7646</v>
      </c>
      <c r="CE1836" s="2" t="s">
        <v>118</v>
      </c>
      <c r="CF1836" s="5">
        <v>42844</v>
      </c>
      <c r="CG1836" s="2"/>
      <c r="CH1836" s="2"/>
      <c r="CI1836" s="2">
        <v>1</v>
      </c>
      <c r="CJ1836" s="2">
        <v>3</v>
      </c>
      <c r="CK1836" s="2">
        <v>21</v>
      </c>
      <c r="CL1836" s="2" t="s">
        <v>86</v>
      </c>
      <c r="CM1836" s="2"/>
    </row>
    <row r="1837" spans="1:91">
      <c r="A1837" s="2" t="s">
        <v>71</v>
      </c>
      <c r="B1837" s="2" t="s">
        <v>72</v>
      </c>
      <c r="C1837" s="2" t="s">
        <v>73</v>
      </c>
      <c r="D1837" s="2"/>
      <c r="E1837" s="2" t="str">
        <f>"FES1162543550"</f>
        <v>FES1162543550</v>
      </c>
      <c r="F1837" s="3">
        <v>42838</v>
      </c>
      <c r="G1837" s="2">
        <v>201710</v>
      </c>
      <c r="H1837" s="2" t="s">
        <v>74</v>
      </c>
      <c r="I1837" s="2" t="s">
        <v>75</v>
      </c>
      <c r="J1837" s="2" t="s">
        <v>76</v>
      </c>
      <c r="K1837" s="2" t="s">
        <v>77</v>
      </c>
      <c r="L1837" s="2" t="s">
        <v>131</v>
      </c>
      <c r="M1837" s="2" t="s">
        <v>132</v>
      </c>
      <c r="N1837" s="2" t="s">
        <v>1769</v>
      </c>
      <c r="O1837" s="2" t="s">
        <v>115</v>
      </c>
      <c r="P1837" s="2" t="str">
        <f>"2190562220                    "</f>
        <v xml:space="preserve">2190562220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4.29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1</v>
      </c>
      <c r="BJ1837" s="2">
        <v>0.2</v>
      </c>
      <c r="BK1837" s="2">
        <v>1</v>
      </c>
      <c r="BL1837" s="2">
        <v>41.73</v>
      </c>
      <c r="BM1837" s="2">
        <v>5.84</v>
      </c>
      <c r="BN1837" s="2">
        <v>47.57</v>
      </c>
      <c r="BO1837" s="2">
        <v>47.57</v>
      </c>
      <c r="BP1837" s="2"/>
      <c r="BQ1837" s="2" t="s">
        <v>129</v>
      </c>
      <c r="BR1837" s="2" t="s">
        <v>84</v>
      </c>
      <c r="BS1837" s="3">
        <v>42843</v>
      </c>
      <c r="BT1837" s="4">
        <v>0.36458333333333331</v>
      </c>
      <c r="BU1837" s="2" t="s">
        <v>2334</v>
      </c>
      <c r="BV1837" s="2" t="s">
        <v>86</v>
      </c>
      <c r="BW1837" s="2" t="s">
        <v>157</v>
      </c>
      <c r="BX1837" s="2" t="s">
        <v>1537</v>
      </c>
      <c r="BY1837" s="2">
        <v>1200</v>
      </c>
      <c r="BZ1837" s="2"/>
      <c r="CA1837" s="2"/>
      <c r="CB1837" s="2"/>
      <c r="CC1837" s="2" t="s">
        <v>132</v>
      </c>
      <c r="CD1837" s="2">
        <v>7500</v>
      </c>
      <c r="CE1837" s="2" t="s">
        <v>118</v>
      </c>
      <c r="CF1837" s="5">
        <v>42844</v>
      </c>
      <c r="CG1837" s="2"/>
      <c r="CH1837" s="2"/>
      <c r="CI1837" s="2">
        <v>1</v>
      </c>
      <c r="CJ1837" s="2">
        <v>3</v>
      </c>
      <c r="CK1837" s="2">
        <v>21</v>
      </c>
      <c r="CL1837" s="2" t="s">
        <v>86</v>
      </c>
      <c r="CM1837" s="2"/>
    </row>
    <row r="1838" spans="1:91">
      <c r="A1838" s="2" t="s">
        <v>71</v>
      </c>
      <c r="B1838" s="2" t="s">
        <v>72</v>
      </c>
      <c r="C1838" s="2" t="s">
        <v>73</v>
      </c>
      <c r="D1838" s="2"/>
      <c r="E1838" s="2" t="str">
        <f>"FES1162543760"</f>
        <v>FES1162543760</v>
      </c>
      <c r="F1838" s="3">
        <v>42838</v>
      </c>
      <c r="G1838" s="2">
        <v>201710</v>
      </c>
      <c r="H1838" s="2" t="s">
        <v>74</v>
      </c>
      <c r="I1838" s="2" t="s">
        <v>75</v>
      </c>
      <c r="J1838" s="2" t="s">
        <v>76</v>
      </c>
      <c r="K1838" s="2" t="s">
        <v>77</v>
      </c>
      <c r="L1838" s="2" t="s">
        <v>119</v>
      </c>
      <c r="M1838" s="2" t="s">
        <v>120</v>
      </c>
      <c r="N1838" s="2" t="s">
        <v>2335</v>
      </c>
      <c r="O1838" s="2" t="s">
        <v>115</v>
      </c>
      <c r="P1838" s="2" t="str">
        <f>"2170562398                    "</f>
        <v xml:space="preserve">2170562398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3.35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2.2999999999999998</v>
      </c>
      <c r="BJ1838" s="2">
        <v>4</v>
      </c>
      <c r="BK1838" s="2">
        <v>4</v>
      </c>
      <c r="BL1838" s="2">
        <v>32.6</v>
      </c>
      <c r="BM1838" s="2">
        <v>4.5599999999999996</v>
      </c>
      <c r="BN1838" s="2">
        <v>37.159999999999997</v>
      </c>
      <c r="BO1838" s="2">
        <v>37.159999999999997</v>
      </c>
      <c r="BP1838" s="2"/>
      <c r="BQ1838" s="2" t="s">
        <v>122</v>
      </c>
      <c r="BR1838" s="2" t="s">
        <v>84</v>
      </c>
      <c r="BS1838" s="3">
        <v>42843</v>
      </c>
      <c r="BT1838" s="4">
        <v>0.375</v>
      </c>
      <c r="BU1838" s="2" t="s">
        <v>2336</v>
      </c>
      <c r="BV1838" s="2" t="s">
        <v>86</v>
      </c>
      <c r="BW1838" s="2" t="s">
        <v>164</v>
      </c>
      <c r="BX1838" s="2" t="s">
        <v>2211</v>
      </c>
      <c r="BY1838" s="2">
        <v>20232.900000000001</v>
      </c>
      <c r="BZ1838" s="2"/>
      <c r="CA1838" s="2" t="s">
        <v>125</v>
      </c>
      <c r="CB1838" s="2"/>
      <c r="CC1838" s="2" t="s">
        <v>120</v>
      </c>
      <c r="CD1838" s="2">
        <v>2162</v>
      </c>
      <c r="CE1838" s="2" t="s">
        <v>118</v>
      </c>
      <c r="CF1838" s="5">
        <v>42844</v>
      </c>
      <c r="CG1838" s="2"/>
      <c r="CH1838" s="2"/>
      <c r="CI1838" s="2">
        <v>1</v>
      </c>
      <c r="CJ1838" s="2">
        <v>3</v>
      </c>
      <c r="CK1838" s="2">
        <v>22</v>
      </c>
      <c r="CL1838" s="2" t="s">
        <v>86</v>
      </c>
      <c r="CM1838" s="2"/>
    </row>
    <row r="1839" spans="1:91">
      <c r="A1839" s="2" t="s">
        <v>71</v>
      </c>
      <c r="B1839" s="2" t="s">
        <v>72</v>
      </c>
      <c r="C1839" s="2" t="s">
        <v>73</v>
      </c>
      <c r="D1839" s="2"/>
      <c r="E1839" s="2" t="str">
        <f>"FES1162543758"</f>
        <v>FES1162543758</v>
      </c>
      <c r="F1839" s="3">
        <v>42838</v>
      </c>
      <c r="G1839" s="2">
        <v>201710</v>
      </c>
      <c r="H1839" s="2" t="s">
        <v>74</v>
      </c>
      <c r="I1839" s="2" t="s">
        <v>75</v>
      </c>
      <c r="J1839" s="2" t="s">
        <v>76</v>
      </c>
      <c r="K1839" s="2" t="s">
        <v>77</v>
      </c>
      <c r="L1839" s="2" t="s">
        <v>516</v>
      </c>
      <c r="M1839" s="2" t="s">
        <v>517</v>
      </c>
      <c r="N1839" s="2" t="s">
        <v>2337</v>
      </c>
      <c r="O1839" s="2" t="s">
        <v>115</v>
      </c>
      <c r="P1839" s="2" t="str">
        <f>"2170562397                    "</f>
        <v xml:space="preserve">2170562397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3.35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1</v>
      </c>
      <c r="BJ1839" s="2">
        <v>0.2</v>
      </c>
      <c r="BK1839" s="2">
        <v>1</v>
      </c>
      <c r="BL1839" s="2">
        <v>32.6</v>
      </c>
      <c r="BM1839" s="2">
        <v>4.5599999999999996</v>
      </c>
      <c r="BN1839" s="2">
        <v>37.159999999999997</v>
      </c>
      <c r="BO1839" s="2">
        <v>37.159999999999997</v>
      </c>
      <c r="BP1839" s="2"/>
      <c r="BQ1839" s="2" t="s">
        <v>2338</v>
      </c>
      <c r="BR1839" s="2" t="s">
        <v>84</v>
      </c>
      <c r="BS1839" s="3">
        <v>42843</v>
      </c>
      <c r="BT1839" s="4">
        <v>0.31944444444444448</v>
      </c>
      <c r="BU1839" s="2" t="s">
        <v>2339</v>
      </c>
      <c r="BV1839" s="2" t="s">
        <v>86</v>
      </c>
      <c r="BW1839" s="2" t="s">
        <v>164</v>
      </c>
      <c r="BX1839" s="2" t="s">
        <v>618</v>
      </c>
      <c r="BY1839" s="2">
        <v>1200</v>
      </c>
      <c r="BZ1839" s="2"/>
      <c r="CA1839" s="2" t="s">
        <v>2320</v>
      </c>
      <c r="CB1839" s="2"/>
      <c r="CC1839" s="2" t="s">
        <v>517</v>
      </c>
      <c r="CD1839" s="2">
        <v>1459</v>
      </c>
      <c r="CE1839" s="2" t="s">
        <v>118</v>
      </c>
      <c r="CF1839" s="5">
        <v>42843</v>
      </c>
      <c r="CG1839" s="2"/>
      <c r="CH1839" s="2"/>
      <c r="CI1839" s="2">
        <v>1</v>
      </c>
      <c r="CJ1839" s="2">
        <v>3</v>
      </c>
      <c r="CK1839" s="2">
        <v>22</v>
      </c>
      <c r="CL1839" s="2" t="s">
        <v>86</v>
      </c>
      <c r="CM1839" s="2"/>
    </row>
    <row r="1840" spans="1:91">
      <c r="A1840" s="2" t="s">
        <v>71</v>
      </c>
      <c r="B1840" s="2" t="s">
        <v>72</v>
      </c>
      <c r="C1840" s="2" t="s">
        <v>73</v>
      </c>
      <c r="D1840" s="2"/>
      <c r="E1840" s="2" t="str">
        <f>"FES1162543735"</f>
        <v>FES1162543735</v>
      </c>
      <c r="F1840" s="3">
        <v>42838</v>
      </c>
      <c r="G1840" s="2">
        <v>201710</v>
      </c>
      <c r="H1840" s="2" t="s">
        <v>74</v>
      </c>
      <c r="I1840" s="2" t="s">
        <v>75</v>
      </c>
      <c r="J1840" s="2" t="s">
        <v>76</v>
      </c>
      <c r="K1840" s="2" t="s">
        <v>77</v>
      </c>
      <c r="L1840" s="2" t="s">
        <v>112</v>
      </c>
      <c r="M1840" s="2" t="s">
        <v>113</v>
      </c>
      <c r="N1840" s="2" t="s">
        <v>386</v>
      </c>
      <c r="O1840" s="2" t="s">
        <v>115</v>
      </c>
      <c r="P1840" s="2" t="str">
        <f>"2170562377                    "</f>
        <v xml:space="preserve">2170562377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5.36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1.7</v>
      </c>
      <c r="BJ1840" s="2">
        <v>2.1</v>
      </c>
      <c r="BK1840" s="2">
        <v>2.5</v>
      </c>
      <c r="BL1840" s="2">
        <v>52.16</v>
      </c>
      <c r="BM1840" s="2">
        <v>7.3</v>
      </c>
      <c r="BN1840" s="2">
        <v>59.46</v>
      </c>
      <c r="BO1840" s="2">
        <v>59.46</v>
      </c>
      <c r="BP1840" s="2"/>
      <c r="BQ1840" s="2" t="s">
        <v>122</v>
      </c>
      <c r="BR1840" s="2" t="s">
        <v>84</v>
      </c>
      <c r="BS1840" s="3">
        <v>42843</v>
      </c>
      <c r="BT1840" s="4">
        <v>0.40972222222222227</v>
      </c>
      <c r="BU1840" s="2" t="s">
        <v>533</v>
      </c>
      <c r="BV1840" s="2" t="s">
        <v>86</v>
      </c>
      <c r="BW1840" s="2" t="s">
        <v>2282</v>
      </c>
      <c r="BX1840" s="2" t="s">
        <v>2283</v>
      </c>
      <c r="BY1840" s="2">
        <v>10716.01</v>
      </c>
      <c r="BZ1840" s="2"/>
      <c r="CA1840" s="2"/>
      <c r="CB1840" s="2"/>
      <c r="CC1840" s="2" t="s">
        <v>113</v>
      </c>
      <c r="CD1840" s="2">
        <v>3200</v>
      </c>
      <c r="CE1840" s="2" t="s">
        <v>118</v>
      </c>
      <c r="CF1840" s="5">
        <v>42844</v>
      </c>
      <c r="CG1840" s="2"/>
      <c r="CH1840" s="2"/>
      <c r="CI1840" s="2">
        <v>1</v>
      </c>
      <c r="CJ1840" s="2">
        <v>3</v>
      </c>
      <c r="CK1840" s="2">
        <v>21</v>
      </c>
      <c r="CL1840" s="2" t="s">
        <v>86</v>
      </c>
      <c r="CM1840" s="2"/>
    </row>
    <row r="1841" spans="1:91">
      <c r="A1841" s="2" t="s">
        <v>71</v>
      </c>
      <c r="B1841" s="2" t="s">
        <v>72</v>
      </c>
      <c r="C1841" s="2" t="s">
        <v>73</v>
      </c>
      <c r="D1841" s="2"/>
      <c r="E1841" s="2" t="str">
        <f>"FES1162543691"</f>
        <v>FES1162543691</v>
      </c>
      <c r="F1841" s="3">
        <v>42838</v>
      </c>
      <c r="G1841" s="2">
        <v>201710</v>
      </c>
      <c r="H1841" s="2" t="s">
        <v>74</v>
      </c>
      <c r="I1841" s="2" t="s">
        <v>75</v>
      </c>
      <c r="J1841" s="2" t="s">
        <v>76</v>
      </c>
      <c r="K1841" s="2" t="s">
        <v>77</v>
      </c>
      <c r="L1841" s="2" t="s">
        <v>900</v>
      </c>
      <c r="M1841" s="2" t="s">
        <v>901</v>
      </c>
      <c r="N1841" s="2" t="s">
        <v>2340</v>
      </c>
      <c r="O1841" s="2" t="s">
        <v>115</v>
      </c>
      <c r="P1841" s="2" t="str">
        <f>"2170562319                    "</f>
        <v xml:space="preserve">2170562319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4.29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</v>
      </c>
      <c r="BJ1841" s="2">
        <v>0.2</v>
      </c>
      <c r="BK1841" s="2">
        <v>1</v>
      </c>
      <c r="BL1841" s="2">
        <v>41.73</v>
      </c>
      <c r="BM1841" s="2">
        <v>5.84</v>
      </c>
      <c r="BN1841" s="2">
        <v>47.57</v>
      </c>
      <c r="BO1841" s="2">
        <v>47.57</v>
      </c>
      <c r="BP1841" s="2"/>
      <c r="BQ1841" s="2" t="s">
        <v>2341</v>
      </c>
      <c r="BR1841" s="2" t="s">
        <v>84</v>
      </c>
      <c r="BS1841" s="3">
        <v>42843</v>
      </c>
      <c r="BT1841" s="4">
        <v>0.34375</v>
      </c>
      <c r="BU1841" s="2" t="s">
        <v>2342</v>
      </c>
      <c r="BV1841" s="2" t="s">
        <v>86</v>
      </c>
      <c r="BW1841" s="2" t="s">
        <v>164</v>
      </c>
      <c r="BX1841" s="2" t="s">
        <v>2343</v>
      </c>
      <c r="BY1841" s="2">
        <v>1200</v>
      </c>
      <c r="BZ1841" s="2"/>
      <c r="CA1841" s="2"/>
      <c r="CB1841" s="2"/>
      <c r="CC1841" s="2" t="s">
        <v>901</v>
      </c>
      <c r="CD1841" s="2">
        <v>4026</v>
      </c>
      <c r="CE1841" s="2" t="s">
        <v>118</v>
      </c>
      <c r="CF1841" s="5">
        <v>42844</v>
      </c>
      <c r="CG1841" s="2"/>
      <c r="CH1841" s="2"/>
      <c r="CI1841" s="2">
        <v>1</v>
      </c>
      <c r="CJ1841" s="2">
        <v>3</v>
      </c>
      <c r="CK1841" s="2">
        <v>21</v>
      </c>
      <c r="CL1841" s="2" t="s">
        <v>86</v>
      </c>
      <c r="CM1841" s="2"/>
    </row>
    <row r="1842" spans="1:91">
      <c r="A1842" s="2" t="s">
        <v>71</v>
      </c>
      <c r="B1842" s="2" t="s">
        <v>72</v>
      </c>
      <c r="C1842" s="2" t="s">
        <v>73</v>
      </c>
      <c r="D1842" s="2"/>
      <c r="E1842" s="2" t="str">
        <f>"FES1162543694"</f>
        <v>FES1162543694</v>
      </c>
      <c r="F1842" s="3">
        <v>42838</v>
      </c>
      <c r="G1842" s="2">
        <v>201710</v>
      </c>
      <c r="H1842" s="2" t="s">
        <v>74</v>
      </c>
      <c r="I1842" s="2" t="s">
        <v>75</v>
      </c>
      <c r="J1842" s="2" t="s">
        <v>76</v>
      </c>
      <c r="K1842" s="2" t="s">
        <v>77</v>
      </c>
      <c r="L1842" s="2" t="s">
        <v>131</v>
      </c>
      <c r="M1842" s="2" t="s">
        <v>132</v>
      </c>
      <c r="N1842" s="2" t="s">
        <v>744</v>
      </c>
      <c r="O1842" s="2" t="s">
        <v>115</v>
      </c>
      <c r="P1842" s="2" t="str">
        <f>"2170562325                    "</f>
        <v xml:space="preserve">2170562325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4.29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1.7</v>
      </c>
      <c r="BJ1842" s="2">
        <v>2</v>
      </c>
      <c r="BK1842" s="2">
        <v>2</v>
      </c>
      <c r="BL1842" s="2">
        <v>41.73</v>
      </c>
      <c r="BM1842" s="2">
        <v>5.84</v>
      </c>
      <c r="BN1842" s="2">
        <v>47.57</v>
      </c>
      <c r="BO1842" s="2">
        <v>47.57</v>
      </c>
      <c r="BP1842" s="2"/>
      <c r="BQ1842" s="2" t="s">
        <v>138</v>
      </c>
      <c r="BR1842" s="2" t="s">
        <v>84</v>
      </c>
      <c r="BS1842" s="3">
        <v>42843</v>
      </c>
      <c r="BT1842" s="4">
        <v>0.41666666666666669</v>
      </c>
      <c r="BU1842" s="2" t="s">
        <v>2344</v>
      </c>
      <c r="BV1842" s="2" t="s">
        <v>86</v>
      </c>
      <c r="BW1842" s="2" t="s">
        <v>157</v>
      </c>
      <c r="BX1842" s="2" t="s">
        <v>158</v>
      </c>
      <c r="BY1842" s="2">
        <v>10026.620000000001</v>
      </c>
      <c r="BZ1842" s="2"/>
      <c r="CA1842" s="2" t="s">
        <v>159</v>
      </c>
      <c r="CB1842" s="2"/>
      <c r="CC1842" s="2" t="s">
        <v>132</v>
      </c>
      <c r="CD1842" s="2">
        <v>7405</v>
      </c>
      <c r="CE1842" s="2" t="s">
        <v>89</v>
      </c>
      <c r="CF1842" s="5">
        <v>42844</v>
      </c>
      <c r="CG1842" s="2"/>
      <c r="CH1842" s="2"/>
      <c r="CI1842" s="2">
        <v>1</v>
      </c>
      <c r="CJ1842" s="2">
        <v>3</v>
      </c>
      <c r="CK1842" s="2">
        <v>21</v>
      </c>
      <c r="CL1842" s="2" t="s">
        <v>86</v>
      </c>
      <c r="CM1842" s="2"/>
    </row>
    <row r="1843" spans="1:91">
      <c r="A1843" s="2" t="s">
        <v>71</v>
      </c>
      <c r="B1843" s="2" t="s">
        <v>72</v>
      </c>
      <c r="C1843" s="2" t="s">
        <v>73</v>
      </c>
      <c r="D1843" s="2"/>
      <c r="E1843" s="2" t="str">
        <f>"FES1162543570"</f>
        <v>FES1162543570</v>
      </c>
      <c r="F1843" s="3">
        <v>42838</v>
      </c>
      <c r="G1843" s="2">
        <v>201710</v>
      </c>
      <c r="H1843" s="2" t="s">
        <v>74</v>
      </c>
      <c r="I1843" s="2" t="s">
        <v>75</v>
      </c>
      <c r="J1843" s="2" t="s">
        <v>76</v>
      </c>
      <c r="K1843" s="2" t="s">
        <v>77</v>
      </c>
      <c r="L1843" s="2" t="s">
        <v>131</v>
      </c>
      <c r="M1843" s="2" t="s">
        <v>132</v>
      </c>
      <c r="N1843" s="2" t="s">
        <v>2345</v>
      </c>
      <c r="O1843" s="2" t="s">
        <v>115</v>
      </c>
      <c r="P1843" s="2" t="str">
        <f>"2170562243                    "</f>
        <v xml:space="preserve">2170562243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5.36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2.2999999999999998</v>
      </c>
      <c r="BJ1843" s="2">
        <v>1</v>
      </c>
      <c r="BK1843" s="2">
        <v>2.5</v>
      </c>
      <c r="BL1843" s="2">
        <v>52.16</v>
      </c>
      <c r="BM1843" s="2">
        <v>7.3</v>
      </c>
      <c r="BN1843" s="2">
        <v>59.46</v>
      </c>
      <c r="BO1843" s="2">
        <v>59.46</v>
      </c>
      <c r="BP1843" s="2"/>
      <c r="BQ1843" s="2" t="s">
        <v>367</v>
      </c>
      <c r="BR1843" s="2" t="s">
        <v>84</v>
      </c>
      <c r="BS1843" s="3">
        <v>42843</v>
      </c>
      <c r="BT1843" s="4">
        <v>0.40625</v>
      </c>
      <c r="BU1843" s="2" t="s">
        <v>2346</v>
      </c>
      <c r="BV1843" s="2" t="s">
        <v>86</v>
      </c>
      <c r="BW1843" s="2" t="s">
        <v>484</v>
      </c>
      <c r="BX1843" s="2" t="s">
        <v>1370</v>
      </c>
      <c r="BY1843" s="2">
        <v>4810.33</v>
      </c>
      <c r="BZ1843" s="2"/>
      <c r="CA1843" s="2"/>
      <c r="CB1843" s="2"/>
      <c r="CC1843" s="2" t="s">
        <v>132</v>
      </c>
      <c r="CD1843" s="2">
        <v>7405</v>
      </c>
      <c r="CE1843" s="2" t="s">
        <v>89</v>
      </c>
      <c r="CF1843" s="5">
        <v>42844</v>
      </c>
      <c r="CG1843" s="2"/>
      <c r="CH1843" s="2"/>
      <c r="CI1843" s="2">
        <v>1</v>
      </c>
      <c r="CJ1843" s="2">
        <v>3</v>
      </c>
      <c r="CK1843" s="2">
        <v>21</v>
      </c>
      <c r="CL1843" s="2" t="s">
        <v>86</v>
      </c>
      <c r="CM1843" s="2"/>
    </row>
    <row r="1844" spans="1:91">
      <c r="A1844" s="2" t="s">
        <v>71</v>
      </c>
      <c r="B1844" s="2" t="s">
        <v>72</v>
      </c>
      <c r="C1844" s="2" t="s">
        <v>73</v>
      </c>
      <c r="D1844" s="2"/>
      <c r="E1844" s="2" t="str">
        <f>"FES1162543762"</f>
        <v>FES1162543762</v>
      </c>
      <c r="F1844" s="3">
        <v>42838</v>
      </c>
      <c r="G1844" s="2">
        <v>201710</v>
      </c>
      <c r="H1844" s="2" t="s">
        <v>74</v>
      </c>
      <c r="I1844" s="2" t="s">
        <v>75</v>
      </c>
      <c r="J1844" s="2" t="s">
        <v>76</v>
      </c>
      <c r="K1844" s="2" t="s">
        <v>77</v>
      </c>
      <c r="L1844" s="2" t="s">
        <v>260</v>
      </c>
      <c r="M1844" s="2" t="s">
        <v>261</v>
      </c>
      <c r="N1844" s="2" t="s">
        <v>2182</v>
      </c>
      <c r="O1844" s="2" t="s">
        <v>115</v>
      </c>
      <c r="P1844" s="2" t="str">
        <f>"2170562401                    "</f>
        <v xml:space="preserve">2170562401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3.35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1</v>
      </c>
      <c r="BJ1844" s="2">
        <v>0.2</v>
      </c>
      <c r="BK1844" s="2">
        <v>1</v>
      </c>
      <c r="BL1844" s="2">
        <v>32.6</v>
      </c>
      <c r="BM1844" s="2">
        <v>4.5599999999999996</v>
      </c>
      <c r="BN1844" s="2">
        <v>37.159999999999997</v>
      </c>
      <c r="BO1844" s="2">
        <v>37.159999999999997</v>
      </c>
      <c r="BP1844" s="2"/>
      <c r="BQ1844" s="2" t="s">
        <v>2100</v>
      </c>
      <c r="BR1844" s="2" t="s">
        <v>84</v>
      </c>
      <c r="BS1844" s="3">
        <v>42843</v>
      </c>
      <c r="BT1844" s="4">
        <v>0.4152777777777778</v>
      </c>
      <c r="BU1844" s="2" t="s">
        <v>2100</v>
      </c>
      <c r="BV1844" s="2" t="s">
        <v>86</v>
      </c>
      <c r="BW1844" s="2" t="s">
        <v>164</v>
      </c>
      <c r="BX1844" s="2" t="s">
        <v>618</v>
      </c>
      <c r="BY1844" s="2">
        <v>1200</v>
      </c>
      <c r="BZ1844" s="2"/>
      <c r="CA1844" s="2"/>
      <c r="CB1844" s="2"/>
      <c r="CC1844" s="2" t="s">
        <v>261</v>
      </c>
      <c r="CD1844" s="2">
        <v>1451</v>
      </c>
      <c r="CE1844" s="2" t="s">
        <v>118</v>
      </c>
      <c r="CF1844" s="5">
        <v>42844</v>
      </c>
      <c r="CG1844" s="2"/>
      <c r="CH1844" s="2"/>
      <c r="CI1844" s="2">
        <v>1</v>
      </c>
      <c r="CJ1844" s="2">
        <v>3</v>
      </c>
      <c r="CK1844" s="2">
        <v>22</v>
      </c>
      <c r="CL1844" s="2" t="s">
        <v>86</v>
      </c>
      <c r="CM1844" s="2"/>
    </row>
    <row r="1845" spans="1:91">
      <c r="A1845" s="2" t="s">
        <v>71</v>
      </c>
      <c r="B1845" s="2" t="s">
        <v>72</v>
      </c>
      <c r="C1845" s="2" t="s">
        <v>73</v>
      </c>
      <c r="D1845" s="2"/>
      <c r="E1845" s="2" t="str">
        <f>"FES1162543573"</f>
        <v>FES1162543573</v>
      </c>
      <c r="F1845" s="3">
        <v>42838</v>
      </c>
      <c r="G1845" s="2">
        <v>201710</v>
      </c>
      <c r="H1845" s="2" t="s">
        <v>74</v>
      </c>
      <c r="I1845" s="2" t="s">
        <v>75</v>
      </c>
      <c r="J1845" s="2" t="s">
        <v>76</v>
      </c>
      <c r="K1845" s="2" t="s">
        <v>77</v>
      </c>
      <c r="L1845" s="2" t="s">
        <v>176</v>
      </c>
      <c r="M1845" s="2" t="s">
        <v>176</v>
      </c>
      <c r="N1845" s="2" t="s">
        <v>460</v>
      </c>
      <c r="O1845" s="2" t="s">
        <v>115</v>
      </c>
      <c r="P1845" s="2" t="str">
        <f>"2170562242                    "</f>
        <v xml:space="preserve">2170562242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4.29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1</v>
      </c>
      <c r="BJ1845" s="2">
        <v>0.2</v>
      </c>
      <c r="BK1845" s="2">
        <v>1</v>
      </c>
      <c r="BL1845" s="2">
        <v>41.73</v>
      </c>
      <c r="BM1845" s="2">
        <v>5.84</v>
      </c>
      <c r="BN1845" s="2">
        <v>47.57</v>
      </c>
      <c r="BO1845" s="2">
        <v>47.57</v>
      </c>
      <c r="BP1845" s="2"/>
      <c r="BQ1845" s="2" t="s">
        <v>461</v>
      </c>
      <c r="BR1845" s="2" t="s">
        <v>84</v>
      </c>
      <c r="BS1845" s="3">
        <v>42843</v>
      </c>
      <c r="BT1845" s="4">
        <v>0.51736111111111105</v>
      </c>
      <c r="BU1845" s="2" t="s">
        <v>2347</v>
      </c>
      <c r="BV1845" s="2" t="s">
        <v>86</v>
      </c>
      <c r="BW1845" s="2" t="s">
        <v>87</v>
      </c>
      <c r="BX1845" s="2" t="s">
        <v>1370</v>
      </c>
      <c r="BY1845" s="2">
        <v>1200</v>
      </c>
      <c r="BZ1845" s="2"/>
      <c r="CA1845" s="2"/>
      <c r="CB1845" s="2"/>
      <c r="CC1845" s="2" t="s">
        <v>176</v>
      </c>
      <c r="CD1845" s="2">
        <v>7646</v>
      </c>
      <c r="CE1845" s="2" t="s">
        <v>118</v>
      </c>
      <c r="CF1845" s="5">
        <v>42844</v>
      </c>
      <c r="CG1845" s="2"/>
      <c r="CH1845" s="2"/>
      <c r="CI1845" s="2">
        <v>1</v>
      </c>
      <c r="CJ1845" s="2">
        <v>3</v>
      </c>
      <c r="CK1845" s="2">
        <v>21</v>
      </c>
      <c r="CL1845" s="2" t="s">
        <v>86</v>
      </c>
      <c r="CM1845" s="2"/>
    </row>
    <row r="1846" spans="1:91">
      <c r="A1846" s="2" t="s">
        <v>71</v>
      </c>
      <c r="B1846" s="2" t="s">
        <v>72</v>
      </c>
      <c r="C1846" s="2" t="s">
        <v>73</v>
      </c>
      <c r="D1846" s="2"/>
      <c r="E1846" s="2" t="str">
        <f>"FES1162543726"</f>
        <v>FES1162543726</v>
      </c>
      <c r="F1846" s="3">
        <v>42838</v>
      </c>
      <c r="G1846" s="2">
        <v>201710</v>
      </c>
      <c r="H1846" s="2" t="s">
        <v>74</v>
      </c>
      <c r="I1846" s="2" t="s">
        <v>75</v>
      </c>
      <c r="J1846" s="2" t="s">
        <v>76</v>
      </c>
      <c r="K1846" s="2" t="s">
        <v>77</v>
      </c>
      <c r="L1846" s="2" t="s">
        <v>112</v>
      </c>
      <c r="M1846" s="2" t="s">
        <v>113</v>
      </c>
      <c r="N1846" s="2" t="s">
        <v>1816</v>
      </c>
      <c r="O1846" s="2" t="s">
        <v>115</v>
      </c>
      <c r="P1846" s="2" t="str">
        <f>"2170562371                    "</f>
        <v xml:space="preserve">2170562371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4.29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1</v>
      </c>
      <c r="BI1846" s="2">
        <v>1</v>
      </c>
      <c r="BJ1846" s="2">
        <v>0.2</v>
      </c>
      <c r="BK1846" s="2">
        <v>1</v>
      </c>
      <c r="BL1846" s="2">
        <v>41.73</v>
      </c>
      <c r="BM1846" s="2">
        <v>5.84</v>
      </c>
      <c r="BN1846" s="2">
        <v>47.57</v>
      </c>
      <c r="BO1846" s="2">
        <v>47.57</v>
      </c>
      <c r="BP1846" s="2"/>
      <c r="BQ1846" s="2" t="s">
        <v>1817</v>
      </c>
      <c r="BR1846" s="2" t="s">
        <v>84</v>
      </c>
      <c r="BS1846" s="3">
        <v>42843</v>
      </c>
      <c r="BT1846" s="4">
        <v>0.34375</v>
      </c>
      <c r="BU1846" s="2" t="s">
        <v>2348</v>
      </c>
      <c r="BV1846" s="2" t="s">
        <v>86</v>
      </c>
      <c r="BW1846" s="2" t="s">
        <v>2282</v>
      </c>
      <c r="BX1846" s="2" t="s">
        <v>2283</v>
      </c>
      <c r="BY1846" s="2">
        <v>1200</v>
      </c>
      <c r="BZ1846" s="2"/>
      <c r="CA1846" s="2"/>
      <c r="CB1846" s="2"/>
      <c r="CC1846" s="2" t="s">
        <v>113</v>
      </c>
      <c r="CD1846" s="2">
        <v>3200</v>
      </c>
      <c r="CE1846" s="2" t="s">
        <v>118</v>
      </c>
      <c r="CF1846" s="5">
        <v>42844</v>
      </c>
      <c r="CG1846" s="2"/>
      <c r="CH1846" s="2"/>
      <c r="CI1846" s="2">
        <v>1</v>
      </c>
      <c r="CJ1846" s="2">
        <v>3</v>
      </c>
      <c r="CK1846" s="2">
        <v>21</v>
      </c>
      <c r="CL1846" s="2" t="s">
        <v>86</v>
      </c>
      <c r="CM1846" s="2"/>
    </row>
    <row r="1847" spans="1:91">
      <c r="A1847" s="2" t="s">
        <v>71</v>
      </c>
      <c r="B1847" s="2" t="s">
        <v>72</v>
      </c>
      <c r="C1847" s="2" t="s">
        <v>73</v>
      </c>
      <c r="D1847" s="2"/>
      <c r="E1847" s="2" t="str">
        <f>"FES1162543710"</f>
        <v>FES1162543710</v>
      </c>
      <c r="F1847" s="3">
        <v>42838</v>
      </c>
      <c r="G1847" s="2">
        <v>201710</v>
      </c>
      <c r="H1847" s="2" t="s">
        <v>74</v>
      </c>
      <c r="I1847" s="2" t="s">
        <v>75</v>
      </c>
      <c r="J1847" s="2" t="s">
        <v>76</v>
      </c>
      <c r="K1847" s="2" t="s">
        <v>77</v>
      </c>
      <c r="L1847" s="2" t="s">
        <v>294</v>
      </c>
      <c r="M1847" s="2" t="s">
        <v>295</v>
      </c>
      <c r="N1847" s="2" t="s">
        <v>296</v>
      </c>
      <c r="O1847" s="2" t="s">
        <v>115</v>
      </c>
      <c r="P1847" s="2" t="str">
        <f>"2170562349                    "</f>
        <v xml:space="preserve">2170562349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4.29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1</v>
      </c>
      <c r="BJ1847" s="2">
        <v>0.2</v>
      </c>
      <c r="BK1847" s="2">
        <v>1</v>
      </c>
      <c r="BL1847" s="2">
        <v>41.73</v>
      </c>
      <c r="BM1847" s="2">
        <v>5.84</v>
      </c>
      <c r="BN1847" s="2">
        <v>47.57</v>
      </c>
      <c r="BO1847" s="2">
        <v>47.57</v>
      </c>
      <c r="BP1847" s="2"/>
      <c r="BQ1847" s="2" t="s">
        <v>297</v>
      </c>
      <c r="BR1847" s="2" t="s">
        <v>84</v>
      </c>
      <c r="BS1847" s="3">
        <v>42843</v>
      </c>
      <c r="BT1847" s="4">
        <v>0.4201388888888889</v>
      </c>
      <c r="BU1847" s="2" t="s">
        <v>2349</v>
      </c>
      <c r="BV1847" s="2" t="s">
        <v>86</v>
      </c>
      <c r="BW1847" s="2" t="s">
        <v>164</v>
      </c>
      <c r="BX1847" s="2" t="s">
        <v>2350</v>
      </c>
      <c r="BY1847" s="2">
        <v>1200</v>
      </c>
      <c r="BZ1847" s="2"/>
      <c r="CA1847" s="2"/>
      <c r="CB1847" s="2"/>
      <c r="CC1847" s="2" t="s">
        <v>295</v>
      </c>
      <c r="CD1847" s="2">
        <v>3620</v>
      </c>
      <c r="CE1847" s="2" t="s">
        <v>118</v>
      </c>
      <c r="CF1847" s="5">
        <v>42844</v>
      </c>
      <c r="CG1847" s="2"/>
      <c r="CH1847" s="2"/>
      <c r="CI1847" s="2">
        <v>1</v>
      </c>
      <c r="CJ1847" s="2">
        <v>3</v>
      </c>
      <c r="CK1847" s="2">
        <v>21</v>
      </c>
      <c r="CL1847" s="2" t="s">
        <v>86</v>
      </c>
      <c r="CM1847" s="2"/>
    </row>
    <row r="1848" spans="1:91">
      <c r="A1848" s="2" t="s">
        <v>71</v>
      </c>
      <c r="B1848" s="2" t="s">
        <v>72</v>
      </c>
      <c r="C1848" s="2" t="s">
        <v>73</v>
      </c>
      <c r="D1848" s="2"/>
      <c r="E1848" s="2" t="str">
        <f>"FES1162541136"</f>
        <v>FES1162541136</v>
      </c>
      <c r="F1848" s="3">
        <v>42838</v>
      </c>
      <c r="G1848" s="2">
        <v>201710</v>
      </c>
      <c r="H1848" s="2" t="s">
        <v>74</v>
      </c>
      <c r="I1848" s="2" t="s">
        <v>75</v>
      </c>
      <c r="J1848" s="2" t="s">
        <v>76</v>
      </c>
      <c r="K1848" s="2" t="s">
        <v>77</v>
      </c>
      <c r="L1848" s="2" t="s">
        <v>99</v>
      </c>
      <c r="M1848" s="2" t="s">
        <v>100</v>
      </c>
      <c r="N1848" s="2" t="s">
        <v>108</v>
      </c>
      <c r="O1848" s="2" t="s">
        <v>115</v>
      </c>
      <c r="P1848" s="2" t="str">
        <f>"2170558539                    "</f>
        <v xml:space="preserve">2170558539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6.43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2.9</v>
      </c>
      <c r="BJ1848" s="2">
        <v>2.2999999999999998</v>
      </c>
      <c r="BK1848" s="2">
        <v>3</v>
      </c>
      <c r="BL1848" s="2">
        <v>62.59</v>
      </c>
      <c r="BM1848" s="2">
        <v>8.76</v>
      </c>
      <c r="BN1848" s="2">
        <v>71.349999999999994</v>
      </c>
      <c r="BO1848" s="2">
        <v>71.349999999999994</v>
      </c>
      <c r="BP1848" s="2"/>
      <c r="BQ1848" s="2" t="s">
        <v>109</v>
      </c>
      <c r="BR1848" s="2" t="s">
        <v>84</v>
      </c>
      <c r="BS1848" s="3">
        <v>42843</v>
      </c>
      <c r="BT1848" s="4">
        <v>0.40277777777777773</v>
      </c>
      <c r="BU1848" s="2" t="s">
        <v>109</v>
      </c>
      <c r="BV1848" s="2" t="s">
        <v>86</v>
      </c>
      <c r="BW1848" s="2" t="s">
        <v>104</v>
      </c>
      <c r="BX1848" s="2" t="s">
        <v>105</v>
      </c>
      <c r="BY1848" s="2">
        <v>11686.38</v>
      </c>
      <c r="BZ1848" s="2"/>
      <c r="CA1848" s="2"/>
      <c r="CB1848" s="2"/>
      <c r="CC1848" s="2" t="s">
        <v>100</v>
      </c>
      <c r="CD1848" s="2">
        <v>6001</v>
      </c>
      <c r="CE1848" s="2" t="s">
        <v>118</v>
      </c>
      <c r="CF1848" s="5">
        <v>42845</v>
      </c>
      <c r="CG1848" s="2"/>
      <c r="CH1848" s="2"/>
      <c r="CI1848" s="2">
        <v>1</v>
      </c>
      <c r="CJ1848" s="2">
        <v>3</v>
      </c>
      <c r="CK1848" s="2">
        <v>21</v>
      </c>
      <c r="CL1848" s="2" t="s">
        <v>86</v>
      </c>
      <c r="CM1848" s="2"/>
    </row>
    <row r="1849" spans="1:91">
      <c r="A1849" s="2" t="s">
        <v>71</v>
      </c>
      <c r="B1849" s="2" t="s">
        <v>72</v>
      </c>
      <c r="C1849" s="2" t="s">
        <v>73</v>
      </c>
      <c r="D1849" s="2"/>
      <c r="E1849" s="2" t="str">
        <f>"FES1162543704"</f>
        <v>FES1162543704</v>
      </c>
      <c r="F1849" s="3">
        <v>42838</v>
      </c>
      <c r="G1849" s="2">
        <v>201710</v>
      </c>
      <c r="H1849" s="2" t="s">
        <v>74</v>
      </c>
      <c r="I1849" s="2" t="s">
        <v>75</v>
      </c>
      <c r="J1849" s="2" t="s">
        <v>76</v>
      </c>
      <c r="K1849" s="2" t="s">
        <v>77</v>
      </c>
      <c r="L1849" s="2" t="s">
        <v>131</v>
      </c>
      <c r="M1849" s="2" t="s">
        <v>132</v>
      </c>
      <c r="N1849" s="2" t="s">
        <v>1084</v>
      </c>
      <c r="O1849" s="2" t="s">
        <v>115</v>
      </c>
      <c r="P1849" s="2" t="str">
        <f>"2170562341                    "</f>
        <v xml:space="preserve">2170562341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15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4.5999999999999996</v>
      </c>
      <c r="BJ1849" s="2">
        <v>6.6</v>
      </c>
      <c r="BK1849" s="2">
        <v>7</v>
      </c>
      <c r="BL1849" s="2">
        <v>146.04</v>
      </c>
      <c r="BM1849" s="2">
        <v>20.45</v>
      </c>
      <c r="BN1849" s="2">
        <v>166.49</v>
      </c>
      <c r="BO1849" s="2">
        <v>166.49</v>
      </c>
      <c r="BP1849" s="2"/>
      <c r="BQ1849" s="2" t="s">
        <v>1085</v>
      </c>
      <c r="BR1849" s="2" t="s">
        <v>84</v>
      </c>
      <c r="BS1849" s="3">
        <v>42843</v>
      </c>
      <c r="BT1849" s="4">
        <v>0.41666666666666669</v>
      </c>
      <c r="BU1849" s="2" t="s">
        <v>1871</v>
      </c>
      <c r="BV1849" s="2" t="s">
        <v>86</v>
      </c>
      <c r="BW1849" s="2" t="s">
        <v>157</v>
      </c>
      <c r="BX1849" s="2" t="s">
        <v>158</v>
      </c>
      <c r="BY1849" s="2">
        <v>33049.440000000002</v>
      </c>
      <c r="BZ1849" s="2"/>
      <c r="CA1849" s="2"/>
      <c r="CB1849" s="2"/>
      <c r="CC1849" s="2" t="s">
        <v>132</v>
      </c>
      <c r="CD1849" s="2">
        <v>7441</v>
      </c>
      <c r="CE1849" s="2" t="s">
        <v>89</v>
      </c>
      <c r="CF1849" s="5">
        <v>42844</v>
      </c>
      <c r="CG1849" s="2"/>
      <c r="CH1849" s="2"/>
      <c r="CI1849" s="2">
        <v>1</v>
      </c>
      <c r="CJ1849" s="2">
        <v>3</v>
      </c>
      <c r="CK1849" s="2">
        <v>21</v>
      </c>
      <c r="CL1849" s="2" t="s">
        <v>86</v>
      </c>
      <c r="CM1849" s="2"/>
    </row>
    <row r="1850" spans="1:91">
      <c r="A1850" s="2" t="s">
        <v>71</v>
      </c>
      <c r="B1850" s="2" t="s">
        <v>72</v>
      </c>
      <c r="C1850" s="2" t="s">
        <v>73</v>
      </c>
      <c r="D1850" s="2"/>
      <c r="E1850" s="2" t="str">
        <f>"FES1162543702"</f>
        <v>FES1162543702</v>
      </c>
      <c r="F1850" s="3">
        <v>42838</v>
      </c>
      <c r="G1850" s="2">
        <v>201710</v>
      </c>
      <c r="H1850" s="2" t="s">
        <v>74</v>
      </c>
      <c r="I1850" s="2" t="s">
        <v>75</v>
      </c>
      <c r="J1850" s="2" t="s">
        <v>76</v>
      </c>
      <c r="K1850" s="2" t="s">
        <v>77</v>
      </c>
      <c r="L1850" s="2" t="s">
        <v>396</v>
      </c>
      <c r="M1850" s="2" t="s">
        <v>397</v>
      </c>
      <c r="N1850" s="2" t="s">
        <v>1572</v>
      </c>
      <c r="O1850" s="2" t="s">
        <v>115</v>
      </c>
      <c r="P1850" s="2" t="str">
        <f>"2170562339                    "</f>
        <v xml:space="preserve">2170562339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5.36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2.4</v>
      </c>
      <c r="BJ1850" s="2">
        <v>1.6</v>
      </c>
      <c r="BK1850" s="2">
        <v>2.5</v>
      </c>
      <c r="BL1850" s="2">
        <v>52.16</v>
      </c>
      <c r="BM1850" s="2">
        <v>7.3</v>
      </c>
      <c r="BN1850" s="2">
        <v>59.46</v>
      </c>
      <c r="BO1850" s="2">
        <v>59.46</v>
      </c>
      <c r="BP1850" s="2"/>
      <c r="BQ1850" s="2" t="s">
        <v>1573</v>
      </c>
      <c r="BR1850" s="2" t="s">
        <v>84</v>
      </c>
      <c r="BS1850" s="3">
        <v>42843</v>
      </c>
      <c r="BT1850" s="4">
        <v>0.4375</v>
      </c>
      <c r="BU1850" s="2" t="s">
        <v>1367</v>
      </c>
      <c r="BV1850" s="2" t="s">
        <v>86</v>
      </c>
      <c r="BW1850" s="2" t="s">
        <v>164</v>
      </c>
      <c r="BX1850" s="2" t="s">
        <v>2343</v>
      </c>
      <c r="BY1850" s="2">
        <v>8038.8</v>
      </c>
      <c r="BZ1850" s="2"/>
      <c r="CA1850" s="2"/>
      <c r="CB1850" s="2"/>
      <c r="CC1850" s="2" t="s">
        <v>397</v>
      </c>
      <c r="CD1850" s="2">
        <v>4300</v>
      </c>
      <c r="CE1850" s="2" t="s">
        <v>89</v>
      </c>
      <c r="CF1850" s="5">
        <v>42844</v>
      </c>
      <c r="CG1850" s="2"/>
      <c r="CH1850" s="2"/>
      <c r="CI1850" s="2">
        <v>1</v>
      </c>
      <c r="CJ1850" s="2">
        <v>3</v>
      </c>
      <c r="CK1850" s="2">
        <v>21</v>
      </c>
      <c r="CL1850" s="2" t="s">
        <v>86</v>
      </c>
      <c r="CM1850" s="2"/>
    </row>
    <row r="1851" spans="1:91">
      <c r="A1851" s="2" t="s">
        <v>71</v>
      </c>
      <c r="B1851" s="2" t="s">
        <v>72</v>
      </c>
      <c r="C1851" s="2" t="s">
        <v>73</v>
      </c>
      <c r="D1851" s="2"/>
      <c r="E1851" s="2" t="str">
        <f>"FES1162543712"</f>
        <v>FES1162543712</v>
      </c>
      <c r="F1851" s="3">
        <v>42838</v>
      </c>
      <c r="G1851" s="2">
        <v>201710</v>
      </c>
      <c r="H1851" s="2" t="s">
        <v>74</v>
      </c>
      <c r="I1851" s="2" t="s">
        <v>75</v>
      </c>
      <c r="J1851" s="2" t="s">
        <v>76</v>
      </c>
      <c r="K1851" s="2" t="s">
        <v>77</v>
      </c>
      <c r="L1851" s="2" t="s">
        <v>180</v>
      </c>
      <c r="M1851" s="2" t="s">
        <v>181</v>
      </c>
      <c r="N1851" s="2" t="s">
        <v>734</v>
      </c>
      <c r="O1851" s="2" t="s">
        <v>115</v>
      </c>
      <c r="P1851" s="2" t="str">
        <f>"2170562353                    "</f>
        <v xml:space="preserve">2170562353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4.29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1.8</v>
      </c>
      <c r="BJ1851" s="2">
        <v>1.9</v>
      </c>
      <c r="BK1851" s="2">
        <v>2</v>
      </c>
      <c r="BL1851" s="2">
        <v>41.73</v>
      </c>
      <c r="BM1851" s="2">
        <v>5.84</v>
      </c>
      <c r="BN1851" s="2">
        <v>47.57</v>
      </c>
      <c r="BO1851" s="2">
        <v>47.57</v>
      </c>
      <c r="BP1851" s="2"/>
      <c r="BQ1851" s="2" t="s">
        <v>735</v>
      </c>
      <c r="BR1851" s="2" t="s">
        <v>84</v>
      </c>
      <c r="BS1851" s="3">
        <v>42843</v>
      </c>
      <c r="BT1851" s="4">
        <v>0.32916666666666666</v>
      </c>
      <c r="BU1851" s="2" t="s">
        <v>736</v>
      </c>
      <c r="BV1851" s="2" t="s">
        <v>86</v>
      </c>
      <c r="BW1851" s="2" t="s">
        <v>164</v>
      </c>
      <c r="BX1851" s="2" t="s">
        <v>2343</v>
      </c>
      <c r="BY1851" s="2">
        <v>9251.42</v>
      </c>
      <c r="BZ1851" s="2"/>
      <c r="CA1851" s="2"/>
      <c r="CB1851" s="2"/>
      <c r="CC1851" s="2" t="s">
        <v>181</v>
      </c>
      <c r="CD1851" s="2">
        <v>4001</v>
      </c>
      <c r="CE1851" s="2" t="s">
        <v>118</v>
      </c>
      <c r="CF1851" s="5">
        <v>42844</v>
      </c>
      <c r="CG1851" s="2"/>
      <c r="CH1851" s="2"/>
      <c r="CI1851" s="2">
        <v>1</v>
      </c>
      <c r="CJ1851" s="2">
        <v>3</v>
      </c>
      <c r="CK1851" s="2">
        <v>21</v>
      </c>
      <c r="CL1851" s="2" t="s">
        <v>86</v>
      </c>
      <c r="CM1851" s="2"/>
    </row>
    <row r="1852" spans="1:91">
      <c r="A1852" s="2" t="s">
        <v>71</v>
      </c>
      <c r="B1852" s="2" t="s">
        <v>72</v>
      </c>
      <c r="C1852" s="2" t="s">
        <v>73</v>
      </c>
      <c r="D1852" s="2"/>
      <c r="E1852" s="2" t="str">
        <f>"FES1162543718"</f>
        <v>FES1162543718</v>
      </c>
      <c r="F1852" s="3">
        <v>42838</v>
      </c>
      <c r="G1852" s="2">
        <v>201710</v>
      </c>
      <c r="H1852" s="2" t="s">
        <v>74</v>
      </c>
      <c r="I1852" s="2" t="s">
        <v>75</v>
      </c>
      <c r="J1852" s="2" t="s">
        <v>76</v>
      </c>
      <c r="K1852" s="2" t="s">
        <v>77</v>
      </c>
      <c r="L1852" s="2" t="s">
        <v>294</v>
      </c>
      <c r="M1852" s="2" t="s">
        <v>295</v>
      </c>
      <c r="N1852" s="2" t="s">
        <v>416</v>
      </c>
      <c r="O1852" s="2" t="s">
        <v>115</v>
      </c>
      <c r="P1852" s="2" t="str">
        <f>"2170562357                    "</f>
        <v xml:space="preserve">2170562357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4.29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1</v>
      </c>
      <c r="BJ1852" s="2">
        <v>0.2</v>
      </c>
      <c r="BK1852" s="2">
        <v>1</v>
      </c>
      <c r="BL1852" s="2">
        <v>41.73</v>
      </c>
      <c r="BM1852" s="2">
        <v>5.84</v>
      </c>
      <c r="BN1852" s="2">
        <v>47.57</v>
      </c>
      <c r="BO1852" s="2">
        <v>47.57</v>
      </c>
      <c r="BP1852" s="2"/>
      <c r="BQ1852" s="2" t="s">
        <v>417</v>
      </c>
      <c r="BR1852" s="2" t="s">
        <v>84</v>
      </c>
      <c r="BS1852" s="3">
        <v>42843</v>
      </c>
      <c r="BT1852" s="4">
        <v>0.37708333333333338</v>
      </c>
      <c r="BU1852" s="2" t="s">
        <v>418</v>
      </c>
      <c r="BV1852" s="2" t="s">
        <v>86</v>
      </c>
      <c r="BW1852" s="2" t="s">
        <v>164</v>
      </c>
      <c r="BX1852" s="2" t="s">
        <v>2350</v>
      </c>
      <c r="BY1852" s="2">
        <v>1200</v>
      </c>
      <c r="BZ1852" s="2"/>
      <c r="CA1852" s="2"/>
      <c r="CB1852" s="2"/>
      <c r="CC1852" s="2" t="s">
        <v>295</v>
      </c>
      <c r="CD1852" s="2">
        <v>3610</v>
      </c>
      <c r="CE1852" s="2" t="s">
        <v>118</v>
      </c>
      <c r="CF1852" s="5">
        <v>42844</v>
      </c>
      <c r="CG1852" s="2"/>
      <c r="CH1852" s="2"/>
      <c r="CI1852" s="2">
        <v>1</v>
      </c>
      <c r="CJ1852" s="2">
        <v>3</v>
      </c>
      <c r="CK1852" s="2">
        <v>21</v>
      </c>
      <c r="CL1852" s="2" t="s">
        <v>86</v>
      </c>
      <c r="CM1852" s="2"/>
    </row>
    <row r="1853" spans="1:91">
      <c r="A1853" s="2" t="s">
        <v>71</v>
      </c>
      <c r="B1853" s="2" t="s">
        <v>72</v>
      </c>
      <c r="C1853" s="2" t="s">
        <v>73</v>
      </c>
      <c r="D1853" s="2"/>
      <c r="E1853" s="2" t="str">
        <f>"FES1162543742"</f>
        <v>FES1162543742</v>
      </c>
      <c r="F1853" s="3">
        <v>42838</v>
      </c>
      <c r="G1853" s="2">
        <v>201710</v>
      </c>
      <c r="H1853" s="2" t="s">
        <v>74</v>
      </c>
      <c r="I1853" s="2" t="s">
        <v>75</v>
      </c>
      <c r="J1853" s="2" t="s">
        <v>76</v>
      </c>
      <c r="K1853" s="2" t="s">
        <v>77</v>
      </c>
      <c r="L1853" s="2" t="s">
        <v>180</v>
      </c>
      <c r="M1853" s="2" t="s">
        <v>181</v>
      </c>
      <c r="N1853" s="2" t="s">
        <v>996</v>
      </c>
      <c r="O1853" s="2" t="s">
        <v>115</v>
      </c>
      <c r="P1853" s="2" t="str">
        <f>"2170562384                    "</f>
        <v xml:space="preserve">2170562384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4.29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1</v>
      </c>
      <c r="BJ1853" s="2">
        <v>0.2</v>
      </c>
      <c r="BK1853" s="2">
        <v>1</v>
      </c>
      <c r="BL1853" s="2">
        <v>41.73</v>
      </c>
      <c r="BM1853" s="2">
        <v>5.84</v>
      </c>
      <c r="BN1853" s="2">
        <v>47.57</v>
      </c>
      <c r="BO1853" s="2">
        <v>47.57</v>
      </c>
      <c r="BP1853" s="2"/>
      <c r="BQ1853" s="2" t="s">
        <v>129</v>
      </c>
      <c r="BR1853" s="2" t="s">
        <v>84</v>
      </c>
      <c r="BS1853" s="3">
        <v>42843</v>
      </c>
      <c r="BT1853" s="4">
        <v>0.375</v>
      </c>
      <c r="BU1853" s="2" t="s">
        <v>2351</v>
      </c>
      <c r="BV1853" s="2" t="s">
        <v>86</v>
      </c>
      <c r="BW1853" s="2" t="s">
        <v>2282</v>
      </c>
      <c r="BX1853" s="2" t="s">
        <v>88</v>
      </c>
      <c r="BY1853" s="2">
        <v>1200</v>
      </c>
      <c r="BZ1853" s="2"/>
      <c r="CA1853" s="2"/>
      <c r="CB1853" s="2"/>
      <c r="CC1853" s="2" t="s">
        <v>181</v>
      </c>
      <c r="CD1853" s="2">
        <v>4091</v>
      </c>
      <c r="CE1853" s="2" t="s">
        <v>118</v>
      </c>
      <c r="CF1853" s="5">
        <v>42844</v>
      </c>
      <c r="CG1853" s="2"/>
      <c r="CH1853" s="2"/>
      <c r="CI1853" s="2">
        <v>1</v>
      </c>
      <c r="CJ1853" s="2">
        <v>3</v>
      </c>
      <c r="CK1853" s="2">
        <v>21</v>
      </c>
      <c r="CL1853" s="2" t="s">
        <v>86</v>
      </c>
      <c r="CM1853" s="2"/>
    </row>
    <row r="1854" spans="1:91">
      <c r="A1854" s="2" t="s">
        <v>71</v>
      </c>
      <c r="B1854" s="2" t="s">
        <v>72</v>
      </c>
      <c r="C1854" s="2" t="s">
        <v>73</v>
      </c>
      <c r="D1854" s="2"/>
      <c r="E1854" s="2" t="str">
        <f>"FES1162543658"</f>
        <v>FES1162543658</v>
      </c>
      <c r="F1854" s="3">
        <v>42838</v>
      </c>
      <c r="G1854" s="2">
        <v>201710</v>
      </c>
      <c r="H1854" s="2" t="s">
        <v>74</v>
      </c>
      <c r="I1854" s="2" t="s">
        <v>75</v>
      </c>
      <c r="J1854" s="2" t="s">
        <v>76</v>
      </c>
      <c r="K1854" s="2" t="s">
        <v>77</v>
      </c>
      <c r="L1854" s="2" t="s">
        <v>180</v>
      </c>
      <c r="M1854" s="2" t="s">
        <v>181</v>
      </c>
      <c r="N1854" s="2" t="s">
        <v>182</v>
      </c>
      <c r="O1854" s="2" t="s">
        <v>115</v>
      </c>
      <c r="P1854" s="2" t="str">
        <f>"2170562318                    "</f>
        <v xml:space="preserve">2170562318 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8.57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3.7</v>
      </c>
      <c r="BJ1854" s="2">
        <v>1.4</v>
      </c>
      <c r="BK1854" s="2">
        <v>4</v>
      </c>
      <c r="BL1854" s="2">
        <v>83.45</v>
      </c>
      <c r="BM1854" s="2">
        <v>11.68</v>
      </c>
      <c r="BN1854" s="2">
        <v>95.13</v>
      </c>
      <c r="BO1854" s="2">
        <v>95.13</v>
      </c>
      <c r="BP1854" s="2"/>
      <c r="BQ1854" s="2" t="s">
        <v>183</v>
      </c>
      <c r="BR1854" s="2" t="s">
        <v>84</v>
      </c>
      <c r="BS1854" s="3">
        <v>42843</v>
      </c>
      <c r="BT1854" s="4">
        <v>0.4375</v>
      </c>
      <c r="BU1854" s="2" t="s">
        <v>1657</v>
      </c>
      <c r="BV1854" s="2" t="s">
        <v>86</v>
      </c>
      <c r="BW1854" s="2" t="s">
        <v>164</v>
      </c>
      <c r="BX1854" s="2" t="s">
        <v>88</v>
      </c>
      <c r="BY1854" s="2">
        <v>6869.6</v>
      </c>
      <c r="BZ1854" s="2"/>
      <c r="CA1854" s="2"/>
      <c r="CB1854" s="2"/>
      <c r="CC1854" s="2" t="s">
        <v>181</v>
      </c>
      <c r="CD1854" s="2">
        <v>4001</v>
      </c>
      <c r="CE1854" s="2" t="s">
        <v>89</v>
      </c>
      <c r="CF1854" s="5">
        <v>42844</v>
      </c>
      <c r="CG1854" s="2"/>
      <c r="CH1854" s="2"/>
      <c r="CI1854" s="2">
        <v>1</v>
      </c>
      <c r="CJ1854" s="2">
        <v>3</v>
      </c>
      <c r="CK1854" s="2">
        <v>21</v>
      </c>
      <c r="CL1854" s="2" t="s">
        <v>86</v>
      </c>
      <c r="CM1854" s="2"/>
    </row>
    <row r="1855" spans="1:91">
      <c r="A1855" s="2" t="s">
        <v>71</v>
      </c>
      <c r="B1855" s="2" t="s">
        <v>72</v>
      </c>
      <c r="C1855" s="2" t="s">
        <v>73</v>
      </c>
      <c r="D1855" s="2"/>
      <c r="E1855" s="2" t="str">
        <f>"FES1162543693"</f>
        <v>FES1162543693</v>
      </c>
      <c r="F1855" s="3">
        <v>42838</v>
      </c>
      <c r="G1855" s="2">
        <v>201710</v>
      </c>
      <c r="H1855" s="2" t="s">
        <v>74</v>
      </c>
      <c r="I1855" s="2" t="s">
        <v>75</v>
      </c>
      <c r="J1855" s="2" t="s">
        <v>76</v>
      </c>
      <c r="K1855" s="2" t="s">
        <v>77</v>
      </c>
      <c r="L1855" s="2" t="s">
        <v>549</v>
      </c>
      <c r="M1855" s="2" t="s">
        <v>550</v>
      </c>
      <c r="N1855" s="2" t="s">
        <v>1195</v>
      </c>
      <c r="O1855" s="2" t="s">
        <v>115</v>
      </c>
      <c r="P1855" s="2" t="str">
        <f>"2170562322                    "</f>
        <v xml:space="preserve">2170562322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6.43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1.5</v>
      </c>
      <c r="BJ1855" s="2">
        <v>2.7</v>
      </c>
      <c r="BK1855" s="2">
        <v>3</v>
      </c>
      <c r="BL1855" s="2">
        <v>62.59</v>
      </c>
      <c r="BM1855" s="2">
        <v>8.76</v>
      </c>
      <c r="BN1855" s="2">
        <v>71.349999999999994</v>
      </c>
      <c r="BO1855" s="2">
        <v>71.349999999999994</v>
      </c>
      <c r="BP1855" s="2"/>
      <c r="BQ1855" s="2" t="s">
        <v>1196</v>
      </c>
      <c r="BR1855" s="2" t="s">
        <v>84</v>
      </c>
      <c r="BS1855" s="3">
        <v>42843</v>
      </c>
      <c r="BT1855" s="4">
        <v>0.42708333333333331</v>
      </c>
      <c r="BU1855" s="2" t="s">
        <v>2352</v>
      </c>
      <c r="BV1855" s="2" t="s">
        <v>86</v>
      </c>
      <c r="BW1855" s="2" t="s">
        <v>87</v>
      </c>
      <c r="BX1855" s="2" t="s">
        <v>2283</v>
      </c>
      <c r="BY1855" s="2">
        <v>13603.19</v>
      </c>
      <c r="BZ1855" s="2"/>
      <c r="CA1855" s="2"/>
      <c r="CB1855" s="2"/>
      <c r="CC1855" s="2" t="s">
        <v>550</v>
      </c>
      <c r="CD1855" s="2">
        <v>3699</v>
      </c>
      <c r="CE1855" s="2" t="s">
        <v>118</v>
      </c>
      <c r="CF1855" s="5">
        <v>42844</v>
      </c>
      <c r="CG1855" s="2"/>
      <c r="CH1855" s="2"/>
      <c r="CI1855" s="2">
        <v>1</v>
      </c>
      <c r="CJ1855" s="2">
        <v>3</v>
      </c>
      <c r="CK1855" s="2">
        <v>21</v>
      </c>
      <c r="CL1855" s="2" t="s">
        <v>86</v>
      </c>
      <c r="CM1855" s="2"/>
    </row>
    <row r="1856" spans="1:91">
      <c r="A1856" s="2" t="s">
        <v>71</v>
      </c>
      <c r="B1856" s="2" t="s">
        <v>72</v>
      </c>
      <c r="C1856" s="2" t="s">
        <v>73</v>
      </c>
      <c r="D1856" s="2"/>
      <c r="E1856" s="2" t="str">
        <f>"FES1162543595"</f>
        <v>FES1162543595</v>
      </c>
      <c r="F1856" s="3">
        <v>42838</v>
      </c>
      <c r="G1856" s="2">
        <v>201710</v>
      </c>
      <c r="H1856" s="2" t="s">
        <v>74</v>
      </c>
      <c r="I1856" s="2" t="s">
        <v>75</v>
      </c>
      <c r="J1856" s="2" t="s">
        <v>76</v>
      </c>
      <c r="K1856" s="2" t="s">
        <v>77</v>
      </c>
      <c r="L1856" s="2" t="s">
        <v>166</v>
      </c>
      <c r="M1856" s="2" t="s">
        <v>167</v>
      </c>
      <c r="N1856" s="2" t="s">
        <v>1285</v>
      </c>
      <c r="O1856" s="2" t="s">
        <v>115</v>
      </c>
      <c r="P1856" s="2" t="str">
        <f>"2170562268                    "</f>
        <v xml:space="preserve">2170562268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3.35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1</v>
      </c>
      <c r="BJ1856" s="2">
        <v>0.2</v>
      </c>
      <c r="BK1856" s="2">
        <v>1</v>
      </c>
      <c r="BL1856" s="2">
        <v>32.6</v>
      </c>
      <c r="BM1856" s="2">
        <v>4.5599999999999996</v>
      </c>
      <c r="BN1856" s="2">
        <v>37.159999999999997</v>
      </c>
      <c r="BO1856" s="2">
        <v>37.159999999999997</v>
      </c>
      <c r="BP1856" s="2"/>
      <c r="BQ1856" s="2" t="s">
        <v>122</v>
      </c>
      <c r="BR1856" s="2" t="s">
        <v>84</v>
      </c>
      <c r="BS1856" s="3">
        <v>42843</v>
      </c>
      <c r="BT1856" s="4">
        <v>0.42986111111111108</v>
      </c>
      <c r="BU1856" s="2" t="s">
        <v>394</v>
      </c>
      <c r="BV1856" s="2" t="s">
        <v>86</v>
      </c>
      <c r="BW1856" s="2" t="s">
        <v>164</v>
      </c>
      <c r="BX1856" s="2" t="s">
        <v>618</v>
      </c>
      <c r="BY1856" s="2">
        <v>1200</v>
      </c>
      <c r="BZ1856" s="2"/>
      <c r="CA1856" s="2" t="s">
        <v>2312</v>
      </c>
      <c r="CB1856" s="2"/>
      <c r="CC1856" s="2" t="s">
        <v>167</v>
      </c>
      <c r="CD1856" s="2">
        <v>2197</v>
      </c>
      <c r="CE1856" s="2" t="s">
        <v>118</v>
      </c>
      <c r="CF1856" s="5">
        <v>42843</v>
      </c>
      <c r="CG1856" s="2"/>
      <c r="CH1856" s="2"/>
      <c r="CI1856" s="2">
        <v>1</v>
      </c>
      <c r="CJ1856" s="2">
        <v>3</v>
      </c>
      <c r="CK1856" s="2">
        <v>22</v>
      </c>
      <c r="CL1856" s="2" t="s">
        <v>86</v>
      </c>
      <c r="CM1856" s="2"/>
    </row>
    <row r="1857" spans="1:91">
      <c r="A1857" s="2" t="s">
        <v>71</v>
      </c>
      <c r="B1857" s="2" t="s">
        <v>72</v>
      </c>
      <c r="C1857" s="2" t="s">
        <v>73</v>
      </c>
      <c r="D1857" s="2"/>
      <c r="E1857" s="2" t="str">
        <f>"FES1162543711"</f>
        <v>FES1162543711</v>
      </c>
      <c r="F1857" s="3">
        <v>42838</v>
      </c>
      <c r="G1857" s="2">
        <v>201710</v>
      </c>
      <c r="H1857" s="2" t="s">
        <v>74</v>
      </c>
      <c r="I1857" s="2" t="s">
        <v>75</v>
      </c>
      <c r="J1857" s="2" t="s">
        <v>76</v>
      </c>
      <c r="K1857" s="2" t="s">
        <v>77</v>
      </c>
      <c r="L1857" s="2" t="s">
        <v>474</v>
      </c>
      <c r="M1857" s="2" t="s">
        <v>475</v>
      </c>
      <c r="N1857" s="2" t="s">
        <v>476</v>
      </c>
      <c r="O1857" s="2" t="s">
        <v>115</v>
      </c>
      <c r="P1857" s="2" t="str">
        <f>"2170562350                    "</f>
        <v xml:space="preserve">2170562350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4.29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1</v>
      </c>
      <c r="BJ1857" s="2">
        <v>0.2</v>
      </c>
      <c r="BK1857" s="2">
        <v>1</v>
      </c>
      <c r="BL1857" s="2">
        <v>41.73</v>
      </c>
      <c r="BM1857" s="2">
        <v>5.84</v>
      </c>
      <c r="BN1857" s="2">
        <v>47.57</v>
      </c>
      <c r="BO1857" s="2">
        <v>47.57</v>
      </c>
      <c r="BP1857" s="2"/>
      <c r="BQ1857" s="2" t="s">
        <v>116</v>
      </c>
      <c r="BR1857" s="2" t="s">
        <v>84</v>
      </c>
      <c r="BS1857" s="3">
        <v>42843</v>
      </c>
      <c r="BT1857" s="4">
        <v>0.53125</v>
      </c>
      <c r="BU1857" s="2" t="s">
        <v>2353</v>
      </c>
      <c r="BV1857" s="2" t="s">
        <v>86</v>
      </c>
      <c r="BW1857" s="2" t="s">
        <v>87</v>
      </c>
      <c r="BX1857" s="2" t="s">
        <v>2283</v>
      </c>
      <c r="BY1857" s="2">
        <v>1200</v>
      </c>
      <c r="BZ1857" s="2"/>
      <c r="CA1857" s="2"/>
      <c r="CB1857" s="2"/>
      <c r="CC1857" s="2" t="s">
        <v>475</v>
      </c>
      <c r="CD1857" s="2">
        <v>3280</v>
      </c>
      <c r="CE1857" s="2" t="s">
        <v>118</v>
      </c>
      <c r="CF1857" s="5">
        <v>42844</v>
      </c>
      <c r="CG1857" s="2"/>
      <c r="CH1857" s="2"/>
      <c r="CI1857" s="2">
        <v>1</v>
      </c>
      <c r="CJ1857" s="2">
        <v>3</v>
      </c>
      <c r="CK1857" s="2">
        <v>21</v>
      </c>
      <c r="CL1857" s="2" t="s">
        <v>86</v>
      </c>
      <c r="CM1857" s="2"/>
    </row>
    <row r="1858" spans="1:91">
      <c r="A1858" s="2" t="s">
        <v>71</v>
      </c>
      <c r="B1858" s="2" t="s">
        <v>72</v>
      </c>
      <c r="C1858" s="2" t="s">
        <v>73</v>
      </c>
      <c r="D1858" s="2"/>
      <c r="E1858" s="2" t="str">
        <f>"FES1162543748"</f>
        <v>FES1162543748</v>
      </c>
      <c r="F1858" s="3">
        <v>42838</v>
      </c>
      <c r="G1858" s="2">
        <v>201710</v>
      </c>
      <c r="H1858" s="2" t="s">
        <v>74</v>
      </c>
      <c r="I1858" s="2" t="s">
        <v>75</v>
      </c>
      <c r="J1858" s="2" t="s">
        <v>76</v>
      </c>
      <c r="K1858" s="2" t="s">
        <v>77</v>
      </c>
      <c r="L1858" s="2" t="s">
        <v>99</v>
      </c>
      <c r="M1858" s="2" t="s">
        <v>100</v>
      </c>
      <c r="N1858" s="2" t="s">
        <v>101</v>
      </c>
      <c r="O1858" s="2" t="s">
        <v>115</v>
      </c>
      <c r="P1858" s="2" t="str">
        <f>"217562387                     "</f>
        <v xml:space="preserve">217562387 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4.29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1</v>
      </c>
      <c r="BJ1858" s="2">
        <v>0.2</v>
      </c>
      <c r="BK1858" s="2">
        <v>1</v>
      </c>
      <c r="BL1858" s="2">
        <v>41.73</v>
      </c>
      <c r="BM1858" s="2">
        <v>5.84</v>
      </c>
      <c r="BN1858" s="2">
        <v>47.57</v>
      </c>
      <c r="BO1858" s="2">
        <v>47.57</v>
      </c>
      <c r="BP1858" s="2"/>
      <c r="BQ1858" s="2" t="s">
        <v>102</v>
      </c>
      <c r="BR1858" s="2" t="s">
        <v>84</v>
      </c>
      <c r="BS1858" s="3">
        <v>42843</v>
      </c>
      <c r="BT1858" s="4">
        <v>0.30208333333333331</v>
      </c>
      <c r="BU1858" s="2" t="s">
        <v>103</v>
      </c>
      <c r="BV1858" s="2" t="s">
        <v>86</v>
      </c>
      <c r="BW1858" s="2" t="s">
        <v>104</v>
      </c>
      <c r="BX1858" s="2" t="s">
        <v>105</v>
      </c>
      <c r="BY1858" s="2">
        <v>1200</v>
      </c>
      <c r="BZ1858" s="2"/>
      <c r="CA1858" s="2" t="s">
        <v>106</v>
      </c>
      <c r="CB1858" s="2"/>
      <c r="CC1858" s="2" t="s">
        <v>100</v>
      </c>
      <c r="CD1858" s="2">
        <v>6012</v>
      </c>
      <c r="CE1858" s="2" t="s">
        <v>118</v>
      </c>
      <c r="CF1858" s="5">
        <v>42843</v>
      </c>
      <c r="CG1858" s="2"/>
      <c r="CH1858" s="2"/>
      <c r="CI1858" s="2">
        <v>1</v>
      </c>
      <c r="CJ1858" s="2">
        <v>3</v>
      </c>
      <c r="CK1858" s="2">
        <v>21</v>
      </c>
      <c r="CL1858" s="2" t="s">
        <v>86</v>
      </c>
      <c r="CM1858" s="2"/>
    </row>
    <row r="1859" spans="1:91">
      <c r="A1859" s="2" t="s">
        <v>71</v>
      </c>
      <c r="B1859" s="2" t="s">
        <v>72</v>
      </c>
      <c r="C1859" s="2" t="s">
        <v>73</v>
      </c>
      <c r="D1859" s="2"/>
      <c r="E1859" s="2" t="str">
        <f>"FES1162543738"</f>
        <v>FES1162543738</v>
      </c>
      <c r="F1859" s="3">
        <v>42838</v>
      </c>
      <c r="G1859" s="2">
        <v>201710</v>
      </c>
      <c r="H1859" s="2" t="s">
        <v>74</v>
      </c>
      <c r="I1859" s="2" t="s">
        <v>75</v>
      </c>
      <c r="J1859" s="2" t="s">
        <v>76</v>
      </c>
      <c r="K1859" s="2" t="s">
        <v>77</v>
      </c>
      <c r="L1859" s="2" t="s">
        <v>99</v>
      </c>
      <c r="M1859" s="2" t="s">
        <v>100</v>
      </c>
      <c r="N1859" s="2" t="s">
        <v>451</v>
      </c>
      <c r="O1859" s="2" t="s">
        <v>115</v>
      </c>
      <c r="P1859" s="2" t="str">
        <f>"2170561833                    "</f>
        <v xml:space="preserve">2170561833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9.65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2.1</v>
      </c>
      <c r="BJ1859" s="2">
        <v>4.2</v>
      </c>
      <c r="BK1859" s="2">
        <v>4.5</v>
      </c>
      <c r="BL1859" s="2">
        <v>93.89</v>
      </c>
      <c r="BM1859" s="2">
        <v>13.14</v>
      </c>
      <c r="BN1859" s="2">
        <v>107.03</v>
      </c>
      <c r="BO1859" s="2">
        <v>107.03</v>
      </c>
      <c r="BP1859" s="2"/>
      <c r="BQ1859" s="2" t="s">
        <v>452</v>
      </c>
      <c r="BR1859" s="2" t="s">
        <v>84</v>
      </c>
      <c r="BS1859" s="3">
        <v>42843</v>
      </c>
      <c r="BT1859" s="4">
        <v>0.30208333333333331</v>
      </c>
      <c r="BU1859" s="2" t="s">
        <v>2354</v>
      </c>
      <c r="BV1859" s="2" t="s">
        <v>86</v>
      </c>
      <c r="BW1859" s="2"/>
      <c r="BX1859" s="2"/>
      <c r="BY1859" s="2">
        <v>21031.25</v>
      </c>
      <c r="BZ1859" s="2"/>
      <c r="CA1859" s="2" t="s">
        <v>154</v>
      </c>
      <c r="CB1859" s="2"/>
      <c r="CC1859" s="2" t="s">
        <v>100</v>
      </c>
      <c r="CD1859" s="2">
        <v>6001</v>
      </c>
      <c r="CE1859" s="2" t="s">
        <v>118</v>
      </c>
      <c r="CF1859" s="5">
        <v>42843</v>
      </c>
      <c r="CG1859" s="2"/>
      <c r="CH1859" s="2"/>
      <c r="CI1859" s="2">
        <v>1</v>
      </c>
      <c r="CJ1859" s="2">
        <v>3</v>
      </c>
      <c r="CK1859" s="2">
        <v>21</v>
      </c>
      <c r="CL1859" s="2" t="s">
        <v>86</v>
      </c>
      <c r="CM1859" s="2"/>
    </row>
    <row r="1860" spans="1:91">
      <c r="A1860" s="2" t="s">
        <v>71</v>
      </c>
      <c r="B1860" s="2" t="s">
        <v>72</v>
      </c>
      <c r="C1860" s="2" t="s">
        <v>73</v>
      </c>
      <c r="D1860" s="2"/>
      <c r="E1860" s="2" t="str">
        <f>"FES1162543666"</f>
        <v>FES1162543666</v>
      </c>
      <c r="F1860" s="3">
        <v>42838</v>
      </c>
      <c r="G1860" s="2">
        <v>201710</v>
      </c>
      <c r="H1860" s="2" t="s">
        <v>74</v>
      </c>
      <c r="I1860" s="2" t="s">
        <v>75</v>
      </c>
      <c r="J1860" s="2" t="s">
        <v>76</v>
      </c>
      <c r="K1860" s="2" t="s">
        <v>77</v>
      </c>
      <c r="L1860" s="2" t="s">
        <v>176</v>
      </c>
      <c r="M1860" s="2" t="s">
        <v>176</v>
      </c>
      <c r="N1860" s="2" t="s">
        <v>1775</v>
      </c>
      <c r="O1860" s="2" t="s">
        <v>115</v>
      </c>
      <c r="P1860" s="2" t="str">
        <f>"2170558132                    "</f>
        <v xml:space="preserve">2170558132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22.51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1</v>
      </c>
      <c r="BI1860" s="2">
        <v>10.3</v>
      </c>
      <c r="BJ1860" s="2">
        <v>7.5</v>
      </c>
      <c r="BK1860" s="2">
        <v>10.5</v>
      </c>
      <c r="BL1860" s="2">
        <v>219.07</v>
      </c>
      <c r="BM1860" s="2">
        <v>30.67</v>
      </c>
      <c r="BN1860" s="2">
        <v>249.74</v>
      </c>
      <c r="BO1860" s="2">
        <v>249.74</v>
      </c>
      <c r="BP1860" s="2"/>
      <c r="BQ1860" s="2" t="s">
        <v>122</v>
      </c>
      <c r="BR1860" s="2" t="s">
        <v>84</v>
      </c>
      <c r="BS1860" s="3">
        <v>42843</v>
      </c>
      <c r="BT1860" s="4">
        <v>0.53472222222222221</v>
      </c>
      <c r="BU1860" s="2" t="s">
        <v>2355</v>
      </c>
      <c r="BV1860" s="2" t="s">
        <v>86</v>
      </c>
      <c r="BW1860" s="2" t="s">
        <v>87</v>
      </c>
      <c r="BX1860" s="2" t="s">
        <v>1370</v>
      </c>
      <c r="BY1860" s="2">
        <v>37283.22</v>
      </c>
      <c r="BZ1860" s="2"/>
      <c r="CA1860" s="2"/>
      <c r="CB1860" s="2"/>
      <c r="CC1860" s="2" t="s">
        <v>176</v>
      </c>
      <c r="CD1860" s="2">
        <v>7646</v>
      </c>
      <c r="CE1860" s="2" t="s">
        <v>172</v>
      </c>
      <c r="CF1860" s="5">
        <v>42844</v>
      </c>
      <c r="CG1860" s="2"/>
      <c r="CH1860" s="2"/>
      <c r="CI1860" s="2">
        <v>1</v>
      </c>
      <c r="CJ1860" s="2">
        <v>3</v>
      </c>
      <c r="CK1860" s="2">
        <v>21</v>
      </c>
      <c r="CL1860" s="2" t="s">
        <v>86</v>
      </c>
      <c r="CM1860" s="2"/>
    </row>
    <row r="1861" spans="1:91">
      <c r="A1861" s="2" t="s">
        <v>71</v>
      </c>
      <c r="B1861" s="2" t="s">
        <v>72</v>
      </c>
      <c r="C1861" s="2" t="s">
        <v>73</v>
      </c>
      <c r="D1861" s="2"/>
      <c r="E1861" s="2" t="str">
        <f>"FES1162543592"</f>
        <v>FES1162543592</v>
      </c>
      <c r="F1861" s="3">
        <v>42838</v>
      </c>
      <c r="G1861" s="2">
        <v>201710</v>
      </c>
      <c r="H1861" s="2" t="s">
        <v>74</v>
      </c>
      <c r="I1861" s="2" t="s">
        <v>75</v>
      </c>
      <c r="J1861" s="2" t="s">
        <v>76</v>
      </c>
      <c r="K1861" s="2" t="s">
        <v>77</v>
      </c>
      <c r="L1861" s="2" t="s">
        <v>131</v>
      </c>
      <c r="M1861" s="2" t="s">
        <v>132</v>
      </c>
      <c r="N1861" s="2" t="s">
        <v>1212</v>
      </c>
      <c r="O1861" s="2" t="s">
        <v>115</v>
      </c>
      <c r="P1861" s="2" t="str">
        <f>"217062265                     "</f>
        <v xml:space="preserve">217062265 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5.36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1.4</v>
      </c>
      <c r="BJ1861" s="2">
        <v>2.1</v>
      </c>
      <c r="BK1861" s="2">
        <v>2.5</v>
      </c>
      <c r="BL1861" s="2">
        <v>52.16</v>
      </c>
      <c r="BM1861" s="2">
        <v>7.3</v>
      </c>
      <c r="BN1861" s="2">
        <v>59.46</v>
      </c>
      <c r="BO1861" s="2">
        <v>59.46</v>
      </c>
      <c r="BP1861" s="2"/>
      <c r="BQ1861" s="2" t="s">
        <v>129</v>
      </c>
      <c r="BR1861" s="2" t="s">
        <v>84</v>
      </c>
      <c r="BS1861" s="3">
        <v>42843</v>
      </c>
      <c r="BT1861" s="4">
        <v>0.41666666666666669</v>
      </c>
      <c r="BU1861" s="2" t="s">
        <v>1213</v>
      </c>
      <c r="BV1861" s="2" t="s">
        <v>86</v>
      </c>
      <c r="BW1861" s="2" t="s">
        <v>484</v>
      </c>
      <c r="BX1861" s="2" t="s">
        <v>1370</v>
      </c>
      <c r="BY1861" s="2">
        <v>10344.42</v>
      </c>
      <c r="BZ1861" s="2"/>
      <c r="CA1861" s="2"/>
      <c r="CB1861" s="2"/>
      <c r="CC1861" s="2" t="s">
        <v>132</v>
      </c>
      <c r="CD1861" s="2">
        <v>7460</v>
      </c>
      <c r="CE1861" s="2" t="s">
        <v>172</v>
      </c>
      <c r="CF1861" s="5">
        <v>42844</v>
      </c>
      <c r="CG1861" s="2"/>
      <c r="CH1861" s="2"/>
      <c r="CI1861" s="2">
        <v>1</v>
      </c>
      <c r="CJ1861" s="2">
        <v>3</v>
      </c>
      <c r="CK1861" s="2">
        <v>21</v>
      </c>
      <c r="CL1861" s="2" t="s">
        <v>86</v>
      </c>
      <c r="CM1861" s="2"/>
    </row>
    <row r="1862" spans="1:91">
      <c r="A1862" s="2" t="s">
        <v>71</v>
      </c>
      <c r="B1862" s="2" t="s">
        <v>72</v>
      </c>
      <c r="C1862" s="2" t="s">
        <v>73</v>
      </c>
      <c r="D1862" s="2"/>
      <c r="E1862" s="2" t="str">
        <f>"FES1162543701"</f>
        <v>FES1162543701</v>
      </c>
      <c r="F1862" s="3">
        <v>42838</v>
      </c>
      <c r="G1862" s="2">
        <v>201710</v>
      </c>
      <c r="H1862" s="2" t="s">
        <v>74</v>
      </c>
      <c r="I1862" s="2" t="s">
        <v>75</v>
      </c>
      <c r="J1862" s="2" t="s">
        <v>76</v>
      </c>
      <c r="K1862" s="2" t="s">
        <v>77</v>
      </c>
      <c r="L1862" s="2" t="s">
        <v>260</v>
      </c>
      <c r="M1862" s="2" t="s">
        <v>261</v>
      </c>
      <c r="N1862" s="2" t="s">
        <v>262</v>
      </c>
      <c r="O1862" s="2" t="s">
        <v>115</v>
      </c>
      <c r="P1862" s="2" t="str">
        <f>"2170562337                    "</f>
        <v xml:space="preserve">2170562337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3.35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1.3</v>
      </c>
      <c r="BJ1862" s="2">
        <v>0.2</v>
      </c>
      <c r="BK1862" s="2">
        <v>2</v>
      </c>
      <c r="BL1862" s="2">
        <v>32.6</v>
      </c>
      <c r="BM1862" s="2">
        <v>4.5599999999999996</v>
      </c>
      <c r="BN1862" s="2">
        <v>37.159999999999997</v>
      </c>
      <c r="BO1862" s="2">
        <v>37.159999999999997</v>
      </c>
      <c r="BP1862" s="2"/>
      <c r="BQ1862" s="2" t="s">
        <v>638</v>
      </c>
      <c r="BR1862" s="2" t="s">
        <v>84</v>
      </c>
      <c r="BS1862" s="3">
        <v>42843</v>
      </c>
      <c r="BT1862" s="4">
        <v>0.31805555555555554</v>
      </c>
      <c r="BU1862" s="2" t="s">
        <v>1859</v>
      </c>
      <c r="BV1862" s="2" t="s">
        <v>86</v>
      </c>
      <c r="BW1862" s="2" t="s">
        <v>164</v>
      </c>
      <c r="BX1862" s="2" t="s">
        <v>618</v>
      </c>
      <c r="BY1862" s="2">
        <v>1200</v>
      </c>
      <c r="BZ1862" s="2"/>
      <c r="CA1862" s="2" t="s">
        <v>159</v>
      </c>
      <c r="CB1862" s="2"/>
      <c r="CC1862" s="2" t="s">
        <v>261</v>
      </c>
      <c r="CD1862" s="2">
        <v>1451</v>
      </c>
      <c r="CE1862" s="2" t="s">
        <v>118</v>
      </c>
      <c r="CF1862" s="5">
        <v>42844</v>
      </c>
      <c r="CG1862" s="2"/>
      <c r="CH1862" s="2"/>
      <c r="CI1862" s="2">
        <v>1</v>
      </c>
      <c r="CJ1862" s="2">
        <v>3</v>
      </c>
      <c r="CK1862" s="2">
        <v>22</v>
      </c>
      <c r="CL1862" s="2" t="s">
        <v>86</v>
      </c>
      <c r="CM1862" s="2"/>
    </row>
    <row r="1863" spans="1:91">
      <c r="A1863" s="2" t="s">
        <v>71</v>
      </c>
      <c r="B1863" s="2" t="s">
        <v>72</v>
      </c>
      <c r="C1863" s="2" t="s">
        <v>73</v>
      </c>
      <c r="D1863" s="2"/>
      <c r="E1863" s="2" t="str">
        <f>"FES1162543725"</f>
        <v>FES1162543725</v>
      </c>
      <c r="F1863" s="3">
        <v>42838</v>
      </c>
      <c r="G1863" s="2">
        <v>201710</v>
      </c>
      <c r="H1863" s="2" t="s">
        <v>74</v>
      </c>
      <c r="I1863" s="2" t="s">
        <v>75</v>
      </c>
      <c r="J1863" s="2" t="s">
        <v>76</v>
      </c>
      <c r="K1863" s="2" t="s">
        <v>77</v>
      </c>
      <c r="L1863" s="2" t="s">
        <v>2196</v>
      </c>
      <c r="M1863" s="2" t="s">
        <v>2196</v>
      </c>
      <c r="N1863" s="2" t="s">
        <v>2356</v>
      </c>
      <c r="O1863" s="2" t="s">
        <v>115</v>
      </c>
      <c r="P1863" s="2" t="str">
        <f>"2170562369                    "</f>
        <v xml:space="preserve">2170562369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6.03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1</v>
      </c>
      <c r="BJ1863" s="2">
        <v>0.2</v>
      </c>
      <c r="BK1863" s="2">
        <v>1</v>
      </c>
      <c r="BL1863" s="2">
        <v>58.68</v>
      </c>
      <c r="BM1863" s="2">
        <v>8.2200000000000006</v>
      </c>
      <c r="BN1863" s="2">
        <v>66.900000000000006</v>
      </c>
      <c r="BO1863" s="2">
        <v>66.900000000000006</v>
      </c>
      <c r="BP1863" s="2"/>
      <c r="BQ1863" s="2" t="s">
        <v>2357</v>
      </c>
      <c r="BR1863" s="2" t="s">
        <v>84</v>
      </c>
      <c r="BS1863" s="3">
        <v>42843</v>
      </c>
      <c r="BT1863" s="4">
        <v>0.53402777777777777</v>
      </c>
      <c r="BU1863" s="2" t="s">
        <v>2358</v>
      </c>
      <c r="BV1863" s="2" t="s">
        <v>86</v>
      </c>
      <c r="BW1863" s="2" t="s">
        <v>96</v>
      </c>
      <c r="BX1863" s="2" t="s">
        <v>97</v>
      </c>
      <c r="BY1863" s="2">
        <v>1200</v>
      </c>
      <c r="BZ1863" s="2"/>
      <c r="CA1863" s="2"/>
      <c r="CB1863" s="2"/>
      <c r="CC1863" s="2" t="s">
        <v>2196</v>
      </c>
      <c r="CD1863" s="2">
        <v>1490</v>
      </c>
      <c r="CE1863" s="2" t="s">
        <v>118</v>
      </c>
      <c r="CF1863" s="5">
        <v>42844</v>
      </c>
      <c r="CG1863" s="2"/>
      <c r="CH1863" s="2"/>
      <c r="CI1863" s="2">
        <v>1</v>
      </c>
      <c r="CJ1863" s="2">
        <v>3</v>
      </c>
      <c r="CK1863" s="2">
        <v>24</v>
      </c>
      <c r="CL1863" s="2" t="s">
        <v>86</v>
      </c>
      <c r="CM1863" s="2"/>
    </row>
    <row r="1864" spans="1:91">
      <c r="A1864" s="2" t="s">
        <v>71</v>
      </c>
      <c r="B1864" s="2" t="s">
        <v>72</v>
      </c>
      <c r="C1864" s="2" t="s">
        <v>73</v>
      </c>
      <c r="D1864" s="2"/>
      <c r="E1864" s="2" t="str">
        <f>"FES1162543659"</f>
        <v>FES1162543659</v>
      </c>
      <c r="F1864" s="3">
        <v>42838</v>
      </c>
      <c r="G1864" s="2">
        <v>201710</v>
      </c>
      <c r="H1864" s="2" t="s">
        <v>74</v>
      </c>
      <c r="I1864" s="2" t="s">
        <v>75</v>
      </c>
      <c r="J1864" s="2" t="s">
        <v>76</v>
      </c>
      <c r="K1864" s="2" t="s">
        <v>77</v>
      </c>
      <c r="L1864" s="2" t="s">
        <v>131</v>
      </c>
      <c r="M1864" s="2" t="s">
        <v>132</v>
      </c>
      <c r="N1864" s="2" t="s">
        <v>384</v>
      </c>
      <c r="O1864" s="2" t="s">
        <v>115</v>
      </c>
      <c r="P1864" s="2" t="str">
        <f>"2170551043                    "</f>
        <v xml:space="preserve">2170551043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4.29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1</v>
      </c>
      <c r="BJ1864" s="2">
        <v>0.2</v>
      </c>
      <c r="BK1864" s="2">
        <v>1</v>
      </c>
      <c r="BL1864" s="2">
        <v>41.73</v>
      </c>
      <c r="BM1864" s="2">
        <v>5.84</v>
      </c>
      <c r="BN1864" s="2">
        <v>47.57</v>
      </c>
      <c r="BO1864" s="2">
        <v>47.57</v>
      </c>
      <c r="BP1864" s="2"/>
      <c r="BQ1864" s="2" t="s">
        <v>468</v>
      </c>
      <c r="BR1864" s="2" t="s">
        <v>84</v>
      </c>
      <c r="BS1864" s="3">
        <v>42843</v>
      </c>
      <c r="BT1864" s="4">
        <v>0.41666666666666669</v>
      </c>
      <c r="BU1864" s="2" t="s">
        <v>1791</v>
      </c>
      <c r="BV1864" s="2" t="s">
        <v>86</v>
      </c>
      <c r="BW1864" s="2" t="s">
        <v>157</v>
      </c>
      <c r="BX1864" s="2" t="s">
        <v>158</v>
      </c>
      <c r="BY1864" s="2">
        <v>1200</v>
      </c>
      <c r="BZ1864" s="2"/>
      <c r="CA1864" s="2" t="s">
        <v>159</v>
      </c>
      <c r="CB1864" s="2"/>
      <c r="CC1864" s="2" t="s">
        <v>132</v>
      </c>
      <c r="CD1864" s="2">
        <v>7405</v>
      </c>
      <c r="CE1864" s="2" t="s">
        <v>118</v>
      </c>
      <c r="CF1864" s="5">
        <v>42844</v>
      </c>
      <c r="CG1864" s="2"/>
      <c r="CH1864" s="2"/>
      <c r="CI1864" s="2">
        <v>1</v>
      </c>
      <c r="CJ1864" s="2">
        <v>3</v>
      </c>
      <c r="CK1864" s="2">
        <v>21</v>
      </c>
      <c r="CL1864" s="2" t="s">
        <v>86</v>
      </c>
      <c r="CM1864" s="2"/>
    </row>
    <row r="1865" spans="1:91">
      <c r="A1865" s="2" t="s">
        <v>71</v>
      </c>
      <c r="B1865" s="2" t="s">
        <v>72</v>
      </c>
      <c r="C1865" s="2" t="s">
        <v>73</v>
      </c>
      <c r="D1865" s="2"/>
      <c r="E1865" s="2" t="str">
        <f>"FES1162543662"</f>
        <v>FES1162543662</v>
      </c>
      <c r="F1865" s="3">
        <v>42838</v>
      </c>
      <c r="G1865" s="2">
        <v>201710</v>
      </c>
      <c r="H1865" s="2" t="s">
        <v>74</v>
      </c>
      <c r="I1865" s="2" t="s">
        <v>75</v>
      </c>
      <c r="J1865" s="2" t="s">
        <v>76</v>
      </c>
      <c r="K1865" s="2" t="s">
        <v>77</v>
      </c>
      <c r="L1865" s="2" t="s">
        <v>131</v>
      </c>
      <c r="M1865" s="2" t="s">
        <v>132</v>
      </c>
      <c r="N1865" s="2" t="s">
        <v>1069</v>
      </c>
      <c r="O1865" s="2" t="s">
        <v>115</v>
      </c>
      <c r="P1865" s="2" t="str">
        <f>"2170556945                    "</f>
        <v xml:space="preserve">2170556945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4.29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1.4</v>
      </c>
      <c r="BJ1865" s="2">
        <v>0.9</v>
      </c>
      <c r="BK1865" s="2">
        <v>1.5</v>
      </c>
      <c r="BL1865" s="2">
        <v>41.73</v>
      </c>
      <c r="BM1865" s="2">
        <v>5.84</v>
      </c>
      <c r="BN1865" s="2">
        <v>47.57</v>
      </c>
      <c r="BO1865" s="2">
        <v>47.57</v>
      </c>
      <c r="BP1865" s="2"/>
      <c r="BQ1865" s="2" t="s">
        <v>1070</v>
      </c>
      <c r="BR1865" s="2" t="s">
        <v>84</v>
      </c>
      <c r="BS1865" s="3">
        <v>42843</v>
      </c>
      <c r="BT1865" s="4">
        <v>0.39583333333333331</v>
      </c>
      <c r="BU1865" s="2" t="s">
        <v>896</v>
      </c>
      <c r="BV1865" s="2" t="s">
        <v>86</v>
      </c>
      <c r="BW1865" s="2" t="s">
        <v>157</v>
      </c>
      <c r="BX1865" s="2" t="s">
        <v>1537</v>
      </c>
      <c r="BY1865" s="2">
        <v>4280.6400000000003</v>
      </c>
      <c r="BZ1865" s="2"/>
      <c r="CA1865" s="2"/>
      <c r="CB1865" s="2"/>
      <c r="CC1865" s="2" t="s">
        <v>132</v>
      </c>
      <c r="CD1865" s="2">
        <v>7800</v>
      </c>
      <c r="CE1865" s="2" t="s">
        <v>172</v>
      </c>
      <c r="CF1865" s="5">
        <v>42844</v>
      </c>
      <c r="CG1865" s="2"/>
      <c r="CH1865" s="2"/>
      <c r="CI1865" s="2">
        <v>1</v>
      </c>
      <c r="CJ1865" s="2">
        <v>3</v>
      </c>
      <c r="CK1865" s="2">
        <v>21</v>
      </c>
      <c r="CL1865" s="2" t="s">
        <v>86</v>
      </c>
      <c r="CM1865" s="2"/>
    </row>
    <row r="1866" spans="1:91">
      <c r="A1866" s="2" t="s">
        <v>71</v>
      </c>
      <c r="B1866" s="2" t="s">
        <v>72</v>
      </c>
      <c r="C1866" s="2" t="s">
        <v>73</v>
      </c>
      <c r="D1866" s="2"/>
      <c r="E1866" s="2" t="str">
        <f>"FES1162543729"</f>
        <v>FES1162543729</v>
      </c>
      <c r="F1866" s="3">
        <v>42838</v>
      </c>
      <c r="G1866" s="2">
        <v>201710</v>
      </c>
      <c r="H1866" s="2" t="s">
        <v>74</v>
      </c>
      <c r="I1866" s="2" t="s">
        <v>75</v>
      </c>
      <c r="J1866" s="2" t="s">
        <v>76</v>
      </c>
      <c r="K1866" s="2" t="s">
        <v>77</v>
      </c>
      <c r="L1866" s="2" t="s">
        <v>166</v>
      </c>
      <c r="M1866" s="2" t="s">
        <v>167</v>
      </c>
      <c r="N1866" s="2" t="s">
        <v>1405</v>
      </c>
      <c r="O1866" s="2" t="s">
        <v>115</v>
      </c>
      <c r="P1866" s="2" t="str">
        <f>"217062375                     "</f>
        <v xml:space="preserve">217062375 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3.35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1</v>
      </c>
      <c r="BJ1866" s="2">
        <v>0.2</v>
      </c>
      <c r="BK1866" s="2">
        <v>1</v>
      </c>
      <c r="BL1866" s="2">
        <v>32.6</v>
      </c>
      <c r="BM1866" s="2">
        <v>4.5599999999999996</v>
      </c>
      <c r="BN1866" s="2">
        <v>37.159999999999997</v>
      </c>
      <c r="BO1866" s="2">
        <v>37.159999999999997</v>
      </c>
      <c r="BP1866" s="2"/>
      <c r="BQ1866" s="2" t="s">
        <v>687</v>
      </c>
      <c r="BR1866" s="2" t="s">
        <v>84</v>
      </c>
      <c r="BS1866" s="3">
        <v>42843</v>
      </c>
      <c r="BT1866" s="4">
        <v>0</v>
      </c>
      <c r="BU1866" s="2"/>
      <c r="BV1866" s="2" t="s">
        <v>86</v>
      </c>
      <c r="BW1866" s="2" t="s">
        <v>164</v>
      </c>
      <c r="BX1866" s="2" t="s">
        <v>309</v>
      </c>
      <c r="BY1866" s="2">
        <v>1200</v>
      </c>
      <c r="BZ1866" s="2"/>
      <c r="CA1866" s="2"/>
      <c r="CB1866" s="2"/>
      <c r="CC1866" s="2" t="s">
        <v>167</v>
      </c>
      <c r="CD1866" s="2">
        <v>2013</v>
      </c>
      <c r="CE1866" s="2" t="s">
        <v>118</v>
      </c>
      <c r="CF1866" s="5">
        <v>42844</v>
      </c>
      <c r="CG1866" s="2"/>
      <c r="CH1866" s="2"/>
      <c r="CI1866" s="2">
        <v>1</v>
      </c>
      <c r="CJ1866" s="2">
        <v>3</v>
      </c>
      <c r="CK1866" s="2">
        <v>22</v>
      </c>
      <c r="CL1866" s="2" t="s">
        <v>86</v>
      </c>
      <c r="CM1866" s="2"/>
    </row>
    <row r="1867" spans="1:91">
      <c r="A1867" s="2" t="s">
        <v>71</v>
      </c>
      <c r="B1867" s="2" t="s">
        <v>72</v>
      </c>
      <c r="C1867" s="2" t="s">
        <v>73</v>
      </c>
      <c r="D1867" s="2"/>
      <c r="E1867" s="2" t="str">
        <f>"FES1162543637"</f>
        <v>FES1162543637</v>
      </c>
      <c r="F1867" s="3">
        <v>42838</v>
      </c>
      <c r="G1867" s="2">
        <v>201710</v>
      </c>
      <c r="H1867" s="2" t="s">
        <v>74</v>
      </c>
      <c r="I1867" s="2" t="s">
        <v>75</v>
      </c>
      <c r="J1867" s="2" t="s">
        <v>76</v>
      </c>
      <c r="K1867" s="2" t="s">
        <v>77</v>
      </c>
      <c r="L1867" s="2" t="s">
        <v>549</v>
      </c>
      <c r="M1867" s="2" t="s">
        <v>550</v>
      </c>
      <c r="N1867" s="2" t="s">
        <v>2359</v>
      </c>
      <c r="O1867" s="2" t="s">
        <v>115</v>
      </c>
      <c r="P1867" s="2" t="str">
        <f>"2170559531                    "</f>
        <v xml:space="preserve">2170559531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4.29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1</v>
      </c>
      <c r="BJ1867" s="2">
        <v>0.2</v>
      </c>
      <c r="BK1867" s="2">
        <v>1</v>
      </c>
      <c r="BL1867" s="2">
        <v>41.73</v>
      </c>
      <c r="BM1867" s="2">
        <v>5.84</v>
      </c>
      <c r="BN1867" s="2">
        <v>47.57</v>
      </c>
      <c r="BO1867" s="2">
        <v>47.57</v>
      </c>
      <c r="BP1867" s="2"/>
      <c r="BQ1867" s="2" t="s">
        <v>116</v>
      </c>
      <c r="BR1867" s="2" t="s">
        <v>84</v>
      </c>
      <c r="BS1867" s="3">
        <v>42843</v>
      </c>
      <c r="BT1867" s="4">
        <v>0.41666666666666669</v>
      </c>
      <c r="BU1867" s="2" t="s">
        <v>2360</v>
      </c>
      <c r="BV1867" s="2" t="s">
        <v>86</v>
      </c>
      <c r="BW1867" s="2" t="s">
        <v>87</v>
      </c>
      <c r="BX1867" s="2" t="s">
        <v>2283</v>
      </c>
      <c r="BY1867" s="2">
        <v>1200</v>
      </c>
      <c r="BZ1867" s="2"/>
      <c r="CA1867" s="2"/>
      <c r="CB1867" s="2"/>
      <c r="CC1867" s="2" t="s">
        <v>550</v>
      </c>
      <c r="CD1867" s="2">
        <v>3699</v>
      </c>
      <c r="CE1867" s="2" t="s">
        <v>118</v>
      </c>
      <c r="CF1867" s="5">
        <v>42844</v>
      </c>
      <c r="CG1867" s="2"/>
      <c r="CH1867" s="2"/>
      <c r="CI1867" s="2">
        <v>1</v>
      </c>
      <c r="CJ1867" s="2">
        <v>3</v>
      </c>
      <c r="CK1867" s="2">
        <v>21</v>
      </c>
      <c r="CL1867" s="2" t="s">
        <v>86</v>
      </c>
      <c r="CM1867" s="2"/>
    </row>
    <row r="1868" spans="1:91">
      <c r="A1868" s="2" t="s">
        <v>71</v>
      </c>
      <c r="B1868" s="2" t="s">
        <v>72</v>
      </c>
      <c r="C1868" s="2" t="s">
        <v>73</v>
      </c>
      <c r="D1868" s="2"/>
      <c r="E1868" s="2" t="str">
        <f>"FES1162543639"</f>
        <v>FES1162543639</v>
      </c>
      <c r="F1868" s="3">
        <v>42838</v>
      </c>
      <c r="G1868" s="2">
        <v>201710</v>
      </c>
      <c r="H1868" s="2" t="s">
        <v>74</v>
      </c>
      <c r="I1868" s="2" t="s">
        <v>75</v>
      </c>
      <c r="J1868" s="2" t="s">
        <v>76</v>
      </c>
      <c r="K1868" s="2" t="s">
        <v>77</v>
      </c>
      <c r="L1868" s="2" t="s">
        <v>190</v>
      </c>
      <c r="M1868" s="2" t="s">
        <v>191</v>
      </c>
      <c r="N1868" s="2" t="s">
        <v>311</v>
      </c>
      <c r="O1868" s="2" t="s">
        <v>115</v>
      </c>
      <c r="P1868" s="2" t="str">
        <f>"2170559819                    "</f>
        <v xml:space="preserve">2170559819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6.03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1</v>
      </c>
      <c r="BJ1868" s="2">
        <v>0.2</v>
      </c>
      <c r="BK1868" s="2">
        <v>1</v>
      </c>
      <c r="BL1868" s="2">
        <v>58.68</v>
      </c>
      <c r="BM1868" s="2">
        <v>8.2200000000000006</v>
      </c>
      <c r="BN1868" s="2">
        <v>66.900000000000006</v>
      </c>
      <c r="BO1868" s="2">
        <v>66.900000000000006</v>
      </c>
      <c r="BP1868" s="2"/>
      <c r="BQ1868" s="2" t="s">
        <v>312</v>
      </c>
      <c r="BR1868" s="2" t="s">
        <v>84</v>
      </c>
      <c r="BS1868" s="3">
        <v>42843</v>
      </c>
      <c r="BT1868" s="4">
        <v>0.3263888888888889</v>
      </c>
      <c r="BU1868" s="2" t="s">
        <v>2361</v>
      </c>
      <c r="BV1868" s="2" t="s">
        <v>86</v>
      </c>
      <c r="BW1868" s="2" t="s">
        <v>164</v>
      </c>
      <c r="BX1868" s="2" t="s">
        <v>2211</v>
      </c>
      <c r="BY1868" s="2">
        <v>1200</v>
      </c>
      <c r="BZ1868" s="2"/>
      <c r="CA1868" s="2"/>
      <c r="CB1868" s="2"/>
      <c r="CC1868" s="2" t="s">
        <v>191</v>
      </c>
      <c r="CD1868" s="2">
        <v>1754</v>
      </c>
      <c r="CE1868" s="2" t="s">
        <v>118</v>
      </c>
      <c r="CF1868" s="5">
        <v>42844</v>
      </c>
      <c r="CG1868" s="2"/>
      <c r="CH1868" s="2"/>
      <c r="CI1868" s="2">
        <v>1</v>
      </c>
      <c r="CJ1868" s="2">
        <v>3</v>
      </c>
      <c r="CK1868" s="2">
        <v>24</v>
      </c>
      <c r="CL1868" s="2" t="s">
        <v>86</v>
      </c>
      <c r="CM1868" s="2"/>
    </row>
    <row r="1869" spans="1:91">
      <c r="A1869" s="2" t="s">
        <v>71</v>
      </c>
      <c r="B1869" s="2" t="s">
        <v>72</v>
      </c>
      <c r="C1869" s="2" t="s">
        <v>73</v>
      </c>
      <c r="D1869" s="2"/>
      <c r="E1869" s="2" t="str">
        <f>"FES1162543661"</f>
        <v>FES1162543661</v>
      </c>
      <c r="F1869" s="3">
        <v>42838</v>
      </c>
      <c r="G1869" s="2">
        <v>201710</v>
      </c>
      <c r="H1869" s="2" t="s">
        <v>74</v>
      </c>
      <c r="I1869" s="2" t="s">
        <v>75</v>
      </c>
      <c r="J1869" s="2" t="s">
        <v>76</v>
      </c>
      <c r="K1869" s="2" t="s">
        <v>77</v>
      </c>
      <c r="L1869" s="2" t="s">
        <v>294</v>
      </c>
      <c r="M1869" s="2" t="s">
        <v>295</v>
      </c>
      <c r="N1869" s="2" t="s">
        <v>1071</v>
      </c>
      <c r="O1869" s="2" t="s">
        <v>115</v>
      </c>
      <c r="P1869" s="2" t="str">
        <f>"2170556502                    "</f>
        <v xml:space="preserve">2170556502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4.29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1</v>
      </c>
      <c r="BJ1869" s="2">
        <v>0.2</v>
      </c>
      <c r="BK1869" s="2">
        <v>1</v>
      </c>
      <c r="BL1869" s="2">
        <v>41.73</v>
      </c>
      <c r="BM1869" s="2">
        <v>5.84</v>
      </c>
      <c r="BN1869" s="2">
        <v>47.57</v>
      </c>
      <c r="BO1869" s="2">
        <v>47.57</v>
      </c>
      <c r="BP1869" s="2"/>
      <c r="BQ1869" s="2" t="s">
        <v>129</v>
      </c>
      <c r="BR1869" s="2" t="s">
        <v>84</v>
      </c>
      <c r="BS1869" s="3">
        <v>42843</v>
      </c>
      <c r="BT1869" s="4">
        <v>0.43055555555555558</v>
      </c>
      <c r="BU1869" s="2" t="s">
        <v>1072</v>
      </c>
      <c r="BV1869" s="2" t="s">
        <v>86</v>
      </c>
      <c r="BW1869" s="2" t="s">
        <v>164</v>
      </c>
      <c r="BX1869" s="2" t="s">
        <v>2350</v>
      </c>
      <c r="BY1869" s="2">
        <v>1200</v>
      </c>
      <c r="BZ1869" s="2"/>
      <c r="CA1869" s="2"/>
      <c r="CB1869" s="2"/>
      <c r="CC1869" s="2" t="s">
        <v>295</v>
      </c>
      <c r="CD1869" s="2">
        <v>3610</v>
      </c>
      <c r="CE1869" s="2" t="s">
        <v>118</v>
      </c>
      <c r="CF1869" s="5">
        <v>42844</v>
      </c>
      <c r="CG1869" s="2"/>
      <c r="CH1869" s="2"/>
      <c r="CI1869" s="2">
        <v>1</v>
      </c>
      <c r="CJ1869" s="2">
        <v>3</v>
      </c>
      <c r="CK1869" s="2">
        <v>21</v>
      </c>
      <c r="CL1869" s="2" t="s">
        <v>86</v>
      </c>
      <c r="CM1869" s="2"/>
    </row>
    <row r="1870" spans="1:91">
      <c r="A1870" s="2" t="s">
        <v>71</v>
      </c>
      <c r="B1870" s="2" t="s">
        <v>72</v>
      </c>
      <c r="C1870" s="2" t="s">
        <v>73</v>
      </c>
      <c r="D1870" s="2"/>
      <c r="E1870" s="2" t="str">
        <f>"FES1162543609"</f>
        <v>FES1162543609</v>
      </c>
      <c r="F1870" s="3">
        <v>42838</v>
      </c>
      <c r="G1870" s="2">
        <v>201710</v>
      </c>
      <c r="H1870" s="2" t="s">
        <v>74</v>
      </c>
      <c r="I1870" s="2" t="s">
        <v>75</v>
      </c>
      <c r="J1870" s="2" t="s">
        <v>76</v>
      </c>
      <c r="K1870" s="2" t="s">
        <v>77</v>
      </c>
      <c r="L1870" s="2" t="s">
        <v>294</v>
      </c>
      <c r="M1870" s="2" t="s">
        <v>295</v>
      </c>
      <c r="N1870" s="2" t="s">
        <v>416</v>
      </c>
      <c r="O1870" s="2" t="s">
        <v>115</v>
      </c>
      <c r="P1870" s="2" t="str">
        <f>"217056227                     "</f>
        <v xml:space="preserve">217056227 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11.79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5.2</v>
      </c>
      <c r="BJ1870" s="2">
        <v>3.3</v>
      </c>
      <c r="BK1870" s="2">
        <v>5.5</v>
      </c>
      <c r="BL1870" s="2">
        <v>114.75</v>
      </c>
      <c r="BM1870" s="2">
        <v>16.07</v>
      </c>
      <c r="BN1870" s="2">
        <v>130.82</v>
      </c>
      <c r="BO1870" s="2">
        <v>130.82</v>
      </c>
      <c r="BP1870" s="2"/>
      <c r="BQ1870" s="2" t="s">
        <v>417</v>
      </c>
      <c r="BR1870" s="2" t="s">
        <v>84</v>
      </c>
      <c r="BS1870" s="3">
        <v>42843</v>
      </c>
      <c r="BT1870" s="4">
        <v>0.4375</v>
      </c>
      <c r="BU1870" s="2" t="s">
        <v>418</v>
      </c>
      <c r="BV1870" s="2" t="s">
        <v>86</v>
      </c>
      <c r="BW1870" s="2" t="s">
        <v>164</v>
      </c>
      <c r="BX1870" s="2" t="s">
        <v>2350</v>
      </c>
      <c r="BY1870" s="2">
        <v>16744.32</v>
      </c>
      <c r="BZ1870" s="2"/>
      <c r="CA1870" s="2"/>
      <c r="CB1870" s="2"/>
      <c r="CC1870" s="2" t="s">
        <v>295</v>
      </c>
      <c r="CD1870" s="2">
        <v>3610</v>
      </c>
      <c r="CE1870" s="2" t="s">
        <v>89</v>
      </c>
      <c r="CF1870" s="5">
        <v>42844</v>
      </c>
      <c r="CG1870" s="2"/>
      <c r="CH1870" s="2"/>
      <c r="CI1870" s="2">
        <v>1</v>
      </c>
      <c r="CJ1870" s="2">
        <v>3</v>
      </c>
      <c r="CK1870" s="2">
        <v>21</v>
      </c>
      <c r="CL1870" s="2" t="s">
        <v>86</v>
      </c>
      <c r="CM1870" s="2"/>
    </row>
    <row r="1871" spans="1:91">
      <c r="A1871" s="2" t="s">
        <v>71</v>
      </c>
      <c r="B1871" s="2" t="s">
        <v>72</v>
      </c>
      <c r="C1871" s="2" t="s">
        <v>73</v>
      </c>
      <c r="D1871" s="2"/>
      <c r="E1871" s="2" t="str">
        <f>"FES1162543647"</f>
        <v>FES1162543647</v>
      </c>
      <c r="F1871" s="3">
        <v>42838</v>
      </c>
      <c r="G1871" s="2">
        <v>201710</v>
      </c>
      <c r="H1871" s="2" t="s">
        <v>74</v>
      </c>
      <c r="I1871" s="2" t="s">
        <v>75</v>
      </c>
      <c r="J1871" s="2" t="s">
        <v>76</v>
      </c>
      <c r="K1871" s="2" t="s">
        <v>77</v>
      </c>
      <c r="L1871" s="2" t="s">
        <v>112</v>
      </c>
      <c r="M1871" s="2" t="s">
        <v>113</v>
      </c>
      <c r="N1871" s="2" t="s">
        <v>246</v>
      </c>
      <c r="O1871" s="2" t="s">
        <v>115</v>
      </c>
      <c r="P1871" s="2" t="str">
        <f>"2170560204                    "</f>
        <v xml:space="preserve">2170560204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4.29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1</v>
      </c>
      <c r="BJ1871" s="2">
        <v>0.2</v>
      </c>
      <c r="BK1871" s="2">
        <v>1</v>
      </c>
      <c r="BL1871" s="2">
        <v>41.73</v>
      </c>
      <c r="BM1871" s="2">
        <v>5.84</v>
      </c>
      <c r="BN1871" s="2">
        <v>47.57</v>
      </c>
      <c r="BO1871" s="2">
        <v>47.57</v>
      </c>
      <c r="BP1871" s="2"/>
      <c r="BQ1871" s="2" t="s">
        <v>122</v>
      </c>
      <c r="BR1871" s="2" t="s">
        <v>84</v>
      </c>
      <c r="BS1871" s="3">
        <v>42843</v>
      </c>
      <c r="BT1871" s="4">
        <v>0.41666666666666669</v>
      </c>
      <c r="BU1871" s="2" t="s">
        <v>1182</v>
      </c>
      <c r="BV1871" s="2" t="s">
        <v>86</v>
      </c>
      <c r="BW1871" s="2" t="s">
        <v>2282</v>
      </c>
      <c r="BX1871" s="2" t="s">
        <v>2283</v>
      </c>
      <c r="BY1871" s="2">
        <v>1200</v>
      </c>
      <c r="BZ1871" s="2"/>
      <c r="CA1871" s="2"/>
      <c r="CB1871" s="2"/>
      <c r="CC1871" s="2" t="s">
        <v>113</v>
      </c>
      <c r="CD1871" s="2">
        <v>3212</v>
      </c>
      <c r="CE1871" s="2" t="s">
        <v>118</v>
      </c>
      <c r="CF1871" s="5">
        <v>42844</v>
      </c>
      <c r="CG1871" s="2"/>
      <c r="CH1871" s="2"/>
      <c r="CI1871" s="2">
        <v>1</v>
      </c>
      <c r="CJ1871" s="2">
        <v>3</v>
      </c>
      <c r="CK1871" s="2">
        <v>21</v>
      </c>
      <c r="CL1871" s="2" t="s">
        <v>86</v>
      </c>
      <c r="CM1871" s="2"/>
    </row>
    <row r="1872" spans="1:91">
      <c r="A1872" s="2" t="s">
        <v>71</v>
      </c>
      <c r="B1872" s="2" t="s">
        <v>72</v>
      </c>
      <c r="C1872" s="2" t="s">
        <v>73</v>
      </c>
      <c r="D1872" s="2"/>
      <c r="E1872" s="2" t="str">
        <f>"FES1162543649"</f>
        <v>FES1162543649</v>
      </c>
      <c r="F1872" s="3">
        <v>42838</v>
      </c>
      <c r="G1872" s="2">
        <v>201710</v>
      </c>
      <c r="H1872" s="2" t="s">
        <v>74</v>
      </c>
      <c r="I1872" s="2" t="s">
        <v>75</v>
      </c>
      <c r="J1872" s="2" t="s">
        <v>76</v>
      </c>
      <c r="K1872" s="2" t="s">
        <v>77</v>
      </c>
      <c r="L1872" s="2" t="s">
        <v>598</v>
      </c>
      <c r="M1872" s="2" t="s">
        <v>599</v>
      </c>
      <c r="N1872" s="2" t="s">
        <v>600</v>
      </c>
      <c r="O1872" s="2" t="s">
        <v>115</v>
      </c>
      <c r="P1872" s="2" t="str">
        <f>"2170560275                    "</f>
        <v xml:space="preserve">2170560275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8.31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1.9</v>
      </c>
      <c r="BJ1872" s="2">
        <v>1.8</v>
      </c>
      <c r="BK1872" s="2">
        <v>2</v>
      </c>
      <c r="BL1872" s="2">
        <v>80.849999999999994</v>
      </c>
      <c r="BM1872" s="2">
        <v>11.32</v>
      </c>
      <c r="BN1872" s="2">
        <v>92.17</v>
      </c>
      <c r="BO1872" s="2">
        <v>92.17</v>
      </c>
      <c r="BP1872" s="2"/>
      <c r="BQ1872" s="2" t="s">
        <v>601</v>
      </c>
      <c r="BR1872" s="2" t="s">
        <v>84</v>
      </c>
      <c r="BS1872" s="3">
        <v>42843</v>
      </c>
      <c r="BT1872" s="4">
        <v>0.61944444444444446</v>
      </c>
      <c r="BU1872" s="2" t="s">
        <v>602</v>
      </c>
      <c r="BV1872" s="2" t="s">
        <v>111</v>
      </c>
      <c r="BW1872" s="2"/>
      <c r="BX1872" s="2"/>
      <c r="BY1872" s="2">
        <v>8789.85</v>
      </c>
      <c r="BZ1872" s="2"/>
      <c r="CA1872" s="2"/>
      <c r="CB1872" s="2"/>
      <c r="CC1872" s="2" t="s">
        <v>599</v>
      </c>
      <c r="CD1872" s="2">
        <v>3370</v>
      </c>
      <c r="CE1872" s="2" t="s">
        <v>172</v>
      </c>
      <c r="CF1872" s="5">
        <v>42845</v>
      </c>
      <c r="CG1872" s="2"/>
      <c r="CH1872" s="2"/>
      <c r="CI1872" s="2">
        <v>3</v>
      </c>
      <c r="CJ1872" s="2">
        <v>3</v>
      </c>
      <c r="CK1872" s="2">
        <v>23</v>
      </c>
      <c r="CL1872" s="2" t="s">
        <v>86</v>
      </c>
      <c r="CM1872" s="2"/>
    </row>
    <row r="1873" spans="1:91">
      <c r="A1873" s="2" t="s">
        <v>71</v>
      </c>
      <c r="B1873" s="2" t="s">
        <v>72</v>
      </c>
      <c r="C1873" s="2" t="s">
        <v>73</v>
      </c>
      <c r="D1873" s="2"/>
      <c r="E1873" s="2" t="str">
        <f>"FES1162543613"</f>
        <v>FES1162543613</v>
      </c>
      <c r="F1873" s="3">
        <v>42838</v>
      </c>
      <c r="G1873" s="2">
        <v>201710</v>
      </c>
      <c r="H1873" s="2" t="s">
        <v>74</v>
      </c>
      <c r="I1873" s="2" t="s">
        <v>75</v>
      </c>
      <c r="J1873" s="2" t="s">
        <v>76</v>
      </c>
      <c r="K1873" s="2" t="s">
        <v>77</v>
      </c>
      <c r="L1873" s="2" t="s">
        <v>176</v>
      </c>
      <c r="M1873" s="2" t="s">
        <v>176</v>
      </c>
      <c r="N1873" s="2" t="s">
        <v>339</v>
      </c>
      <c r="O1873" s="2" t="s">
        <v>115</v>
      </c>
      <c r="P1873" s="2" t="str">
        <f>"2170559453                    "</f>
        <v xml:space="preserve">2170559453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22.51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10.199999999999999</v>
      </c>
      <c r="BJ1873" s="2">
        <v>3.3</v>
      </c>
      <c r="BK1873" s="2">
        <v>10.5</v>
      </c>
      <c r="BL1873" s="2">
        <v>219.07</v>
      </c>
      <c r="BM1873" s="2">
        <v>30.67</v>
      </c>
      <c r="BN1873" s="2">
        <v>249.74</v>
      </c>
      <c r="BO1873" s="2">
        <v>249.74</v>
      </c>
      <c r="BP1873" s="2"/>
      <c r="BQ1873" s="2" t="s">
        <v>340</v>
      </c>
      <c r="BR1873" s="2" t="s">
        <v>84</v>
      </c>
      <c r="BS1873" s="3">
        <v>42843</v>
      </c>
      <c r="BT1873" s="4">
        <v>0.52083333333333337</v>
      </c>
      <c r="BU1873" s="2" t="s">
        <v>2362</v>
      </c>
      <c r="BV1873" s="2" t="s">
        <v>86</v>
      </c>
      <c r="BW1873" s="2" t="s">
        <v>87</v>
      </c>
      <c r="BX1873" s="2" t="s">
        <v>1370</v>
      </c>
      <c r="BY1873" s="2">
        <v>16267.95</v>
      </c>
      <c r="BZ1873" s="2"/>
      <c r="CA1873" s="2"/>
      <c r="CB1873" s="2"/>
      <c r="CC1873" s="2" t="s">
        <v>176</v>
      </c>
      <c r="CD1873" s="2">
        <v>7646</v>
      </c>
      <c r="CE1873" s="2" t="s">
        <v>89</v>
      </c>
      <c r="CF1873" s="5">
        <v>42844</v>
      </c>
      <c r="CG1873" s="2"/>
      <c r="CH1873" s="2"/>
      <c r="CI1873" s="2">
        <v>1</v>
      </c>
      <c r="CJ1873" s="2">
        <v>3</v>
      </c>
      <c r="CK1873" s="2">
        <v>21</v>
      </c>
      <c r="CL1873" s="2" t="s">
        <v>86</v>
      </c>
      <c r="CM1873" s="2"/>
    </row>
    <row r="1874" spans="1:91">
      <c r="A1874" s="2" t="s">
        <v>71</v>
      </c>
      <c r="B1874" s="2" t="s">
        <v>72</v>
      </c>
      <c r="C1874" s="2" t="s">
        <v>73</v>
      </c>
      <c r="D1874" s="2"/>
      <c r="E1874" s="2" t="str">
        <f>"FES1162543564"</f>
        <v>FES1162543564</v>
      </c>
      <c r="F1874" s="3">
        <v>42838</v>
      </c>
      <c r="G1874" s="2">
        <v>201710</v>
      </c>
      <c r="H1874" s="2" t="s">
        <v>74</v>
      </c>
      <c r="I1874" s="2" t="s">
        <v>75</v>
      </c>
      <c r="J1874" s="2" t="s">
        <v>76</v>
      </c>
      <c r="K1874" s="2" t="s">
        <v>77</v>
      </c>
      <c r="L1874" s="2" t="s">
        <v>358</v>
      </c>
      <c r="M1874" s="2" t="s">
        <v>359</v>
      </c>
      <c r="N1874" s="2" t="s">
        <v>800</v>
      </c>
      <c r="O1874" s="2" t="s">
        <v>115</v>
      </c>
      <c r="P1874" s="2" t="str">
        <f>"2170562230                    "</f>
        <v xml:space="preserve">2170562230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11.79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4.9000000000000004</v>
      </c>
      <c r="BJ1874" s="2">
        <v>5.4</v>
      </c>
      <c r="BK1874" s="2">
        <v>5.5</v>
      </c>
      <c r="BL1874" s="2">
        <v>114.75</v>
      </c>
      <c r="BM1874" s="2">
        <v>16.07</v>
      </c>
      <c r="BN1874" s="2">
        <v>130.82</v>
      </c>
      <c r="BO1874" s="2">
        <v>130.82</v>
      </c>
      <c r="BP1874" s="2"/>
      <c r="BQ1874" s="2" t="s">
        <v>801</v>
      </c>
      <c r="BR1874" s="2" t="s">
        <v>84</v>
      </c>
      <c r="BS1874" s="3">
        <v>42843</v>
      </c>
      <c r="BT1874" s="4">
        <v>0.3125</v>
      </c>
      <c r="BU1874" s="2" t="s">
        <v>2302</v>
      </c>
      <c r="BV1874" s="2" t="s">
        <v>86</v>
      </c>
      <c r="BW1874" s="2" t="s">
        <v>104</v>
      </c>
      <c r="BX1874" s="2" t="s">
        <v>105</v>
      </c>
      <c r="BY1874" s="2">
        <v>26938.37</v>
      </c>
      <c r="BZ1874" s="2"/>
      <c r="CA1874" s="2"/>
      <c r="CB1874" s="2"/>
      <c r="CC1874" s="2" t="s">
        <v>359</v>
      </c>
      <c r="CD1874" s="2">
        <v>6230</v>
      </c>
      <c r="CE1874" s="2" t="s">
        <v>172</v>
      </c>
      <c r="CF1874" s="5">
        <v>42845</v>
      </c>
      <c r="CG1874" s="2"/>
      <c r="CH1874" s="2"/>
      <c r="CI1874" s="2">
        <v>1</v>
      </c>
      <c r="CJ1874" s="2">
        <v>3</v>
      </c>
      <c r="CK1874" s="2">
        <v>21</v>
      </c>
      <c r="CL1874" s="2" t="s">
        <v>86</v>
      </c>
      <c r="CM1874" s="2"/>
    </row>
    <row r="1875" spans="1:91">
      <c r="A1875" s="2" t="s">
        <v>71</v>
      </c>
      <c r="B1875" s="2" t="s">
        <v>72</v>
      </c>
      <c r="C1875" s="2" t="s">
        <v>73</v>
      </c>
      <c r="D1875" s="2"/>
      <c r="E1875" s="2" t="str">
        <f>"FES1162539324"</f>
        <v>FES1162539324</v>
      </c>
      <c r="F1875" s="3">
        <v>42838</v>
      </c>
      <c r="G1875" s="2">
        <v>201710</v>
      </c>
      <c r="H1875" s="2" t="s">
        <v>74</v>
      </c>
      <c r="I1875" s="2" t="s">
        <v>75</v>
      </c>
      <c r="J1875" s="2" t="s">
        <v>76</v>
      </c>
      <c r="K1875" s="2" t="s">
        <v>77</v>
      </c>
      <c r="L1875" s="2" t="s">
        <v>74</v>
      </c>
      <c r="M1875" s="2" t="s">
        <v>75</v>
      </c>
      <c r="N1875" s="2" t="s">
        <v>711</v>
      </c>
      <c r="O1875" s="2" t="s">
        <v>115</v>
      </c>
      <c r="P1875" s="2" t="str">
        <f>"2170558479                    "</f>
        <v xml:space="preserve">2170558479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3.35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4.5</v>
      </c>
      <c r="BJ1875" s="2">
        <v>6.1</v>
      </c>
      <c r="BK1875" s="2">
        <v>7</v>
      </c>
      <c r="BL1875" s="2">
        <v>32.6</v>
      </c>
      <c r="BM1875" s="2">
        <v>4.5599999999999996</v>
      </c>
      <c r="BN1875" s="2">
        <v>37.159999999999997</v>
      </c>
      <c r="BO1875" s="2">
        <v>37.159999999999997</v>
      </c>
      <c r="BP1875" s="2"/>
      <c r="BQ1875" s="2" t="s">
        <v>712</v>
      </c>
      <c r="BR1875" s="2" t="s">
        <v>84</v>
      </c>
      <c r="BS1875" s="3">
        <v>42843</v>
      </c>
      <c r="BT1875" s="4">
        <v>0.3125</v>
      </c>
      <c r="BU1875" s="2" t="s">
        <v>767</v>
      </c>
      <c r="BV1875" s="2" t="s">
        <v>86</v>
      </c>
      <c r="BW1875" s="2" t="s">
        <v>164</v>
      </c>
      <c r="BX1875" s="2" t="s">
        <v>618</v>
      </c>
      <c r="BY1875" s="2">
        <v>30294.83</v>
      </c>
      <c r="BZ1875" s="2"/>
      <c r="CA1875" s="2"/>
      <c r="CB1875" s="2"/>
      <c r="CC1875" s="2" t="s">
        <v>75</v>
      </c>
      <c r="CD1875" s="2">
        <v>1600</v>
      </c>
      <c r="CE1875" s="2" t="s">
        <v>172</v>
      </c>
      <c r="CF1875" s="5">
        <v>42844</v>
      </c>
      <c r="CG1875" s="2"/>
      <c r="CH1875" s="2"/>
      <c r="CI1875" s="2">
        <v>1</v>
      </c>
      <c r="CJ1875" s="2">
        <v>3</v>
      </c>
      <c r="CK1875" s="2">
        <v>22</v>
      </c>
      <c r="CL1875" s="2" t="s">
        <v>86</v>
      </c>
      <c r="CM1875" s="2"/>
    </row>
    <row r="1876" spans="1:91">
      <c r="A1876" s="2" t="s">
        <v>71</v>
      </c>
      <c r="B1876" s="2" t="s">
        <v>72</v>
      </c>
      <c r="C1876" s="2" t="s">
        <v>73</v>
      </c>
      <c r="D1876" s="2"/>
      <c r="E1876" s="2" t="str">
        <f>"FES1162543600"</f>
        <v>FES1162543600</v>
      </c>
      <c r="F1876" s="3">
        <v>42838</v>
      </c>
      <c r="G1876" s="2">
        <v>201710</v>
      </c>
      <c r="H1876" s="2" t="s">
        <v>74</v>
      </c>
      <c r="I1876" s="2" t="s">
        <v>75</v>
      </c>
      <c r="J1876" s="2" t="s">
        <v>76</v>
      </c>
      <c r="K1876" s="2" t="s">
        <v>77</v>
      </c>
      <c r="L1876" s="2" t="s">
        <v>180</v>
      </c>
      <c r="M1876" s="2" t="s">
        <v>181</v>
      </c>
      <c r="N1876" s="2" t="s">
        <v>185</v>
      </c>
      <c r="O1876" s="2" t="s">
        <v>115</v>
      </c>
      <c r="P1876" s="2" t="str">
        <f>"2170562271                    "</f>
        <v xml:space="preserve">2170562271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13.93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6.2</v>
      </c>
      <c r="BJ1876" s="2">
        <v>3.2</v>
      </c>
      <c r="BK1876" s="2">
        <v>6.5</v>
      </c>
      <c r="BL1876" s="2">
        <v>135.61000000000001</v>
      </c>
      <c r="BM1876" s="2">
        <v>18.989999999999998</v>
      </c>
      <c r="BN1876" s="2">
        <v>154.6</v>
      </c>
      <c r="BO1876" s="2">
        <v>154.6</v>
      </c>
      <c r="BP1876" s="2"/>
      <c r="BQ1876" s="2" t="s">
        <v>129</v>
      </c>
      <c r="BR1876" s="2" t="s">
        <v>84</v>
      </c>
      <c r="BS1876" s="3">
        <v>42843</v>
      </c>
      <c r="BT1876" s="4">
        <v>0.41666666666666669</v>
      </c>
      <c r="BU1876" s="2" t="s">
        <v>2363</v>
      </c>
      <c r="BV1876" s="2" t="s">
        <v>86</v>
      </c>
      <c r="BW1876" s="2" t="s">
        <v>164</v>
      </c>
      <c r="BX1876" s="2" t="s">
        <v>2343</v>
      </c>
      <c r="BY1876" s="2">
        <v>16008.19</v>
      </c>
      <c r="BZ1876" s="2"/>
      <c r="CA1876" s="2"/>
      <c r="CB1876" s="2"/>
      <c r="CC1876" s="2" t="s">
        <v>181</v>
      </c>
      <c r="CD1876" s="2">
        <v>4052</v>
      </c>
      <c r="CE1876" s="2" t="s">
        <v>89</v>
      </c>
      <c r="CF1876" s="5">
        <v>42844</v>
      </c>
      <c r="CG1876" s="2"/>
      <c r="CH1876" s="2"/>
      <c r="CI1876" s="2">
        <v>1</v>
      </c>
      <c r="CJ1876" s="2">
        <v>3</v>
      </c>
      <c r="CK1876" s="2">
        <v>21</v>
      </c>
      <c r="CL1876" s="2" t="s">
        <v>86</v>
      </c>
      <c r="CM1876" s="2"/>
    </row>
    <row r="1877" spans="1:91">
      <c r="A1877" s="2" t="s">
        <v>71</v>
      </c>
      <c r="B1877" s="2" t="s">
        <v>72</v>
      </c>
      <c r="C1877" s="2" t="s">
        <v>73</v>
      </c>
      <c r="D1877" s="2"/>
      <c r="E1877" s="2" t="str">
        <f>"FES1162543722"</f>
        <v>FES1162543722</v>
      </c>
      <c r="F1877" s="3">
        <v>42838</v>
      </c>
      <c r="G1877" s="2">
        <v>201710</v>
      </c>
      <c r="H1877" s="2" t="s">
        <v>74</v>
      </c>
      <c r="I1877" s="2" t="s">
        <v>75</v>
      </c>
      <c r="J1877" s="2" t="s">
        <v>76</v>
      </c>
      <c r="K1877" s="2" t="s">
        <v>77</v>
      </c>
      <c r="L1877" s="2" t="s">
        <v>358</v>
      </c>
      <c r="M1877" s="2" t="s">
        <v>359</v>
      </c>
      <c r="N1877" s="2" t="s">
        <v>776</v>
      </c>
      <c r="O1877" s="2" t="s">
        <v>115</v>
      </c>
      <c r="P1877" s="2" t="str">
        <f>"2170559498                    "</f>
        <v xml:space="preserve">2170559498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7.5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2.4</v>
      </c>
      <c r="BJ1877" s="2">
        <v>3.5</v>
      </c>
      <c r="BK1877" s="2">
        <v>3.5</v>
      </c>
      <c r="BL1877" s="2">
        <v>73.02</v>
      </c>
      <c r="BM1877" s="2">
        <v>10.220000000000001</v>
      </c>
      <c r="BN1877" s="2">
        <v>83.24</v>
      </c>
      <c r="BO1877" s="2">
        <v>83.24</v>
      </c>
      <c r="BP1877" s="2"/>
      <c r="BQ1877" s="2" t="s">
        <v>999</v>
      </c>
      <c r="BR1877" s="2" t="s">
        <v>84</v>
      </c>
      <c r="BS1877" s="3">
        <v>42843</v>
      </c>
      <c r="BT1877" s="4">
        <v>0.40763888888888888</v>
      </c>
      <c r="BU1877" s="2" t="s">
        <v>2364</v>
      </c>
      <c r="BV1877" s="2" t="s">
        <v>86</v>
      </c>
      <c r="BW1877" s="2" t="s">
        <v>104</v>
      </c>
      <c r="BX1877" s="2" t="s">
        <v>105</v>
      </c>
      <c r="BY1877" s="2">
        <v>17380.46</v>
      </c>
      <c r="BZ1877" s="2"/>
      <c r="CA1877" s="2"/>
      <c r="CB1877" s="2"/>
      <c r="CC1877" s="2" t="s">
        <v>359</v>
      </c>
      <c r="CD1877" s="2">
        <v>6229</v>
      </c>
      <c r="CE1877" s="2" t="s">
        <v>89</v>
      </c>
      <c r="CF1877" s="5">
        <v>42845</v>
      </c>
      <c r="CG1877" s="2"/>
      <c r="CH1877" s="2"/>
      <c r="CI1877" s="2">
        <v>1</v>
      </c>
      <c r="CJ1877" s="2">
        <v>3</v>
      </c>
      <c r="CK1877" s="2">
        <v>21</v>
      </c>
      <c r="CL1877" s="2" t="s">
        <v>86</v>
      </c>
      <c r="CM1877" s="2"/>
    </row>
    <row r="1878" spans="1:91">
      <c r="A1878" s="2" t="s">
        <v>71</v>
      </c>
      <c r="B1878" s="2" t="s">
        <v>72</v>
      </c>
      <c r="C1878" s="2" t="s">
        <v>73</v>
      </c>
      <c r="D1878" s="2"/>
      <c r="E1878" s="2" t="str">
        <f>"FES1162543719"</f>
        <v>FES1162543719</v>
      </c>
      <c r="F1878" s="3">
        <v>42838</v>
      </c>
      <c r="G1878" s="2">
        <v>201710</v>
      </c>
      <c r="H1878" s="2" t="s">
        <v>74</v>
      </c>
      <c r="I1878" s="2" t="s">
        <v>75</v>
      </c>
      <c r="J1878" s="2" t="s">
        <v>76</v>
      </c>
      <c r="K1878" s="2" t="s">
        <v>77</v>
      </c>
      <c r="L1878" s="2" t="s">
        <v>1073</v>
      </c>
      <c r="M1878" s="2" t="s">
        <v>1074</v>
      </c>
      <c r="N1878" s="2" t="s">
        <v>2365</v>
      </c>
      <c r="O1878" s="2" t="s">
        <v>115</v>
      </c>
      <c r="P1878" s="2" t="str">
        <f>"2170562362                    "</f>
        <v xml:space="preserve">2170562362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4.29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1</v>
      </c>
      <c r="BJ1878" s="2">
        <v>0.2</v>
      </c>
      <c r="BK1878" s="2">
        <v>1</v>
      </c>
      <c r="BL1878" s="2">
        <v>41.73</v>
      </c>
      <c r="BM1878" s="2">
        <v>5.84</v>
      </c>
      <c r="BN1878" s="2">
        <v>47.57</v>
      </c>
      <c r="BO1878" s="2">
        <v>47.57</v>
      </c>
      <c r="BP1878" s="2"/>
      <c r="BQ1878" s="2" t="s">
        <v>2366</v>
      </c>
      <c r="BR1878" s="2" t="s">
        <v>84</v>
      </c>
      <c r="BS1878" s="3">
        <v>42843</v>
      </c>
      <c r="BT1878" s="4">
        <v>0.41666666666666669</v>
      </c>
      <c r="BU1878" s="2" t="s">
        <v>266</v>
      </c>
      <c r="BV1878" s="2" t="s">
        <v>86</v>
      </c>
      <c r="BW1878" s="2" t="s">
        <v>96</v>
      </c>
      <c r="BX1878" s="2" t="s">
        <v>2367</v>
      </c>
      <c r="BY1878" s="2">
        <v>1200</v>
      </c>
      <c r="BZ1878" s="2"/>
      <c r="CA1878" s="2"/>
      <c r="CB1878" s="2"/>
      <c r="CC1878" s="2" t="s">
        <v>1074</v>
      </c>
      <c r="CD1878" s="2">
        <v>1947</v>
      </c>
      <c r="CE1878" s="2" t="s">
        <v>118</v>
      </c>
      <c r="CF1878" s="5">
        <v>42845</v>
      </c>
      <c r="CG1878" s="2"/>
      <c r="CH1878" s="2"/>
      <c r="CI1878" s="2">
        <v>1</v>
      </c>
      <c r="CJ1878" s="2">
        <v>3</v>
      </c>
      <c r="CK1878" s="2">
        <v>21</v>
      </c>
      <c r="CL1878" s="2" t="s">
        <v>86</v>
      </c>
      <c r="CM1878" s="2"/>
    </row>
    <row r="1879" spans="1:91">
      <c r="A1879" s="2" t="s">
        <v>71</v>
      </c>
      <c r="B1879" s="2" t="s">
        <v>72</v>
      </c>
      <c r="C1879" s="2" t="s">
        <v>73</v>
      </c>
      <c r="D1879" s="2"/>
      <c r="E1879" s="2" t="str">
        <f>"FES1162543607"</f>
        <v>FES1162543607</v>
      </c>
      <c r="F1879" s="3">
        <v>42838</v>
      </c>
      <c r="G1879" s="2">
        <v>201710</v>
      </c>
      <c r="H1879" s="2" t="s">
        <v>74</v>
      </c>
      <c r="I1879" s="2" t="s">
        <v>75</v>
      </c>
      <c r="J1879" s="2" t="s">
        <v>76</v>
      </c>
      <c r="K1879" s="2" t="s">
        <v>77</v>
      </c>
      <c r="L1879" s="2" t="s">
        <v>598</v>
      </c>
      <c r="M1879" s="2" t="s">
        <v>599</v>
      </c>
      <c r="N1879" s="2" t="s">
        <v>600</v>
      </c>
      <c r="O1879" s="2" t="s">
        <v>115</v>
      </c>
      <c r="P1879" s="2" t="str">
        <f>"2170562275                    "</f>
        <v xml:space="preserve">2170562275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10.18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2.5</v>
      </c>
      <c r="BJ1879" s="2">
        <v>2</v>
      </c>
      <c r="BK1879" s="2">
        <v>2.5</v>
      </c>
      <c r="BL1879" s="2">
        <v>99.1</v>
      </c>
      <c r="BM1879" s="2">
        <v>13.87</v>
      </c>
      <c r="BN1879" s="2">
        <v>112.97</v>
      </c>
      <c r="BO1879" s="2">
        <v>112.97</v>
      </c>
      <c r="BP1879" s="2"/>
      <c r="BQ1879" s="2" t="s">
        <v>601</v>
      </c>
      <c r="BR1879" s="2" t="s">
        <v>84</v>
      </c>
      <c r="BS1879" s="3">
        <v>42843</v>
      </c>
      <c r="BT1879" s="4">
        <v>0.59861111111111109</v>
      </c>
      <c r="BU1879" s="2" t="s">
        <v>602</v>
      </c>
      <c r="BV1879" s="2" t="s">
        <v>111</v>
      </c>
      <c r="BW1879" s="2"/>
      <c r="BX1879" s="2"/>
      <c r="BY1879" s="2">
        <v>9765.23</v>
      </c>
      <c r="BZ1879" s="2"/>
      <c r="CA1879" s="2"/>
      <c r="CB1879" s="2"/>
      <c r="CC1879" s="2" t="s">
        <v>599</v>
      </c>
      <c r="CD1879" s="2">
        <v>3370</v>
      </c>
      <c r="CE1879" s="2" t="s">
        <v>89</v>
      </c>
      <c r="CF1879" s="5">
        <v>42845</v>
      </c>
      <c r="CG1879" s="2"/>
      <c r="CH1879" s="2"/>
      <c r="CI1879" s="2">
        <v>3</v>
      </c>
      <c r="CJ1879" s="2">
        <v>3</v>
      </c>
      <c r="CK1879" s="2">
        <v>23</v>
      </c>
      <c r="CL1879" s="2" t="s">
        <v>86</v>
      </c>
      <c r="CM1879" s="2"/>
    </row>
    <row r="1880" spans="1:91">
      <c r="A1880" s="2" t="s">
        <v>71</v>
      </c>
      <c r="B1880" s="2" t="s">
        <v>72</v>
      </c>
      <c r="C1880" s="2" t="s">
        <v>73</v>
      </c>
      <c r="D1880" s="2"/>
      <c r="E1880" s="2" t="str">
        <f>"FES1162543631"</f>
        <v>FES1162543631</v>
      </c>
      <c r="F1880" s="3">
        <v>42838</v>
      </c>
      <c r="G1880" s="2">
        <v>201710</v>
      </c>
      <c r="H1880" s="2" t="s">
        <v>74</v>
      </c>
      <c r="I1880" s="2" t="s">
        <v>75</v>
      </c>
      <c r="J1880" s="2" t="s">
        <v>76</v>
      </c>
      <c r="K1880" s="2" t="s">
        <v>77</v>
      </c>
      <c r="L1880" s="2" t="s">
        <v>516</v>
      </c>
      <c r="M1880" s="2" t="s">
        <v>517</v>
      </c>
      <c r="N1880" s="2" t="s">
        <v>808</v>
      </c>
      <c r="O1880" s="2" t="s">
        <v>115</v>
      </c>
      <c r="P1880" s="2" t="str">
        <f>"2170562290                    "</f>
        <v xml:space="preserve">2170562290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3.35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3.8</v>
      </c>
      <c r="BJ1880" s="2">
        <v>1.7</v>
      </c>
      <c r="BK1880" s="2">
        <v>4</v>
      </c>
      <c r="BL1880" s="2">
        <v>32.6</v>
      </c>
      <c r="BM1880" s="2">
        <v>4.5599999999999996</v>
      </c>
      <c r="BN1880" s="2">
        <v>37.159999999999997</v>
      </c>
      <c r="BO1880" s="2">
        <v>37.159999999999997</v>
      </c>
      <c r="BP1880" s="2"/>
      <c r="BQ1880" s="2" t="s">
        <v>809</v>
      </c>
      <c r="BR1880" s="2" t="s">
        <v>84</v>
      </c>
      <c r="BS1880" s="3">
        <v>42843</v>
      </c>
      <c r="BT1880" s="4">
        <v>0.4375</v>
      </c>
      <c r="BU1880" s="2" t="s">
        <v>1289</v>
      </c>
      <c r="BV1880" s="2" t="s">
        <v>86</v>
      </c>
      <c r="BW1880" s="2" t="s">
        <v>164</v>
      </c>
      <c r="BX1880" s="2" t="s">
        <v>618</v>
      </c>
      <c r="BY1880" s="2">
        <v>8432.27</v>
      </c>
      <c r="BZ1880" s="2"/>
      <c r="CA1880" s="2" t="s">
        <v>159</v>
      </c>
      <c r="CB1880" s="2"/>
      <c r="CC1880" s="2" t="s">
        <v>517</v>
      </c>
      <c r="CD1880" s="2">
        <v>1459</v>
      </c>
      <c r="CE1880" s="2" t="s">
        <v>89</v>
      </c>
      <c r="CF1880" s="5">
        <v>42844</v>
      </c>
      <c r="CG1880" s="2"/>
      <c r="CH1880" s="2"/>
      <c r="CI1880" s="2">
        <v>1</v>
      </c>
      <c r="CJ1880" s="2">
        <v>3</v>
      </c>
      <c r="CK1880" s="2">
        <v>22</v>
      </c>
      <c r="CL1880" s="2" t="s">
        <v>86</v>
      </c>
      <c r="CM1880" s="2"/>
    </row>
    <row r="1881" spans="1:91">
      <c r="A1881" s="2" t="s">
        <v>71</v>
      </c>
      <c r="B1881" s="2" t="s">
        <v>72</v>
      </c>
      <c r="C1881" s="2" t="s">
        <v>73</v>
      </c>
      <c r="D1881" s="2"/>
      <c r="E1881" s="2" t="str">
        <f>"FES1162543728"</f>
        <v>FES1162543728</v>
      </c>
      <c r="F1881" s="3">
        <v>42838</v>
      </c>
      <c r="G1881" s="2">
        <v>201710</v>
      </c>
      <c r="H1881" s="2" t="s">
        <v>74</v>
      </c>
      <c r="I1881" s="2" t="s">
        <v>75</v>
      </c>
      <c r="J1881" s="2" t="s">
        <v>76</v>
      </c>
      <c r="K1881" s="2" t="s">
        <v>77</v>
      </c>
      <c r="L1881" s="2" t="s">
        <v>99</v>
      </c>
      <c r="M1881" s="2" t="s">
        <v>100</v>
      </c>
      <c r="N1881" s="2" t="s">
        <v>583</v>
      </c>
      <c r="O1881" s="2" t="s">
        <v>115</v>
      </c>
      <c r="P1881" s="2" t="str">
        <f>"2170562374                    "</f>
        <v xml:space="preserve">2170562374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4.29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1</v>
      </c>
      <c r="BJ1881" s="2">
        <v>0.2</v>
      </c>
      <c r="BK1881" s="2">
        <v>1</v>
      </c>
      <c r="BL1881" s="2">
        <v>41.73</v>
      </c>
      <c r="BM1881" s="2">
        <v>5.84</v>
      </c>
      <c r="BN1881" s="2">
        <v>47.57</v>
      </c>
      <c r="BO1881" s="2">
        <v>47.57</v>
      </c>
      <c r="BP1881" s="2"/>
      <c r="BQ1881" s="2" t="s">
        <v>584</v>
      </c>
      <c r="BR1881" s="2" t="s">
        <v>84</v>
      </c>
      <c r="BS1881" s="3">
        <v>42843</v>
      </c>
      <c r="BT1881" s="4">
        <v>0.30555555555555552</v>
      </c>
      <c r="BU1881" s="2" t="s">
        <v>1080</v>
      </c>
      <c r="BV1881" s="2" t="s">
        <v>86</v>
      </c>
      <c r="BW1881" s="2"/>
      <c r="BX1881" s="2"/>
      <c r="BY1881" s="2">
        <v>1200</v>
      </c>
      <c r="BZ1881" s="2"/>
      <c r="CA1881" s="2" t="s">
        <v>154</v>
      </c>
      <c r="CB1881" s="2"/>
      <c r="CC1881" s="2" t="s">
        <v>100</v>
      </c>
      <c r="CD1881" s="2">
        <v>6001</v>
      </c>
      <c r="CE1881" s="2" t="s">
        <v>118</v>
      </c>
      <c r="CF1881" s="5">
        <v>42843</v>
      </c>
      <c r="CG1881" s="2"/>
      <c r="CH1881" s="2"/>
      <c r="CI1881" s="2">
        <v>1</v>
      </c>
      <c r="CJ1881" s="2">
        <v>3</v>
      </c>
      <c r="CK1881" s="2">
        <v>21</v>
      </c>
      <c r="CL1881" s="2" t="s">
        <v>86</v>
      </c>
      <c r="CM1881" s="2"/>
    </row>
    <row r="1882" spans="1:91">
      <c r="A1882" s="2" t="s">
        <v>71</v>
      </c>
      <c r="B1882" s="2" t="s">
        <v>72</v>
      </c>
      <c r="C1882" s="2" t="s">
        <v>73</v>
      </c>
      <c r="D1882" s="2"/>
      <c r="E1882" s="2" t="str">
        <f>"FES1162543669"</f>
        <v>FES1162543669</v>
      </c>
      <c r="F1882" s="3">
        <v>42838</v>
      </c>
      <c r="G1882" s="2">
        <v>201710</v>
      </c>
      <c r="H1882" s="2" t="s">
        <v>74</v>
      </c>
      <c r="I1882" s="2" t="s">
        <v>75</v>
      </c>
      <c r="J1882" s="2" t="s">
        <v>76</v>
      </c>
      <c r="K1882" s="2" t="s">
        <v>77</v>
      </c>
      <c r="L1882" s="2" t="s">
        <v>119</v>
      </c>
      <c r="M1882" s="2" t="s">
        <v>120</v>
      </c>
      <c r="N1882" s="2" t="s">
        <v>725</v>
      </c>
      <c r="O1882" s="2" t="s">
        <v>115</v>
      </c>
      <c r="P1882" s="2" t="str">
        <f>"2170559558                    "</f>
        <v xml:space="preserve">2170559558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3.35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1</v>
      </c>
      <c r="BJ1882" s="2">
        <v>0.2</v>
      </c>
      <c r="BK1882" s="2">
        <v>1</v>
      </c>
      <c r="BL1882" s="2">
        <v>32.6</v>
      </c>
      <c r="BM1882" s="2">
        <v>4.5599999999999996</v>
      </c>
      <c r="BN1882" s="2">
        <v>37.159999999999997</v>
      </c>
      <c r="BO1882" s="2">
        <v>37.159999999999997</v>
      </c>
      <c r="BP1882" s="2"/>
      <c r="BQ1882" s="2" t="s">
        <v>726</v>
      </c>
      <c r="BR1882" s="2" t="s">
        <v>84</v>
      </c>
      <c r="BS1882" s="3">
        <v>42843</v>
      </c>
      <c r="BT1882" s="4">
        <v>0.36944444444444446</v>
      </c>
      <c r="BU1882" s="2" t="s">
        <v>767</v>
      </c>
      <c r="BV1882" s="2" t="s">
        <v>86</v>
      </c>
      <c r="BW1882" s="2" t="s">
        <v>164</v>
      </c>
      <c r="BX1882" s="2" t="s">
        <v>2211</v>
      </c>
      <c r="BY1882" s="2">
        <v>1200</v>
      </c>
      <c r="BZ1882" s="2"/>
      <c r="CA1882" s="2" t="s">
        <v>125</v>
      </c>
      <c r="CB1882" s="2"/>
      <c r="CC1882" s="2" t="s">
        <v>120</v>
      </c>
      <c r="CD1882" s="2">
        <v>2162</v>
      </c>
      <c r="CE1882" s="2" t="s">
        <v>118</v>
      </c>
      <c r="CF1882" s="5">
        <v>42844</v>
      </c>
      <c r="CG1882" s="2"/>
      <c r="CH1882" s="2"/>
      <c r="CI1882" s="2">
        <v>1</v>
      </c>
      <c r="CJ1882" s="2">
        <v>3</v>
      </c>
      <c r="CK1882" s="2">
        <v>22</v>
      </c>
      <c r="CL1882" s="2" t="s">
        <v>86</v>
      </c>
      <c r="CM1882" s="2"/>
    </row>
    <row r="1883" spans="1:91">
      <c r="A1883" s="2" t="s">
        <v>71</v>
      </c>
      <c r="B1883" s="2" t="s">
        <v>72</v>
      </c>
      <c r="C1883" s="2" t="s">
        <v>73</v>
      </c>
      <c r="D1883" s="2"/>
      <c r="E1883" s="2" t="str">
        <f>"FES1162543555"</f>
        <v>FES1162543555</v>
      </c>
      <c r="F1883" s="3">
        <v>42838</v>
      </c>
      <c r="G1883" s="2">
        <v>201710</v>
      </c>
      <c r="H1883" s="2" t="s">
        <v>74</v>
      </c>
      <c r="I1883" s="2" t="s">
        <v>75</v>
      </c>
      <c r="J1883" s="2" t="s">
        <v>76</v>
      </c>
      <c r="K1883" s="2" t="s">
        <v>77</v>
      </c>
      <c r="L1883" s="2" t="s">
        <v>131</v>
      </c>
      <c r="M1883" s="2" t="s">
        <v>132</v>
      </c>
      <c r="N1883" s="2" t="s">
        <v>731</v>
      </c>
      <c r="O1883" s="2" t="s">
        <v>115</v>
      </c>
      <c r="P1883" s="2" t="str">
        <f>"2170562227                    "</f>
        <v xml:space="preserve">2170562227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4.29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1</v>
      </c>
      <c r="BJ1883" s="2">
        <v>0.2</v>
      </c>
      <c r="BK1883" s="2">
        <v>1</v>
      </c>
      <c r="BL1883" s="2">
        <v>41.73</v>
      </c>
      <c r="BM1883" s="2">
        <v>5.84</v>
      </c>
      <c r="BN1883" s="2">
        <v>47.57</v>
      </c>
      <c r="BO1883" s="2">
        <v>47.57</v>
      </c>
      <c r="BP1883" s="2"/>
      <c r="BQ1883" s="2" t="s">
        <v>732</v>
      </c>
      <c r="BR1883" s="2" t="s">
        <v>84</v>
      </c>
      <c r="BS1883" s="3">
        <v>42843</v>
      </c>
      <c r="BT1883" s="4">
        <v>0.42222222222222222</v>
      </c>
      <c r="BU1883" s="2" t="s">
        <v>2368</v>
      </c>
      <c r="BV1883" s="2" t="s">
        <v>86</v>
      </c>
      <c r="BW1883" s="2" t="s">
        <v>157</v>
      </c>
      <c r="BX1883" s="2" t="s">
        <v>1537</v>
      </c>
      <c r="BY1883" s="2">
        <v>1200</v>
      </c>
      <c r="BZ1883" s="2"/>
      <c r="CA1883" s="2"/>
      <c r="CB1883" s="2"/>
      <c r="CC1883" s="2" t="s">
        <v>132</v>
      </c>
      <c r="CD1883" s="2">
        <v>7945</v>
      </c>
      <c r="CE1883" s="2" t="s">
        <v>118</v>
      </c>
      <c r="CF1883" s="5">
        <v>42844</v>
      </c>
      <c r="CG1883" s="2"/>
      <c r="CH1883" s="2"/>
      <c r="CI1883" s="2">
        <v>1</v>
      </c>
      <c r="CJ1883" s="2">
        <v>3</v>
      </c>
      <c r="CK1883" s="2">
        <v>21</v>
      </c>
      <c r="CL1883" s="2" t="s">
        <v>86</v>
      </c>
      <c r="CM1883" s="2"/>
    </row>
    <row r="1884" spans="1:91">
      <c r="A1884" s="2" t="s">
        <v>71</v>
      </c>
      <c r="B1884" s="2" t="s">
        <v>72</v>
      </c>
      <c r="C1884" s="2" t="s">
        <v>73</v>
      </c>
      <c r="D1884" s="2"/>
      <c r="E1884" s="2" t="str">
        <f>"FES1162543507"</f>
        <v>FES1162543507</v>
      </c>
      <c r="F1884" s="3">
        <v>42838</v>
      </c>
      <c r="G1884" s="2">
        <v>201710</v>
      </c>
      <c r="H1884" s="2" t="s">
        <v>74</v>
      </c>
      <c r="I1884" s="2" t="s">
        <v>75</v>
      </c>
      <c r="J1884" s="2" t="s">
        <v>76</v>
      </c>
      <c r="K1884" s="2" t="s">
        <v>77</v>
      </c>
      <c r="L1884" s="2" t="s">
        <v>591</v>
      </c>
      <c r="M1884" s="2" t="s">
        <v>592</v>
      </c>
      <c r="N1884" s="2" t="s">
        <v>675</v>
      </c>
      <c r="O1884" s="2" t="s">
        <v>115</v>
      </c>
      <c r="P1884" s="2" t="str">
        <f>"2170562203                    "</f>
        <v xml:space="preserve">2170562203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4.29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</v>
      </c>
      <c r="BJ1884" s="2">
        <v>0.2</v>
      </c>
      <c r="BK1884" s="2">
        <v>1</v>
      </c>
      <c r="BL1884" s="2">
        <v>41.73</v>
      </c>
      <c r="BM1884" s="2">
        <v>5.84</v>
      </c>
      <c r="BN1884" s="2">
        <v>47.57</v>
      </c>
      <c r="BO1884" s="2">
        <v>47.57</v>
      </c>
      <c r="BP1884" s="2"/>
      <c r="BQ1884" s="2" t="s">
        <v>129</v>
      </c>
      <c r="BR1884" s="2" t="s">
        <v>84</v>
      </c>
      <c r="BS1884" s="3">
        <v>42843</v>
      </c>
      <c r="BT1884" s="4">
        <v>0.36805555555555558</v>
      </c>
      <c r="BU1884" s="2" t="s">
        <v>2369</v>
      </c>
      <c r="BV1884" s="2" t="s">
        <v>86</v>
      </c>
      <c r="BW1884" s="2" t="s">
        <v>87</v>
      </c>
      <c r="BX1884" s="2" t="s">
        <v>1370</v>
      </c>
      <c r="BY1884" s="2">
        <v>1200</v>
      </c>
      <c r="BZ1884" s="2"/>
      <c r="CA1884" s="2"/>
      <c r="CB1884" s="2"/>
      <c r="CC1884" s="2" t="s">
        <v>592</v>
      </c>
      <c r="CD1884" s="2">
        <v>7600</v>
      </c>
      <c r="CE1884" s="2" t="s">
        <v>118</v>
      </c>
      <c r="CF1884" s="5">
        <v>42844</v>
      </c>
      <c r="CG1884" s="2"/>
      <c r="CH1884" s="2"/>
      <c r="CI1884" s="2">
        <v>1</v>
      </c>
      <c r="CJ1884" s="2">
        <v>3</v>
      </c>
      <c r="CK1884" s="2">
        <v>21</v>
      </c>
      <c r="CL1884" s="2" t="s">
        <v>86</v>
      </c>
      <c r="CM1884" s="2"/>
    </row>
    <row r="1885" spans="1:91">
      <c r="A1885" s="2" t="s">
        <v>71</v>
      </c>
      <c r="B1885" s="2" t="s">
        <v>72</v>
      </c>
      <c r="C1885" s="2" t="s">
        <v>73</v>
      </c>
      <c r="D1885" s="2"/>
      <c r="E1885" s="2" t="str">
        <f>"FES1162543672"</f>
        <v>FES1162543672</v>
      </c>
      <c r="F1885" s="3">
        <v>42838</v>
      </c>
      <c r="G1885" s="2">
        <v>201710</v>
      </c>
      <c r="H1885" s="2" t="s">
        <v>74</v>
      </c>
      <c r="I1885" s="2" t="s">
        <v>75</v>
      </c>
      <c r="J1885" s="2" t="s">
        <v>76</v>
      </c>
      <c r="K1885" s="2" t="s">
        <v>77</v>
      </c>
      <c r="L1885" s="2" t="s">
        <v>99</v>
      </c>
      <c r="M1885" s="2" t="s">
        <v>100</v>
      </c>
      <c r="N1885" s="2" t="s">
        <v>108</v>
      </c>
      <c r="O1885" s="2" t="s">
        <v>115</v>
      </c>
      <c r="P1885" s="2" t="str">
        <f>"2170560213                    "</f>
        <v xml:space="preserve">2170560213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4.29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1</v>
      </c>
      <c r="BJ1885" s="2">
        <v>0.2</v>
      </c>
      <c r="BK1885" s="2">
        <v>1</v>
      </c>
      <c r="BL1885" s="2">
        <v>41.73</v>
      </c>
      <c r="BM1885" s="2">
        <v>5.84</v>
      </c>
      <c r="BN1885" s="2">
        <v>47.57</v>
      </c>
      <c r="BO1885" s="2">
        <v>47.57</v>
      </c>
      <c r="BP1885" s="2"/>
      <c r="BQ1885" s="2" t="s">
        <v>109</v>
      </c>
      <c r="BR1885" s="2" t="s">
        <v>84</v>
      </c>
      <c r="BS1885" s="3">
        <v>42843</v>
      </c>
      <c r="BT1885" s="4">
        <v>0.40277777777777773</v>
      </c>
      <c r="BU1885" s="2" t="s">
        <v>109</v>
      </c>
      <c r="BV1885" s="2" t="s">
        <v>86</v>
      </c>
      <c r="BW1885" s="2" t="s">
        <v>104</v>
      </c>
      <c r="BX1885" s="2" t="s">
        <v>105</v>
      </c>
      <c r="BY1885" s="2">
        <v>1200</v>
      </c>
      <c r="BZ1885" s="2"/>
      <c r="CA1885" s="2"/>
      <c r="CB1885" s="2"/>
      <c r="CC1885" s="2" t="s">
        <v>100</v>
      </c>
      <c r="CD1885" s="2">
        <v>6001</v>
      </c>
      <c r="CE1885" s="2" t="s">
        <v>118</v>
      </c>
      <c r="CF1885" s="5">
        <v>42845</v>
      </c>
      <c r="CG1885" s="2"/>
      <c r="CH1885" s="2"/>
      <c r="CI1885" s="2">
        <v>1</v>
      </c>
      <c r="CJ1885" s="2">
        <v>3</v>
      </c>
      <c r="CK1885" s="2">
        <v>21</v>
      </c>
      <c r="CL1885" s="2" t="s">
        <v>86</v>
      </c>
      <c r="CM1885" s="2"/>
    </row>
    <row r="1886" spans="1:91">
      <c r="A1886" s="2" t="s">
        <v>71</v>
      </c>
      <c r="B1886" s="2" t="s">
        <v>72</v>
      </c>
      <c r="C1886" s="2" t="s">
        <v>73</v>
      </c>
      <c r="D1886" s="2"/>
      <c r="E1886" s="2" t="str">
        <f>"FES1162543602"</f>
        <v>FES1162543602</v>
      </c>
      <c r="F1886" s="3">
        <v>42838</v>
      </c>
      <c r="G1886" s="2">
        <v>201710</v>
      </c>
      <c r="H1886" s="2" t="s">
        <v>74</v>
      </c>
      <c r="I1886" s="2" t="s">
        <v>75</v>
      </c>
      <c r="J1886" s="2" t="s">
        <v>76</v>
      </c>
      <c r="K1886" s="2" t="s">
        <v>77</v>
      </c>
      <c r="L1886" s="2" t="s">
        <v>131</v>
      </c>
      <c r="M1886" s="2" t="s">
        <v>132</v>
      </c>
      <c r="N1886" s="2" t="s">
        <v>1220</v>
      </c>
      <c r="O1886" s="2" t="s">
        <v>115</v>
      </c>
      <c r="P1886" s="2" t="str">
        <f>"2170562279                    "</f>
        <v xml:space="preserve">2170562279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4.29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1</v>
      </c>
      <c r="BJ1886" s="2">
        <v>0.2</v>
      </c>
      <c r="BK1886" s="2">
        <v>1</v>
      </c>
      <c r="BL1886" s="2">
        <v>41.73</v>
      </c>
      <c r="BM1886" s="2">
        <v>5.84</v>
      </c>
      <c r="BN1886" s="2">
        <v>47.57</v>
      </c>
      <c r="BO1886" s="2">
        <v>47.57</v>
      </c>
      <c r="BP1886" s="2"/>
      <c r="BQ1886" s="2" t="s">
        <v>122</v>
      </c>
      <c r="BR1886" s="2" t="s">
        <v>84</v>
      </c>
      <c r="BS1886" s="3">
        <v>42843</v>
      </c>
      <c r="BT1886" s="4">
        <v>0.36805555555555558</v>
      </c>
      <c r="BU1886" s="2" t="s">
        <v>2370</v>
      </c>
      <c r="BV1886" s="2" t="s">
        <v>86</v>
      </c>
      <c r="BW1886" s="2" t="s">
        <v>157</v>
      </c>
      <c r="BX1886" s="2" t="s">
        <v>1537</v>
      </c>
      <c r="BY1886" s="2">
        <v>1200</v>
      </c>
      <c r="BZ1886" s="2"/>
      <c r="CA1886" s="2"/>
      <c r="CB1886" s="2"/>
      <c r="CC1886" s="2" t="s">
        <v>132</v>
      </c>
      <c r="CD1886" s="2">
        <v>7500</v>
      </c>
      <c r="CE1886" s="2" t="s">
        <v>118</v>
      </c>
      <c r="CF1886" s="5">
        <v>42844</v>
      </c>
      <c r="CG1886" s="2"/>
      <c r="CH1886" s="2"/>
      <c r="CI1886" s="2">
        <v>1</v>
      </c>
      <c r="CJ1886" s="2">
        <v>3</v>
      </c>
      <c r="CK1886" s="2">
        <v>21</v>
      </c>
      <c r="CL1886" s="2" t="s">
        <v>86</v>
      </c>
      <c r="CM1886" s="2"/>
    </row>
    <row r="1887" spans="1:91">
      <c r="A1887" s="2" t="s">
        <v>71</v>
      </c>
      <c r="B1887" s="2" t="s">
        <v>72</v>
      </c>
      <c r="C1887" s="2" t="s">
        <v>73</v>
      </c>
      <c r="D1887" s="2"/>
      <c r="E1887" s="2" t="str">
        <f>"FES1162543640"</f>
        <v>FES1162543640</v>
      </c>
      <c r="F1887" s="3">
        <v>42838</v>
      </c>
      <c r="G1887" s="2">
        <v>201710</v>
      </c>
      <c r="H1887" s="2" t="s">
        <v>74</v>
      </c>
      <c r="I1887" s="2" t="s">
        <v>75</v>
      </c>
      <c r="J1887" s="2" t="s">
        <v>76</v>
      </c>
      <c r="K1887" s="2" t="s">
        <v>77</v>
      </c>
      <c r="L1887" s="2" t="s">
        <v>160</v>
      </c>
      <c r="M1887" s="2" t="s">
        <v>161</v>
      </c>
      <c r="N1887" s="2" t="s">
        <v>1432</v>
      </c>
      <c r="O1887" s="2" t="s">
        <v>115</v>
      </c>
      <c r="P1887" s="2" t="str">
        <f>"2170560003                    "</f>
        <v xml:space="preserve">2170560003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28.94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13.4</v>
      </c>
      <c r="BJ1887" s="2">
        <v>9.1</v>
      </c>
      <c r="BK1887" s="2">
        <v>13.5</v>
      </c>
      <c r="BL1887" s="2">
        <v>281.66000000000003</v>
      </c>
      <c r="BM1887" s="2">
        <v>39.43</v>
      </c>
      <c r="BN1887" s="2">
        <v>321.08999999999997</v>
      </c>
      <c r="BO1887" s="2">
        <v>321.08999999999997</v>
      </c>
      <c r="BP1887" s="2"/>
      <c r="BQ1887" s="2" t="s">
        <v>129</v>
      </c>
      <c r="BR1887" s="2" t="s">
        <v>84</v>
      </c>
      <c r="BS1887" s="3">
        <v>42843</v>
      </c>
      <c r="BT1887" s="4">
        <v>0.41666666666666669</v>
      </c>
      <c r="BU1887" s="2" t="s">
        <v>2184</v>
      </c>
      <c r="BV1887" s="2" t="s">
        <v>86</v>
      </c>
      <c r="BW1887" s="2" t="s">
        <v>157</v>
      </c>
      <c r="BX1887" s="2" t="s">
        <v>251</v>
      </c>
      <c r="BY1887" s="2">
        <v>45337.5</v>
      </c>
      <c r="BZ1887" s="2"/>
      <c r="CA1887" s="2"/>
      <c r="CB1887" s="2"/>
      <c r="CC1887" s="2" t="s">
        <v>161</v>
      </c>
      <c r="CD1887" s="2">
        <v>5201</v>
      </c>
      <c r="CE1887" s="2" t="s">
        <v>89</v>
      </c>
      <c r="CF1887" s="5">
        <v>42844</v>
      </c>
      <c r="CG1887" s="2"/>
      <c r="CH1887" s="2"/>
      <c r="CI1887" s="2">
        <v>1</v>
      </c>
      <c r="CJ1887" s="2">
        <v>3</v>
      </c>
      <c r="CK1887" s="2">
        <v>21</v>
      </c>
      <c r="CL1887" s="2" t="s">
        <v>86</v>
      </c>
      <c r="CM1887" s="2"/>
    </row>
    <row r="1888" spans="1:91">
      <c r="A1888" s="2" t="s">
        <v>71</v>
      </c>
      <c r="B1888" s="2" t="s">
        <v>72</v>
      </c>
      <c r="C1888" s="2" t="s">
        <v>73</v>
      </c>
      <c r="D1888" s="2"/>
      <c r="E1888" s="2" t="str">
        <f>"FES1162543673"</f>
        <v>FES1162543673</v>
      </c>
      <c r="F1888" s="3">
        <v>42838</v>
      </c>
      <c r="G1888" s="2">
        <v>201710</v>
      </c>
      <c r="H1888" s="2" t="s">
        <v>74</v>
      </c>
      <c r="I1888" s="2" t="s">
        <v>75</v>
      </c>
      <c r="J1888" s="2" t="s">
        <v>76</v>
      </c>
      <c r="K1888" s="2" t="s">
        <v>77</v>
      </c>
      <c r="L1888" s="2" t="s">
        <v>1161</v>
      </c>
      <c r="M1888" s="2" t="s">
        <v>1162</v>
      </c>
      <c r="N1888" s="2" t="s">
        <v>1163</v>
      </c>
      <c r="O1888" s="2" t="s">
        <v>115</v>
      </c>
      <c r="P1888" s="2" t="str">
        <f>"2170560247                    "</f>
        <v xml:space="preserve">2170560247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6.03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1</v>
      </c>
      <c r="BJ1888" s="2">
        <v>0.2</v>
      </c>
      <c r="BK1888" s="2">
        <v>1</v>
      </c>
      <c r="BL1888" s="2">
        <v>58.68</v>
      </c>
      <c r="BM1888" s="2">
        <v>8.2200000000000006</v>
      </c>
      <c r="BN1888" s="2">
        <v>66.900000000000006</v>
      </c>
      <c r="BO1888" s="2">
        <v>66.900000000000006</v>
      </c>
      <c r="BP1888" s="2"/>
      <c r="BQ1888" s="2" t="s">
        <v>122</v>
      </c>
      <c r="BR1888" s="2" t="s">
        <v>84</v>
      </c>
      <c r="BS1888" s="3">
        <v>42843</v>
      </c>
      <c r="BT1888" s="4">
        <v>0.54861111111111105</v>
      </c>
      <c r="BU1888" s="2" t="s">
        <v>130</v>
      </c>
      <c r="BV1888" s="2" t="s">
        <v>111</v>
      </c>
      <c r="BW1888" s="2"/>
      <c r="BX1888" s="2"/>
      <c r="BY1888" s="2">
        <v>1200</v>
      </c>
      <c r="BZ1888" s="2"/>
      <c r="CA1888" s="2"/>
      <c r="CB1888" s="2"/>
      <c r="CC1888" s="2" t="s">
        <v>1162</v>
      </c>
      <c r="CD1888" s="2">
        <v>1028</v>
      </c>
      <c r="CE1888" s="2" t="s">
        <v>118</v>
      </c>
      <c r="CF1888" s="5">
        <v>42845</v>
      </c>
      <c r="CG1888" s="2"/>
      <c r="CH1888" s="2"/>
      <c r="CI1888" s="2">
        <v>0</v>
      </c>
      <c r="CJ1888" s="2">
        <v>0</v>
      </c>
      <c r="CK1888" s="2">
        <v>24</v>
      </c>
      <c r="CL1888" s="2" t="s">
        <v>86</v>
      </c>
      <c r="CM1888" s="2"/>
    </row>
    <row r="1889" spans="1:91">
      <c r="A1889" s="2" t="s">
        <v>71</v>
      </c>
      <c r="B1889" s="2" t="s">
        <v>72</v>
      </c>
      <c r="C1889" s="2" t="s">
        <v>73</v>
      </c>
      <c r="D1889" s="2"/>
      <c r="E1889" s="2" t="str">
        <f>"FES1162543696"</f>
        <v>FES1162543696</v>
      </c>
      <c r="F1889" s="3">
        <v>42838</v>
      </c>
      <c r="G1889" s="2">
        <v>201710</v>
      </c>
      <c r="H1889" s="2" t="s">
        <v>74</v>
      </c>
      <c r="I1889" s="2" t="s">
        <v>75</v>
      </c>
      <c r="J1889" s="2" t="s">
        <v>76</v>
      </c>
      <c r="K1889" s="2" t="s">
        <v>77</v>
      </c>
      <c r="L1889" s="2" t="s">
        <v>187</v>
      </c>
      <c r="M1889" s="2" t="s">
        <v>146</v>
      </c>
      <c r="N1889" s="2" t="s">
        <v>573</v>
      </c>
      <c r="O1889" s="2" t="s">
        <v>115</v>
      </c>
      <c r="P1889" s="2" t="str">
        <f>"2170562629                    "</f>
        <v xml:space="preserve">2170562629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4.29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1</v>
      </c>
      <c r="BJ1889" s="2">
        <v>0.2</v>
      </c>
      <c r="BK1889" s="2">
        <v>1</v>
      </c>
      <c r="BL1889" s="2">
        <v>41.73</v>
      </c>
      <c r="BM1889" s="2">
        <v>5.84</v>
      </c>
      <c r="BN1889" s="2">
        <v>47.57</v>
      </c>
      <c r="BO1889" s="2">
        <v>47.57</v>
      </c>
      <c r="BP1889" s="2"/>
      <c r="BQ1889" s="2" t="s">
        <v>750</v>
      </c>
      <c r="BR1889" s="2" t="s">
        <v>84</v>
      </c>
      <c r="BS1889" s="3">
        <v>42843</v>
      </c>
      <c r="BT1889" s="4">
        <v>0.38541666666666669</v>
      </c>
      <c r="BU1889" s="2" t="s">
        <v>130</v>
      </c>
      <c r="BV1889" s="2" t="s">
        <v>86</v>
      </c>
      <c r="BW1889" s="2"/>
      <c r="BX1889" s="2"/>
      <c r="BY1889" s="2">
        <v>1200</v>
      </c>
      <c r="BZ1889" s="2"/>
      <c r="CA1889" s="2"/>
      <c r="CB1889" s="2"/>
      <c r="CC1889" s="2" t="s">
        <v>146</v>
      </c>
      <c r="CD1889" s="2">
        <v>82</v>
      </c>
      <c r="CE1889" s="2" t="s">
        <v>118</v>
      </c>
      <c r="CF1889" s="5">
        <v>42845</v>
      </c>
      <c r="CG1889" s="2"/>
      <c r="CH1889" s="2"/>
      <c r="CI1889" s="2">
        <v>0</v>
      </c>
      <c r="CJ1889" s="2">
        <v>0</v>
      </c>
      <c r="CK1889" s="2">
        <v>21</v>
      </c>
      <c r="CL1889" s="2" t="s">
        <v>86</v>
      </c>
      <c r="CM1889" s="2"/>
    </row>
    <row r="1890" spans="1:91">
      <c r="A1890" s="2" t="s">
        <v>71</v>
      </c>
      <c r="B1890" s="2" t="s">
        <v>72</v>
      </c>
      <c r="C1890" s="2" t="s">
        <v>73</v>
      </c>
      <c r="D1890" s="2"/>
      <c r="E1890" s="2" t="str">
        <f>"FES1162543670"</f>
        <v>FES1162543670</v>
      </c>
      <c r="F1890" s="3">
        <v>42838</v>
      </c>
      <c r="G1890" s="2">
        <v>201710</v>
      </c>
      <c r="H1890" s="2" t="s">
        <v>74</v>
      </c>
      <c r="I1890" s="2" t="s">
        <v>75</v>
      </c>
      <c r="J1890" s="2" t="s">
        <v>76</v>
      </c>
      <c r="K1890" s="2" t="s">
        <v>77</v>
      </c>
      <c r="L1890" s="2" t="s">
        <v>187</v>
      </c>
      <c r="M1890" s="2" t="s">
        <v>146</v>
      </c>
      <c r="N1890" s="2" t="s">
        <v>1602</v>
      </c>
      <c r="O1890" s="2" t="s">
        <v>115</v>
      </c>
      <c r="P1890" s="2" t="str">
        <f>"2170559621                    "</f>
        <v xml:space="preserve">2170559621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4.29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1</v>
      </c>
      <c r="BJ1890" s="2">
        <v>0.2</v>
      </c>
      <c r="BK1890" s="2">
        <v>1</v>
      </c>
      <c r="BL1890" s="2">
        <v>41.73</v>
      </c>
      <c r="BM1890" s="2">
        <v>5.84</v>
      </c>
      <c r="BN1890" s="2">
        <v>47.57</v>
      </c>
      <c r="BO1890" s="2">
        <v>47.57</v>
      </c>
      <c r="BP1890" s="2"/>
      <c r="BQ1890" s="2" t="s">
        <v>1603</v>
      </c>
      <c r="BR1890" s="2" t="s">
        <v>84</v>
      </c>
      <c r="BS1890" s="3">
        <v>42843</v>
      </c>
      <c r="BT1890" s="4">
        <v>0.35555555555555557</v>
      </c>
      <c r="BU1890" s="2" t="s">
        <v>2371</v>
      </c>
      <c r="BV1890" s="2" t="s">
        <v>86</v>
      </c>
      <c r="BW1890" s="2"/>
      <c r="BX1890" s="2"/>
      <c r="BY1890" s="2">
        <v>1200</v>
      </c>
      <c r="BZ1890" s="2"/>
      <c r="CA1890" s="2"/>
      <c r="CB1890" s="2"/>
      <c r="CC1890" s="2" t="s">
        <v>146</v>
      </c>
      <c r="CD1890" s="2">
        <v>117</v>
      </c>
      <c r="CE1890" s="2" t="s">
        <v>118</v>
      </c>
      <c r="CF1890" s="5">
        <v>42845</v>
      </c>
      <c r="CG1890" s="2"/>
      <c r="CH1890" s="2"/>
      <c r="CI1890" s="2">
        <v>0</v>
      </c>
      <c r="CJ1890" s="2">
        <v>0</v>
      </c>
      <c r="CK1890" s="2">
        <v>21</v>
      </c>
      <c r="CL1890" s="2" t="s">
        <v>86</v>
      </c>
      <c r="CM1890" s="2"/>
    </row>
    <row r="1891" spans="1:91">
      <c r="A1891" s="2" t="s">
        <v>71</v>
      </c>
      <c r="B1891" s="2" t="s">
        <v>72</v>
      </c>
      <c r="C1891" s="2" t="s">
        <v>73</v>
      </c>
      <c r="D1891" s="2"/>
      <c r="E1891" s="2" t="str">
        <f>"FES1162543695"</f>
        <v>FES1162543695</v>
      </c>
      <c r="F1891" s="3">
        <v>42838</v>
      </c>
      <c r="G1891" s="2">
        <v>201710</v>
      </c>
      <c r="H1891" s="2" t="s">
        <v>74</v>
      </c>
      <c r="I1891" s="2" t="s">
        <v>75</v>
      </c>
      <c r="J1891" s="2" t="s">
        <v>76</v>
      </c>
      <c r="K1891" s="2" t="s">
        <v>77</v>
      </c>
      <c r="L1891" s="2" t="s">
        <v>187</v>
      </c>
      <c r="M1891" s="2" t="s">
        <v>146</v>
      </c>
      <c r="N1891" s="2" t="s">
        <v>573</v>
      </c>
      <c r="O1891" s="2" t="s">
        <v>115</v>
      </c>
      <c r="P1891" s="2" t="str">
        <f>"2170562328                    "</f>
        <v xml:space="preserve">2170562328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4.29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1</v>
      </c>
      <c r="BJ1891" s="2">
        <v>0.2</v>
      </c>
      <c r="BK1891" s="2">
        <v>1</v>
      </c>
      <c r="BL1891" s="2">
        <v>41.73</v>
      </c>
      <c r="BM1891" s="2">
        <v>5.84</v>
      </c>
      <c r="BN1891" s="2">
        <v>47.57</v>
      </c>
      <c r="BO1891" s="2">
        <v>47.57</v>
      </c>
      <c r="BP1891" s="2"/>
      <c r="BQ1891" s="2" t="s">
        <v>750</v>
      </c>
      <c r="BR1891" s="2" t="s">
        <v>84</v>
      </c>
      <c r="BS1891" s="3">
        <v>42843</v>
      </c>
      <c r="BT1891" s="4">
        <v>0.38541666666666669</v>
      </c>
      <c r="BU1891" s="2" t="s">
        <v>2372</v>
      </c>
      <c r="BV1891" s="2" t="s">
        <v>86</v>
      </c>
      <c r="BW1891" s="2"/>
      <c r="BX1891" s="2"/>
      <c r="BY1891" s="2">
        <v>1200</v>
      </c>
      <c r="BZ1891" s="2"/>
      <c r="CA1891" s="2"/>
      <c r="CB1891" s="2"/>
      <c r="CC1891" s="2" t="s">
        <v>146</v>
      </c>
      <c r="CD1891" s="2">
        <v>82</v>
      </c>
      <c r="CE1891" s="2" t="s">
        <v>118</v>
      </c>
      <c r="CF1891" s="5">
        <v>42845</v>
      </c>
      <c r="CG1891" s="2"/>
      <c r="CH1891" s="2"/>
      <c r="CI1891" s="2">
        <v>0</v>
      </c>
      <c r="CJ1891" s="2">
        <v>0</v>
      </c>
      <c r="CK1891" s="2">
        <v>21</v>
      </c>
      <c r="CL1891" s="2" t="s">
        <v>86</v>
      </c>
      <c r="CM1891" s="2"/>
    </row>
    <row r="1892" spans="1:91">
      <c r="A1892" s="2" t="s">
        <v>71</v>
      </c>
      <c r="B1892" s="2" t="s">
        <v>72</v>
      </c>
      <c r="C1892" s="2" t="s">
        <v>73</v>
      </c>
      <c r="D1892" s="2"/>
      <c r="E1892" s="2" t="str">
        <f>"FES1162543727"</f>
        <v>FES1162543727</v>
      </c>
      <c r="F1892" s="3">
        <v>42838</v>
      </c>
      <c r="G1892" s="2">
        <v>201710</v>
      </c>
      <c r="H1892" s="2" t="s">
        <v>74</v>
      </c>
      <c r="I1892" s="2" t="s">
        <v>75</v>
      </c>
      <c r="J1892" s="2" t="s">
        <v>76</v>
      </c>
      <c r="K1892" s="2" t="s">
        <v>77</v>
      </c>
      <c r="L1892" s="2" t="s">
        <v>139</v>
      </c>
      <c r="M1892" s="2" t="s">
        <v>140</v>
      </c>
      <c r="N1892" s="2" t="s">
        <v>2095</v>
      </c>
      <c r="O1892" s="2" t="s">
        <v>115</v>
      </c>
      <c r="P1892" s="2" t="str">
        <f>"2170562372                    "</f>
        <v xml:space="preserve">2170562372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4.29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1</v>
      </c>
      <c r="BJ1892" s="2">
        <v>0.2</v>
      </c>
      <c r="BK1892" s="2">
        <v>1</v>
      </c>
      <c r="BL1892" s="2">
        <v>41.73</v>
      </c>
      <c r="BM1892" s="2">
        <v>5.84</v>
      </c>
      <c r="BN1892" s="2">
        <v>47.57</v>
      </c>
      <c r="BO1892" s="2">
        <v>47.57</v>
      </c>
      <c r="BP1892" s="2"/>
      <c r="BQ1892" s="2" t="s">
        <v>2096</v>
      </c>
      <c r="BR1892" s="2" t="s">
        <v>84</v>
      </c>
      <c r="BS1892" s="3">
        <v>42843</v>
      </c>
      <c r="BT1892" s="4">
        <v>0.39583333333333331</v>
      </c>
      <c r="BU1892" s="2" t="s">
        <v>2373</v>
      </c>
      <c r="BV1892" s="2" t="s">
        <v>86</v>
      </c>
      <c r="BW1892" s="2" t="s">
        <v>164</v>
      </c>
      <c r="BX1892" s="2" t="s">
        <v>786</v>
      </c>
      <c r="BY1892" s="2">
        <v>1200</v>
      </c>
      <c r="BZ1892" s="2"/>
      <c r="CA1892" s="2"/>
      <c r="CB1892" s="2"/>
      <c r="CC1892" s="2" t="s">
        <v>140</v>
      </c>
      <c r="CD1892" s="2">
        <v>157</v>
      </c>
      <c r="CE1892" s="2" t="s">
        <v>118</v>
      </c>
      <c r="CF1892" s="5">
        <v>42845</v>
      </c>
      <c r="CG1892" s="2"/>
      <c r="CH1892" s="2"/>
      <c r="CI1892" s="2">
        <v>0</v>
      </c>
      <c r="CJ1892" s="2">
        <v>0</v>
      </c>
      <c r="CK1892" s="2">
        <v>21</v>
      </c>
      <c r="CL1892" s="2" t="s">
        <v>86</v>
      </c>
      <c r="CM1892" s="2"/>
    </row>
    <row r="1893" spans="1:91">
      <c r="A1893" s="2" t="s">
        <v>71</v>
      </c>
      <c r="B1893" s="2" t="s">
        <v>72</v>
      </c>
      <c r="C1893" s="2" t="s">
        <v>73</v>
      </c>
      <c r="D1893" s="2"/>
      <c r="E1893" s="2" t="str">
        <f>"FES1162543705"</f>
        <v>FES1162543705</v>
      </c>
      <c r="F1893" s="3">
        <v>42838</v>
      </c>
      <c r="G1893" s="2">
        <v>201710</v>
      </c>
      <c r="H1893" s="2" t="s">
        <v>74</v>
      </c>
      <c r="I1893" s="2" t="s">
        <v>75</v>
      </c>
      <c r="J1893" s="2" t="s">
        <v>76</v>
      </c>
      <c r="K1893" s="2" t="s">
        <v>77</v>
      </c>
      <c r="L1893" s="2" t="s">
        <v>187</v>
      </c>
      <c r="M1893" s="2" t="s">
        <v>146</v>
      </c>
      <c r="N1893" s="2" t="s">
        <v>225</v>
      </c>
      <c r="O1893" s="2" t="s">
        <v>115</v>
      </c>
      <c r="P1893" s="2" t="str">
        <f>"2170562343                    "</f>
        <v xml:space="preserve">2170562343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5.36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1</v>
      </c>
      <c r="BI1893" s="2">
        <v>2.2999999999999998</v>
      </c>
      <c r="BJ1893" s="2">
        <v>2.5</v>
      </c>
      <c r="BK1893" s="2">
        <v>2.5</v>
      </c>
      <c r="BL1893" s="2">
        <v>52.16</v>
      </c>
      <c r="BM1893" s="2">
        <v>7.3</v>
      </c>
      <c r="BN1893" s="2">
        <v>59.46</v>
      </c>
      <c r="BO1893" s="2">
        <v>59.46</v>
      </c>
      <c r="BP1893" s="2"/>
      <c r="BQ1893" s="2" t="s">
        <v>226</v>
      </c>
      <c r="BR1893" s="2" t="s">
        <v>84</v>
      </c>
      <c r="BS1893" s="3">
        <v>42843</v>
      </c>
      <c r="BT1893" s="4">
        <v>0.36805555555555558</v>
      </c>
      <c r="BU1893" s="2" t="s">
        <v>2374</v>
      </c>
      <c r="BV1893" s="2" t="s">
        <v>86</v>
      </c>
      <c r="BW1893" s="2"/>
      <c r="BX1893" s="2"/>
      <c r="BY1893" s="2">
        <v>12372.19</v>
      </c>
      <c r="BZ1893" s="2"/>
      <c r="CA1893" s="2"/>
      <c r="CB1893" s="2"/>
      <c r="CC1893" s="2" t="s">
        <v>146</v>
      </c>
      <c r="CD1893" s="2">
        <v>184</v>
      </c>
      <c r="CE1893" s="2" t="s">
        <v>118</v>
      </c>
      <c r="CF1893" s="5">
        <v>42845</v>
      </c>
      <c r="CG1893" s="2"/>
      <c r="CH1893" s="2"/>
      <c r="CI1893" s="2">
        <v>0</v>
      </c>
      <c r="CJ1893" s="2">
        <v>0</v>
      </c>
      <c r="CK1893" s="2">
        <v>21</v>
      </c>
      <c r="CL1893" s="2" t="s">
        <v>86</v>
      </c>
      <c r="CM1893" s="2"/>
    </row>
    <row r="1894" spans="1:91">
      <c r="A1894" s="2" t="s">
        <v>71</v>
      </c>
      <c r="B1894" s="2" t="s">
        <v>72</v>
      </c>
      <c r="C1894" s="2" t="s">
        <v>73</v>
      </c>
      <c r="D1894" s="2"/>
      <c r="E1894" s="2" t="str">
        <f>"FES1162543538"</f>
        <v>FES1162543538</v>
      </c>
      <c r="F1894" s="3">
        <v>42838</v>
      </c>
      <c r="G1894" s="2">
        <v>201710</v>
      </c>
      <c r="H1894" s="2" t="s">
        <v>74</v>
      </c>
      <c r="I1894" s="2" t="s">
        <v>75</v>
      </c>
      <c r="J1894" s="2" t="s">
        <v>76</v>
      </c>
      <c r="K1894" s="2" t="s">
        <v>77</v>
      </c>
      <c r="L1894" s="2" t="s">
        <v>591</v>
      </c>
      <c r="M1894" s="2" t="s">
        <v>592</v>
      </c>
      <c r="N1894" s="2" t="s">
        <v>593</v>
      </c>
      <c r="O1894" s="2" t="s">
        <v>115</v>
      </c>
      <c r="P1894" s="2" t="str">
        <f>"217060278                     "</f>
        <v xml:space="preserve">217060278 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4.29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</v>
      </c>
      <c r="BJ1894" s="2">
        <v>0.2</v>
      </c>
      <c r="BK1894" s="2">
        <v>1</v>
      </c>
      <c r="BL1894" s="2">
        <v>41.73</v>
      </c>
      <c r="BM1894" s="2">
        <v>5.84</v>
      </c>
      <c r="BN1894" s="2">
        <v>47.57</v>
      </c>
      <c r="BO1894" s="2">
        <v>47.57</v>
      </c>
      <c r="BP1894" s="2"/>
      <c r="BQ1894" s="2" t="s">
        <v>594</v>
      </c>
      <c r="BR1894" s="2" t="s">
        <v>84</v>
      </c>
      <c r="BS1894" s="3">
        <v>42843</v>
      </c>
      <c r="BT1894" s="4">
        <v>0.37986111111111115</v>
      </c>
      <c r="BU1894" s="2" t="s">
        <v>2375</v>
      </c>
      <c r="BV1894" s="2" t="s">
        <v>86</v>
      </c>
      <c r="BW1894" s="2" t="s">
        <v>87</v>
      </c>
      <c r="BX1894" s="2" t="s">
        <v>1370</v>
      </c>
      <c r="BY1894" s="2">
        <v>1200</v>
      </c>
      <c r="BZ1894" s="2"/>
      <c r="CA1894" s="2"/>
      <c r="CB1894" s="2"/>
      <c r="CC1894" s="2" t="s">
        <v>592</v>
      </c>
      <c r="CD1894" s="2">
        <v>7599</v>
      </c>
      <c r="CE1894" s="2" t="s">
        <v>118</v>
      </c>
      <c r="CF1894" s="5">
        <v>42844</v>
      </c>
      <c r="CG1894" s="2"/>
      <c r="CH1894" s="2"/>
      <c r="CI1894" s="2">
        <v>1</v>
      </c>
      <c r="CJ1894" s="2">
        <v>3</v>
      </c>
      <c r="CK1894" s="2">
        <v>21</v>
      </c>
      <c r="CL1894" s="2" t="s">
        <v>86</v>
      </c>
      <c r="CM1894" s="2"/>
    </row>
    <row r="1895" spans="1:91">
      <c r="A1895" s="2" t="s">
        <v>71</v>
      </c>
      <c r="B1895" s="2" t="s">
        <v>72</v>
      </c>
      <c r="C1895" s="2" t="s">
        <v>73</v>
      </c>
      <c r="D1895" s="2"/>
      <c r="E1895" s="2" t="str">
        <f>"FES1162543500"</f>
        <v>FES1162543500</v>
      </c>
      <c r="F1895" s="3">
        <v>42838</v>
      </c>
      <c r="G1895" s="2">
        <v>201710</v>
      </c>
      <c r="H1895" s="2" t="s">
        <v>74</v>
      </c>
      <c r="I1895" s="2" t="s">
        <v>75</v>
      </c>
      <c r="J1895" s="2" t="s">
        <v>76</v>
      </c>
      <c r="K1895" s="2" t="s">
        <v>77</v>
      </c>
      <c r="L1895" s="2" t="s">
        <v>131</v>
      </c>
      <c r="M1895" s="2" t="s">
        <v>132</v>
      </c>
      <c r="N1895" s="2" t="s">
        <v>1276</v>
      </c>
      <c r="O1895" s="2" t="s">
        <v>115</v>
      </c>
      <c r="P1895" s="2" t="str">
        <f>"2170562156                    "</f>
        <v xml:space="preserve">2170562156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4.29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1</v>
      </c>
      <c r="BJ1895" s="2">
        <v>0.2</v>
      </c>
      <c r="BK1895" s="2">
        <v>1</v>
      </c>
      <c r="BL1895" s="2">
        <v>41.73</v>
      </c>
      <c r="BM1895" s="2">
        <v>5.84</v>
      </c>
      <c r="BN1895" s="2">
        <v>47.57</v>
      </c>
      <c r="BO1895" s="2">
        <v>47.57</v>
      </c>
      <c r="BP1895" s="2"/>
      <c r="BQ1895" s="2" t="s">
        <v>129</v>
      </c>
      <c r="BR1895" s="2" t="s">
        <v>84</v>
      </c>
      <c r="BS1895" s="3">
        <v>42843</v>
      </c>
      <c r="BT1895" s="4">
        <v>0.43055555555555558</v>
      </c>
      <c r="BU1895" s="2" t="s">
        <v>2376</v>
      </c>
      <c r="BV1895" s="2" t="s">
        <v>86</v>
      </c>
      <c r="BW1895" s="2" t="s">
        <v>484</v>
      </c>
      <c r="BX1895" s="2" t="s">
        <v>1370</v>
      </c>
      <c r="BY1895" s="2">
        <v>1200</v>
      </c>
      <c r="BZ1895" s="2"/>
      <c r="CA1895" s="2"/>
      <c r="CB1895" s="2"/>
      <c r="CC1895" s="2" t="s">
        <v>132</v>
      </c>
      <c r="CD1895" s="2">
        <v>7405</v>
      </c>
      <c r="CE1895" s="2" t="s">
        <v>118</v>
      </c>
      <c r="CF1895" s="5">
        <v>42844</v>
      </c>
      <c r="CG1895" s="2"/>
      <c r="CH1895" s="2"/>
      <c r="CI1895" s="2">
        <v>1</v>
      </c>
      <c r="CJ1895" s="2">
        <v>3</v>
      </c>
      <c r="CK1895" s="2">
        <v>21</v>
      </c>
      <c r="CL1895" s="2" t="s">
        <v>86</v>
      </c>
      <c r="CM1895" s="2"/>
    </row>
    <row r="1896" spans="1:91">
      <c r="A1896" s="2" t="s">
        <v>71</v>
      </c>
      <c r="B1896" s="2" t="s">
        <v>72</v>
      </c>
      <c r="C1896" s="2" t="s">
        <v>73</v>
      </c>
      <c r="D1896" s="2"/>
      <c r="E1896" s="2" t="str">
        <f>"FES1162543671"</f>
        <v>FES1162543671</v>
      </c>
      <c r="F1896" s="3">
        <v>42838</v>
      </c>
      <c r="G1896" s="2">
        <v>201710</v>
      </c>
      <c r="H1896" s="2" t="s">
        <v>74</v>
      </c>
      <c r="I1896" s="2" t="s">
        <v>75</v>
      </c>
      <c r="J1896" s="2" t="s">
        <v>76</v>
      </c>
      <c r="K1896" s="2" t="s">
        <v>77</v>
      </c>
      <c r="L1896" s="2" t="s">
        <v>131</v>
      </c>
      <c r="M1896" s="2" t="s">
        <v>132</v>
      </c>
      <c r="N1896" s="2" t="s">
        <v>1497</v>
      </c>
      <c r="O1896" s="2" t="s">
        <v>115</v>
      </c>
      <c r="P1896" s="2" t="str">
        <f>"217060062                     "</f>
        <v xml:space="preserve">217060062 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4.29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1.9</v>
      </c>
      <c r="BJ1896" s="2">
        <v>0.9</v>
      </c>
      <c r="BK1896" s="2">
        <v>2</v>
      </c>
      <c r="BL1896" s="2">
        <v>41.73</v>
      </c>
      <c r="BM1896" s="2">
        <v>5.84</v>
      </c>
      <c r="BN1896" s="2">
        <v>47.57</v>
      </c>
      <c r="BO1896" s="2">
        <v>47.57</v>
      </c>
      <c r="BP1896" s="2"/>
      <c r="BQ1896" s="2" t="s">
        <v>1498</v>
      </c>
      <c r="BR1896" s="2" t="s">
        <v>84</v>
      </c>
      <c r="BS1896" s="3">
        <v>42843</v>
      </c>
      <c r="BT1896" s="4">
        <v>0.41666666666666669</v>
      </c>
      <c r="BU1896" s="2" t="s">
        <v>130</v>
      </c>
      <c r="BV1896" s="2" t="s">
        <v>86</v>
      </c>
      <c r="BW1896" s="2" t="s">
        <v>157</v>
      </c>
      <c r="BX1896" s="2" t="s">
        <v>158</v>
      </c>
      <c r="BY1896" s="2">
        <v>4611.57</v>
      </c>
      <c r="BZ1896" s="2"/>
      <c r="CA1896" s="2"/>
      <c r="CB1896" s="2"/>
      <c r="CC1896" s="2" t="s">
        <v>132</v>
      </c>
      <c r="CD1896" s="2">
        <v>7441</v>
      </c>
      <c r="CE1896" s="2" t="s">
        <v>172</v>
      </c>
      <c r="CF1896" s="5">
        <v>42844</v>
      </c>
      <c r="CG1896" s="2"/>
      <c r="CH1896" s="2"/>
      <c r="CI1896" s="2">
        <v>1</v>
      </c>
      <c r="CJ1896" s="2">
        <v>3</v>
      </c>
      <c r="CK1896" s="2">
        <v>21</v>
      </c>
      <c r="CL1896" s="2" t="s">
        <v>86</v>
      </c>
      <c r="CM1896" s="2"/>
    </row>
    <row r="1897" spans="1:91">
      <c r="A1897" s="2" t="s">
        <v>71</v>
      </c>
      <c r="B1897" s="2" t="s">
        <v>72</v>
      </c>
      <c r="C1897" s="2" t="s">
        <v>73</v>
      </c>
      <c r="D1897" s="2"/>
      <c r="E1897" s="2" t="str">
        <f>"FES1162543667"</f>
        <v>FES1162543667</v>
      </c>
      <c r="F1897" s="3">
        <v>42838</v>
      </c>
      <c r="G1897" s="2">
        <v>201710</v>
      </c>
      <c r="H1897" s="2" t="s">
        <v>74</v>
      </c>
      <c r="I1897" s="2" t="s">
        <v>75</v>
      </c>
      <c r="J1897" s="2" t="s">
        <v>76</v>
      </c>
      <c r="K1897" s="2" t="s">
        <v>77</v>
      </c>
      <c r="L1897" s="2" t="s">
        <v>131</v>
      </c>
      <c r="M1897" s="2" t="s">
        <v>132</v>
      </c>
      <c r="N1897" s="2" t="s">
        <v>1069</v>
      </c>
      <c r="O1897" s="2" t="s">
        <v>115</v>
      </c>
      <c r="P1897" s="2" t="str">
        <f>"2170558756                    "</f>
        <v xml:space="preserve">2170558756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4.29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0.7</v>
      </c>
      <c r="BJ1897" s="2">
        <v>1.2</v>
      </c>
      <c r="BK1897" s="2">
        <v>1.5</v>
      </c>
      <c r="BL1897" s="2">
        <v>41.73</v>
      </c>
      <c r="BM1897" s="2">
        <v>5.84</v>
      </c>
      <c r="BN1897" s="2">
        <v>47.57</v>
      </c>
      <c r="BO1897" s="2">
        <v>47.57</v>
      </c>
      <c r="BP1897" s="2"/>
      <c r="BQ1897" s="2" t="s">
        <v>1070</v>
      </c>
      <c r="BR1897" s="2" t="s">
        <v>84</v>
      </c>
      <c r="BS1897" s="3">
        <v>42843</v>
      </c>
      <c r="BT1897" s="4">
        <v>0.39583333333333331</v>
      </c>
      <c r="BU1897" s="2" t="s">
        <v>896</v>
      </c>
      <c r="BV1897" s="2" t="s">
        <v>86</v>
      </c>
      <c r="BW1897" s="2" t="s">
        <v>157</v>
      </c>
      <c r="BX1897" s="2" t="s">
        <v>1537</v>
      </c>
      <c r="BY1897" s="2">
        <v>5913.6</v>
      </c>
      <c r="BZ1897" s="2"/>
      <c r="CA1897" s="2"/>
      <c r="CB1897" s="2"/>
      <c r="CC1897" s="2" t="s">
        <v>132</v>
      </c>
      <c r="CD1897" s="2">
        <v>7800</v>
      </c>
      <c r="CE1897" s="2" t="s">
        <v>172</v>
      </c>
      <c r="CF1897" s="5">
        <v>42844</v>
      </c>
      <c r="CG1897" s="2"/>
      <c r="CH1897" s="2"/>
      <c r="CI1897" s="2">
        <v>1</v>
      </c>
      <c r="CJ1897" s="2">
        <v>3</v>
      </c>
      <c r="CK1897" s="2">
        <v>21</v>
      </c>
      <c r="CL1897" s="2" t="s">
        <v>86</v>
      </c>
      <c r="CM1897" s="2"/>
    </row>
    <row r="1898" spans="1:91">
      <c r="A1898" s="2" t="s">
        <v>71</v>
      </c>
      <c r="B1898" s="2" t="s">
        <v>72</v>
      </c>
      <c r="C1898" s="2" t="s">
        <v>73</v>
      </c>
      <c r="D1898" s="2"/>
      <c r="E1898" s="2" t="str">
        <f>"FES1162543682"</f>
        <v>FES1162543682</v>
      </c>
      <c r="F1898" s="3">
        <v>42838</v>
      </c>
      <c r="G1898" s="2">
        <v>201710</v>
      </c>
      <c r="H1898" s="2" t="s">
        <v>74</v>
      </c>
      <c r="I1898" s="2" t="s">
        <v>75</v>
      </c>
      <c r="J1898" s="2" t="s">
        <v>76</v>
      </c>
      <c r="K1898" s="2" t="s">
        <v>77</v>
      </c>
      <c r="L1898" s="2" t="s">
        <v>126</v>
      </c>
      <c r="M1898" s="2" t="s">
        <v>127</v>
      </c>
      <c r="N1898" s="2" t="s">
        <v>718</v>
      </c>
      <c r="O1898" s="2" t="s">
        <v>115</v>
      </c>
      <c r="P1898" s="2" t="str">
        <f>"2170562307                    "</f>
        <v xml:space="preserve">2170562307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15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1</v>
      </c>
      <c r="BI1898" s="2">
        <v>6.9</v>
      </c>
      <c r="BJ1898" s="2">
        <v>3.2</v>
      </c>
      <c r="BK1898" s="2">
        <v>7</v>
      </c>
      <c r="BL1898" s="2">
        <v>146.04</v>
      </c>
      <c r="BM1898" s="2">
        <v>20.45</v>
      </c>
      <c r="BN1898" s="2">
        <v>166.49</v>
      </c>
      <c r="BO1898" s="2">
        <v>166.49</v>
      </c>
      <c r="BP1898" s="2"/>
      <c r="BQ1898" s="2" t="s">
        <v>719</v>
      </c>
      <c r="BR1898" s="2" t="s">
        <v>84</v>
      </c>
      <c r="BS1898" s="3">
        <v>42843</v>
      </c>
      <c r="BT1898" s="4">
        <v>0.41666666666666669</v>
      </c>
      <c r="BU1898" s="2" t="s">
        <v>2377</v>
      </c>
      <c r="BV1898" s="2" t="s">
        <v>111</v>
      </c>
      <c r="BW1898" s="2"/>
      <c r="BX1898" s="2"/>
      <c r="BY1898" s="2">
        <v>16105.39</v>
      </c>
      <c r="BZ1898" s="2"/>
      <c r="CA1898" s="2"/>
      <c r="CB1898" s="2"/>
      <c r="CC1898" s="2" t="s">
        <v>127</v>
      </c>
      <c r="CD1898" s="2">
        <v>6850</v>
      </c>
      <c r="CE1898" s="2" t="s">
        <v>172</v>
      </c>
      <c r="CF1898" s="5">
        <v>42844</v>
      </c>
      <c r="CG1898" s="2"/>
      <c r="CH1898" s="2"/>
      <c r="CI1898" s="2">
        <v>3</v>
      </c>
      <c r="CJ1898" s="2">
        <v>3</v>
      </c>
      <c r="CK1898" s="2">
        <v>21</v>
      </c>
      <c r="CL1898" s="2" t="s">
        <v>86</v>
      </c>
      <c r="CM1898" s="2"/>
    </row>
    <row r="1899" spans="1:91">
      <c r="A1899" s="2" t="s">
        <v>71</v>
      </c>
      <c r="B1899" s="2" t="s">
        <v>72</v>
      </c>
      <c r="C1899" s="2" t="s">
        <v>73</v>
      </c>
      <c r="D1899" s="2"/>
      <c r="E1899" s="2" t="str">
        <f>"FES1162543634"</f>
        <v>FES1162543634</v>
      </c>
      <c r="F1899" s="3">
        <v>42838</v>
      </c>
      <c r="G1899" s="2">
        <v>201710</v>
      </c>
      <c r="H1899" s="2" t="s">
        <v>74</v>
      </c>
      <c r="I1899" s="2" t="s">
        <v>75</v>
      </c>
      <c r="J1899" s="2" t="s">
        <v>76</v>
      </c>
      <c r="K1899" s="2" t="s">
        <v>77</v>
      </c>
      <c r="L1899" s="2" t="s">
        <v>131</v>
      </c>
      <c r="M1899" s="2" t="s">
        <v>132</v>
      </c>
      <c r="N1899" s="2" t="s">
        <v>1376</v>
      </c>
      <c r="O1899" s="2" t="s">
        <v>115</v>
      </c>
      <c r="P1899" s="2" t="str">
        <f>"2170562295                    "</f>
        <v xml:space="preserve">2170562295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4.29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1</v>
      </c>
      <c r="BJ1899" s="2">
        <v>0.2</v>
      </c>
      <c r="BK1899" s="2">
        <v>1</v>
      </c>
      <c r="BL1899" s="2">
        <v>41.73</v>
      </c>
      <c r="BM1899" s="2">
        <v>5.84</v>
      </c>
      <c r="BN1899" s="2">
        <v>47.57</v>
      </c>
      <c r="BO1899" s="2">
        <v>47.57</v>
      </c>
      <c r="BP1899" s="2"/>
      <c r="BQ1899" s="2" t="s">
        <v>1377</v>
      </c>
      <c r="BR1899" s="2" t="s">
        <v>84</v>
      </c>
      <c r="BS1899" s="3">
        <v>42843</v>
      </c>
      <c r="BT1899" s="4">
        <v>0.41666666666666669</v>
      </c>
      <c r="BU1899" s="2" t="s">
        <v>1377</v>
      </c>
      <c r="BV1899" s="2" t="s">
        <v>86</v>
      </c>
      <c r="BW1899" s="2" t="s">
        <v>157</v>
      </c>
      <c r="BX1899" s="2" t="s">
        <v>1537</v>
      </c>
      <c r="BY1899" s="2">
        <v>1200</v>
      </c>
      <c r="BZ1899" s="2"/>
      <c r="CA1899" s="2"/>
      <c r="CB1899" s="2"/>
      <c r="CC1899" s="2" t="s">
        <v>132</v>
      </c>
      <c r="CD1899" s="2">
        <v>7975</v>
      </c>
      <c r="CE1899" s="2" t="s">
        <v>118</v>
      </c>
      <c r="CF1899" s="5">
        <v>42844</v>
      </c>
      <c r="CG1899" s="2"/>
      <c r="CH1899" s="2"/>
      <c r="CI1899" s="2">
        <v>1</v>
      </c>
      <c r="CJ1899" s="2">
        <v>3</v>
      </c>
      <c r="CK1899" s="2">
        <v>21</v>
      </c>
      <c r="CL1899" s="2" t="s">
        <v>86</v>
      </c>
      <c r="CM1899" s="2"/>
    </row>
    <row r="1900" spans="1:91">
      <c r="A1900" s="2" t="s">
        <v>71</v>
      </c>
      <c r="B1900" s="2" t="s">
        <v>72</v>
      </c>
      <c r="C1900" s="2" t="s">
        <v>73</v>
      </c>
      <c r="D1900" s="2"/>
      <c r="E1900" s="2" t="str">
        <f>"FES1162543611"</f>
        <v>FES1162543611</v>
      </c>
      <c r="F1900" s="3">
        <v>42838</v>
      </c>
      <c r="G1900" s="2">
        <v>201710</v>
      </c>
      <c r="H1900" s="2" t="s">
        <v>74</v>
      </c>
      <c r="I1900" s="2" t="s">
        <v>75</v>
      </c>
      <c r="J1900" s="2" t="s">
        <v>76</v>
      </c>
      <c r="K1900" s="2" t="s">
        <v>77</v>
      </c>
      <c r="L1900" s="2" t="s">
        <v>131</v>
      </c>
      <c r="M1900" s="2" t="s">
        <v>132</v>
      </c>
      <c r="N1900" s="2" t="s">
        <v>677</v>
      </c>
      <c r="O1900" s="2" t="s">
        <v>115</v>
      </c>
      <c r="P1900" s="2" t="str">
        <f>"2170555483                    "</f>
        <v xml:space="preserve">2170555483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4.29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</v>
      </c>
      <c r="BJ1900" s="2">
        <v>0.2</v>
      </c>
      <c r="BK1900" s="2">
        <v>1</v>
      </c>
      <c r="BL1900" s="2">
        <v>41.73</v>
      </c>
      <c r="BM1900" s="2">
        <v>5.84</v>
      </c>
      <c r="BN1900" s="2">
        <v>47.57</v>
      </c>
      <c r="BO1900" s="2">
        <v>47.57</v>
      </c>
      <c r="BP1900" s="2"/>
      <c r="BQ1900" s="2" t="s">
        <v>678</v>
      </c>
      <c r="BR1900" s="2" t="s">
        <v>84</v>
      </c>
      <c r="BS1900" s="3">
        <v>42843</v>
      </c>
      <c r="BT1900" s="4">
        <v>0.40277777777777773</v>
      </c>
      <c r="BU1900" s="2" t="s">
        <v>1332</v>
      </c>
      <c r="BV1900" s="2" t="s">
        <v>86</v>
      </c>
      <c r="BW1900" s="2" t="s">
        <v>157</v>
      </c>
      <c r="BX1900" s="2" t="s">
        <v>1537</v>
      </c>
      <c r="BY1900" s="2">
        <v>1200</v>
      </c>
      <c r="BZ1900" s="2"/>
      <c r="CA1900" s="2"/>
      <c r="CB1900" s="2"/>
      <c r="CC1900" s="2" t="s">
        <v>132</v>
      </c>
      <c r="CD1900" s="2">
        <v>7800</v>
      </c>
      <c r="CE1900" s="2" t="s">
        <v>118</v>
      </c>
      <c r="CF1900" s="5">
        <v>42844</v>
      </c>
      <c r="CG1900" s="2"/>
      <c r="CH1900" s="2"/>
      <c r="CI1900" s="2">
        <v>1</v>
      </c>
      <c r="CJ1900" s="2">
        <v>3</v>
      </c>
      <c r="CK1900" s="2">
        <v>21</v>
      </c>
      <c r="CL1900" s="2" t="s">
        <v>86</v>
      </c>
      <c r="CM1900" s="2"/>
    </row>
    <row r="1901" spans="1:91">
      <c r="A1901" s="2" t="s">
        <v>71</v>
      </c>
      <c r="B1901" s="2" t="s">
        <v>72</v>
      </c>
      <c r="C1901" s="2" t="s">
        <v>73</v>
      </c>
      <c r="D1901" s="2"/>
      <c r="E1901" s="2" t="str">
        <f>"FES1162543620"</f>
        <v>FES1162543620</v>
      </c>
      <c r="F1901" s="3">
        <v>42838</v>
      </c>
      <c r="G1901" s="2">
        <v>201710</v>
      </c>
      <c r="H1901" s="2" t="s">
        <v>74</v>
      </c>
      <c r="I1901" s="2" t="s">
        <v>75</v>
      </c>
      <c r="J1901" s="2" t="s">
        <v>76</v>
      </c>
      <c r="K1901" s="2" t="s">
        <v>77</v>
      </c>
      <c r="L1901" s="2" t="s">
        <v>591</v>
      </c>
      <c r="M1901" s="2" t="s">
        <v>592</v>
      </c>
      <c r="N1901" s="2" t="s">
        <v>593</v>
      </c>
      <c r="O1901" s="2" t="s">
        <v>115</v>
      </c>
      <c r="P1901" s="2" t="str">
        <f>"2170560280                    "</f>
        <v xml:space="preserve">2170560280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4.29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1</v>
      </c>
      <c r="BJ1901" s="2">
        <v>0.2</v>
      </c>
      <c r="BK1901" s="2">
        <v>1</v>
      </c>
      <c r="BL1901" s="2">
        <v>41.73</v>
      </c>
      <c r="BM1901" s="2">
        <v>5.84</v>
      </c>
      <c r="BN1901" s="2">
        <v>47.57</v>
      </c>
      <c r="BO1901" s="2">
        <v>47.57</v>
      </c>
      <c r="BP1901" s="2"/>
      <c r="BQ1901" s="2" t="s">
        <v>594</v>
      </c>
      <c r="BR1901" s="2" t="s">
        <v>84</v>
      </c>
      <c r="BS1901" s="3">
        <v>42843</v>
      </c>
      <c r="BT1901" s="4">
        <v>0.37986111111111115</v>
      </c>
      <c r="BU1901" s="2" t="s">
        <v>2375</v>
      </c>
      <c r="BV1901" s="2" t="s">
        <v>86</v>
      </c>
      <c r="BW1901" s="2" t="s">
        <v>87</v>
      </c>
      <c r="BX1901" s="2" t="s">
        <v>1370</v>
      </c>
      <c r="BY1901" s="2">
        <v>1200</v>
      </c>
      <c r="BZ1901" s="2"/>
      <c r="CA1901" s="2"/>
      <c r="CB1901" s="2"/>
      <c r="CC1901" s="2" t="s">
        <v>592</v>
      </c>
      <c r="CD1901" s="2">
        <v>7599</v>
      </c>
      <c r="CE1901" s="2" t="s">
        <v>118</v>
      </c>
      <c r="CF1901" s="5">
        <v>42844</v>
      </c>
      <c r="CG1901" s="2"/>
      <c r="CH1901" s="2"/>
      <c r="CI1901" s="2">
        <v>1</v>
      </c>
      <c r="CJ1901" s="2">
        <v>3</v>
      </c>
      <c r="CK1901" s="2">
        <v>21</v>
      </c>
      <c r="CL1901" s="2" t="s">
        <v>86</v>
      </c>
      <c r="CM1901" s="2"/>
    </row>
    <row r="1902" spans="1:91">
      <c r="A1902" s="2" t="s">
        <v>71</v>
      </c>
      <c r="B1902" s="2" t="s">
        <v>72</v>
      </c>
      <c r="C1902" s="2" t="s">
        <v>73</v>
      </c>
      <c r="D1902" s="2"/>
      <c r="E1902" s="2" t="str">
        <f>"FES1162543615"</f>
        <v>FES1162543615</v>
      </c>
      <c r="F1902" s="3">
        <v>42838</v>
      </c>
      <c r="G1902" s="2">
        <v>201710</v>
      </c>
      <c r="H1902" s="2" t="s">
        <v>74</v>
      </c>
      <c r="I1902" s="2" t="s">
        <v>75</v>
      </c>
      <c r="J1902" s="2" t="s">
        <v>76</v>
      </c>
      <c r="K1902" s="2" t="s">
        <v>77</v>
      </c>
      <c r="L1902" s="2" t="s">
        <v>176</v>
      </c>
      <c r="M1902" s="2" t="s">
        <v>176</v>
      </c>
      <c r="N1902" s="2" t="s">
        <v>177</v>
      </c>
      <c r="O1902" s="2" t="s">
        <v>115</v>
      </c>
      <c r="P1902" s="2" t="str">
        <f>"2170560060                    "</f>
        <v xml:space="preserve">2170560060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4.29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1</v>
      </c>
      <c r="BJ1902" s="2">
        <v>0.2</v>
      </c>
      <c r="BK1902" s="2">
        <v>1</v>
      </c>
      <c r="BL1902" s="2">
        <v>41.73</v>
      </c>
      <c r="BM1902" s="2">
        <v>5.84</v>
      </c>
      <c r="BN1902" s="2">
        <v>47.57</v>
      </c>
      <c r="BO1902" s="2">
        <v>47.57</v>
      </c>
      <c r="BP1902" s="2"/>
      <c r="BQ1902" s="2" t="s">
        <v>178</v>
      </c>
      <c r="BR1902" s="2" t="s">
        <v>84</v>
      </c>
      <c r="BS1902" s="3">
        <v>42843</v>
      </c>
      <c r="BT1902" s="4">
        <v>0.51041666666666663</v>
      </c>
      <c r="BU1902" s="2" t="s">
        <v>1487</v>
      </c>
      <c r="BV1902" s="2" t="s">
        <v>86</v>
      </c>
      <c r="BW1902" s="2" t="s">
        <v>87</v>
      </c>
      <c r="BX1902" s="2" t="s">
        <v>1370</v>
      </c>
      <c r="BY1902" s="2">
        <v>1200</v>
      </c>
      <c r="BZ1902" s="2"/>
      <c r="CA1902" s="2"/>
      <c r="CB1902" s="2"/>
      <c r="CC1902" s="2" t="s">
        <v>176</v>
      </c>
      <c r="CD1902" s="2">
        <v>7646</v>
      </c>
      <c r="CE1902" s="2" t="s">
        <v>118</v>
      </c>
      <c r="CF1902" s="5">
        <v>42844</v>
      </c>
      <c r="CG1902" s="2"/>
      <c r="CH1902" s="2"/>
      <c r="CI1902" s="2">
        <v>1</v>
      </c>
      <c r="CJ1902" s="2">
        <v>3</v>
      </c>
      <c r="CK1902" s="2">
        <v>21</v>
      </c>
      <c r="CL1902" s="2" t="s">
        <v>86</v>
      </c>
      <c r="CM1902" s="2"/>
    </row>
    <row r="1903" spans="1:91">
      <c r="A1903" s="2" t="s">
        <v>71</v>
      </c>
      <c r="B1903" s="2" t="s">
        <v>72</v>
      </c>
      <c r="C1903" s="2" t="s">
        <v>73</v>
      </c>
      <c r="D1903" s="2"/>
      <c r="E1903" s="2" t="str">
        <f>"FES1162543624"</f>
        <v>FES1162543624</v>
      </c>
      <c r="F1903" s="3">
        <v>42838</v>
      </c>
      <c r="G1903" s="2">
        <v>201710</v>
      </c>
      <c r="H1903" s="2" t="s">
        <v>74</v>
      </c>
      <c r="I1903" s="2" t="s">
        <v>75</v>
      </c>
      <c r="J1903" s="2" t="s">
        <v>76</v>
      </c>
      <c r="K1903" s="2" t="s">
        <v>77</v>
      </c>
      <c r="L1903" s="2" t="s">
        <v>549</v>
      </c>
      <c r="M1903" s="2" t="s">
        <v>550</v>
      </c>
      <c r="N1903" s="2" t="s">
        <v>689</v>
      </c>
      <c r="O1903" s="2" t="s">
        <v>115</v>
      </c>
      <c r="P1903" s="2" t="str">
        <f>"2170561010                    "</f>
        <v xml:space="preserve">2170561010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4.29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1</v>
      </c>
      <c r="BJ1903" s="2">
        <v>0.2</v>
      </c>
      <c r="BK1903" s="2">
        <v>1</v>
      </c>
      <c r="BL1903" s="2">
        <v>41.73</v>
      </c>
      <c r="BM1903" s="2">
        <v>5.84</v>
      </c>
      <c r="BN1903" s="2">
        <v>47.57</v>
      </c>
      <c r="BO1903" s="2">
        <v>47.57</v>
      </c>
      <c r="BP1903" s="2"/>
      <c r="BQ1903" s="2" t="s">
        <v>690</v>
      </c>
      <c r="BR1903" s="2" t="s">
        <v>84</v>
      </c>
      <c r="BS1903" s="3">
        <v>42843</v>
      </c>
      <c r="BT1903" s="4">
        <v>0.42708333333333331</v>
      </c>
      <c r="BU1903" s="2" t="s">
        <v>2352</v>
      </c>
      <c r="BV1903" s="2" t="s">
        <v>86</v>
      </c>
      <c r="BW1903" s="2" t="s">
        <v>87</v>
      </c>
      <c r="BX1903" s="2" t="s">
        <v>2283</v>
      </c>
      <c r="BY1903" s="2">
        <v>1200</v>
      </c>
      <c r="BZ1903" s="2"/>
      <c r="CA1903" s="2"/>
      <c r="CB1903" s="2"/>
      <c r="CC1903" s="2" t="s">
        <v>550</v>
      </c>
      <c r="CD1903" s="2">
        <v>3699</v>
      </c>
      <c r="CE1903" s="2" t="s">
        <v>118</v>
      </c>
      <c r="CF1903" s="5">
        <v>42844</v>
      </c>
      <c r="CG1903" s="2"/>
      <c r="CH1903" s="2"/>
      <c r="CI1903" s="2">
        <v>1</v>
      </c>
      <c r="CJ1903" s="2">
        <v>3</v>
      </c>
      <c r="CK1903" s="2">
        <v>21</v>
      </c>
      <c r="CL1903" s="2" t="s">
        <v>86</v>
      </c>
      <c r="CM1903" s="2"/>
    </row>
    <row r="1904" spans="1:91">
      <c r="A1904" s="2" t="s">
        <v>71</v>
      </c>
      <c r="B1904" s="2" t="s">
        <v>72</v>
      </c>
      <c r="C1904" s="2" t="s">
        <v>73</v>
      </c>
      <c r="D1904" s="2"/>
      <c r="E1904" s="2" t="str">
        <f>"FES1162543562"</f>
        <v>FES1162543562</v>
      </c>
      <c r="F1904" s="3">
        <v>42838</v>
      </c>
      <c r="G1904" s="2">
        <v>201710</v>
      </c>
      <c r="H1904" s="2" t="s">
        <v>74</v>
      </c>
      <c r="I1904" s="2" t="s">
        <v>75</v>
      </c>
      <c r="J1904" s="2" t="s">
        <v>76</v>
      </c>
      <c r="K1904" s="2" t="s">
        <v>77</v>
      </c>
      <c r="L1904" s="2" t="s">
        <v>358</v>
      </c>
      <c r="M1904" s="2" t="s">
        <v>359</v>
      </c>
      <c r="N1904" s="2" t="s">
        <v>800</v>
      </c>
      <c r="O1904" s="2" t="s">
        <v>115</v>
      </c>
      <c r="P1904" s="2" t="str">
        <f>"2170562228                    "</f>
        <v xml:space="preserve">2170562228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4.29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1</v>
      </c>
      <c r="BJ1904" s="2">
        <v>0.2</v>
      </c>
      <c r="BK1904" s="2">
        <v>1</v>
      </c>
      <c r="BL1904" s="2">
        <v>41.73</v>
      </c>
      <c r="BM1904" s="2">
        <v>5.84</v>
      </c>
      <c r="BN1904" s="2">
        <v>47.57</v>
      </c>
      <c r="BO1904" s="2">
        <v>47.57</v>
      </c>
      <c r="BP1904" s="2"/>
      <c r="BQ1904" s="2" t="s">
        <v>801</v>
      </c>
      <c r="BR1904" s="2" t="s">
        <v>84</v>
      </c>
      <c r="BS1904" s="3">
        <v>42843</v>
      </c>
      <c r="BT1904" s="4">
        <v>0.3125</v>
      </c>
      <c r="BU1904" s="2" t="s">
        <v>2302</v>
      </c>
      <c r="BV1904" s="2" t="s">
        <v>86</v>
      </c>
      <c r="BW1904" s="2" t="s">
        <v>104</v>
      </c>
      <c r="BX1904" s="2" t="s">
        <v>105</v>
      </c>
      <c r="BY1904" s="2">
        <v>1200</v>
      </c>
      <c r="BZ1904" s="2"/>
      <c r="CA1904" s="2"/>
      <c r="CB1904" s="2"/>
      <c r="CC1904" s="2" t="s">
        <v>359</v>
      </c>
      <c r="CD1904" s="2">
        <v>6230</v>
      </c>
      <c r="CE1904" s="2" t="s">
        <v>118</v>
      </c>
      <c r="CF1904" s="5">
        <v>42845</v>
      </c>
      <c r="CG1904" s="2"/>
      <c r="CH1904" s="2"/>
      <c r="CI1904" s="2">
        <v>1</v>
      </c>
      <c r="CJ1904" s="2">
        <v>3</v>
      </c>
      <c r="CK1904" s="2">
        <v>21</v>
      </c>
      <c r="CL1904" s="2" t="s">
        <v>86</v>
      </c>
      <c r="CM1904" s="2"/>
    </row>
    <row r="1905" spans="1:91">
      <c r="A1905" s="2" t="s">
        <v>71</v>
      </c>
      <c r="B1905" s="2" t="s">
        <v>72</v>
      </c>
      <c r="C1905" s="2" t="s">
        <v>73</v>
      </c>
      <c r="D1905" s="2"/>
      <c r="E1905" s="2" t="str">
        <f>"FES1162543676"</f>
        <v>FES1162543676</v>
      </c>
      <c r="F1905" s="3">
        <v>42838</v>
      </c>
      <c r="G1905" s="2">
        <v>201710</v>
      </c>
      <c r="H1905" s="2" t="s">
        <v>74</v>
      </c>
      <c r="I1905" s="2" t="s">
        <v>75</v>
      </c>
      <c r="J1905" s="2" t="s">
        <v>76</v>
      </c>
      <c r="K1905" s="2" t="s">
        <v>77</v>
      </c>
      <c r="L1905" s="2" t="s">
        <v>549</v>
      </c>
      <c r="M1905" s="2" t="s">
        <v>550</v>
      </c>
      <c r="N1905" s="2" t="s">
        <v>1195</v>
      </c>
      <c r="O1905" s="2" t="s">
        <v>115</v>
      </c>
      <c r="P1905" s="2" t="str">
        <f>"2170561010                    "</f>
        <v xml:space="preserve">2170561010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4.29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1</v>
      </c>
      <c r="BJ1905" s="2">
        <v>0.2</v>
      </c>
      <c r="BK1905" s="2">
        <v>1</v>
      </c>
      <c r="BL1905" s="2">
        <v>41.73</v>
      </c>
      <c r="BM1905" s="2">
        <v>5.84</v>
      </c>
      <c r="BN1905" s="2">
        <v>47.57</v>
      </c>
      <c r="BO1905" s="2">
        <v>47.57</v>
      </c>
      <c r="BP1905" s="2"/>
      <c r="BQ1905" s="2" t="s">
        <v>1196</v>
      </c>
      <c r="BR1905" s="2" t="s">
        <v>84</v>
      </c>
      <c r="BS1905" s="3">
        <v>42843</v>
      </c>
      <c r="BT1905" s="4">
        <v>0.41666666666666669</v>
      </c>
      <c r="BU1905" s="2" t="s">
        <v>2352</v>
      </c>
      <c r="BV1905" s="2" t="s">
        <v>86</v>
      </c>
      <c r="BW1905" s="2" t="s">
        <v>87</v>
      </c>
      <c r="BX1905" s="2" t="s">
        <v>2283</v>
      </c>
      <c r="BY1905" s="2">
        <v>1200</v>
      </c>
      <c r="BZ1905" s="2"/>
      <c r="CA1905" s="2"/>
      <c r="CB1905" s="2"/>
      <c r="CC1905" s="2" t="s">
        <v>550</v>
      </c>
      <c r="CD1905" s="2">
        <v>3699</v>
      </c>
      <c r="CE1905" s="2" t="s">
        <v>118</v>
      </c>
      <c r="CF1905" s="5">
        <v>42844</v>
      </c>
      <c r="CG1905" s="2"/>
      <c r="CH1905" s="2"/>
      <c r="CI1905" s="2">
        <v>1</v>
      </c>
      <c r="CJ1905" s="2">
        <v>3</v>
      </c>
      <c r="CK1905" s="2">
        <v>21</v>
      </c>
      <c r="CL1905" s="2" t="s">
        <v>86</v>
      </c>
      <c r="CM1905" s="2"/>
    </row>
    <row r="1906" spans="1:91">
      <c r="A1906" s="2" t="s">
        <v>71</v>
      </c>
      <c r="B1906" s="2" t="s">
        <v>72</v>
      </c>
      <c r="C1906" s="2" t="s">
        <v>73</v>
      </c>
      <c r="D1906" s="2"/>
      <c r="E1906" s="2" t="str">
        <f>"FES1162543529"</f>
        <v>FES1162543529</v>
      </c>
      <c r="F1906" s="3">
        <v>42838</v>
      </c>
      <c r="G1906" s="2">
        <v>201710</v>
      </c>
      <c r="H1906" s="2" t="s">
        <v>74</v>
      </c>
      <c r="I1906" s="2" t="s">
        <v>75</v>
      </c>
      <c r="J1906" s="2" t="s">
        <v>76</v>
      </c>
      <c r="K1906" s="2" t="s">
        <v>77</v>
      </c>
      <c r="L1906" s="2" t="s">
        <v>1073</v>
      </c>
      <c r="M1906" s="2" t="s">
        <v>1074</v>
      </c>
      <c r="N1906" s="2" t="s">
        <v>2275</v>
      </c>
      <c r="O1906" s="2" t="s">
        <v>115</v>
      </c>
      <c r="P1906" s="2" t="str">
        <f>"2170560092                    "</f>
        <v xml:space="preserve">2170560092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4.29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</v>
      </c>
      <c r="BJ1906" s="2">
        <v>0.2</v>
      </c>
      <c r="BK1906" s="2">
        <v>1</v>
      </c>
      <c r="BL1906" s="2">
        <v>41.73</v>
      </c>
      <c r="BM1906" s="2">
        <v>5.84</v>
      </c>
      <c r="BN1906" s="2">
        <v>47.57</v>
      </c>
      <c r="BO1906" s="2">
        <v>47.57</v>
      </c>
      <c r="BP1906" s="2"/>
      <c r="BQ1906" s="2" t="s">
        <v>116</v>
      </c>
      <c r="BR1906" s="2" t="s">
        <v>84</v>
      </c>
      <c r="BS1906" s="3">
        <v>42843</v>
      </c>
      <c r="BT1906" s="4">
        <v>0.41666666666666669</v>
      </c>
      <c r="BU1906" s="2" t="s">
        <v>266</v>
      </c>
      <c r="BV1906" s="2" t="s">
        <v>86</v>
      </c>
      <c r="BW1906" s="2" t="s">
        <v>96</v>
      </c>
      <c r="BX1906" s="2" t="s">
        <v>2367</v>
      </c>
      <c r="BY1906" s="2">
        <v>1200</v>
      </c>
      <c r="BZ1906" s="2"/>
      <c r="CA1906" s="2"/>
      <c r="CB1906" s="2"/>
      <c r="CC1906" s="2" t="s">
        <v>1074</v>
      </c>
      <c r="CD1906" s="2">
        <v>1947</v>
      </c>
      <c r="CE1906" s="2" t="s">
        <v>118</v>
      </c>
      <c r="CF1906" s="5">
        <v>42845</v>
      </c>
      <c r="CG1906" s="2"/>
      <c r="CH1906" s="2"/>
      <c r="CI1906" s="2">
        <v>1</v>
      </c>
      <c r="CJ1906" s="2">
        <v>3</v>
      </c>
      <c r="CK1906" s="2">
        <v>21</v>
      </c>
      <c r="CL1906" s="2" t="s">
        <v>86</v>
      </c>
      <c r="CM1906" s="2"/>
    </row>
    <row r="1907" spans="1:91">
      <c r="A1907" s="2" t="s">
        <v>71</v>
      </c>
      <c r="B1907" s="2" t="s">
        <v>72</v>
      </c>
      <c r="C1907" s="2" t="s">
        <v>73</v>
      </c>
      <c r="D1907" s="2"/>
      <c r="E1907" s="2" t="str">
        <f>"FES1162543535"</f>
        <v>FES1162543535</v>
      </c>
      <c r="F1907" s="3">
        <v>42838</v>
      </c>
      <c r="G1907" s="2">
        <v>201710</v>
      </c>
      <c r="H1907" s="2" t="s">
        <v>74</v>
      </c>
      <c r="I1907" s="2" t="s">
        <v>75</v>
      </c>
      <c r="J1907" s="2" t="s">
        <v>76</v>
      </c>
      <c r="K1907" s="2" t="s">
        <v>77</v>
      </c>
      <c r="L1907" s="2" t="s">
        <v>187</v>
      </c>
      <c r="M1907" s="2" t="s">
        <v>146</v>
      </c>
      <c r="N1907" s="2" t="s">
        <v>1999</v>
      </c>
      <c r="O1907" s="2" t="s">
        <v>115</v>
      </c>
      <c r="P1907" s="2" t="str">
        <f>"2170560241                    "</f>
        <v xml:space="preserve">2170560241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5.36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2.2999999999999998</v>
      </c>
      <c r="BJ1907" s="2">
        <v>0.2</v>
      </c>
      <c r="BK1907" s="2">
        <v>2.5</v>
      </c>
      <c r="BL1907" s="2">
        <v>52.16</v>
      </c>
      <c r="BM1907" s="2">
        <v>7.3</v>
      </c>
      <c r="BN1907" s="2">
        <v>59.46</v>
      </c>
      <c r="BO1907" s="2">
        <v>59.46</v>
      </c>
      <c r="BP1907" s="2"/>
      <c r="BQ1907" s="2" t="s">
        <v>2000</v>
      </c>
      <c r="BR1907" s="2" t="s">
        <v>84</v>
      </c>
      <c r="BS1907" s="3">
        <v>42843</v>
      </c>
      <c r="BT1907" s="4">
        <v>0.40972222222222227</v>
      </c>
      <c r="BU1907" s="2" t="s">
        <v>2378</v>
      </c>
      <c r="BV1907" s="2" t="s">
        <v>86</v>
      </c>
      <c r="BW1907" s="2"/>
      <c r="BX1907" s="2"/>
      <c r="BY1907" s="2">
        <v>1200</v>
      </c>
      <c r="BZ1907" s="2"/>
      <c r="CA1907" s="2"/>
      <c r="CB1907" s="2"/>
      <c r="CC1907" s="2" t="s">
        <v>146</v>
      </c>
      <c r="CD1907" s="2">
        <v>200</v>
      </c>
      <c r="CE1907" s="2" t="s">
        <v>118</v>
      </c>
      <c r="CF1907" s="5">
        <v>42845</v>
      </c>
      <c r="CG1907" s="2"/>
      <c r="CH1907" s="2"/>
      <c r="CI1907" s="2">
        <v>0</v>
      </c>
      <c r="CJ1907" s="2">
        <v>0</v>
      </c>
      <c r="CK1907" s="2">
        <v>21</v>
      </c>
      <c r="CL1907" s="2" t="s">
        <v>86</v>
      </c>
      <c r="CM1907" s="2"/>
    </row>
    <row r="1908" spans="1:91">
      <c r="A1908" s="2" t="s">
        <v>71</v>
      </c>
      <c r="B1908" s="2" t="s">
        <v>72</v>
      </c>
      <c r="C1908" s="2" t="s">
        <v>73</v>
      </c>
      <c r="D1908" s="2"/>
      <c r="E1908" s="2" t="str">
        <f>"FES1162543622"</f>
        <v>FES1162543622</v>
      </c>
      <c r="F1908" s="3">
        <v>42838</v>
      </c>
      <c r="G1908" s="2">
        <v>201710</v>
      </c>
      <c r="H1908" s="2" t="s">
        <v>74</v>
      </c>
      <c r="I1908" s="2" t="s">
        <v>75</v>
      </c>
      <c r="J1908" s="2" t="s">
        <v>76</v>
      </c>
      <c r="K1908" s="2" t="s">
        <v>77</v>
      </c>
      <c r="L1908" s="2" t="s">
        <v>139</v>
      </c>
      <c r="M1908" s="2" t="s">
        <v>140</v>
      </c>
      <c r="N1908" s="2" t="s">
        <v>826</v>
      </c>
      <c r="O1908" s="2" t="s">
        <v>115</v>
      </c>
      <c r="P1908" s="2" t="str">
        <f>"2170560315                    "</f>
        <v xml:space="preserve">2170560315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4.29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1</v>
      </c>
      <c r="BJ1908" s="2">
        <v>0.2</v>
      </c>
      <c r="BK1908" s="2">
        <v>1</v>
      </c>
      <c r="BL1908" s="2">
        <v>41.73</v>
      </c>
      <c r="BM1908" s="2">
        <v>5.84</v>
      </c>
      <c r="BN1908" s="2">
        <v>47.57</v>
      </c>
      <c r="BO1908" s="2">
        <v>47.57</v>
      </c>
      <c r="BP1908" s="2"/>
      <c r="BQ1908" s="2" t="s">
        <v>827</v>
      </c>
      <c r="BR1908" s="2" t="s">
        <v>84</v>
      </c>
      <c r="BS1908" s="3">
        <v>42843</v>
      </c>
      <c r="BT1908" s="4">
        <v>0.35416666666666669</v>
      </c>
      <c r="BU1908" s="2" t="s">
        <v>1164</v>
      </c>
      <c r="BV1908" s="2" t="s">
        <v>86</v>
      </c>
      <c r="BW1908" s="2" t="s">
        <v>164</v>
      </c>
      <c r="BX1908" s="2" t="s">
        <v>786</v>
      </c>
      <c r="BY1908" s="2">
        <v>1200</v>
      </c>
      <c r="BZ1908" s="2"/>
      <c r="CA1908" s="2"/>
      <c r="CB1908" s="2"/>
      <c r="CC1908" s="2" t="s">
        <v>140</v>
      </c>
      <c r="CD1908" s="2">
        <v>157</v>
      </c>
      <c r="CE1908" s="2" t="s">
        <v>118</v>
      </c>
      <c r="CF1908" s="5">
        <v>42845</v>
      </c>
      <c r="CG1908" s="2"/>
      <c r="CH1908" s="2"/>
      <c r="CI1908" s="2">
        <v>0</v>
      </c>
      <c r="CJ1908" s="2">
        <v>0</v>
      </c>
      <c r="CK1908" s="2">
        <v>21</v>
      </c>
      <c r="CL1908" s="2" t="s">
        <v>86</v>
      </c>
      <c r="CM1908" s="2"/>
    </row>
    <row r="1909" spans="1:91">
      <c r="A1909" s="2" t="s">
        <v>71</v>
      </c>
      <c r="B1909" s="2" t="s">
        <v>72</v>
      </c>
      <c r="C1909" s="2" t="s">
        <v>73</v>
      </c>
      <c r="D1909" s="2"/>
      <c r="E1909" s="2" t="str">
        <f>"FES1162543536"</f>
        <v>FES1162543536</v>
      </c>
      <c r="F1909" s="3">
        <v>42838</v>
      </c>
      <c r="G1909" s="2">
        <v>201710</v>
      </c>
      <c r="H1909" s="2" t="s">
        <v>74</v>
      </c>
      <c r="I1909" s="2" t="s">
        <v>75</v>
      </c>
      <c r="J1909" s="2" t="s">
        <v>76</v>
      </c>
      <c r="K1909" s="2" t="s">
        <v>77</v>
      </c>
      <c r="L1909" s="2" t="s">
        <v>187</v>
      </c>
      <c r="M1909" s="2" t="s">
        <v>146</v>
      </c>
      <c r="N1909" s="2" t="s">
        <v>1999</v>
      </c>
      <c r="O1909" s="2" t="s">
        <v>115</v>
      </c>
      <c r="P1909" s="2" t="str">
        <f>"2170560245                    "</f>
        <v xml:space="preserve">2170560245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4.29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2</v>
      </c>
      <c r="BJ1909" s="2">
        <v>1.5</v>
      </c>
      <c r="BK1909" s="2">
        <v>2</v>
      </c>
      <c r="BL1909" s="2">
        <v>41.73</v>
      </c>
      <c r="BM1909" s="2">
        <v>5.84</v>
      </c>
      <c r="BN1909" s="2">
        <v>47.57</v>
      </c>
      <c r="BO1909" s="2">
        <v>47.57</v>
      </c>
      <c r="BP1909" s="2"/>
      <c r="BQ1909" s="2" t="s">
        <v>2000</v>
      </c>
      <c r="BR1909" s="2" t="s">
        <v>84</v>
      </c>
      <c r="BS1909" s="3">
        <v>42843</v>
      </c>
      <c r="BT1909" s="4">
        <v>0.4375</v>
      </c>
      <c r="BU1909" s="2" t="s">
        <v>2379</v>
      </c>
      <c r="BV1909" s="2" t="s">
        <v>86</v>
      </c>
      <c r="BW1909" s="2"/>
      <c r="BX1909" s="2"/>
      <c r="BY1909" s="2">
        <v>7560.57</v>
      </c>
      <c r="BZ1909" s="2"/>
      <c r="CA1909" s="2"/>
      <c r="CB1909" s="2"/>
      <c r="CC1909" s="2" t="s">
        <v>146</v>
      </c>
      <c r="CD1909" s="2">
        <v>200</v>
      </c>
      <c r="CE1909" s="2" t="s">
        <v>118</v>
      </c>
      <c r="CF1909" s="5">
        <v>42845</v>
      </c>
      <c r="CG1909" s="2"/>
      <c r="CH1909" s="2"/>
      <c r="CI1909" s="2">
        <v>0</v>
      </c>
      <c r="CJ1909" s="2">
        <v>0</v>
      </c>
      <c r="CK1909" s="2">
        <v>21</v>
      </c>
      <c r="CL1909" s="2" t="s">
        <v>86</v>
      </c>
      <c r="CM1909" s="2"/>
    </row>
    <row r="1910" spans="1:91">
      <c r="A1910" s="2" t="s">
        <v>71</v>
      </c>
      <c r="B1910" s="2" t="s">
        <v>72</v>
      </c>
      <c r="C1910" s="2" t="s">
        <v>73</v>
      </c>
      <c r="D1910" s="2"/>
      <c r="E1910" s="2" t="str">
        <f>"FES1162543530"</f>
        <v>FES1162543530</v>
      </c>
      <c r="F1910" s="3">
        <v>42838</v>
      </c>
      <c r="G1910" s="2">
        <v>201710</v>
      </c>
      <c r="H1910" s="2" t="s">
        <v>74</v>
      </c>
      <c r="I1910" s="2" t="s">
        <v>75</v>
      </c>
      <c r="J1910" s="2" t="s">
        <v>76</v>
      </c>
      <c r="K1910" s="2" t="s">
        <v>77</v>
      </c>
      <c r="L1910" s="2" t="s">
        <v>187</v>
      </c>
      <c r="M1910" s="2" t="s">
        <v>146</v>
      </c>
      <c r="N1910" s="2" t="s">
        <v>1461</v>
      </c>
      <c r="O1910" s="2" t="s">
        <v>115</v>
      </c>
      <c r="P1910" s="2" t="str">
        <f>"2170543530                    "</f>
        <v xml:space="preserve">2170543530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4.29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</v>
      </c>
      <c r="BJ1910" s="2">
        <v>0.2</v>
      </c>
      <c r="BK1910" s="2">
        <v>1</v>
      </c>
      <c r="BL1910" s="2">
        <v>41.73</v>
      </c>
      <c r="BM1910" s="2">
        <v>5.84</v>
      </c>
      <c r="BN1910" s="2">
        <v>47.57</v>
      </c>
      <c r="BO1910" s="2">
        <v>47.57</v>
      </c>
      <c r="BP1910" s="2"/>
      <c r="BQ1910" s="2" t="s">
        <v>1462</v>
      </c>
      <c r="BR1910" s="2" t="s">
        <v>84</v>
      </c>
      <c r="BS1910" s="3">
        <v>42843</v>
      </c>
      <c r="BT1910" s="4">
        <v>0.40833333333333338</v>
      </c>
      <c r="BU1910" s="2" t="s">
        <v>2380</v>
      </c>
      <c r="BV1910" s="2" t="s">
        <v>86</v>
      </c>
      <c r="BW1910" s="2"/>
      <c r="BX1910" s="2"/>
      <c r="BY1910" s="2">
        <v>1200</v>
      </c>
      <c r="BZ1910" s="2"/>
      <c r="CA1910" s="2" t="s">
        <v>1812</v>
      </c>
      <c r="CB1910" s="2"/>
      <c r="CC1910" s="2" t="s">
        <v>146</v>
      </c>
      <c r="CD1910" s="2">
        <v>182</v>
      </c>
      <c r="CE1910" s="2" t="s">
        <v>118</v>
      </c>
      <c r="CF1910" s="5">
        <v>42845</v>
      </c>
      <c r="CG1910" s="2"/>
      <c r="CH1910" s="2"/>
      <c r="CI1910" s="2">
        <v>0</v>
      </c>
      <c r="CJ1910" s="2">
        <v>0</v>
      </c>
      <c r="CK1910" s="2">
        <v>21</v>
      </c>
      <c r="CL1910" s="2" t="s">
        <v>86</v>
      </c>
      <c r="CM1910" s="2"/>
    </row>
    <row r="1911" spans="1:91">
      <c r="A1911" s="2" t="s">
        <v>71</v>
      </c>
      <c r="B1911" s="2" t="s">
        <v>72</v>
      </c>
      <c r="C1911" s="2" t="s">
        <v>73</v>
      </c>
      <c r="D1911" s="2"/>
      <c r="E1911" s="2" t="str">
        <f>"FES1162543557"</f>
        <v>FES1162543557</v>
      </c>
      <c r="F1911" s="3">
        <v>42838</v>
      </c>
      <c r="G1911" s="2">
        <v>201710</v>
      </c>
      <c r="H1911" s="2" t="s">
        <v>74</v>
      </c>
      <c r="I1911" s="2" t="s">
        <v>75</v>
      </c>
      <c r="J1911" s="2" t="s">
        <v>76</v>
      </c>
      <c r="K1911" s="2" t="s">
        <v>77</v>
      </c>
      <c r="L1911" s="2" t="s">
        <v>187</v>
      </c>
      <c r="M1911" s="2" t="s">
        <v>146</v>
      </c>
      <c r="N1911" s="2" t="s">
        <v>218</v>
      </c>
      <c r="O1911" s="2" t="s">
        <v>115</v>
      </c>
      <c r="P1911" s="2" t="str">
        <f>"2170562231                    "</f>
        <v xml:space="preserve">2170562231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4.29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1</v>
      </c>
      <c r="BJ1911" s="2">
        <v>0.2</v>
      </c>
      <c r="BK1911" s="2">
        <v>1</v>
      </c>
      <c r="BL1911" s="2">
        <v>41.73</v>
      </c>
      <c r="BM1911" s="2">
        <v>5.84</v>
      </c>
      <c r="BN1911" s="2">
        <v>47.57</v>
      </c>
      <c r="BO1911" s="2">
        <v>47.57</v>
      </c>
      <c r="BP1911" s="2"/>
      <c r="BQ1911" s="2" t="s">
        <v>219</v>
      </c>
      <c r="BR1911" s="2" t="s">
        <v>84</v>
      </c>
      <c r="BS1911" s="3">
        <v>42843</v>
      </c>
      <c r="BT1911" s="4">
        <v>0.35416666666666669</v>
      </c>
      <c r="BU1911" s="2" t="s">
        <v>373</v>
      </c>
      <c r="BV1911" s="2" t="s">
        <v>86</v>
      </c>
      <c r="BW1911" s="2"/>
      <c r="BX1911" s="2"/>
      <c r="BY1911" s="2">
        <v>1200</v>
      </c>
      <c r="BZ1911" s="2"/>
      <c r="CA1911" s="2"/>
      <c r="CB1911" s="2"/>
      <c r="CC1911" s="2" t="s">
        <v>146</v>
      </c>
      <c r="CD1911" s="2">
        <v>200</v>
      </c>
      <c r="CE1911" s="2" t="s">
        <v>118</v>
      </c>
      <c r="CF1911" s="5">
        <v>42845</v>
      </c>
      <c r="CG1911" s="2"/>
      <c r="CH1911" s="2"/>
      <c r="CI1911" s="2">
        <v>0</v>
      </c>
      <c r="CJ1911" s="2">
        <v>0</v>
      </c>
      <c r="CK1911" s="2">
        <v>21</v>
      </c>
      <c r="CL1911" s="2" t="s">
        <v>86</v>
      </c>
      <c r="CM1911" s="2"/>
    </row>
    <row r="1912" spans="1:91">
      <c r="A1912" s="2" t="s">
        <v>71</v>
      </c>
      <c r="B1912" s="2" t="s">
        <v>72</v>
      </c>
      <c r="C1912" s="2" t="s">
        <v>73</v>
      </c>
      <c r="D1912" s="2"/>
      <c r="E1912" s="2" t="str">
        <f>"FES1162543608"</f>
        <v>FES1162543608</v>
      </c>
      <c r="F1912" s="3">
        <v>42838</v>
      </c>
      <c r="G1912" s="2">
        <v>201710</v>
      </c>
      <c r="H1912" s="2" t="s">
        <v>74</v>
      </c>
      <c r="I1912" s="2" t="s">
        <v>75</v>
      </c>
      <c r="J1912" s="2" t="s">
        <v>76</v>
      </c>
      <c r="K1912" s="2" t="s">
        <v>77</v>
      </c>
      <c r="L1912" s="2" t="s">
        <v>166</v>
      </c>
      <c r="M1912" s="2" t="s">
        <v>167</v>
      </c>
      <c r="N1912" s="2" t="s">
        <v>1177</v>
      </c>
      <c r="O1912" s="2" t="s">
        <v>115</v>
      </c>
      <c r="P1912" s="2" t="str">
        <f>"2170562276                    "</f>
        <v xml:space="preserve">2170562276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3.35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1</v>
      </c>
      <c r="BJ1912" s="2">
        <v>0.2</v>
      </c>
      <c r="BK1912" s="2">
        <v>1</v>
      </c>
      <c r="BL1912" s="2">
        <v>32.6</v>
      </c>
      <c r="BM1912" s="2">
        <v>4.5599999999999996</v>
      </c>
      <c r="BN1912" s="2">
        <v>37.159999999999997</v>
      </c>
      <c r="BO1912" s="2">
        <v>37.159999999999997</v>
      </c>
      <c r="BP1912" s="2"/>
      <c r="BQ1912" s="2" t="s">
        <v>1178</v>
      </c>
      <c r="BR1912" s="2" t="s">
        <v>84</v>
      </c>
      <c r="BS1912" s="3">
        <v>42843</v>
      </c>
      <c r="BT1912" s="4">
        <v>0.41666666666666669</v>
      </c>
      <c r="BU1912" s="2" t="s">
        <v>2381</v>
      </c>
      <c r="BV1912" s="2" t="s">
        <v>86</v>
      </c>
      <c r="BW1912" s="2" t="s">
        <v>164</v>
      </c>
      <c r="BX1912" s="2" t="s">
        <v>2211</v>
      </c>
      <c r="BY1912" s="2">
        <v>1200</v>
      </c>
      <c r="BZ1912" s="2"/>
      <c r="CA1912" s="2" t="s">
        <v>159</v>
      </c>
      <c r="CB1912" s="2"/>
      <c r="CC1912" s="2" t="s">
        <v>167</v>
      </c>
      <c r="CD1912" s="2">
        <v>2093</v>
      </c>
      <c r="CE1912" s="2" t="s">
        <v>118</v>
      </c>
      <c r="CF1912" s="5">
        <v>42844</v>
      </c>
      <c r="CG1912" s="2"/>
      <c r="CH1912" s="2"/>
      <c r="CI1912" s="2">
        <v>1</v>
      </c>
      <c r="CJ1912" s="2">
        <v>3</v>
      </c>
      <c r="CK1912" s="2">
        <v>22</v>
      </c>
      <c r="CL1912" s="2" t="s">
        <v>86</v>
      </c>
      <c r="CM1912" s="2"/>
    </row>
    <row r="1913" spans="1:91">
      <c r="A1913" s="2" t="s">
        <v>71</v>
      </c>
      <c r="B1913" s="2" t="s">
        <v>72</v>
      </c>
      <c r="C1913" s="2" t="s">
        <v>73</v>
      </c>
      <c r="D1913" s="2"/>
      <c r="E1913" s="2" t="str">
        <f>"FES1162543572"</f>
        <v>FES1162543572</v>
      </c>
      <c r="F1913" s="3">
        <v>42838</v>
      </c>
      <c r="G1913" s="2">
        <v>201710</v>
      </c>
      <c r="H1913" s="2" t="s">
        <v>74</v>
      </c>
      <c r="I1913" s="2" t="s">
        <v>75</v>
      </c>
      <c r="J1913" s="2" t="s">
        <v>76</v>
      </c>
      <c r="K1913" s="2" t="s">
        <v>77</v>
      </c>
      <c r="L1913" s="2" t="s">
        <v>187</v>
      </c>
      <c r="M1913" s="2" t="s">
        <v>146</v>
      </c>
      <c r="N1913" s="2" t="s">
        <v>2382</v>
      </c>
      <c r="O1913" s="2" t="s">
        <v>115</v>
      </c>
      <c r="P1913" s="2" t="str">
        <f>"2170562241                    "</f>
        <v xml:space="preserve">2170562241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4.29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</v>
      </c>
      <c r="BJ1913" s="2">
        <v>0.2</v>
      </c>
      <c r="BK1913" s="2">
        <v>1</v>
      </c>
      <c r="BL1913" s="2">
        <v>41.73</v>
      </c>
      <c r="BM1913" s="2">
        <v>5.84</v>
      </c>
      <c r="BN1913" s="2">
        <v>47.57</v>
      </c>
      <c r="BO1913" s="2">
        <v>47.57</v>
      </c>
      <c r="BP1913" s="2"/>
      <c r="BQ1913" s="2" t="s">
        <v>2383</v>
      </c>
      <c r="BR1913" s="2" t="s">
        <v>84</v>
      </c>
      <c r="BS1913" s="3">
        <v>42843</v>
      </c>
      <c r="BT1913" s="4">
        <v>0.33333333333333331</v>
      </c>
      <c r="BU1913" s="2" t="s">
        <v>2384</v>
      </c>
      <c r="BV1913" s="2" t="s">
        <v>86</v>
      </c>
      <c r="BW1913" s="2"/>
      <c r="BX1913" s="2"/>
      <c r="BY1913" s="2">
        <v>1200</v>
      </c>
      <c r="BZ1913" s="2"/>
      <c r="CA1913" s="2"/>
      <c r="CB1913" s="2"/>
      <c r="CC1913" s="2" t="s">
        <v>146</v>
      </c>
      <c r="CD1913" s="2">
        <v>184</v>
      </c>
      <c r="CE1913" s="2" t="s">
        <v>118</v>
      </c>
      <c r="CF1913" s="5">
        <v>42845</v>
      </c>
      <c r="CG1913" s="2"/>
      <c r="CH1913" s="2"/>
      <c r="CI1913" s="2">
        <v>0</v>
      </c>
      <c r="CJ1913" s="2">
        <v>0</v>
      </c>
      <c r="CK1913" s="2">
        <v>21</v>
      </c>
      <c r="CL1913" s="2" t="s">
        <v>86</v>
      </c>
      <c r="CM1913" s="2"/>
    </row>
    <row r="1914" spans="1:91">
      <c r="A1914" s="2" t="s">
        <v>71</v>
      </c>
      <c r="B1914" s="2" t="s">
        <v>72</v>
      </c>
      <c r="C1914" s="2" t="s">
        <v>73</v>
      </c>
      <c r="D1914" s="2"/>
      <c r="E1914" s="2" t="str">
        <f>"FES1162543591"</f>
        <v>FES1162543591</v>
      </c>
      <c r="F1914" s="3">
        <v>42838</v>
      </c>
      <c r="G1914" s="2">
        <v>201710</v>
      </c>
      <c r="H1914" s="2" t="s">
        <v>74</v>
      </c>
      <c r="I1914" s="2" t="s">
        <v>75</v>
      </c>
      <c r="J1914" s="2" t="s">
        <v>76</v>
      </c>
      <c r="K1914" s="2" t="s">
        <v>77</v>
      </c>
      <c r="L1914" s="2" t="s">
        <v>166</v>
      </c>
      <c r="M1914" s="2" t="s">
        <v>167</v>
      </c>
      <c r="N1914" s="2" t="s">
        <v>168</v>
      </c>
      <c r="O1914" s="2" t="s">
        <v>115</v>
      </c>
      <c r="P1914" s="2" t="str">
        <f>"2170562264                    "</f>
        <v xml:space="preserve">2170562264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3.35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1</v>
      </c>
      <c r="BJ1914" s="2">
        <v>0.2</v>
      </c>
      <c r="BK1914" s="2">
        <v>1</v>
      </c>
      <c r="BL1914" s="2">
        <v>32.6</v>
      </c>
      <c r="BM1914" s="2">
        <v>4.5599999999999996</v>
      </c>
      <c r="BN1914" s="2">
        <v>37.159999999999997</v>
      </c>
      <c r="BO1914" s="2">
        <v>37.159999999999997</v>
      </c>
      <c r="BP1914" s="2"/>
      <c r="BQ1914" s="2" t="s">
        <v>169</v>
      </c>
      <c r="BR1914" s="2" t="s">
        <v>84</v>
      </c>
      <c r="BS1914" s="3">
        <v>42843</v>
      </c>
      <c r="BT1914" s="4">
        <v>0.38958333333333334</v>
      </c>
      <c r="BU1914" s="2" t="s">
        <v>2311</v>
      </c>
      <c r="BV1914" s="2" t="s">
        <v>86</v>
      </c>
      <c r="BW1914" s="2" t="s">
        <v>164</v>
      </c>
      <c r="BX1914" s="2" t="s">
        <v>618</v>
      </c>
      <c r="BY1914" s="2">
        <v>1200</v>
      </c>
      <c r="BZ1914" s="2"/>
      <c r="CA1914" s="2" t="s">
        <v>2312</v>
      </c>
      <c r="CB1914" s="2"/>
      <c r="CC1914" s="2" t="s">
        <v>167</v>
      </c>
      <c r="CD1914" s="2">
        <v>2094</v>
      </c>
      <c r="CE1914" s="2" t="s">
        <v>118</v>
      </c>
      <c r="CF1914" s="5">
        <v>42843</v>
      </c>
      <c r="CG1914" s="2"/>
      <c r="CH1914" s="2"/>
      <c r="CI1914" s="2">
        <v>1</v>
      </c>
      <c r="CJ1914" s="2">
        <v>3</v>
      </c>
      <c r="CK1914" s="2">
        <v>22</v>
      </c>
      <c r="CL1914" s="2" t="s">
        <v>86</v>
      </c>
      <c r="CM1914" s="2"/>
    </row>
    <row r="1915" spans="1:91">
      <c r="A1915" s="2" t="s">
        <v>71</v>
      </c>
      <c r="B1915" s="2" t="s">
        <v>72</v>
      </c>
      <c r="C1915" s="2" t="s">
        <v>73</v>
      </c>
      <c r="D1915" s="2"/>
      <c r="E1915" s="2" t="str">
        <f>"FES1162543655"</f>
        <v>FES1162543655</v>
      </c>
      <c r="F1915" s="3">
        <v>42838</v>
      </c>
      <c r="G1915" s="2">
        <v>201710</v>
      </c>
      <c r="H1915" s="2" t="s">
        <v>74</v>
      </c>
      <c r="I1915" s="2" t="s">
        <v>75</v>
      </c>
      <c r="J1915" s="2" t="s">
        <v>76</v>
      </c>
      <c r="K1915" s="2" t="s">
        <v>77</v>
      </c>
      <c r="L1915" s="2" t="s">
        <v>74</v>
      </c>
      <c r="M1915" s="2" t="s">
        <v>75</v>
      </c>
      <c r="N1915" s="2" t="s">
        <v>974</v>
      </c>
      <c r="O1915" s="2" t="s">
        <v>115</v>
      </c>
      <c r="P1915" s="2" t="str">
        <f>"2170562300                    "</f>
        <v xml:space="preserve">2170562300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3.35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1</v>
      </c>
      <c r="BJ1915" s="2">
        <v>0.2</v>
      </c>
      <c r="BK1915" s="2">
        <v>1</v>
      </c>
      <c r="BL1915" s="2">
        <v>32.6</v>
      </c>
      <c r="BM1915" s="2">
        <v>4.5599999999999996</v>
      </c>
      <c r="BN1915" s="2">
        <v>37.159999999999997</v>
      </c>
      <c r="BO1915" s="2">
        <v>37.159999999999997</v>
      </c>
      <c r="BP1915" s="2"/>
      <c r="BQ1915" s="2"/>
      <c r="BR1915" s="2" t="s">
        <v>84</v>
      </c>
      <c r="BS1915" s="3">
        <v>42843</v>
      </c>
      <c r="BT1915" s="4">
        <v>0.31527777777777777</v>
      </c>
      <c r="BU1915" s="2" t="s">
        <v>2385</v>
      </c>
      <c r="BV1915" s="2" t="s">
        <v>86</v>
      </c>
      <c r="BW1915" s="2" t="s">
        <v>164</v>
      </c>
      <c r="BX1915" s="2" t="s">
        <v>618</v>
      </c>
      <c r="BY1915" s="2">
        <v>1200</v>
      </c>
      <c r="BZ1915" s="2"/>
      <c r="CA1915" s="2"/>
      <c r="CB1915" s="2"/>
      <c r="CC1915" s="2" t="s">
        <v>75</v>
      </c>
      <c r="CD1915" s="2">
        <v>1600</v>
      </c>
      <c r="CE1915" s="2" t="s">
        <v>118</v>
      </c>
      <c r="CF1915" s="5">
        <v>42844</v>
      </c>
      <c r="CG1915" s="2"/>
      <c r="CH1915" s="2"/>
      <c r="CI1915" s="2">
        <v>1</v>
      </c>
      <c r="CJ1915" s="2">
        <v>3</v>
      </c>
      <c r="CK1915" s="2">
        <v>22</v>
      </c>
      <c r="CL1915" s="2" t="s">
        <v>86</v>
      </c>
      <c r="CM1915" s="2"/>
    </row>
    <row r="1916" spans="1:91">
      <c r="A1916" s="2" t="s">
        <v>71</v>
      </c>
      <c r="B1916" s="2" t="s">
        <v>72</v>
      </c>
      <c r="C1916" s="2" t="s">
        <v>73</v>
      </c>
      <c r="D1916" s="2"/>
      <c r="E1916" s="2" t="str">
        <f>"FES1162543679"</f>
        <v>FES1162543679</v>
      </c>
      <c r="F1916" s="3">
        <v>42838</v>
      </c>
      <c r="G1916" s="2">
        <v>201710</v>
      </c>
      <c r="H1916" s="2" t="s">
        <v>74</v>
      </c>
      <c r="I1916" s="2" t="s">
        <v>75</v>
      </c>
      <c r="J1916" s="2" t="s">
        <v>76</v>
      </c>
      <c r="K1916" s="2" t="s">
        <v>77</v>
      </c>
      <c r="L1916" s="2" t="s">
        <v>294</v>
      </c>
      <c r="M1916" s="2" t="s">
        <v>295</v>
      </c>
      <c r="N1916" s="2" t="s">
        <v>296</v>
      </c>
      <c r="O1916" s="2" t="s">
        <v>115</v>
      </c>
      <c r="P1916" s="2" t="str">
        <f>"2170562087                    "</f>
        <v xml:space="preserve">2170562087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4.29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0.2</v>
      </c>
      <c r="BK1916" s="2">
        <v>1</v>
      </c>
      <c r="BL1916" s="2">
        <v>41.73</v>
      </c>
      <c r="BM1916" s="2">
        <v>5.84</v>
      </c>
      <c r="BN1916" s="2">
        <v>47.57</v>
      </c>
      <c r="BO1916" s="2">
        <v>47.57</v>
      </c>
      <c r="BP1916" s="2"/>
      <c r="BQ1916" s="2" t="s">
        <v>297</v>
      </c>
      <c r="BR1916" s="2" t="s">
        <v>84</v>
      </c>
      <c r="BS1916" s="3">
        <v>42843</v>
      </c>
      <c r="BT1916" s="4">
        <v>0.41875000000000001</v>
      </c>
      <c r="BU1916" s="2" t="s">
        <v>1092</v>
      </c>
      <c r="BV1916" s="2" t="s">
        <v>86</v>
      </c>
      <c r="BW1916" s="2" t="s">
        <v>164</v>
      </c>
      <c r="BX1916" s="2" t="s">
        <v>2350</v>
      </c>
      <c r="BY1916" s="2">
        <v>1200</v>
      </c>
      <c r="BZ1916" s="2"/>
      <c r="CA1916" s="2"/>
      <c r="CB1916" s="2"/>
      <c r="CC1916" s="2" t="s">
        <v>295</v>
      </c>
      <c r="CD1916" s="2">
        <v>3620</v>
      </c>
      <c r="CE1916" s="2" t="s">
        <v>118</v>
      </c>
      <c r="CF1916" s="5">
        <v>42844</v>
      </c>
      <c r="CG1916" s="2"/>
      <c r="CH1916" s="2"/>
      <c r="CI1916" s="2">
        <v>1</v>
      </c>
      <c r="CJ1916" s="2">
        <v>3</v>
      </c>
      <c r="CK1916" s="2">
        <v>21</v>
      </c>
      <c r="CL1916" s="2" t="s">
        <v>86</v>
      </c>
      <c r="CM1916" s="2"/>
    </row>
    <row r="1917" spans="1:91">
      <c r="A1917" s="2" t="s">
        <v>71</v>
      </c>
      <c r="B1917" s="2" t="s">
        <v>72</v>
      </c>
      <c r="C1917" s="2" t="s">
        <v>73</v>
      </c>
      <c r="D1917" s="2"/>
      <c r="E1917" s="2" t="str">
        <f>"FES1162543651"</f>
        <v>FES1162543651</v>
      </c>
      <c r="F1917" s="3">
        <v>42838</v>
      </c>
      <c r="G1917" s="2">
        <v>201710</v>
      </c>
      <c r="H1917" s="2" t="s">
        <v>74</v>
      </c>
      <c r="I1917" s="2" t="s">
        <v>75</v>
      </c>
      <c r="J1917" s="2" t="s">
        <v>76</v>
      </c>
      <c r="K1917" s="2" t="s">
        <v>77</v>
      </c>
      <c r="L1917" s="2" t="s">
        <v>516</v>
      </c>
      <c r="M1917" s="2" t="s">
        <v>517</v>
      </c>
      <c r="N1917" s="2" t="s">
        <v>815</v>
      </c>
      <c r="O1917" s="2" t="s">
        <v>115</v>
      </c>
      <c r="P1917" s="2" t="str">
        <f>"2170560310                    "</f>
        <v xml:space="preserve">2170560310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3.35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1</v>
      </c>
      <c r="BJ1917" s="2">
        <v>0.2</v>
      </c>
      <c r="BK1917" s="2">
        <v>1</v>
      </c>
      <c r="BL1917" s="2">
        <v>32.6</v>
      </c>
      <c r="BM1917" s="2">
        <v>4.5599999999999996</v>
      </c>
      <c r="BN1917" s="2">
        <v>37.159999999999997</v>
      </c>
      <c r="BO1917" s="2">
        <v>37.159999999999997</v>
      </c>
      <c r="BP1917" s="2"/>
      <c r="BQ1917" s="2" t="s">
        <v>816</v>
      </c>
      <c r="BR1917" s="2" t="s">
        <v>84</v>
      </c>
      <c r="BS1917" s="3">
        <v>42843</v>
      </c>
      <c r="BT1917" s="4">
        <v>0.35347222222222219</v>
      </c>
      <c r="BU1917" s="2" t="s">
        <v>1159</v>
      </c>
      <c r="BV1917" s="2" t="s">
        <v>86</v>
      </c>
      <c r="BW1917" s="2" t="s">
        <v>96</v>
      </c>
      <c r="BX1917" s="2" t="s">
        <v>812</v>
      </c>
      <c r="BY1917" s="2">
        <v>1200</v>
      </c>
      <c r="BZ1917" s="2"/>
      <c r="CA1917" s="2" t="s">
        <v>159</v>
      </c>
      <c r="CB1917" s="2"/>
      <c r="CC1917" s="2" t="s">
        <v>517</v>
      </c>
      <c r="CD1917" s="2">
        <v>1459</v>
      </c>
      <c r="CE1917" s="2" t="s">
        <v>118</v>
      </c>
      <c r="CF1917" s="5">
        <v>42844</v>
      </c>
      <c r="CG1917" s="2"/>
      <c r="CH1917" s="2"/>
      <c r="CI1917" s="2">
        <v>1</v>
      </c>
      <c r="CJ1917" s="2">
        <v>3</v>
      </c>
      <c r="CK1917" s="2">
        <v>22</v>
      </c>
      <c r="CL1917" s="2" t="s">
        <v>86</v>
      </c>
      <c r="CM1917" s="2"/>
    </row>
    <row r="1918" spans="1:91">
      <c r="A1918" s="2" t="s">
        <v>71</v>
      </c>
      <c r="B1918" s="2" t="s">
        <v>72</v>
      </c>
      <c r="C1918" s="2" t="s">
        <v>73</v>
      </c>
      <c r="D1918" s="2"/>
      <c r="E1918" s="2" t="str">
        <f>"FES1162543625"</f>
        <v>FES1162543625</v>
      </c>
      <c r="F1918" s="3">
        <v>42838</v>
      </c>
      <c r="G1918" s="2">
        <v>201710</v>
      </c>
      <c r="H1918" s="2" t="s">
        <v>74</v>
      </c>
      <c r="I1918" s="2" t="s">
        <v>75</v>
      </c>
      <c r="J1918" s="2" t="s">
        <v>76</v>
      </c>
      <c r="K1918" s="2" t="s">
        <v>77</v>
      </c>
      <c r="L1918" s="2" t="s">
        <v>166</v>
      </c>
      <c r="M1918" s="2" t="s">
        <v>167</v>
      </c>
      <c r="N1918" s="2" t="s">
        <v>168</v>
      </c>
      <c r="O1918" s="2" t="s">
        <v>115</v>
      </c>
      <c r="P1918" s="2" t="str">
        <f>"2170543625                    "</f>
        <v xml:space="preserve">2170543625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3.35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1</v>
      </c>
      <c r="BJ1918" s="2">
        <v>0.2</v>
      </c>
      <c r="BK1918" s="2">
        <v>1</v>
      </c>
      <c r="BL1918" s="2">
        <v>32.6</v>
      </c>
      <c r="BM1918" s="2">
        <v>4.5599999999999996</v>
      </c>
      <c r="BN1918" s="2">
        <v>37.159999999999997</v>
      </c>
      <c r="BO1918" s="2">
        <v>37.159999999999997</v>
      </c>
      <c r="BP1918" s="2"/>
      <c r="BQ1918" s="2" t="s">
        <v>169</v>
      </c>
      <c r="BR1918" s="2" t="s">
        <v>84</v>
      </c>
      <c r="BS1918" s="3">
        <v>42843</v>
      </c>
      <c r="BT1918" s="4">
        <v>0.38958333333333334</v>
      </c>
      <c r="BU1918" s="2" t="s">
        <v>2311</v>
      </c>
      <c r="BV1918" s="2" t="s">
        <v>86</v>
      </c>
      <c r="BW1918" s="2" t="s">
        <v>164</v>
      </c>
      <c r="BX1918" s="2" t="s">
        <v>618</v>
      </c>
      <c r="BY1918" s="2">
        <v>1200</v>
      </c>
      <c r="BZ1918" s="2"/>
      <c r="CA1918" s="2" t="s">
        <v>2312</v>
      </c>
      <c r="CB1918" s="2"/>
      <c r="CC1918" s="2" t="s">
        <v>167</v>
      </c>
      <c r="CD1918" s="2">
        <v>2094</v>
      </c>
      <c r="CE1918" s="2" t="s">
        <v>118</v>
      </c>
      <c r="CF1918" s="5">
        <v>42843</v>
      </c>
      <c r="CG1918" s="2"/>
      <c r="CH1918" s="2"/>
      <c r="CI1918" s="2">
        <v>1</v>
      </c>
      <c r="CJ1918" s="2">
        <v>3</v>
      </c>
      <c r="CK1918" s="2">
        <v>22</v>
      </c>
      <c r="CL1918" s="2" t="s">
        <v>86</v>
      </c>
      <c r="CM1918" s="2"/>
    </row>
    <row r="1919" spans="1:91">
      <c r="A1919" s="2" t="s">
        <v>71</v>
      </c>
      <c r="B1919" s="2" t="s">
        <v>72</v>
      </c>
      <c r="C1919" s="2" t="s">
        <v>73</v>
      </c>
      <c r="D1919" s="2"/>
      <c r="E1919" s="2" t="str">
        <f>"FES1162543581"</f>
        <v>FES1162543581</v>
      </c>
      <c r="F1919" s="3">
        <v>42838</v>
      </c>
      <c r="G1919" s="2">
        <v>201710</v>
      </c>
      <c r="H1919" s="2" t="s">
        <v>74</v>
      </c>
      <c r="I1919" s="2" t="s">
        <v>75</v>
      </c>
      <c r="J1919" s="2" t="s">
        <v>76</v>
      </c>
      <c r="K1919" s="2" t="s">
        <v>77</v>
      </c>
      <c r="L1919" s="2" t="s">
        <v>99</v>
      </c>
      <c r="M1919" s="2" t="s">
        <v>100</v>
      </c>
      <c r="N1919" s="2" t="s">
        <v>351</v>
      </c>
      <c r="O1919" s="2" t="s">
        <v>115</v>
      </c>
      <c r="P1919" s="2" t="str">
        <f>"217055720                     "</f>
        <v xml:space="preserve">217055720 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21.43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9.9</v>
      </c>
      <c r="BJ1919" s="2">
        <v>3.9</v>
      </c>
      <c r="BK1919" s="2">
        <v>10</v>
      </c>
      <c r="BL1919" s="2">
        <v>208.63</v>
      </c>
      <c r="BM1919" s="2">
        <v>29.21</v>
      </c>
      <c r="BN1919" s="2">
        <v>237.84</v>
      </c>
      <c r="BO1919" s="2">
        <v>237.84</v>
      </c>
      <c r="BP1919" s="2"/>
      <c r="BQ1919" s="2" t="s">
        <v>352</v>
      </c>
      <c r="BR1919" s="2" t="s">
        <v>84</v>
      </c>
      <c r="BS1919" s="3">
        <v>42843</v>
      </c>
      <c r="BT1919" s="4">
        <v>0.4236111111111111</v>
      </c>
      <c r="BU1919" s="2" t="s">
        <v>2386</v>
      </c>
      <c r="BV1919" s="2" t="s">
        <v>86</v>
      </c>
      <c r="BW1919" s="2"/>
      <c r="BX1919" s="2"/>
      <c r="BY1919" s="2">
        <v>19420.8</v>
      </c>
      <c r="BZ1919" s="2"/>
      <c r="CA1919" s="2" t="s">
        <v>154</v>
      </c>
      <c r="CB1919" s="2"/>
      <c r="CC1919" s="2" t="s">
        <v>100</v>
      </c>
      <c r="CD1919" s="2">
        <v>6001</v>
      </c>
      <c r="CE1919" s="2" t="s">
        <v>89</v>
      </c>
      <c r="CF1919" s="5">
        <v>42843</v>
      </c>
      <c r="CG1919" s="2"/>
      <c r="CH1919" s="2"/>
      <c r="CI1919" s="2">
        <v>1</v>
      </c>
      <c r="CJ1919" s="2">
        <v>3</v>
      </c>
      <c r="CK1919" s="2">
        <v>21</v>
      </c>
      <c r="CL1919" s="2" t="s">
        <v>86</v>
      </c>
      <c r="CM1919" s="2"/>
    </row>
    <row r="1920" spans="1:91">
      <c r="A1920" s="2" t="s">
        <v>71</v>
      </c>
      <c r="B1920" s="2" t="s">
        <v>72</v>
      </c>
      <c r="C1920" s="2" t="s">
        <v>73</v>
      </c>
      <c r="D1920" s="2"/>
      <c r="E1920" s="2" t="str">
        <f>"FES1162543616"</f>
        <v>FES1162543616</v>
      </c>
      <c r="F1920" s="3">
        <v>42838</v>
      </c>
      <c r="G1920" s="2">
        <v>201710</v>
      </c>
      <c r="H1920" s="2" t="s">
        <v>74</v>
      </c>
      <c r="I1920" s="2" t="s">
        <v>75</v>
      </c>
      <c r="J1920" s="2" t="s">
        <v>76</v>
      </c>
      <c r="K1920" s="2" t="s">
        <v>77</v>
      </c>
      <c r="L1920" s="2" t="s">
        <v>160</v>
      </c>
      <c r="M1920" s="2" t="s">
        <v>161</v>
      </c>
      <c r="N1920" s="2" t="s">
        <v>463</v>
      </c>
      <c r="O1920" s="2" t="s">
        <v>115</v>
      </c>
      <c r="P1920" s="2" t="str">
        <f>"2170560109                    "</f>
        <v xml:space="preserve">2170560109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7.5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3.4</v>
      </c>
      <c r="BJ1920" s="2">
        <v>0.9</v>
      </c>
      <c r="BK1920" s="2">
        <v>3.5</v>
      </c>
      <c r="BL1920" s="2">
        <v>73.02</v>
      </c>
      <c r="BM1920" s="2">
        <v>10.220000000000001</v>
      </c>
      <c r="BN1920" s="2">
        <v>83.24</v>
      </c>
      <c r="BO1920" s="2">
        <v>83.24</v>
      </c>
      <c r="BP1920" s="2"/>
      <c r="BQ1920" s="2" t="s">
        <v>129</v>
      </c>
      <c r="BR1920" s="2" t="s">
        <v>84</v>
      </c>
      <c r="BS1920" s="3">
        <v>42843</v>
      </c>
      <c r="BT1920" s="4">
        <v>0.41666666666666669</v>
      </c>
      <c r="BU1920" s="2" t="s">
        <v>223</v>
      </c>
      <c r="BV1920" s="2" t="s">
        <v>86</v>
      </c>
      <c r="BW1920" s="2" t="s">
        <v>157</v>
      </c>
      <c r="BX1920" s="2" t="s">
        <v>251</v>
      </c>
      <c r="BY1920" s="2">
        <v>4462.57</v>
      </c>
      <c r="BZ1920" s="2"/>
      <c r="CA1920" s="2"/>
      <c r="CB1920" s="2"/>
      <c r="CC1920" s="2" t="s">
        <v>161</v>
      </c>
      <c r="CD1920" s="2">
        <v>5201</v>
      </c>
      <c r="CE1920" s="2" t="s">
        <v>89</v>
      </c>
      <c r="CF1920" s="5">
        <v>42844</v>
      </c>
      <c r="CG1920" s="2"/>
      <c r="CH1920" s="2"/>
      <c r="CI1920" s="2">
        <v>1</v>
      </c>
      <c r="CJ1920" s="2">
        <v>3</v>
      </c>
      <c r="CK1920" s="2">
        <v>21</v>
      </c>
      <c r="CL1920" s="2" t="s">
        <v>86</v>
      </c>
      <c r="CM1920" s="2"/>
    </row>
    <row r="1921" spans="1:91">
      <c r="A1921" s="2" t="s">
        <v>71</v>
      </c>
      <c r="B1921" s="2" t="s">
        <v>72</v>
      </c>
      <c r="C1921" s="2" t="s">
        <v>73</v>
      </c>
      <c r="D1921" s="2"/>
      <c r="E1921" s="2" t="str">
        <f>"FES1162543614"</f>
        <v>FES1162543614</v>
      </c>
      <c r="F1921" s="3">
        <v>42838</v>
      </c>
      <c r="G1921" s="2">
        <v>201710</v>
      </c>
      <c r="H1921" s="2" t="s">
        <v>74</v>
      </c>
      <c r="I1921" s="2" t="s">
        <v>75</v>
      </c>
      <c r="J1921" s="2" t="s">
        <v>76</v>
      </c>
      <c r="K1921" s="2" t="s">
        <v>77</v>
      </c>
      <c r="L1921" s="2" t="s">
        <v>180</v>
      </c>
      <c r="M1921" s="2" t="s">
        <v>181</v>
      </c>
      <c r="N1921" s="2" t="s">
        <v>320</v>
      </c>
      <c r="O1921" s="2" t="s">
        <v>115</v>
      </c>
      <c r="P1921" s="2" t="str">
        <f>"2170559554                    "</f>
        <v xml:space="preserve">2170559554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4.29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1</v>
      </c>
      <c r="BJ1921" s="2">
        <v>0.2</v>
      </c>
      <c r="BK1921" s="2">
        <v>1</v>
      </c>
      <c r="BL1921" s="2">
        <v>41.73</v>
      </c>
      <c r="BM1921" s="2">
        <v>5.84</v>
      </c>
      <c r="BN1921" s="2">
        <v>47.57</v>
      </c>
      <c r="BO1921" s="2">
        <v>47.57</v>
      </c>
      <c r="BP1921" s="2"/>
      <c r="BQ1921" s="2" t="s">
        <v>129</v>
      </c>
      <c r="BR1921" s="2" t="s">
        <v>84</v>
      </c>
      <c r="BS1921" s="3">
        <v>42843</v>
      </c>
      <c r="BT1921" s="4">
        <v>0.4375</v>
      </c>
      <c r="BU1921" s="2" t="s">
        <v>721</v>
      </c>
      <c r="BV1921" s="2" t="s">
        <v>86</v>
      </c>
      <c r="BW1921" s="2" t="s">
        <v>164</v>
      </c>
      <c r="BX1921" s="2" t="s">
        <v>2343</v>
      </c>
      <c r="BY1921" s="2">
        <v>1200</v>
      </c>
      <c r="BZ1921" s="2"/>
      <c r="CA1921" s="2"/>
      <c r="CB1921" s="2"/>
      <c r="CC1921" s="2" t="s">
        <v>181</v>
      </c>
      <c r="CD1921" s="2">
        <v>4051</v>
      </c>
      <c r="CE1921" s="2" t="s">
        <v>118</v>
      </c>
      <c r="CF1921" s="5">
        <v>42844</v>
      </c>
      <c r="CG1921" s="2"/>
      <c r="CH1921" s="2"/>
      <c r="CI1921" s="2">
        <v>1</v>
      </c>
      <c r="CJ1921" s="2">
        <v>3</v>
      </c>
      <c r="CK1921" s="2">
        <v>21</v>
      </c>
      <c r="CL1921" s="2" t="s">
        <v>86</v>
      </c>
      <c r="CM1921" s="2"/>
    </row>
    <row r="1922" spans="1:91">
      <c r="A1922" s="2" t="s">
        <v>71</v>
      </c>
      <c r="B1922" s="2" t="s">
        <v>72</v>
      </c>
      <c r="C1922" s="2" t="s">
        <v>73</v>
      </c>
      <c r="D1922" s="2"/>
      <c r="E1922" s="2" t="str">
        <f>"FES1162543653"</f>
        <v>FES1162543653</v>
      </c>
      <c r="F1922" s="3">
        <v>42838</v>
      </c>
      <c r="G1922" s="2">
        <v>201710</v>
      </c>
      <c r="H1922" s="2" t="s">
        <v>74</v>
      </c>
      <c r="I1922" s="2" t="s">
        <v>75</v>
      </c>
      <c r="J1922" s="2" t="s">
        <v>76</v>
      </c>
      <c r="K1922" s="2" t="s">
        <v>77</v>
      </c>
      <c r="L1922" s="2" t="s">
        <v>99</v>
      </c>
      <c r="M1922" s="2" t="s">
        <v>100</v>
      </c>
      <c r="N1922" s="2" t="s">
        <v>108</v>
      </c>
      <c r="O1922" s="2" t="s">
        <v>115</v>
      </c>
      <c r="P1922" s="2" t="str">
        <f>"2170562263                    "</f>
        <v xml:space="preserve">2170562263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4.29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0.9</v>
      </c>
      <c r="BJ1922" s="2">
        <v>1.7</v>
      </c>
      <c r="BK1922" s="2">
        <v>2</v>
      </c>
      <c r="BL1922" s="2">
        <v>41.73</v>
      </c>
      <c r="BM1922" s="2">
        <v>5.84</v>
      </c>
      <c r="BN1922" s="2">
        <v>47.57</v>
      </c>
      <c r="BO1922" s="2">
        <v>47.57</v>
      </c>
      <c r="BP1922" s="2"/>
      <c r="BQ1922" s="2" t="s">
        <v>109</v>
      </c>
      <c r="BR1922" s="2" t="s">
        <v>84</v>
      </c>
      <c r="BS1922" s="3">
        <v>42843</v>
      </c>
      <c r="BT1922" s="4">
        <v>0.40277777777777773</v>
      </c>
      <c r="BU1922" s="2" t="s">
        <v>109</v>
      </c>
      <c r="BV1922" s="2" t="s">
        <v>86</v>
      </c>
      <c r="BW1922" s="2" t="s">
        <v>104</v>
      </c>
      <c r="BX1922" s="2" t="s">
        <v>105</v>
      </c>
      <c r="BY1922" s="2">
        <v>8397.4599999999991</v>
      </c>
      <c r="BZ1922" s="2"/>
      <c r="CA1922" s="2"/>
      <c r="CB1922" s="2"/>
      <c r="CC1922" s="2" t="s">
        <v>100</v>
      </c>
      <c r="CD1922" s="2">
        <v>6001</v>
      </c>
      <c r="CE1922" s="2" t="s">
        <v>89</v>
      </c>
      <c r="CF1922" s="5">
        <v>42845</v>
      </c>
      <c r="CG1922" s="2"/>
      <c r="CH1922" s="2"/>
      <c r="CI1922" s="2">
        <v>1</v>
      </c>
      <c r="CJ1922" s="2">
        <v>3</v>
      </c>
      <c r="CK1922" s="2">
        <v>21</v>
      </c>
      <c r="CL1922" s="2" t="s">
        <v>86</v>
      </c>
      <c r="CM1922" s="2"/>
    </row>
    <row r="1923" spans="1:91">
      <c r="A1923" s="2" t="s">
        <v>71</v>
      </c>
      <c r="B1923" s="2" t="s">
        <v>72</v>
      </c>
      <c r="C1923" s="2" t="s">
        <v>73</v>
      </c>
      <c r="D1923" s="2"/>
      <c r="E1923" s="2" t="str">
        <f>"FES1162543654"</f>
        <v>FES1162543654</v>
      </c>
      <c r="F1923" s="3">
        <v>42838</v>
      </c>
      <c r="G1923" s="2">
        <v>201710</v>
      </c>
      <c r="H1923" s="2" t="s">
        <v>74</v>
      </c>
      <c r="I1923" s="2" t="s">
        <v>75</v>
      </c>
      <c r="J1923" s="2" t="s">
        <v>76</v>
      </c>
      <c r="K1923" s="2" t="s">
        <v>77</v>
      </c>
      <c r="L1923" s="2" t="s">
        <v>74</v>
      </c>
      <c r="M1923" s="2" t="s">
        <v>75</v>
      </c>
      <c r="N1923" s="2" t="s">
        <v>1383</v>
      </c>
      <c r="O1923" s="2" t="s">
        <v>115</v>
      </c>
      <c r="P1923" s="2" t="str">
        <f>"2170562298                    "</f>
        <v xml:space="preserve">2170562298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3.35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1</v>
      </c>
      <c r="BJ1923" s="2">
        <v>0.2</v>
      </c>
      <c r="BK1923" s="2">
        <v>1</v>
      </c>
      <c r="BL1923" s="2">
        <v>32.6</v>
      </c>
      <c r="BM1923" s="2">
        <v>4.5599999999999996</v>
      </c>
      <c r="BN1923" s="2">
        <v>37.159999999999997</v>
      </c>
      <c r="BO1923" s="2">
        <v>37.159999999999997</v>
      </c>
      <c r="BP1923" s="2"/>
      <c r="BQ1923" s="2" t="s">
        <v>1384</v>
      </c>
      <c r="BR1923" s="2" t="s">
        <v>84</v>
      </c>
      <c r="BS1923" s="3">
        <v>42843</v>
      </c>
      <c r="BT1923" s="4">
        <v>0.31666666666666665</v>
      </c>
      <c r="BU1923" s="2" t="s">
        <v>1919</v>
      </c>
      <c r="BV1923" s="2" t="s">
        <v>86</v>
      </c>
      <c r="BW1923" s="2" t="s">
        <v>164</v>
      </c>
      <c r="BX1923" s="2" t="s">
        <v>618</v>
      </c>
      <c r="BY1923" s="2">
        <v>1200</v>
      </c>
      <c r="BZ1923" s="2"/>
      <c r="CA1923" s="2"/>
      <c r="CB1923" s="2"/>
      <c r="CC1923" s="2" t="s">
        <v>75</v>
      </c>
      <c r="CD1923" s="2">
        <v>1600</v>
      </c>
      <c r="CE1923" s="2" t="s">
        <v>118</v>
      </c>
      <c r="CF1923" s="5">
        <v>42844</v>
      </c>
      <c r="CG1923" s="2"/>
      <c r="CH1923" s="2"/>
      <c r="CI1923" s="2">
        <v>1</v>
      </c>
      <c r="CJ1923" s="2">
        <v>3</v>
      </c>
      <c r="CK1923" s="2">
        <v>22</v>
      </c>
      <c r="CL1923" s="2" t="s">
        <v>86</v>
      </c>
      <c r="CM1923" s="2"/>
    </row>
    <row r="1924" spans="1:91">
      <c r="A1924" s="2" t="s">
        <v>71</v>
      </c>
      <c r="B1924" s="2" t="s">
        <v>72</v>
      </c>
      <c r="C1924" s="2" t="s">
        <v>73</v>
      </c>
      <c r="D1924" s="2"/>
      <c r="E1924" s="2" t="str">
        <f>"FES1162543584"</f>
        <v>FES1162543584</v>
      </c>
      <c r="F1924" s="3">
        <v>42838</v>
      </c>
      <c r="G1924" s="2">
        <v>201710</v>
      </c>
      <c r="H1924" s="2" t="s">
        <v>74</v>
      </c>
      <c r="I1924" s="2" t="s">
        <v>75</v>
      </c>
      <c r="J1924" s="2" t="s">
        <v>76</v>
      </c>
      <c r="K1924" s="2" t="s">
        <v>77</v>
      </c>
      <c r="L1924" s="2" t="s">
        <v>294</v>
      </c>
      <c r="M1924" s="2" t="s">
        <v>295</v>
      </c>
      <c r="N1924" s="2" t="s">
        <v>296</v>
      </c>
      <c r="O1924" s="2" t="s">
        <v>115</v>
      </c>
      <c r="P1924" s="2" t="str">
        <f>"2170562252                    "</f>
        <v xml:space="preserve">2170562252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4.29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1</v>
      </c>
      <c r="BJ1924" s="2">
        <v>0.2</v>
      </c>
      <c r="BK1924" s="2">
        <v>1</v>
      </c>
      <c r="BL1924" s="2">
        <v>41.73</v>
      </c>
      <c r="BM1924" s="2">
        <v>5.84</v>
      </c>
      <c r="BN1924" s="2">
        <v>47.57</v>
      </c>
      <c r="BO1924" s="2">
        <v>47.57</v>
      </c>
      <c r="BP1924" s="2"/>
      <c r="BQ1924" s="2" t="s">
        <v>297</v>
      </c>
      <c r="BR1924" s="2" t="s">
        <v>84</v>
      </c>
      <c r="BS1924" s="3">
        <v>42843</v>
      </c>
      <c r="BT1924" s="4">
        <v>0.4201388888888889</v>
      </c>
      <c r="BU1924" s="2" t="s">
        <v>2349</v>
      </c>
      <c r="BV1924" s="2" t="s">
        <v>86</v>
      </c>
      <c r="BW1924" s="2" t="s">
        <v>164</v>
      </c>
      <c r="BX1924" s="2" t="s">
        <v>2350</v>
      </c>
      <c r="BY1924" s="2">
        <v>1200</v>
      </c>
      <c r="BZ1924" s="2"/>
      <c r="CA1924" s="2"/>
      <c r="CB1924" s="2"/>
      <c r="CC1924" s="2" t="s">
        <v>295</v>
      </c>
      <c r="CD1924" s="2">
        <v>3620</v>
      </c>
      <c r="CE1924" s="2" t="s">
        <v>118</v>
      </c>
      <c r="CF1924" s="5">
        <v>42844</v>
      </c>
      <c r="CG1924" s="2"/>
      <c r="CH1924" s="2"/>
      <c r="CI1924" s="2">
        <v>1</v>
      </c>
      <c r="CJ1924" s="2">
        <v>3</v>
      </c>
      <c r="CK1924" s="2">
        <v>21</v>
      </c>
      <c r="CL1924" s="2" t="s">
        <v>86</v>
      </c>
      <c r="CM1924" s="2"/>
    </row>
    <row r="1925" spans="1:91">
      <c r="A1925" s="2" t="s">
        <v>71</v>
      </c>
      <c r="B1925" s="2" t="s">
        <v>72</v>
      </c>
      <c r="C1925" s="2" t="s">
        <v>73</v>
      </c>
      <c r="D1925" s="2"/>
      <c r="E1925" s="2" t="str">
        <f>"FES1162543513"</f>
        <v>FES1162543513</v>
      </c>
      <c r="F1925" s="3">
        <v>42838</v>
      </c>
      <c r="G1925" s="2">
        <v>201710</v>
      </c>
      <c r="H1925" s="2" t="s">
        <v>74</v>
      </c>
      <c r="I1925" s="2" t="s">
        <v>75</v>
      </c>
      <c r="J1925" s="2" t="s">
        <v>76</v>
      </c>
      <c r="K1925" s="2" t="s">
        <v>77</v>
      </c>
      <c r="L1925" s="2" t="s">
        <v>549</v>
      </c>
      <c r="M1925" s="2" t="s">
        <v>550</v>
      </c>
      <c r="N1925" s="2" t="s">
        <v>2387</v>
      </c>
      <c r="O1925" s="2" t="s">
        <v>115</v>
      </c>
      <c r="P1925" s="2" t="str">
        <f>"2170562208                    "</f>
        <v xml:space="preserve">2170562208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4.29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0.8</v>
      </c>
      <c r="BJ1925" s="2">
        <v>1.3</v>
      </c>
      <c r="BK1925" s="2">
        <v>1.5</v>
      </c>
      <c r="BL1925" s="2">
        <v>41.73</v>
      </c>
      <c r="BM1925" s="2">
        <v>5.84</v>
      </c>
      <c r="BN1925" s="2">
        <v>47.57</v>
      </c>
      <c r="BO1925" s="2">
        <v>47.57</v>
      </c>
      <c r="BP1925" s="2"/>
      <c r="BQ1925" s="2"/>
      <c r="BR1925" s="2" t="s">
        <v>84</v>
      </c>
      <c r="BS1925" s="3">
        <v>42843</v>
      </c>
      <c r="BT1925" s="4">
        <v>0.46875</v>
      </c>
      <c r="BU1925" s="2" t="s">
        <v>1576</v>
      </c>
      <c r="BV1925" s="2" t="s">
        <v>86</v>
      </c>
      <c r="BW1925" s="2" t="s">
        <v>87</v>
      </c>
      <c r="BX1925" s="2" t="s">
        <v>2283</v>
      </c>
      <c r="BY1925" s="2">
        <v>6717.25</v>
      </c>
      <c r="BZ1925" s="2"/>
      <c r="CA1925" s="2"/>
      <c r="CB1925" s="2"/>
      <c r="CC1925" s="2" t="s">
        <v>550</v>
      </c>
      <c r="CD1925" s="2">
        <v>3730</v>
      </c>
      <c r="CE1925" s="2" t="s">
        <v>89</v>
      </c>
      <c r="CF1925" s="5">
        <v>42844</v>
      </c>
      <c r="CG1925" s="2"/>
      <c r="CH1925" s="2"/>
      <c r="CI1925" s="2">
        <v>1</v>
      </c>
      <c r="CJ1925" s="2">
        <v>3</v>
      </c>
      <c r="CK1925" s="2">
        <v>21</v>
      </c>
      <c r="CL1925" s="2" t="s">
        <v>86</v>
      </c>
      <c r="CM1925" s="2"/>
    </row>
    <row r="1926" spans="1:91">
      <c r="A1926" s="2" t="s">
        <v>71</v>
      </c>
      <c r="B1926" s="2" t="s">
        <v>72</v>
      </c>
      <c r="C1926" s="2" t="s">
        <v>73</v>
      </c>
      <c r="D1926" s="2"/>
      <c r="E1926" s="2" t="str">
        <f>"FES1162543577"</f>
        <v>FES1162543577</v>
      </c>
      <c r="F1926" s="3">
        <v>42838</v>
      </c>
      <c r="G1926" s="2">
        <v>201710</v>
      </c>
      <c r="H1926" s="2" t="s">
        <v>74</v>
      </c>
      <c r="I1926" s="2" t="s">
        <v>75</v>
      </c>
      <c r="J1926" s="2" t="s">
        <v>76</v>
      </c>
      <c r="K1926" s="2" t="s">
        <v>77</v>
      </c>
      <c r="L1926" s="2" t="s">
        <v>260</v>
      </c>
      <c r="M1926" s="2" t="s">
        <v>261</v>
      </c>
      <c r="N1926" s="2" t="s">
        <v>1030</v>
      </c>
      <c r="O1926" s="2" t="s">
        <v>115</v>
      </c>
      <c r="P1926" s="2" t="str">
        <f>"2170562248                    "</f>
        <v xml:space="preserve">2170562248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3.35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1</v>
      </c>
      <c r="BJ1926" s="2">
        <v>0.2</v>
      </c>
      <c r="BK1926" s="2">
        <v>1</v>
      </c>
      <c r="BL1926" s="2">
        <v>32.6</v>
      </c>
      <c r="BM1926" s="2">
        <v>4.5599999999999996</v>
      </c>
      <c r="BN1926" s="2">
        <v>37.159999999999997</v>
      </c>
      <c r="BO1926" s="2">
        <v>37.159999999999997</v>
      </c>
      <c r="BP1926" s="2"/>
      <c r="BQ1926" s="2" t="s">
        <v>1031</v>
      </c>
      <c r="BR1926" s="2" t="s">
        <v>84</v>
      </c>
      <c r="BS1926" s="3">
        <v>42843</v>
      </c>
      <c r="BT1926" s="4">
        <v>0.3576388888888889</v>
      </c>
      <c r="BU1926" s="2" t="s">
        <v>2388</v>
      </c>
      <c r="BV1926" s="2" t="s">
        <v>86</v>
      </c>
      <c r="BW1926" s="2" t="s">
        <v>164</v>
      </c>
      <c r="BX1926" s="2" t="s">
        <v>618</v>
      </c>
      <c r="BY1926" s="2">
        <v>1200</v>
      </c>
      <c r="BZ1926" s="2"/>
      <c r="CA1926" s="2" t="s">
        <v>159</v>
      </c>
      <c r="CB1926" s="2"/>
      <c r="CC1926" s="2" t="s">
        <v>261</v>
      </c>
      <c r="CD1926" s="2">
        <v>1451</v>
      </c>
      <c r="CE1926" s="2" t="s">
        <v>118</v>
      </c>
      <c r="CF1926" s="5">
        <v>42844</v>
      </c>
      <c r="CG1926" s="2"/>
      <c r="CH1926" s="2"/>
      <c r="CI1926" s="2">
        <v>1</v>
      </c>
      <c r="CJ1926" s="2">
        <v>3</v>
      </c>
      <c r="CK1926" s="2">
        <v>22</v>
      </c>
      <c r="CL1926" s="2" t="s">
        <v>86</v>
      </c>
      <c r="CM1926" s="2"/>
    </row>
    <row r="1927" spans="1:91">
      <c r="A1927" s="2" t="s">
        <v>71</v>
      </c>
      <c r="B1927" s="2" t="s">
        <v>72</v>
      </c>
      <c r="C1927" s="2" t="s">
        <v>73</v>
      </c>
      <c r="D1927" s="2"/>
      <c r="E1927" s="2" t="str">
        <f>"FES1162543551"</f>
        <v>FES1162543551</v>
      </c>
      <c r="F1927" s="3">
        <v>42838</v>
      </c>
      <c r="G1927" s="2">
        <v>201710</v>
      </c>
      <c r="H1927" s="2" t="s">
        <v>74</v>
      </c>
      <c r="I1927" s="2" t="s">
        <v>75</v>
      </c>
      <c r="J1927" s="2" t="s">
        <v>76</v>
      </c>
      <c r="K1927" s="2" t="s">
        <v>77</v>
      </c>
      <c r="L1927" s="2" t="s">
        <v>78</v>
      </c>
      <c r="M1927" s="2" t="s">
        <v>79</v>
      </c>
      <c r="N1927" s="2" t="s">
        <v>80</v>
      </c>
      <c r="O1927" s="2" t="s">
        <v>115</v>
      </c>
      <c r="P1927" s="2" t="str">
        <f>"2170562221                    "</f>
        <v xml:space="preserve">2170562221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8.31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1</v>
      </c>
      <c r="BJ1927" s="2">
        <v>0.2</v>
      </c>
      <c r="BK1927" s="2">
        <v>1</v>
      </c>
      <c r="BL1927" s="2">
        <v>80.849999999999994</v>
      </c>
      <c r="BM1927" s="2">
        <v>11.32</v>
      </c>
      <c r="BN1927" s="2">
        <v>92.17</v>
      </c>
      <c r="BO1927" s="2">
        <v>92.17</v>
      </c>
      <c r="BP1927" s="2"/>
      <c r="BQ1927" s="2" t="s">
        <v>83</v>
      </c>
      <c r="BR1927" s="2" t="s">
        <v>84</v>
      </c>
      <c r="BS1927" s="3">
        <v>42843</v>
      </c>
      <c r="BT1927" s="4">
        <v>0.54166666666666663</v>
      </c>
      <c r="BU1927" s="2" t="s">
        <v>2389</v>
      </c>
      <c r="BV1927" s="2" t="s">
        <v>86</v>
      </c>
      <c r="BW1927" s="2" t="s">
        <v>87</v>
      </c>
      <c r="BX1927" s="2" t="s">
        <v>88</v>
      </c>
      <c r="BY1927" s="2">
        <v>1200</v>
      </c>
      <c r="BZ1927" s="2"/>
      <c r="CA1927" s="2"/>
      <c r="CB1927" s="2"/>
      <c r="CC1927" s="2" t="s">
        <v>79</v>
      </c>
      <c r="CD1927" s="2">
        <v>4276</v>
      </c>
      <c r="CE1927" s="2" t="s">
        <v>118</v>
      </c>
      <c r="CF1927" s="5">
        <v>42844</v>
      </c>
      <c r="CG1927" s="2"/>
      <c r="CH1927" s="2"/>
      <c r="CI1927" s="2">
        <v>1</v>
      </c>
      <c r="CJ1927" s="2">
        <v>3</v>
      </c>
      <c r="CK1927" s="2">
        <v>23</v>
      </c>
      <c r="CL1927" s="2" t="s">
        <v>86</v>
      </c>
      <c r="CM1927" s="2"/>
    </row>
    <row r="1928" spans="1:91">
      <c r="A1928" s="2" t="s">
        <v>71</v>
      </c>
      <c r="B1928" s="2" t="s">
        <v>72</v>
      </c>
      <c r="C1928" s="2" t="s">
        <v>73</v>
      </c>
      <c r="D1928" s="2"/>
      <c r="E1928" s="2" t="str">
        <f>"FES1162543646"</f>
        <v>FES1162543646</v>
      </c>
      <c r="F1928" s="3">
        <v>42838</v>
      </c>
      <c r="G1928" s="2">
        <v>201710</v>
      </c>
      <c r="H1928" s="2" t="s">
        <v>74</v>
      </c>
      <c r="I1928" s="2" t="s">
        <v>75</v>
      </c>
      <c r="J1928" s="2" t="s">
        <v>76</v>
      </c>
      <c r="K1928" s="2" t="s">
        <v>77</v>
      </c>
      <c r="L1928" s="2" t="s">
        <v>180</v>
      </c>
      <c r="M1928" s="2" t="s">
        <v>181</v>
      </c>
      <c r="N1928" s="2" t="s">
        <v>320</v>
      </c>
      <c r="O1928" s="2" t="s">
        <v>115</v>
      </c>
      <c r="P1928" s="2" t="str">
        <f>"2170560197                    "</f>
        <v xml:space="preserve">2170560197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4.29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1</v>
      </c>
      <c r="BJ1928" s="2">
        <v>0.2</v>
      </c>
      <c r="BK1928" s="2">
        <v>1</v>
      </c>
      <c r="BL1928" s="2">
        <v>41.73</v>
      </c>
      <c r="BM1928" s="2">
        <v>5.84</v>
      </c>
      <c r="BN1928" s="2">
        <v>47.57</v>
      </c>
      <c r="BO1928" s="2">
        <v>47.57</v>
      </c>
      <c r="BP1928" s="2"/>
      <c r="BQ1928" s="2" t="s">
        <v>129</v>
      </c>
      <c r="BR1928" s="2" t="s">
        <v>84</v>
      </c>
      <c r="BS1928" s="3">
        <v>42843</v>
      </c>
      <c r="BT1928" s="4">
        <v>0.4375</v>
      </c>
      <c r="BU1928" s="2" t="s">
        <v>1367</v>
      </c>
      <c r="BV1928" s="2" t="s">
        <v>86</v>
      </c>
      <c r="BW1928" s="2" t="s">
        <v>164</v>
      </c>
      <c r="BX1928" s="2" t="s">
        <v>2343</v>
      </c>
      <c r="BY1928" s="2">
        <v>1200</v>
      </c>
      <c r="BZ1928" s="2"/>
      <c r="CA1928" s="2"/>
      <c r="CB1928" s="2"/>
      <c r="CC1928" s="2" t="s">
        <v>181</v>
      </c>
      <c r="CD1928" s="2">
        <v>4051</v>
      </c>
      <c r="CE1928" s="2" t="s">
        <v>118</v>
      </c>
      <c r="CF1928" s="5">
        <v>42844</v>
      </c>
      <c r="CG1928" s="2"/>
      <c r="CH1928" s="2"/>
      <c r="CI1928" s="2">
        <v>1</v>
      </c>
      <c r="CJ1928" s="2">
        <v>3</v>
      </c>
      <c r="CK1928" s="2">
        <v>21</v>
      </c>
      <c r="CL1928" s="2" t="s">
        <v>86</v>
      </c>
      <c r="CM1928" s="2"/>
    </row>
    <row r="1929" spans="1:91">
      <c r="A1929" s="2" t="s">
        <v>71</v>
      </c>
      <c r="B1929" s="2" t="s">
        <v>72</v>
      </c>
      <c r="C1929" s="2" t="s">
        <v>73</v>
      </c>
      <c r="D1929" s="2"/>
      <c r="E1929" s="2" t="str">
        <f>"FES1162543656"</f>
        <v>FES1162543656</v>
      </c>
      <c r="F1929" s="3">
        <v>42838</v>
      </c>
      <c r="G1929" s="2">
        <v>201710</v>
      </c>
      <c r="H1929" s="2" t="s">
        <v>74</v>
      </c>
      <c r="I1929" s="2" t="s">
        <v>75</v>
      </c>
      <c r="J1929" s="2" t="s">
        <v>76</v>
      </c>
      <c r="K1929" s="2" t="s">
        <v>77</v>
      </c>
      <c r="L1929" s="2" t="s">
        <v>112</v>
      </c>
      <c r="M1929" s="2" t="s">
        <v>113</v>
      </c>
      <c r="N1929" s="2" t="s">
        <v>239</v>
      </c>
      <c r="O1929" s="2" t="s">
        <v>115</v>
      </c>
      <c r="P1929" s="2" t="str">
        <f>"2170562303                    "</f>
        <v xml:space="preserve">2170562303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4.29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1.3</v>
      </c>
      <c r="BJ1929" s="2">
        <v>1.6</v>
      </c>
      <c r="BK1929" s="2">
        <v>2</v>
      </c>
      <c r="BL1929" s="2">
        <v>41.73</v>
      </c>
      <c r="BM1929" s="2">
        <v>5.84</v>
      </c>
      <c r="BN1929" s="2">
        <v>47.57</v>
      </c>
      <c r="BO1929" s="2">
        <v>47.57</v>
      </c>
      <c r="BP1929" s="2"/>
      <c r="BQ1929" s="2" t="s">
        <v>240</v>
      </c>
      <c r="BR1929" s="2" t="s">
        <v>84</v>
      </c>
      <c r="BS1929" s="3">
        <v>42843</v>
      </c>
      <c r="BT1929" s="4">
        <v>0.4375</v>
      </c>
      <c r="BU1929" s="2" t="s">
        <v>2098</v>
      </c>
      <c r="BV1929" s="2" t="s">
        <v>86</v>
      </c>
      <c r="BW1929" s="2" t="s">
        <v>2282</v>
      </c>
      <c r="BX1929" s="2" t="s">
        <v>2283</v>
      </c>
      <c r="BY1929" s="2">
        <v>7859.59</v>
      </c>
      <c r="BZ1929" s="2"/>
      <c r="CA1929" s="2"/>
      <c r="CB1929" s="2"/>
      <c r="CC1929" s="2" t="s">
        <v>113</v>
      </c>
      <c r="CD1929" s="2">
        <v>3201</v>
      </c>
      <c r="CE1929" s="2" t="s">
        <v>89</v>
      </c>
      <c r="CF1929" s="5">
        <v>42844</v>
      </c>
      <c r="CG1929" s="2"/>
      <c r="CH1929" s="2"/>
      <c r="CI1929" s="2">
        <v>1</v>
      </c>
      <c r="CJ1929" s="2">
        <v>3</v>
      </c>
      <c r="CK1929" s="2">
        <v>21</v>
      </c>
      <c r="CL1929" s="2" t="s">
        <v>86</v>
      </c>
      <c r="CM1929" s="2"/>
    </row>
    <row r="1930" spans="1:91">
      <c r="A1930" s="2" t="s">
        <v>71</v>
      </c>
      <c r="B1930" s="2" t="s">
        <v>72</v>
      </c>
      <c r="C1930" s="2" t="s">
        <v>73</v>
      </c>
      <c r="D1930" s="2"/>
      <c r="E1930" s="2" t="str">
        <f>"FES1162543736"</f>
        <v>FES1162543736</v>
      </c>
      <c r="F1930" s="3">
        <v>42838</v>
      </c>
      <c r="G1930" s="2">
        <v>201710</v>
      </c>
      <c r="H1930" s="2" t="s">
        <v>74</v>
      </c>
      <c r="I1930" s="2" t="s">
        <v>75</v>
      </c>
      <c r="J1930" s="2" t="s">
        <v>76</v>
      </c>
      <c r="K1930" s="2" t="s">
        <v>77</v>
      </c>
      <c r="L1930" s="2" t="s">
        <v>1161</v>
      </c>
      <c r="M1930" s="2" t="s">
        <v>1162</v>
      </c>
      <c r="N1930" s="2" t="s">
        <v>1163</v>
      </c>
      <c r="O1930" s="2" t="s">
        <v>1014</v>
      </c>
      <c r="P1930" s="2" t="str">
        <f>"217053522                     "</f>
        <v xml:space="preserve">217053522  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7.84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9</v>
      </c>
      <c r="BJ1930" s="2">
        <v>3.3</v>
      </c>
      <c r="BK1930" s="2">
        <v>9</v>
      </c>
      <c r="BL1930" s="2">
        <v>76.290000000000006</v>
      </c>
      <c r="BM1930" s="2">
        <v>10.68</v>
      </c>
      <c r="BN1930" s="2">
        <v>86.97</v>
      </c>
      <c r="BO1930" s="2">
        <v>86.97</v>
      </c>
      <c r="BP1930" s="2"/>
      <c r="BQ1930" s="2" t="s">
        <v>122</v>
      </c>
      <c r="BR1930" s="2" t="s">
        <v>84</v>
      </c>
      <c r="BS1930" s="3">
        <v>42843</v>
      </c>
      <c r="BT1930" s="4">
        <v>0.54861111111111105</v>
      </c>
      <c r="BU1930" s="2" t="s">
        <v>130</v>
      </c>
      <c r="BV1930" s="2" t="s">
        <v>86</v>
      </c>
      <c r="BW1930" s="2"/>
      <c r="BX1930" s="2"/>
      <c r="BY1930" s="2">
        <v>16353.26</v>
      </c>
      <c r="BZ1930" s="2"/>
      <c r="CA1930" s="2"/>
      <c r="CB1930" s="2"/>
      <c r="CC1930" s="2" t="s">
        <v>1162</v>
      </c>
      <c r="CD1930" s="2">
        <v>1028</v>
      </c>
      <c r="CE1930" s="2" t="s">
        <v>89</v>
      </c>
      <c r="CF1930" s="5">
        <v>42845</v>
      </c>
      <c r="CG1930" s="2"/>
      <c r="CH1930" s="2"/>
      <c r="CI1930" s="2">
        <v>0</v>
      </c>
      <c r="CJ1930" s="2">
        <v>0</v>
      </c>
      <c r="CK1930" s="2">
        <v>34</v>
      </c>
      <c r="CL1930" s="2" t="s">
        <v>86</v>
      </c>
      <c r="CM1930" s="2"/>
    </row>
    <row r="1931" spans="1:91">
      <c r="A1931" s="2" t="s">
        <v>71</v>
      </c>
      <c r="B1931" s="2" t="s">
        <v>72</v>
      </c>
      <c r="C1931" s="2" t="s">
        <v>73</v>
      </c>
      <c r="D1931" s="2"/>
      <c r="E1931" s="2" t="str">
        <f>"FES1162543537"</f>
        <v>FES1162543537</v>
      </c>
      <c r="F1931" s="3">
        <v>42838</v>
      </c>
      <c r="G1931" s="2">
        <v>201710</v>
      </c>
      <c r="H1931" s="2" t="s">
        <v>74</v>
      </c>
      <c r="I1931" s="2" t="s">
        <v>75</v>
      </c>
      <c r="J1931" s="2" t="s">
        <v>76</v>
      </c>
      <c r="K1931" s="2" t="s">
        <v>77</v>
      </c>
      <c r="L1931" s="2" t="s">
        <v>180</v>
      </c>
      <c r="M1931" s="2" t="s">
        <v>181</v>
      </c>
      <c r="N1931" s="2" t="s">
        <v>855</v>
      </c>
      <c r="O1931" s="2" t="s">
        <v>115</v>
      </c>
      <c r="P1931" s="2" t="str">
        <f>"2170560253                    "</f>
        <v xml:space="preserve">2170560253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4.29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1</v>
      </c>
      <c r="BJ1931" s="2">
        <v>0.2</v>
      </c>
      <c r="BK1931" s="2">
        <v>1</v>
      </c>
      <c r="BL1931" s="2">
        <v>41.73</v>
      </c>
      <c r="BM1931" s="2">
        <v>5.84</v>
      </c>
      <c r="BN1931" s="2">
        <v>47.57</v>
      </c>
      <c r="BO1931" s="2">
        <v>47.57</v>
      </c>
      <c r="BP1931" s="2"/>
      <c r="BQ1931" s="2" t="s">
        <v>122</v>
      </c>
      <c r="BR1931" s="2" t="s">
        <v>84</v>
      </c>
      <c r="BS1931" s="3">
        <v>42843</v>
      </c>
      <c r="BT1931" s="4">
        <v>0.3</v>
      </c>
      <c r="BU1931" s="2" t="s">
        <v>245</v>
      </c>
      <c r="BV1931" s="2" t="s">
        <v>86</v>
      </c>
      <c r="BW1931" s="2" t="s">
        <v>164</v>
      </c>
      <c r="BX1931" s="2" t="s">
        <v>2350</v>
      </c>
      <c r="BY1931" s="2">
        <v>1200</v>
      </c>
      <c r="BZ1931" s="2"/>
      <c r="CA1931" s="2"/>
      <c r="CB1931" s="2"/>
      <c r="CC1931" s="2" t="s">
        <v>181</v>
      </c>
      <c r="CD1931" s="2">
        <v>4093</v>
      </c>
      <c r="CE1931" s="2" t="s">
        <v>118</v>
      </c>
      <c r="CF1931" s="5">
        <v>42844</v>
      </c>
      <c r="CG1931" s="2"/>
      <c r="CH1931" s="2"/>
      <c r="CI1931" s="2">
        <v>1</v>
      </c>
      <c r="CJ1931" s="2">
        <v>3</v>
      </c>
      <c r="CK1931" s="2">
        <v>21</v>
      </c>
      <c r="CL1931" s="2" t="s">
        <v>86</v>
      </c>
      <c r="CM1931" s="2"/>
    </row>
    <row r="1932" spans="1:91">
      <c r="A1932" s="2" t="s">
        <v>71</v>
      </c>
      <c r="B1932" s="2" t="s">
        <v>72</v>
      </c>
      <c r="C1932" s="2" t="s">
        <v>73</v>
      </c>
      <c r="D1932" s="2"/>
      <c r="E1932" s="2" t="str">
        <f>"FES1162543648"</f>
        <v>FES1162543648</v>
      </c>
      <c r="F1932" s="3">
        <v>42838</v>
      </c>
      <c r="G1932" s="2">
        <v>201710</v>
      </c>
      <c r="H1932" s="2" t="s">
        <v>74</v>
      </c>
      <c r="I1932" s="2" t="s">
        <v>75</v>
      </c>
      <c r="J1932" s="2" t="s">
        <v>76</v>
      </c>
      <c r="K1932" s="2" t="s">
        <v>77</v>
      </c>
      <c r="L1932" s="2" t="s">
        <v>99</v>
      </c>
      <c r="M1932" s="2" t="s">
        <v>100</v>
      </c>
      <c r="N1932" s="2" t="s">
        <v>108</v>
      </c>
      <c r="O1932" s="2" t="s">
        <v>115</v>
      </c>
      <c r="P1932" s="2" t="str">
        <f>"2170543648                    "</f>
        <v xml:space="preserve">2170543648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7.5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3.5</v>
      </c>
      <c r="BJ1932" s="2">
        <v>0.2</v>
      </c>
      <c r="BK1932" s="2">
        <v>3.5</v>
      </c>
      <c r="BL1932" s="2">
        <v>73.02</v>
      </c>
      <c r="BM1932" s="2">
        <v>10.220000000000001</v>
      </c>
      <c r="BN1932" s="2">
        <v>83.24</v>
      </c>
      <c r="BO1932" s="2">
        <v>83.24</v>
      </c>
      <c r="BP1932" s="2"/>
      <c r="BQ1932" s="2" t="s">
        <v>109</v>
      </c>
      <c r="BR1932" s="2" t="s">
        <v>84</v>
      </c>
      <c r="BS1932" s="3">
        <v>42843</v>
      </c>
      <c r="BT1932" s="4">
        <v>0.40277777777777773</v>
      </c>
      <c r="BU1932" s="2" t="s">
        <v>109</v>
      </c>
      <c r="BV1932" s="2" t="s">
        <v>86</v>
      </c>
      <c r="BW1932" s="2" t="s">
        <v>104</v>
      </c>
      <c r="BX1932" s="2" t="s">
        <v>105</v>
      </c>
      <c r="BY1932" s="2">
        <v>1200</v>
      </c>
      <c r="BZ1932" s="2"/>
      <c r="CA1932" s="2"/>
      <c r="CB1932" s="2"/>
      <c r="CC1932" s="2" t="s">
        <v>100</v>
      </c>
      <c r="CD1932" s="2">
        <v>6001</v>
      </c>
      <c r="CE1932" s="2" t="s">
        <v>118</v>
      </c>
      <c r="CF1932" s="5">
        <v>42845</v>
      </c>
      <c r="CG1932" s="2"/>
      <c r="CH1932" s="2"/>
      <c r="CI1932" s="2">
        <v>1</v>
      </c>
      <c r="CJ1932" s="2">
        <v>3</v>
      </c>
      <c r="CK1932" s="2">
        <v>21</v>
      </c>
      <c r="CL1932" s="2" t="s">
        <v>86</v>
      </c>
      <c r="CM1932" s="2"/>
    </row>
    <row r="1933" spans="1:91">
      <c r="A1933" s="2" t="s">
        <v>71</v>
      </c>
      <c r="B1933" s="2" t="s">
        <v>72</v>
      </c>
      <c r="C1933" s="2" t="s">
        <v>73</v>
      </c>
      <c r="D1933" s="2"/>
      <c r="E1933" s="2" t="str">
        <f>"FES1162543579"</f>
        <v>FES1162543579</v>
      </c>
      <c r="F1933" s="3">
        <v>42838</v>
      </c>
      <c r="G1933" s="2">
        <v>201710</v>
      </c>
      <c r="H1933" s="2" t="s">
        <v>74</v>
      </c>
      <c r="I1933" s="2" t="s">
        <v>75</v>
      </c>
      <c r="J1933" s="2" t="s">
        <v>76</v>
      </c>
      <c r="K1933" s="2" t="s">
        <v>77</v>
      </c>
      <c r="L1933" s="2" t="s">
        <v>900</v>
      </c>
      <c r="M1933" s="2" t="s">
        <v>901</v>
      </c>
      <c r="N1933" s="2" t="s">
        <v>1011</v>
      </c>
      <c r="O1933" s="2" t="s">
        <v>115</v>
      </c>
      <c r="P1933" s="2" t="str">
        <f>"2170562251                    "</f>
        <v xml:space="preserve">2170562251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4.29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41.73</v>
      </c>
      <c r="BM1933" s="2">
        <v>5.84</v>
      </c>
      <c r="BN1933" s="2">
        <v>47.57</v>
      </c>
      <c r="BO1933" s="2">
        <v>47.57</v>
      </c>
      <c r="BP1933" s="2"/>
      <c r="BQ1933" s="2" t="s">
        <v>122</v>
      </c>
      <c r="BR1933" s="2" t="s">
        <v>84</v>
      </c>
      <c r="BS1933" s="3">
        <v>42843</v>
      </c>
      <c r="BT1933" s="4">
        <v>0.41666666666666669</v>
      </c>
      <c r="BU1933" s="2" t="s">
        <v>2390</v>
      </c>
      <c r="BV1933" s="2" t="s">
        <v>86</v>
      </c>
      <c r="BW1933" s="2" t="s">
        <v>164</v>
      </c>
      <c r="BX1933" s="2" t="s">
        <v>2343</v>
      </c>
      <c r="BY1933" s="2">
        <v>1200</v>
      </c>
      <c r="BZ1933" s="2"/>
      <c r="CA1933" s="2"/>
      <c r="CB1933" s="2"/>
      <c r="CC1933" s="2" t="s">
        <v>901</v>
      </c>
      <c r="CD1933" s="2">
        <v>4026</v>
      </c>
      <c r="CE1933" s="2" t="s">
        <v>118</v>
      </c>
      <c r="CF1933" s="5">
        <v>42844</v>
      </c>
      <c r="CG1933" s="2"/>
      <c r="CH1933" s="2"/>
      <c r="CI1933" s="2">
        <v>1</v>
      </c>
      <c r="CJ1933" s="2">
        <v>3</v>
      </c>
      <c r="CK1933" s="2">
        <v>21</v>
      </c>
      <c r="CL1933" s="2" t="s">
        <v>86</v>
      </c>
      <c r="CM1933" s="2"/>
    </row>
    <row r="1934" spans="1:91">
      <c r="A1934" s="2" t="s">
        <v>71</v>
      </c>
      <c r="B1934" s="2" t="s">
        <v>72</v>
      </c>
      <c r="C1934" s="2" t="s">
        <v>73</v>
      </c>
      <c r="D1934" s="2"/>
      <c r="E1934" s="2" t="str">
        <f>"FES1162543638"</f>
        <v>FES1162543638</v>
      </c>
      <c r="F1934" s="3">
        <v>42838</v>
      </c>
      <c r="G1934" s="2">
        <v>201710</v>
      </c>
      <c r="H1934" s="2" t="s">
        <v>74</v>
      </c>
      <c r="I1934" s="2" t="s">
        <v>75</v>
      </c>
      <c r="J1934" s="2" t="s">
        <v>76</v>
      </c>
      <c r="K1934" s="2" t="s">
        <v>77</v>
      </c>
      <c r="L1934" s="2" t="s">
        <v>119</v>
      </c>
      <c r="M1934" s="2" t="s">
        <v>120</v>
      </c>
      <c r="N1934" s="2" t="s">
        <v>725</v>
      </c>
      <c r="O1934" s="2" t="s">
        <v>1014</v>
      </c>
      <c r="P1934" s="2" t="str">
        <f>"2170559558                    "</f>
        <v xml:space="preserve">2170559558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5.98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14.5</v>
      </c>
      <c r="BJ1934" s="2">
        <v>9</v>
      </c>
      <c r="BK1934" s="2">
        <v>15</v>
      </c>
      <c r="BL1934" s="2">
        <v>58.19</v>
      </c>
      <c r="BM1934" s="2">
        <v>8.15</v>
      </c>
      <c r="BN1934" s="2">
        <v>66.34</v>
      </c>
      <c r="BO1934" s="2">
        <v>66.34</v>
      </c>
      <c r="BP1934" s="2"/>
      <c r="BQ1934" s="2" t="s">
        <v>726</v>
      </c>
      <c r="BR1934" s="2" t="s">
        <v>84</v>
      </c>
      <c r="BS1934" s="3">
        <v>42843</v>
      </c>
      <c r="BT1934" s="4">
        <v>0.36874999999999997</v>
      </c>
      <c r="BU1934" s="2" t="s">
        <v>767</v>
      </c>
      <c r="BV1934" s="2" t="s">
        <v>86</v>
      </c>
      <c r="BW1934" s="2" t="s">
        <v>164</v>
      </c>
      <c r="BX1934" s="2" t="s">
        <v>2211</v>
      </c>
      <c r="BY1934" s="2">
        <v>45058.5</v>
      </c>
      <c r="BZ1934" s="2"/>
      <c r="CA1934" s="2" t="s">
        <v>125</v>
      </c>
      <c r="CB1934" s="2"/>
      <c r="CC1934" s="2" t="s">
        <v>120</v>
      </c>
      <c r="CD1934" s="2">
        <v>2162</v>
      </c>
      <c r="CE1934" s="2" t="s">
        <v>89</v>
      </c>
      <c r="CF1934" s="5">
        <v>42844</v>
      </c>
      <c r="CG1934" s="2"/>
      <c r="CH1934" s="2"/>
      <c r="CI1934" s="2">
        <v>1</v>
      </c>
      <c r="CJ1934" s="2">
        <v>3</v>
      </c>
      <c r="CK1934" s="2">
        <v>32</v>
      </c>
      <c r="CL1934" s="2" t="s">
        <v>86</v>
      </c>
      <c r="CM1934" s="2"/>
    </row>
    <row r="1935" spans="1:91">
      <c r="A1935" s="2" t="s">
        <v>71</v>
      </c>
      <c r="B1935" s="2" t="s">
        <v>72</v>
      </c>
      <c r="C1935" s="2" t="s">
        <v>73</v>
      </c>
      <c r="D1935" s="2"/>
      <c r="E1935" s="2" t="str">
        <f>"FES1162543589"</f>
        <v>FES1162543589</v>
      </c>
      <c r="F1935" s="3">
        <v>42838</v>
      </c>
      <c r="G1935" s="2">
        <v>201710</v>
      </c>
      <c r="H1935" s="2" t="s">
        <v>74</v>
      </c>
      <c r="I1935" s="2" t="s">
        <v>75</v>
      </c>
      <c r="J1935" s="2" t="s">
        <v>76</v>
      </c>
      <c r="K1935" s="2" t="s">
        <v>77</v>
      </c>
      <c r="L1935" s="2" t="s">
        <v>112</v>
      </c>
      <c r="M1935" s="2" t="s">
        <v>113</v>
      </c>
      <c r="N1935" s="2" t="s">
        <v>454</v>
      </c>
      <c r="O1935" s="2" t="s">
        <v>115</v>
      </c>
      <c r="P1935" s="2" t="str">
        <f>"2170562261                    "</f>
        <v xml:space="preserve">2170562261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4.29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1</v>
      </c>
      <c r="BJ1935" s="2">
        <v>0.2</v>
      </c>
      <c r="BK1935" s="2">
        <v>1</v>
      </c>
      <c r="BL1935" s="2">
        <v>41.73</v>
      </c>
      <c r="BM1935" s="2">
        <v>5.84</v>
      </c>
      <c r="BN1935" s="2">
        <v>47.57</v>
      </c>
      <c r="BO1935" s="2">
        <v>47.57</v>
      </c>
      <c r="BP1935" s="2"/>
      <c r="BQ1935" s="2" t="s">
        <v>455</v>
      </c>
      <c r="BR1935" s="2" t="s">
        <v>84</v>
      </c>
      <c r="BS1935" s="3">
        <v>42843</v>
      </c>
      <c r="BT1935" s="4">
        <v>0.3923611111111111</v>
      </c>
      <c r="BU1935" s="2" t="s">
        <v>1136</v>
      </c>
      <c r="BV1935" s="2" t="s">
        <v>86</v>
      </c>
      <c r="BW1935" s="2" t="s">
        <v>2282</v>
      </c>
      <c r="BX1935" s="2" t="s">
        <v>2283</v>
      </c>
      <c r="BY1935" s="2">
        <v>1200</v>
      </c>
      <c r="BZ1935" s="2"/>
      <c r="CA1935" s="2"/>
      <c r="CB1935" s="2"/>
      <c r="CC1935" s="2" t="s">
        <v>113</v>
      </c>
      <c r="CD1935" s="2">
        <v>3201</v>
      </c>
      <c r="CE1935" s="2" t="s">
        <v>118</v>
      </c>
      <c r="CF1935" s="5">
        <v>42844</v>
      </c>
      <c r="CG1935" s="2"/>
      <c r="CH1935" s="2"/>
      <c r="CI1935" s="2">
        <v>1</v>
      </c>
      <c r="CJ1935" s="2">
        <v>3</v>
      </c>
      <c r="CK1935" s="2">
        <v>21</v>
      </c>
      <c r="CL1935" s="2" t="s">
        <v>86</v>
      </c>
      <c r="CM1935" s="2"/>
    </row>
    <row r="1936" spans="1:91">
      <c r="A1936" s="2" t="s">
        <v>71</v>
      </c>
      <c r="B1936" s="2" t="s">
        <v>72</v>
      </c>
      <c r="C1936" s="2" t="s">
        <v>73</v>
      </c>
      <c r="D1936" s="2"/>
      <c r="E1936" s="2" t="str">
        <f>"FES1162543545"</f>
        <v>FES1162543545</v>
      </c>
      <c r="F1936" s="3">
        <v>42838</v>
      </c>
      <c r="G1936" s="2">
        <v>201710</v>
      </c>
      <c r="H1936" s="2" t="s">
        <v>74</v>
      </c>
      <c r="I1936" s="2" t="s">
        <v>75</v>
      </c>
      <c r="J1936" s="2" t="s">
        <v>76</v>
      </c>
      <c r="K1936" s="2" t="s">
        <v>77</v>
      </c>
      <c r="L1936" s="2" t="s">
        <v>112</v>
      </c>
      <c r="M1936" s="2" t="s">
        <v>113</v>
      </c>
      <c r="N1936" s="2" t="s">
        <v>454</v>
      </c>
      <c r="O1936" s="2" t="s">
        <v>115</v>
      </c>
      <c r="P1936" s="2" t="str">
        <f>"2170561613                    "</f>
        <v xml:space="preserve">2170561613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4.29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1</v>
      </c>
      <c r="BJ1936" s="2">
        <v>0.2</v>
      </c>
      <c r="BK1936" s="2">
        <v>1</v>
      </c>
      <c r="BL1936" s="2">
        <v>41.73</v>
      </c>
      <c r="BM1936" s="2">
        <v>5.84</v>
      </c>
      <c r="BN1936" s="2">
        <v>47.57</v>
      </c>
      <c r="BO1936" s="2">
        <v>47.57</v>
      </c>
      <c r="BP1936" s="2"/>
      <c r="BQ1936" s="2" t="s">
        <v>455</v>
      </c>
      <c r="BR1936" s="2" t="s">
        <v>84</v>
      </c>
      <c r="BS1936" s="3">
        <v>42843</v>
      </c>
      <c r="BT1936" s="4">
        <v>0.3923611111111111</v>
      </c>
      <c r="BU1936" s="2" t="s">
        <v>1136</v>
      </c>
      <c r="BV1936" s="2" t="s">
        <v>86</v>
      </c>
      <c r="BW1936" s="2" t="s">
        <v>2282</v>
      </c>
      <c r="BX1936" s="2" t="s">
        <v>2283</v>
      </c>
      <c r="BY1936" s="2">
        <v>1200</v>
      </c>
      <c r="BZ1936" s="2"/>
      <c r="CA1936" s="2"/>
      <c r="CB1936" s="2"/>
      <c r="CC1936" s="2" t="s">
        <v>113</v>
      </c>
      <c r="CD1936" s="2">
        <v>3201</v>
      </c>
      <c r="CE1936" s="2" t="s">
        <v>118</v>
      </c>
      <c r="CF1936" s="5">
        <v>42844</v>
      </c>
      <c r="CG1936" s="2"/>
      <c r="CH1936" s="2"/>
      <c r="CI1936" s="2">
        <v>1</v>
      </c>
      <c r="CJ1936" s="2">
        <v>3</v>
      </c>
      <c r="CK1936" s="2">
        <v>21</v>
      </c>
      <c r="CL1936" s="2" t="s">
        <v>86</v>
      </c>
      <c r="CM1936" s="2"/>
    </row>
    <row r="1937" spans="1:91">
      <c r="A1937" s="2" t="s">
        <v>71</v>
      </c>
      <c r="B1937" s="2" t="s">
        <v>72</v>
      </c>
      <c r="C1937" s="2" t="s">
        <v>73</v>
      </c>
      <c r="D1937" s="2"/>
      <c r="E1937" s="2" t="str">
        <f>"FES1162543617"</f>
        <v>FES1162543617</v>
      </c>
      <c r="F1937" s="3">
        <v>42838</v>
      </c>
      <c r="G1937" s="2">
        <v>201710</v>
      </c>
      <c r="H1937" s="2" t="s">
        <v>74</v>
      </c>
      <c r="I1937" s="2" t="s">
        <v>75</v>
      </c>
      <c r="J1937" s="2" t="s">
        <v>76</v>
      </c>
      <c r="K1937" s="2" t="s">
        <v>77</v>
      </c>
      <c r="L1937" s="2" t="s">
        <v>187</v>
      </c>
      <c r="M1937" s="2" t="s">
        <v>146</v>
      </c>
      <c r="N1937" s="2" t="s">
        <v>1461</v>
      </c>
      <c r="O1937" s="2" t="s">
        <v>115</v>
      </c>
      <c r="P1937" s="2" t="str">
        <f>"2170560131                    "</f>
        <v xml:space="preserve">2170560131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4.29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1</v>
      </c>
      <c r="BJ1937" s="2">
        <v>0.2</v>
      </c>
      <c r="BK1937" s="2">
        <v>1</v>
      </c>
      <c r="BL1937" s="2">
        <v>41.73</v>
      </c>
      <c r="BM1937" s="2">
        <v>5.84</v>
      </c>
      <c r="BN1937" s="2">
        <v>47.57</v>
      </c>
      <c r="BO1937" s="2">
        <v>47.57</v>
      </c>
      <c r="BP1937" s="2"/>
      <c r="BQ1937" s="2" t="s">
        <v>1462</v>
      </c>
      <c r="BR1937" s="2" t="s">
        <v>84</v>
      </c>
      <c r="BS1937" s="3">
        <v>42843</v>
      </c>
      <c r="BT1937" s="4">
        <v>0.39652777777777781</v>
      </c>
      <c r="BU1937" s="2" t="s">
        <v>2380</v>
      </c>
      <c r="BV1937" s="2" t="s">
        <v>86</v>
      </c>
      <c r="BW1937" s="2"/>
      <c r="BX1937" s="2"/>
      <c r="BY1937" s="2">
        <v>1200</v>
      </c>
      <c r="BZ1937" s="2"/>
      <c r="CA1937" s="2"/>
      <c r="CB1937" s="2"/>
      <c r="CC1937" s="2" t="s">
        <v>146</v>
      </c>
      <c r="CD1937" s="2">
        <v>182</v>
      </c>
      <c r="CE1937" s="2" t="s">
        <v>118</v>
      </c>
      <c r="CF1937" s="5">
        <v>42845</v>
      </c>
      <c r="CG1937" s="2"/>
      <c r="CH1937" s="2"/>
      <c r="CI1937" s="2">
        <v>0</v>
      </c>
      <c r="CJ1937" s="2">
        <v>0</v>
      </c>
      <c r="CK1937" s="2">
        <v>21</v>
      </c>
      <c r="CL1937" s="2" t="s">
        <v>86</v>
      </c>
      <c r="CM1937" s="2"/>
    </row>
    <row r="1938" spans="1:91">
      <c r="A1938" s="2" t="s">
        <v>71</v>
      </c>
      <c r="B1938" s="2" t="s">
        <v>72</v>
      </c>
      <c r="C1938" s="2" t="s">
        <v>73</v>
      </c>
      <c r="D1938" s="2"/>
      <c r="E1938" s="2" t="str">
        <f>"FES1162543517"</f>
        <v>FES1162543517</v>
      </c>
      <c r="F1938" s="3">
        <v>42838</v>
      </c>
      <c r="G1938" s="2">
        <v>201710</v>
      </c>
      <c r="H1938" s="2" t="s">
        <v>74</v>
      </c>
      <c r="I1938" s="2" t="s">
        <v>75</v>
      </c>
      <c r="J1938" s="2" t="s">
        <v>76</v>
      </c>
      <c r="K1938" s="2" t="s">
        <v>77</v>
      </c>
      <c r="L1938" s="2" t="s">
        <v>1073</v>
      </c>
      <c r="M1938" s="2" t="s">
        <v>1074</v>
      </c>
      <c r="N1938" s="2" t="s">
        <v>2391</v>
      </c>
      <c r="O1938" s="2" t="s">
        <v>115</v>
      </c>
      <c r="P1938" s="2" t="str">
        <f>"2170555361                    "</f>
        <v xml:space="preserve">2170555361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6.43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2</v>
      </c>
      <c r="BJ1938" s="2">
        <v>2.9</v>
      </c>
      <c r="BK1938" s="2">
        <v>3</v>
      </c>
      <c r="BL1938" s="2">
        <v>62.59</v>
      </c>
      <c r="BM1938" s="2">
        <v>8.76</v>
      </c>
      <c r="BN1938" s="2">
        <v>71.349999999999994</v>
      </c>
      <c r="BO1938" s="2">
        <v>71.349999999999994</v>
      </c>
      <c r="BP1938" s="2"/>
      <c r="BQ1938" s="2" t="s">
        <v>129</v>
      </c>
      <c r="BR1938" s="2" t="s">
        <v>84</v>
      </c>
      <c r="BS1938" s="3">
        <v>42843</v>
      </c>
      <c r="BT1938" s="4">
        <v>0.41666666666666669</v>
      </c>
      <c r="BU1938" s="2" t="s">
        <v>266</v>
      </c>
      <c r="BV1938" s="2" t="s">
        <v>86</v>
      </c>
      <c r="BW1938" s="2" t="s">
        <v>96</v>
      </c>
      <c r="BX1938" s="2" t="s">
        <v>2367</v>
      </c>
      <c r="BY1938" s="2">
        <v>14719.61</v>
      </c>
      <c r="BZ1938" s="2"/>
      <c r="CA1938" s="2"/>
      <c r="CB1938" s="2"/>
      <c r="CC1938" s="2" t="s">
        <v>1074</v>
      </c>
      <c r="CD1938" s="2">
        <v>1947</v>
      </c>
      <c r="CE1938" s="2" t="s">
        <v>118</v>
      </c>
      <c r="CF1938" s="5">
        <v>42845</v>
      </c>
      <c r="CG1938" s="2"/>
      <c r="CH1938" s="2"/>
      <c r="CI1938" s="2">
        <v>1</v>
      </c>
      <c r="CJ1938" s="2">
        <v>3</v>
      </c>
      <c r="CK1938" s="2">
        <v>21</v>
      </c>
      <c r="CL1938" s="2" t="s">
        <v>86</v>
      </c>
      <c r="CM1938" s="2"/>
    </row>
    <row r="1939" spans="1:91">
      <c r="A1939" s="2" t="s">
        <v>71</v>
      </c>
      <c r="B1939" s="2" t="s">
        <v>72</v>
      </c>
      <c r="C1939" s="2" t="s">
        <v>73</v>
      </c>
      <c r="D1939" s="2"/>
      <c r="E1939" s="2" t="str">
        <f>"FES1162543660"</f>
        <v>FES1162543660</v>
      </c>
      <c r="F1939" s="3">
        <v>42838</v>
      </c>
      <c r="G1939" s="2">
        <v>201710</v>
      </c>
      <c r="H1939" s="2" t="s">
        <v>74</v>
      </c>
      <c r="I1939" s="2" t="s">
        <v>75</v>
      </c>
      <c r="J1939" s="2" t="s">
        <v>76</v>
      </c>
      <c r="K1939" s="2" t="s">
        <v>77</v>
      </c>
      <c r="L1939" s="2" t="s">
        <v>160</v>
      </c>
      <c r="M1939" s="2" t="s">
        <v>161</v>
      </c>
      <c r="N1939" s="2" t="s">
        <v>907</v>
      </c>
      <c r="O1939" s="2" t="s">
        <v>115</v>
      </c>
      <c r="P1939" s="2" t="str">
        <f>"2170555039                    "</f>
        <v xml:space="preserve">2170555039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11.79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4.0999999999999996</v>
      </c>
      <c r="BJ1939" s="2">
        <v>5.0999999999999996</v>
      </c>
      <c r="BK1939" s="2">
        <v>5.5</v>
      </c>
      <c r="BL1939" s="2">
        <v>114.75</v>
      </c>
      <c r="BM1939" s="2">
        <v>16.07</v>
      </c>
      <c r="BN1939" s="2">
        <v>130.82</v>
      </c>
      <c r="BO1939" s="2">
        <v>130.82</v>
      </c>
      <c r="BP1939" s="2"/>
      <c r="BQ1939" s="2"/>
      <c r="BR1939" s="2" t="s">
        <v>84</v>
      </c>
      <c r="BS1939" s="3">
        <v>42843</v>
      </c>
      <c r="BT1939" s="4">
        <v>0.45833333333333331</v>
      </c>
      <c r="BU1939" s="2" t="s">
        <v>1780</v>
      </c>
      <c r="BV1939" s="2" t="s">
        <v>86</v>
      </c>
      <c r="BW1939" s="2"/>
      <c r="BX1939" s="2"/>
      <c r="BY1939" s="2">
        <v>25379.119999999999</v>
      </c>
      <c r="BZ1939" s="2"/>
      <c r="CA1939" s="2"/>
      <c r="CB1939" s="2"/>
      <c r="CC1939" s="2" t="s">
        <v>161</v>
      </c>
      <c r="CD1939" s="2">
        <v>5201</v>
      </c>
      <c r="CE1939" s="2" t="s">
        <v>89</v>
      </c>
      <c r="CF1939" s="5">
        <v>42844</v>
      </c>
      <c r="CG1939" s="2"/>
      <c r="CH1939" s="2"/>
      <c r="CI1939" s="2">
        <v>1</v>
      </c>
      <c r="CJ1939" s="2">
        <v>3</v>
      </c>
      <c r="CK1939" s="2">
        <v>21</v>
      </c>
      <c r="CL1939" s="2" t="s">
        <v>86</v>
      </c>
      <c r="CM1939" s="2"/>
    </row>
    <row r="1940" spans="1:91">
      <c r="A1940" s="2" t="s">
        <v>71</v>
      </c>
      <c r="B1940" s="2" t="s">
        <v>72</v>
      </c>
      <c r="C1940" s="2" t="s">
        <v>73</v>
      </c>
      <c r="D1940" s="2"/>
      <c r="E1940" s="2" t="str">
        <f>"FES1162543680"</f>
        <v>FES1162543680</v>
      </c>
      <c r="F1940" s="3">
        <v>42838</v>
      </c>
      <c r="G1940" s="2">
        <v>201710</v>
      </c>
      <c r="H1940" s="2" t="s">
        <v>74</v>
      </c>
      <c r="I1940" s="2" t="s">
        <v>75</v>
      </c>
      <c r="J1940" s="2" t="s">
        <v>76</v>
      </c>
      <c r="K1940" s="2" t="s">
        <v>77</v>
      </c>
      <c r="L1940" s="2" t="s">
        <v>180</v>
      </c>
      <c r="M1940" s="2" t="s">
        <v>181</v>
      </c>
      <c r="N1940" s="2" t="s">
        <v>2392</v>
      </c>
      <c r="O1940" s="2" t="s">
        <v>115</v>
      </c>
      <c r="P1940" s="2" t="str">
        <f>"2170562302                    "</f>
        <v xml:space="preserve">2170562302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4.29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0.2</v>
      </c>
      <c r="BK1940" s="2">
        <v>1</v>
      </c>
      <c r="BL1940" s="2">
        <v>41.73</v>
      </c>
      <c r="BM1940" s="2">
        <v>5.84</v>
      </c>
      <c r="BN1940" s="2">
        <v>47.57</v>
      </c>
      <c r="BO1940" s="2">
        <v>47.57</v>
      </c>
      <c r="BP1940" s="2"/>
      <c r="BQ1940" s="2" t="s">
        <v>2393</v>
      </c>
      <c r="BR1940" s="2" t="s">
        <v>84</v>
      </c>
      <c r="BS1940" s="3">
        <v>42843</v>
      </c>
      <c r="BT1940" s="4">
        <v>0.47916666666666669</v>
      </c>
      <c r="BU1940" s="2" t="s">
        <v>2394</v>
      </c>
      <c r="BV1940" s="2" t="s">
        <v>86</v>
      </c>
      <c r="BW1940" s="2"/>
      <c r="BX1940" s="2"/>
      <c r="BY1940" s="2">
        <v>1200</v>
      </c>
      <c r="BZ1940" s="2"/>
      <c r="CA1940" s="2"/>
      <c r="CB1940" s="2"/>
      <c r="CC1940" s="2" t="s">
        <v>181</v>
      </c>
      <c r="CD1940" s="2">
        <v>4001</v>
      </c>
      <c r="CE1940" s="2" t="s">
        <v>118</v>
      </c>
      <c r="CF1940" s="5">
        <v>42844</v>
      </c>
      <c r="CG1940" s="2"/>
      <c r="CH1940" s="2"/>
      <c r="CI1940" s="2">
        <v>1</v>
      </c>
      <c r="CJ1940" s="2">
        <v>3</v>
      </c>
      <c r="CK1940" s="2">
        <v>21</v>
      </c>
      <c r="CL1940" s="2" t="s">
        <v>86</v>
      </c>
      <c r="CM1940" s="2"/>
    </row>
    <row r="1941" spans="1:91">
      <c r="A1941" s="2" t="s">
        <v>71</v>
      </c>
      <c r="B1941" s="2" t="s">
        <v>72</v>
      </c>
      <c r="C1941" s="2" t="s">
        <v>73</v>
      </c>
      <c r="D1941" s="2"/>
      <c r="E1941" s="2" t="str">
        <f>"FES1162543593"</f>
        <v>FES1162543593</v>
      </c>
      <c r="F1941" s="3">
        <v>42838</v>
      </c>
      <c r="G1941" s="2">
        <v>201710</v>
      </c>
      <c r="H1941" s="2" t="s">
        <v>74</v>
      </c>
      <c r="I1941" s="2" t="s">
        <v>75</v>
      </c>
      <c r="J1941" s="2" t="s">
        <v>76</v>
      </c>
      <c r="K1941" s="2" t="s">
        <v>77</v>
      </c>
      <c r="L1941" s="2" t="s">
        <v>180</v>
      </c>
      <c r="M1941" s="2" t="s">
        <v>181</v>
      </c>
      <c r="N1941" s="2" t="s">
        <v>447</v>
      </c>
      <c r="O1941" s="2" t="s">
        <v>115</v>
      </c>
      <c r="P1941" s="2" t="str">
        <f>"2170562266                    "</f>
        <v xml:space="preserve">2170562266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4.29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1.4</v>
      </c>
      <c r="BJ1941" s="2">
        <v>1.7</v>
      </c>
      <c r="BK1941" s="2">
        <v>2</v>
      </c>
      <c r="BL1941" s="2">
        <v>41.73</v>
      </c>
      <c r="BM1941" s="2">
        <v>5.84</v>
      </c>
      <c r="BN1941" s="2">
        <v>47.57</v>
      </c>
      <c r="BO1941" s="2">
        <v>47.57</v>
      </c>
      <c r="BP1941" s="2"/>
      <c r="BQ1941" s="2" t="s">
        <v>2395</v>
      </c>
      <c r="BR1941" s="2" t="s">
        <v>84</v>
      </c>
      <c r="BS1941" s="3">
        <v>42843</v>
      </c>
      <c r="BT1941" s="4">
        <v>0.37152777777777773</v>
      </c>
      <c r="BU1941" s="2" t="s">
        <v>266</v>
      </c>
      <c r="BV1941" s="2" t="s">
        <v>86</v>
      </c>
      <c r="BW1941" s="2" t="s">
        <v>164</v>
      </c>
      <c r="BX1941" s="2" t="s">
        <v>2350</v>
      </c>
      <c r="BY1941" s="2">
        <v>8414.42</v>
      </c>
      <c r="BZ1941" s="2"/>
      <c r="CA1941" s="2"/>
      <c r="CB1941" s="2"/>
      <c r="CC1941" s="2" t="s">
        <v>181</v>
      </c>
      <c r="CD1941" s="2">
        <v>4052</v>
      </c>
      <c r="CE1941" s="2" t="s">
        <v>118</v>
      </c>
      <c r="CF1941" s="5">
        <v>42844</v>
      </c>
      <c r="CG1941" s="2"/>
      <c r="CH1941" s="2"/>
      <c r="CI1941" s="2">
        <v>1</v>
      </c>
      <c r="CJ1941" s="2">
        <v>3</v>
      </c>
      <c r="CK1941" s="2">
        <v>21</v>
      </c>
      <c r="CL1941" s="2" t="s">
        <v>86</v>
      </c>
      <c r="CM1941" s="2"/>
    </row>
    <row r="1942" spans="1:91">
      <c r="A1942" s="2" t="s">
        <v>71</v>
      </c>
      <c r="B1942" s="2" t="s">
        <v>72</v>
      </c>
      <c r="C1942" s="2" t="s">
        <v>73</v>
      </c>
      <c r="D1942" s="2"/>
      <c r="E1942" s="2" t="str">
        <f>"FES1162543553"</f>
        <v>FES1162543553</v>
      </c>
      <c r="F1942" s="3">
        <v>42838</v>
      </c>
      <c r="G1942" s="2">
        <v>201710</v>
      </c>
      <c r="H1942" s="2" t="s">
        <v>74</v>
      </c>
      <c r="I1942" s="2" t="s">
        <v>75</v>
      </c>
      <c r="J1942" s="2" t="s">
        <v>76</v>
      </c>
      <c r="K1942" s="2" t="s">
        <v>77</v>
      </c>
      <c r="L1942" s="2" t="s">
        <v>78</v>
      </c>
      <c r="M1942" s="2" t="s">
        <v>79</v>
      </c>
      <c r="N1942" s="2" t="s">
        <v>80</v>
      </c>
      <c r="O1942" s="2" t="s">
        <v>115</v>
      </c>
      <c r="P1942" s="2" t="str">
        <f>"21705622223                   "</f>
        <v xml:space="preserve">21705622223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12.06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2.6</v>
      </c>
      <c r="BJ1942" s="2">
        <v>1.6</v>
      </c>
      <c r="BK1942" s="2">
        <v>3</v>
      </c>
      <c r="BL1942" s="2">
        <v>117.36</v>
      </c>
      <c r="BM1942" s="2">
        <v>16.43</v>
      </c>
      <c r="BN1942" s="2">
        <v>133.79</v>
      </c>
      <c r="BO1942" s="2">
        <v>133.79</v>
      </c>
      <c r="BP1942" s="2"/>
      <c r="BQ1942" s="2" t="s">
        <v>83</v>
      </c>
      <c r="BR1942" s="2" t="s">
        <v>84</v>
      </c>
      <c r="BS1942" s="3">
        <v>42843</v>
      </c>
      <c r="BT1942" s="4">
        <v>0.54166666666666663</v>
      </c>
      <c r="BU1942" s="2" t="s">
        <v>85</v>
      </c>
      <c r="BV1942" s="2" t="s">
        <v>86</v>
      </c>
      <c r="BW1942" s="2" t="s">
        <v>87</v>
      </c>
      <c r="BX1942" s="2" t="s">
        <v>88</v>
      </c>
      <c r="BY1942" s="2">
        <v>8053.22</v>
      </c>
      <c r="BZ1942" s="2"/>
      <c r="CA1942" s="2"/>
      <c r="CB1942" s="2"/>
      <c r="CC1942" s="2" t="s">
        <v>79</v>
      </c>
      <c r="CD1942" s="2">
        <v>4276</v>
      </c>
      <c r="CE1942" s="2" t="s">
        <v>89</v>
      </c>
      <c r="CF1942" s="5">
        <v>42844</v>
      </c>
      <c r="CG1942" s="2"/>
      <c r="CH1942" s="2"/>
      <c r="CI1942" s="2">
        <v>1</v>
      </c>
      <c r="CJ1942" s="2">
        <v>3</v>
      </c>
      <c r="CK1942" s="2">
        <v>23</v>
      </c>
      <c r="CL1942" s="2" t="s">
        <v>86</v>
      </c>
      <c r="CM1942" s="2"/>
    </row>
    <row r="1943" spans="1:91">
      <c r="A1943" s="2" t="s">
        <v>71</v>
      </c>
      <c r="B1943" s="2" t="s">
        <v>72</v>
      </c>
      <c r="C1943" s="2" t="s">
        <v>73</v>
      </c>
      <c r="D1943" s="2"/>
      <c r="E1943" s="2" t="str">
        <f>"FES1162543650"</f>
        <v>FES1162543650</v>
      </c>
      <c r="F1943" s="3">
        <v>42838</v>
      </c>
      <c r="G1943" s="2">
        <v>201710</v>
      </c>
      <c r="H1943" s="2" t="s">
        <v>74</v>
      </c>
      <c r="I1943" s="2" t="s">
        <v>75</v>
      </c>
      <c r="J1943" s="2" t="s">
        <v>76</v>
      </c>
      <c r="K1943" s="2" t="s">
        <v>77</v>
      </c>
      <c r="L1943" s="2" t="s">
        <v>1692</v>
      </c>
      <c r="M1943" s="2" t="s">
        <v>1693</v>
      </c>
      <c r="N1943" s="2" t="s">
        <v>2396</v>
      </c>
      <c r="O1943" s="2" t="s">
        <v>115</v>
      </c>
      <c r="P1943" s="2" t="str">
        <f>"2170560285                    "</f>
        <v xml:space="preserve">2170560285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4.29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1</v>
      </c>
      <c r="BJ1943" s="2">
        <v>0.2</v>
      </c>
      <c r="BK1943" s="2">
        <v>1</v>
      </c>
      <c r="BL1943" s="2">
        <v>41.73</v>
      </c>
      <c r="BM1943" s="2">
        <v>5.84</v>
      </c>
      <c r="BN1943" s="2">
        <v>47.57</v>
      </c>
      <c r="BO1943" s="2">
        <v>47.57</v>
      </c>
      <c r="BP1943" s="2"/>
      <c r="BQ1943" s="2" t="s">
        <v>2397</v>
      </c>
      <c r="BR1943" s="2" t="s">
        <v>84</v>
      </c>
      <c r="BS1943" s="3">
        <v>42843</v>
      </c>
      <c r="BT1943" s="4">
        <v>0.35069444444444442</v>
      </c>
      <c r="BU1943" s="2" t="s">
        <v>882</v>
      </c>
      <c r="BV1943" s="2" t="s">
        <v>86</v>
      </c>
      <c r="BW1943" s="2" t="s">
        <v>164</v>
      </c>
      <c r="BX1943" s="2" t="s">
        <v>2350</v>
      </c>
      <c r="BY1943" s="2">
        <v>1200</v>
      </c>
      <c r="BZ1943" s="2"/>
      <c r="CA1943" s="2"/>
      <c r="CB1943" s="2"/>
      <c r="CC1943" s="2" t="s">
        <v>1693</v>
      </c>
      <c r="CD1943" s="2">
        <v>4120</v>
      </c>
      <c r="CE1943" s="2" t="s">
        <v>118</v>
      </c>
      <c r="CF1943" s="5">
        <v>42844</v>
      </c>
      <c r="CG1943" s="2"/>
      <c r="CH1943" s="2"/>
      <c r="CI1943" s="2">
        <v>1</v>
      </c>
      <c r="CJ1943" s="2">
        <v>3</v>
      </c>
      <c r="CK1943" s="2">
        <v>21</v>
      </c>
      <c r="CL1943" s="2" t="s">
        <v>86</v>
      </c>
      <c r="CM1943" s="2"/>
    </row>
    <row r="1944" spans="1:91">
      <c r="A1944" s="2" t="s">
        <v>71</v>
      </c>
      <c r="B1944" s="2" t="s">
        <v>72</v>
      </c>
      <c r="C1944" s="2" t="s">
        <v>73</v>
      </c>
      <c r="D1944" s="2"/>
      <c r="E1944" s="2" t="str">
        <f>"FES1162543552"</f>
        <v>FES1162543552</v>
      </c>
      <c r="F1944" s="3">
        <v>42838</v>
      </c>
      <c r="G1944" s="2">
        <v>201710</v>
      </c>
      <c r="H1944" s="2" t="s">
        <v>74</v>
      </c>
      <c r="I1944" s="2" t="s">
        <v>75</v>
      </c>
      <c r="J1944" s="2" t="s">
        <v>76</v>
      </c>
      <c r="K1944" s="2" t="s">
        <v>77</v>
      </c>
      <c r="L1944" s="2" t="s">
        <v>78</v>
      </c>
      <c r="M1944" s="2" t="s">
        <v>79</v>
      </c>
      <c r="N1944" s="2" t="s">
        <v>80</v>
      </c>
      <c r="O1944" s="2" t="s">
        <v>115</v>
      </c>
      <c r="P1944" s="2" t="str">
        <f>"21705622222                   "</f>
        <v xml:space="preserve">21705622222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13.93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3.2</v>
      </c>
      <c r="BJ1944" s="2">
        <v>1.4</v>
      </c>
      <c r="BK1944" s="2">
        <v>3.5</v>
      </c>
      <c r="BL1944" s="2">
        <v>135.61000000000001</v>
      </c>
      <c r="BM1944" s="2">
        <v>18.989999999999998</v>
      </c>
      <c r="BN1944" s="2">
        <v>154.6</v>
      </c>
      <c r="BO1944" s="2">
        <v>154.6</v>
      </c>
      <c r="BP1944" s="2"/>
      <c r="BQ1944" s="2" t="s">
        <v>83</v>
      </c>
      <c r="BR1944" s="2" t="s">
        <v>84</v>
      </c>
      <c r="BS1944" s="3">
        <v>42843</v>
      </c>
      <c r="BT1944" s="4">
        <v>0.4375</v>
      </c>
      <c r="BU1944" s="2" t="s">
        <v>2389</v>
      </c>
      <c r="BV1944" s="2" t="s">
        <v>86</v>
      </c>
      <c r="BW1944" s="2" t="s">
        <v>87</v>
      </c>
      <c r="BX1944" s="2" t="s">
        <v>88</v>
      </c>
      <c r="BY1944" s="2">
        <v>7008.12</v>
      </c>
      <c r="BZ1944" s="2"/>
      <c r="CA1944" s="2"/>
      <c r="CB1944" s="2"/>
      <c r="CC1944" s="2" t="s">
        <v>79</v>
      </c>
      <c r="CD1944" s="2">
        <v>4276</v>
      </c>
      <c r="CE1944" s="2" t="s">
        <v>89</v>
      </c>
      <c r="CF1944" s="5">
        <v>42844</v>
      </c>
      <c r="CG1944" s="2"/>
      <c r="CH1944" s="2"/>
      <c r="CI1944" s="2">
        <v>1</v>
      </c>
      <c r="CJ1944" s="2">
        <v>3</v>
      </c>
      <c r="CK1944" s="2">
        <v>23</v>
      </c>
      <c r="CL1944" s="2" t="s">
        <v>86</v>
      </c>
      <c r="CM1944" s="2"/>
    </row>
    <row r="1945" spans="1:91">
      <c r="A1945" s="2" t="s">
        <v>71</v>
      </c>
      <c r="B1945" s="2" t="s">
        <v>72</v>
      </c>
      <c r="C1945" s="2" t="s">
        <v>73</v>
      </c>
      <c r="D1945" s="2"/>
      <c r="E1945" s="2" t="str">
        <f>"FES1162543772"</f>
        <v>FES1162543772</v>
      </c>
      <c r="F1945" s="3">
        <v>42838</v>
      </c>
      <c r="G1945" s="2">
        <v>201710</v>
      </c>
      <c r="H1945" s="2" t="s">
        <v>74</v>
      </c>
      <c r="I1945" s="2" t="s">
        <v>75</v>
      </c>
      <c r="J1945" s="2" t="s">
        <v>76</v>
      </c>
      <c r="K1945" s="2" t="s">
        <v>77</v>
      </c>
      <c r="L1945" s="2" t="s">
        <v>131</v>
      </c>
      <c r="M1945" s="2" t="s">
        <v>132</v>
      </c>
      <c r="N1945" s="2" t="s">
        <v>649</v>
      </c>
      <c r="O1945" s="2" t="s">
        <v>115</v>
      </c>
      <c r="P1945" s="2" t="str">
        <f>"2170562412                    "</f>
        <v xml:space="preserve">2170562412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63.23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2</v>
      </c>
      <c r="BI1945" s="2">
        <v>29.1</v>
      </c>
      <c r="BJ1945" s="2">
        <v>18.100000000000001</v>
      </c>
      <c r="BK1945" s="2">
        <v>29.5</v>
      </c>
      <c r="BL1945" s="2">
        <v>615.47</v>
      </c>
      <c r="BM1945" s="2">
        <v>86.17</v>
      </c>
      <c r="BN1945" s="2">
        <v>701.64</v>
      </c>
      <c r="BO1945" s="2">
        <v>701.64</v>
      </c>
      <c r="BP1945" s="2" t="s">
        <v>2398</v>
      </c>
      <c r="BQ1945" s="2" t="s">
        <v>2399</v>
      </c>
      <c r="BR1945" s="2" t="s">
        <v>84</v>
      </c>
      <c r="BS1945" s="3">
        <v>42843</v>
      </c>
      <c r="BT1945" s="4">
        <v>0.41666666666666669</v>
      </c>
      <c r="BU1945" s="2" t="s">
        <v>904</v>
      </c>
      <c r="BV1945" s="2" t="s">
        <v>86</v>
      </c>
      <c r="BW1945" s="2" t="s">
        <v>157</v>
      </c>
      <c r="BX1945" s="2" t="s">
        <v>158</v>
      </c>
      <c r="BY1945" s="2">
        <v>90639.87</v>
      </c>
      <c r="BZ1945" s="2"/>
      <c r="CA1945" s="2" t="s">
        <v>159</v>
      </c>
      <c r="CB1945" s="2"/>
      <c r="CC1945" s="2" t="s">
        <v>132</v>
      </c>
      <c r="CD1945" s="2">
        <v>7405</v>
      </c>
      <c r="CE1945" s="2" t="s">
        <v>89</v>
      </c>
      <c r="CF1945" s="5">
        <v>42844</v>
      </c>
      <c r="CG1945" s="2"/>
      <c r="CH1945" s="2"/>
      <c r="CI1945" s="2">
        <v>1</v>
      </c>
      <c r="CJ1945" s="2">
        <v>3</v>
      </c>
      <c r="CK1945" s="2">
        <v>21</v>
      </c>
      <c r="CL1945" s="2" t="s">
        <v>86</v>
      </c>
      <c r="CM1945" s="2"/>
    </row>
    <row r="1946" spans="1:91">
      <c r="A1946" s="2" t="s">
        <v>71</v>
      </c>
      <c r="B1946" s="2" t="s">
        <v>72</v>
      </c>
      <c r="C1946" s="2" t="s">
        <v>73</v>
      </c>
      <c r="D1946" s="2"/>
      <c r="E1946" s="2" t="str">
        <f>"FES1162543765"</f>
        <v>FES1162543765</v>
      </c>
      <c r="F1946" s="3">
        <v>42838</v>
      </c>
      <c r="G1946" s="2">
        <v>201710</v>
      </c>
      <c r="H1946" s="2" t="s">
        <v>74</v>
      </c>
      <c r="I1946" s="2" t="s">
        <v>75</v>
      </c>
      <c r="J1946" s="2" t="s">
        <v>76</v>
      </c>
      <c r="K1946" s="2" t="s">
        <v>77</v>
      </c>
      <c r="L1946" s="2" t="s">
        <v>131</v>
      </c>
      <c r="M1946" s="2" t="s">
        <v>132</v>
      </c>
      <c r="N1946" s="2" t="s">
        <v>2400</v>
      </c>
      <c r="O1946" s="2" t="s">
        <v>115</v>
      </c>
      <c r="P1946" s="2" t="str">
        <f>"2170562334                    "</f>
        <v xml:space="preserve">2170562334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8.57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2.9</v>
      </c>
      <c r="BJ1946" s="2">
        <v>3.9</v>
      </c>
      <c r="BK1946" s="2">
        <v>4</v>
      </c>
      <c r="BL1946" s="2">
        <v>83.45</v>
      </c>
      <c r="BM1946" s="2">
        <v>11.68</v>
      </c>
      <c r="BN1946" s="2">
        <v>95.13</v>
      </c>
      <c r="BO1946" s="2">
        <v>95.13</v>
      </c>
      <c r="BP1946" s="2"/>
      <c r="BQ1946" s="2" t="s">
        <v>122</v>
      </c>
      <c r="BR1946" s="2" t="s">
        <v>84</v>
      </c>
      <c r="BS1946" s="3">
        <v>42843</v>
      </c>
      <c r="BT1946" s="4">
        <v>0.41666666666666669</v>
      </c>
      <c r="BU1946" s="2" t="s">
        <v>2401</v>
      </c>
      <c r="BV1946" s="2" t="s">
        <v>86</v>
      </c>
      <c r="BW1946" s="2" t="s">
        <v>157</v>
      </c>
      <c r="BX1946" s="2" t="s">
        <v>158</v>
      </c>
      <c r="BY1946" s="2">
        <v>19736.900000000001</v>
      </c>
      <c r="BZ1946" s="2"/>
      <c r="CA1946" s="2"/>
      <c r="CB1946" s="2"/>
      <c r="CC1946" s="2" t="s">
        <v>132</v>
      </c>
      <c r="CD1946" s="2">
        <v>7441</v>
      </c>
      <c r="CE1946" s="2" t="s">
        <v>89</v>
      </c>
      <c r="CF1946" s="5">
        <v>42844</v>
      </c>
      <c r="CG1946" s="2"/>
      <c r="CH1946" s="2"/>
      <c r="CI1946" s="2">
        <v>1</v>
      </c>
      <c r="CJ1946" s="2">
        <v>3</v>
      </c>
      <c r="CK1946" s="2">
        <v>21</v>
      </c>
      <c r="CL1946" s="2" t="s">
        <v>86</v>
      </c>
      <c r="CM1946" s="2"/>
    </row>
    <row r="1947" spans="1:91">
      <c r="A1947" s="2" t="s">
        <v>71</v>
      </c>
      <c r="B1947" s="2" t="s">
        <v>72</v>
      </c>
      <c r="C1947" s="2" t="s">
        <v>73</v>
      </c>
      <c r="D1947" s="2"/>
      <c r="E1947" s="2" t="str">
        <f>"FES1162543781"</f>
        <v>FES1162543781</v>
      </c>
      <c r="F1947" s="3">
        <v>42838</v>
      </c>
      <c r="G1947" s="2">
        <v>201710</v>
      </c>
      <c r="H1947" s="2" t="s">
        <v>74</v>
      </c>
      <c r="I1947" s="2" t="s">
        <v>75</v>
      </c>
      <c r="J1947" s="2" t="s">
        <v>76</v>
      </c>
      <c r="K1947" s="2" t="s">
        <v>77</v>
      </c>
      <c r="L1947" s="2" t="s">
        <v>2402</v>
      </c>
      <c r="M1947" s="2" t="s">
        <v>2403</v>
      </c>
      <c r="N1947" s="2" t="s">
        <v>2404</v>
      </c>
      <c r="O1947" s="2" t="s">
        <v>115</v>
      </c>
      <c r="P1947" s="2" t="str">
        <f>"2170562417                    "</f>
        <v xml:space="preserve">2170562417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8.31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</v>
      </c>
      <c r="BJ1947" s="2">
        <v>0.2</v>
      </c>
      <c r="BK1947" s="2">
        <v>1</v>
      </c>
      <c r="BL1947" s="2">
        <v>80.849999999999994</v>
      </c>
      <c r="BM1947" s="2">
        <v>11.32</v>
      </c>
      <c r="BN1947" s="2">
        <v>92.17</v>
      </c>
      <c r="BO1947" s="2">
        <v>92.17</v>
      </c>
      <c r="BP1947" s="2"/>
      <c r="BQ1947" s="2" t="s">
        <v>116</v>
      </c>
      <c r="BR1947" s="2" t="s">
        <v>84</v>
      </c>
      <c r="BS1947" s="3">
        <v>42844</v>
      </c>
      <c r="BT1947" s="4">
        <v>0</v>
      </c>
      <c r="BU1947" s="2" t="s">
        <v>2405</v>
      </c>
      <c r="BV1947" s="2" t="s">
        <v>86</v>
      </c>
      <c r="BW1947" s="2"/>
      <c r="BX1947" s="2"/>
      <c r="BY1947" s="2">
        <v>1200</v>
      </c>
      <c r="BZ1947" s="2"/>
      <c r="CA1947" s="2"/>
      <c r="CB1947" s="2"/>
      <c r="CC1947" s="2" t="s">
        <v>2403</v>
      </c>
      <c r="CD1947" s="2">
        <v>4960</v>
      </c>
      <c r="CE1947" s="2" t="s">
        <v>118</v>
      </c>
      <c r="CF1947" s="5">
        <v>42846</v>
      </c>
      <c r="CG1947" s="2"/>
      <c r="CH1947" s="2"/>
      <c r="CI1947" s="2">
        <v>3</v>
      </c>
      <c r="CJ1947" s="2">
        <v>4</v>
      </c>
      <c r="CK1947" s="2">
        <v>23</v>
      </c>
      <c r="CL1947" s="2" t="s">
        <v>86</v>
      </c>
      <c r="CM1947" s="2"/>
    </row>
    <row r="1948" spans="1:91">
      <c r="A1948" s="2" t="s">
        <v>71</v>
      </c>
      <c r="B1948" s="2" t="s">
        <v>72</v>
      </c>
      <c r="C1948" s="2" t="s">
        <v>73</v>
      </c>
      <c r="D1948" s="2"/>
      <c r="E1948" s="2" t="str">
        <f>"FES1162543692"</f>
        <v>FES1162543692</v>
      </c>
      <c r="F1948" s="3">
        <v>42838</v>
      </c>
      <c r="G1948" s="2">
        <v>201710</v>
      </c>
      <c r="H1948" s="2" t="s">
        <v>74</v>
      </c>
      <c r="I1948" s="2" t="s">
        <v>75</v>
      </c>
      <c r="J1948" s="2" t="s">
        <v>76</v>
      </c>
      <c r="K1948" s="2" t="s">
        <v>77</v>
      </c>
      <c r="L1948" s="2" t="s">
        <v>131</v>
      </c>
      <c r="M1948" s="2" t="s">
        <v>132</v>
      </c>
      <c r="N1948" s="2" t="s">
        <v>2139</v>
      </c>
      <c r="O1948" s="2" t="s">
        <v>115</v>
      </c>
      <c r="P1948" s="2" t="str">
        <f>"2170562320                    "</f>
        <v xml:space="preserve">2170562320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4.29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1</v>
      </c>
      <c r="BJ1948" s="2">
        <v>1.1000000000000001</v>
      </c>
      <c r="BK1948" s="2">
        <v>1.5</v>
      </c>
      <c r="BL1948" s="2">
        <v>41.73</v>
      </c>
      <c r="BM1948" s="2">
        <v>5.84</v>
      </c>
      <c r="BN1948" s="2">
        <v>47.57</v>
      </c>
      <c r="BO1948" s="2">
        <v>47.57</v>
      </c>
      <c r="BP1948" s="2"/>
      <c r="BQ1948" s="2" t="s">
        <v>122</v>
      </c>
      <c r="BR1948" s="2" t="s">
        <v>84</v>
      </c>
      <c r="BS1948" s="3">
        <v>42843</v>
      </c>
      <c r="BT1948" s="4">
        <v>0.41666666666666669</v>
      </c>
      <c r="BU1948" s="2" t="s">
        <v>130</v>
      </c>
      <c r="BV1948" s="2" t="s">
        <v>86</v>
      </c>
      <c r="BW1948" s="2" t="s">
        <v>157</v>
      </c>
      <c r="BX1948" s="2" t="s">
        <v>158</v>
      </c>
      <c r="BY1948" s="2">
        <v>5320</v>
      </c>
      <c r="BZ1948" s="2"/>
      <c r="CA1948" s="2"/>
      <c r="CB1948" s="2"/>
      <c r="CC1948" s="2" t="s">
        <v>132</v>
      </c>
      <c r="CD1948" s="2">
        <v>7441</v>
      </c>
      <c r="CE1948" s="2" t="s">
        <v>89</v>
      </c>
      <c r="CF1948" s="5">
        <v>42844</v>
      </c>
      <c r="CG1948" s="2"/>
      <c r="CH1948" s="2"/>
      <c r="CI1948" s="2">
        <v>1</v>
      </c>
      <c r="CJ1948" s="2">
        <v>3</v>
      </c>
      <c r="CK1948" s="2">
        <v>21</v>
      </c>
      <c r="CL1948" s="2" t="s">
        <v>86</v>
      </c>
      <c r="CM1948" s="2"/>
    </row>
    <row r="1949" spans="1:91">
      <c r="A1949" s="2" t="s">
        <v>71</v>
      </c>
      <c r="B1949" s="2" t="s">
        <v>72</v>
      </c>
      <c r="C1949" s="2" t="s">
        <v>73</v>
      </c>
      <c r="D1949" s="2"/>
      <c r="E1949" s="2" t="str">
        <f>"FES1162543547"</f>
        <v>FES1162543547</v>
      </c>
      <c r="F1949" s="3">
        <v>42838</v>
      </c>
      <c r="G1949" s="2">
        <v>201710</v>
      </c>
      <c r="H1949" s="2" t="s">
        <v>74</v>
      </c>
      <c r="I1949" s="2" t="s">
        <v>75</v>
      </c>
      <c r="J1949" s="2" t="s">
        <v>76</v>
      </c>
      <c r="K1949" s="2" t="s">
        <v>77</v>
      </c>
      <c r="L1949" s="2" t="s">
        <v>176</v>
      </c>
      <c r="M1949" s="2" t="s">
        <v>176</v>
      </c>
      <c r="N1949" s="2" t="s">
        <v>177</v>
      </c>
      <c r="O1949" s="2" t="s">
        <v>115</v>
      </c>
      <c r="P1949" s="2" t="str">
        <f>"2170562006                    "</f>
        <v xml:space="preserve">2170562006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4.29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2</v>
      </c>
      <c r="BJ1949" s="2">
        <v>1.5</v>
      </c>
      <c r="BK1949" s="2">
        <v>2</v>
      </c>
      <c r="BL1949" s="2">
        <v>41.73</v>
      </c>
      <c r="BM1949" s="2">
        <v>5.84</v>
      </c>
      <c r="BN1949" s="2">
        <v>47.57</v>
      </c>
      <c r="BO1949" s="2">
        <v>47.57</v>
      </c>
      <c r="BP1949" s="2"/>
      <c r="BQ1949" s="2" t="s">
        <v>178</v>
      </c>
      <c r="BR1949" s="2" t="s">
        <v>84</v>
      </c>
      <c r="BS1949" s="3">
        <v>42843</v>
      </c>
      <c r="BT1949" s="4">
        <v>0.51041666666666663</v>
      </c>
      <c r="BU1949" s="2" t="s">
        <v>1487</v>
      </c>
      <c r="BV1949" s="2" t="s">
        <v>86</v>
      </c>
      <c r="BW1949" s="2" t="s">
        <v>87</v>
      </c>
      <c r="BX1949" s="2" t="s">
        <v>1370</v>
      </c>
      <c r="BY1949" s="2">
        <v>7540</v>
      </c>
      <c r="BZ1949" s="2"/>
      <c r="CA1949" s="2"/>
      <c r="CB1949" s="2"/>
      <c r="CC1949" s="2" t="s">
        <v>176</v>
      </c>
      <c r="CD1949" s="2">
        <v>7646</v>
      </c>
      <c r="CE1949" s="2" t="s">
        <v>89</v>
      </c>
      <c r="CF1949" s="5">
        <v>42844</v>
      </c>
      <c r="CG1949" s="2"/>
      <c r="CH1949" s="2"/>
      <c r="CI1949" s="2">
        <v>1</v>
      </c>
      <c r="CJ1949" s="2">
        <v>3</v>
      </c>
      <c r="CK1949" s="2">
        <v>21</v>
      </c>
      <c r="CL1949" s="2" t="s">
        <v>86</v>
      </c>
      <c r="CM1949" s="2"/>
    </row>
    <row r="1950" spans="1:91">
      <c r="A1950" s="2" t="s">
        <v>71</v>
      </c>
      <c r="B1950" s="2" t="s">
        <v>72</v>
      </c>
      <c r="C1950" s="2" t="s">
        <v>73</v>
      </c>
      <c r="D1950" s="2"/>
      <c r="E1950" s="2" t="str">
        <f>"FES1162543753"</f>
        <v>FES1162543753</v>
      </c>
      <c r="F1950" s="3">
        <v>42838</v>
      </c>
      <c r="G1950" s="2">
        <v>201710</v>
      </c>
      <c r="H1950" s="2" t="s">
        <v>74</v>
      </c>
      <c r="I1950" s="2" t="s">
        <v>75</v>
      </c>
      <c r="J1950" s="2" t="s">
        <v>76</v>
      </c>
      <c r="K1950" s="2" t="s">
        <v>77</v>
      </c>
      <c r="L1950" s="2" t="s">
        <v>396</v>
      </c>
      <c r="M1950" s="2" t="s">
        <v>397</v>
      </c>
      <c r="N1950" s="2" t="s">
        <v>1381</v>
      </c>
      <c r="O1950" s="2" t="s">
        <v>115</v>
      </c>
      <c r="P1950" s="2" t="str">
        <f>"2170562390                    "</f>
        <v xml:space="preserve">2170562390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4.29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1</v>
      </c>
      <c r="BJ1950" s="2">
        <v>1.1000000000000001</v>
      </c>
      <c r="BK1950" s="2">
        <v>1.5</v>
      </c>
      <c r="BL1950" s="2">
        <v>41.73</v>
      </c>
      <c r="BM1950" s="2">
        <v>5.84</v>
      </c>
      <c r="BN1950" s="2">
        <v>47.57</v>
      </c>
      <c r="BO1950" s="2">
        <v>47.57</v>
      </c>
      <c r="BP1950" s="2"/>
      <c r="BQ1950" s="2" t="s">
        <v>129</v>
      </c>
      <c r="BR1950" s="2" t="s">
        <v>84</v>
      </c>
      <c r="BS1950" s="3">
        <v>42843</v>
      </c>
      <c r="BT1950" s="4">
        <v>0.41666666666666669</v>
      </c>
      <c r="BU1950" s="2" t="s">
        <v>1382</v>
      </c>
      <c r="BV1950" s="2" t="s">
        <v>86</v>
      </c>
      <c r="BW1950" s="2" t="s">
        <v>164</v>
      </c>
      <c r="BX1950" s="2" t="s">
        <v>2343</v>
      </c>
      <c r="BY1950" s="2">
        <v>5320</v>
      </c>
      <c r="BZ1950" s="2"/>
      <c r="CA1950" s="2"/>
      <c r="CB1950" s="2"/>
      <c r="CC1950" s="2" t="s">
        <v>397</v>
      </c>
      <c r="CD1950" s="2">
        <v>4300</v>
      </c>
      <c r="CE1950" s="2" t="s">
        <v>89</v>
      </c>
      <c r="CF1950" s="5">
        <v>42844</v>
      </c>
      <c r="CG1950" s="2"/>
      <c r="CH1950" s="2"/>
      <c r="CI1950" s="2">
        <v>1</v>
      </c>
      <c r="CJ1950" s="2">
        <v>3</v>
      </c>
      <c r="CK1950" s="2">
        <v>21</v>
      </c>
      <c r="CL1950" s="2" t="s">
        <v>86</v>
      </c>
      <c r="CM1950" s="2"/>
    </row>
    <row r="1951" spans="1:91">
      <c r="A1951" s="2" t="s">
        <v>71</v>
      </c>
      <c r="B1951" s="2" t="s">
        <v>72</v>
      </c>
      <c r="C1951" s="2" t="s">
        <v>73</v>
      </c>
      <c r="D1951" s="2"/>
      <c r="E1951" s="2" t="str">
        <f>"FES1162543769"</f>
        <v>FES1162543769</v>
      </c>
      <c r="F1951" s="3">
        <v>42838</v>
      </c>
      <c r="G1951" s="2">
        <v>201710</v>
      </c>
      <c r="H1951" s="2" t="s">
        <v>74</v>
      </c>
      <c r="I1951" s="2" t="s">
        <v>75</v>
      </c>
      <c r="J1951" s="2" t="s">
        <v>76</v>
      </c>
      <c r="K1951" s="2" t="s">
        <v>77</v>
      </c>
      <c r="L1951" s="2" t="s">
        <v>176</v>
      </c>
      <c r="M1951" s="2" t="s">
        <v>176</v>
      </c>
      <c r="N1951" s="2" t="s">
        <v>339</v>
      </c>
      <c r="O1951" s="2" t="s">
        <v>115</v>
      </c>
      <c r="P1951" s="2" t="str">
        <f>"2170562081                    "</f>
        <v xml:space="preserve">2170562081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19.29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9</v>
      </c>
      <c r="BJ1951" s="2">
        <v>3.4</v>
      </c>
      <c r="BK1951" s="2">
        <v>9</v>
      </c>
      <c r="BL1951" s="2">
        <v>187.77</v>
      </c>
      <c r="BM1951" s="2">
        <v>26.29</v>
      </c>
      <c r="BN1951" s="2">
        <v>214.06</v>
      </c>
      <c r="BO1951" s="2">
        <v>214.06</v>
      </c>
      <c r="BP1951" s="2"/>
      <c r="BQ1951" s="2" t="s">
        <v>340</v>
      </c>
      <c r="BR1951" s="2" t="s">
        <v>84</v>
      </c>
      <c r="BS1951" s="3">
        <v>42843</v>
      </c>
      <c r="BT1951" s="4">
        <v>0.52083333333333337</v>
      </c>
      <c r="BU1951" s="2" t="s">
        <v>2362</v>
      </c>
      <c r="BV1951" s="2" t="s">
        <v>86</v>
      </c>
      <c r="BW1951" s="2" t="s">
        <v>87</v>
      </c>
      <c r="BX1951" s="2" t="s">
        <v>1370</v>
      </c>
      <c r="BY1951" s="2">
        <v>16965</v>
      </c>
      <c r="BZ1951" s="2"/>
      <c r="CA1951" s="2"/>
      <c r="CB1951" s="2"/>
      <c r="CC1951" s="2" t="s">
        <v>176</v>
      </c>
      <c r="CD1951" s="2">
        <v>7646</v>
      </c>
      <c r="CE1951" s="2" t="s">
        <v>89</v>
      </c>
      <c r="CF1951" s="5">
        <v>42844</v>
      </c>
      <c r="CG1951" s="2"/>
      <c r="CH1951" s="2"/>
      <c r="CI1951" s="2">
        <v>1</v>
      </c>
      <c r="CJ1951" s="2">
        <v>3</v>
      </c>
      <c r="CK1951" s="2">
        <v>21</v>
      </c>
      <c r="CL1951" s="2" t="s">
        <v>86</v>
      </c>
      <c r="CM1951" s="2"/>
    </row>
    <row r="1952" spans="1:91">
      <c r="A1952" s="2" t="s">
        <v>71</v>
      </c>
      <c r="B1952" s="2" t="s">
        <v>72</v>
      </c>
      <c r="C1952" s="2" t="s">
        <v>73</v>
      </c>
      <c r="D1952" s="2"/>
      <c r="E1952" s="2" t="str">
        <f>"FES1162543800"</f>
        <v>FES1162543800</v>
      </c>
      <c r="F1952" s="3">
        <v>42838</v>
      </c>
      <c r="G1952" s="2">
        <v>201710</v>
      </c>
      <c r="H1952" s="2" t="s">
        <v>74</v>
      </c>
      <c r="I1952" s="2" t="s">
        <v>75</v>
      </c>
      <c r="J1952" s="2" t="s">
        <v>76</v>
      </c>
      <c r="K1952" s="2" t="s">
        <v>77</v>
      </c>
      <c r="L1952" s="2" t="s">
        <v>126</v>
      </c>
      <c r="M1952" s="2" t="s">
        <v>127</v>
      </c>
      <c r="N1952" s="2" t="s">
        <v>2406</v>
      </c>
      <c r="O1952" s="2" t="s">
        <v>115</v>
      </c>
      <c r="P1952" s="2" t="str">
        <f>"2170562447                    "</f>
        <v xml:space="preserve">2170562447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4.29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1</v>
      </c>
      <c r="BJ1952" s="2">
        <v>0.2</v>
      </c>
      <c r="BK1952" s="2">
        <v>1</v>
      </c>
      <c r="BL1952" s="2">
        <v>41.73</v>
      </c>
      <c r="BM1952" s="2">
        <v>5.84</v>
      </c>
      <c r="BN1952" s="2">
        <v>47.57</v>
      </c>
      <c r="BO1952" s="2">
        <v>47.57</v>
      </c>
      <c r="BP1952" s="2"/>
      <c r="BQ1952" s="2" t="s">
        <v>2407</v>
      </c>
      <c r="BR1952" s="2" t="s">
        <v>84</v>
      </c>
      <c r="BS1952" s="3">
        <v>42843</v>
      </c>
      <c r="BT1952" s="4">
        <v>0</v>
      </c>
      <c r="BU1952" s="2" t="s">
        <v>2408</v>
      </c>
      <c r="BV1952" s="2" t="s">
        <v>111</v>
      </c>
      <c r="BW1952" s="2"/>
      <c r="BX1952" s="2"/>
      <c r="BY1952" s="2">
        <v>1200</v>
      </c>
      <c r="BZ1952" s="2"/>
      <c r="CA1952" s="2"/>
      <c r="CB1952" s="2"/>
      <c r="CC1952" s="2" t="s">
        <v>127</v>
      </c>
      <c r="CD1952" s="2">
        <v>6850</v>
      </c>
      <c r="CE1952" s="2" t="s">
        <v>118</v>
      </c>
      <c r="CF1952" s="5">
        <v>42844</v>
      </c>
      <c r="CG1952" s="2"/>
      <c r="CH1952" s="2"/>
      <c r="CI1952" s="2">
        <v>3</v>
      </c>
      <c r="CJ1952" s="2">
        <v>3</v>
      </c>
      <c r="CK1952" s="2">
        <v>21</v>
      </c>
      <c r="CL1952" s="2" t="s">
        <v>86</v>
      </c>
      <c r="CM1952" s="2"/>
    </row>
    <row r="1953" spans="1:91">
      <c r="A1953" s="2" t="s">
        <v>71</v>
      </c>
      <c r="B1953" s="2" t="s">
        <v>72</v>
      </c>
      <c r="C1953" s="2" t="s">
        <v>73</v>
      </c>
      <c r="D1953" s="2"/>
      <c r="E1953" s="2" t="str">
        <f>"FES1162543798"</f>
        <v>FES1162543798</v>
      </c>
      <c r="F1953" s="3">
        <v>42838</v>
      </c>
      <c r="G1953" s="2">
        <v>201710</v>
      </c>
      <c r="H1953" s="2" t="s">
        <v>74</v>
      </c>
      <c r="I1953" s="2" t="s">
        <v>75</v>
      </c>
      <c r="J1953" s="2" t="s">
        <v>76</v>
      </c>
      <c r="K1953" s="2" t="s">
        <v>77</v>
      </c>
      <c r="L1953" s="2" t="s">
        <v>131</v>
      </c>
      <c r="M1953" s="2" t="s">
        <v>132</v>
      </c>
      <c r="N1953" s="2" t="s">
        <v>384</v>
      </c>
      <c r="O1953" s="2" t="s">
        <v>115</v>
      </c>
      <c r="P1953" s="2" t="str">
        <f>"2170562443                    "</f>
        <v xml:space="preserve">2170562443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4.29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1</v>
      </c>
      <c r="BJ1953" s="2">
        <v>0.2</v>
      </c>
      <c r="BK1953" s="2">
        <v>1</v>
      </c>
      <c r="BL1953" s="2">
        <v>41.73</v>
      </c>
      <c r="BM1953" s="2">
        <v>5.84</v>
      </c>
      <c r="BN1953" s="2">
        <v>47.57</v>
      </c>
      <c r="BO1953" s="2">
        <v>47.57</v>
      </c>
      <c r="BP1953" s="2"/>
      <c r="BQ1953" s="2" t="s">
        <v>468</v>
      </c>
      <c r="BR1953" s="2" t="s">
        <v>84</v>
      </c>
      <c r="BS1953" s="3">
        <v>42843</v>
      </c>
      <c r="BT1953" s="4">
        <v>0.41666666666666669</v>
      </c>
      <c r="BU1953" s="2" t="s">
        <v>1791</v>
      </c>
      <c r="BV1953" s="2" t="s">
        <v>86</v>
      </c>
      <c r="BW1953" s="2" t="s">
        <v>157</v>
      </c>
      <c r="BX1953" s="2" t="s">
        <v>158</v>
      </c>
      <c r="BY1953" s="2">
        <v>1200</v>
      </c>
      <c r="BZ1953" s="2"/>
      <c r="CA1953" s="2" t="s">
        <v>159</v>
      </c>
      <c r="CB1953" s="2"/>
      <c r="CC1953" s="2" t="s">
        <v>132</v>
      </c>
      <c r="CD1953" s="2">
        <v>7405</v>
      </c>
      <c r="CE1953" s="2" t="s">
        <v>118</v>
      </c>
      <c r="CF1953" s="5">
        <v>42844</v>
      </c>
      <c r="CG1953" s="2"/>
      <c r="CH1953" s="2"/>
      <c r="CI1953" s="2">
        <v>1</v>
      </c>
      <c r="CJ1953" s="2">
        <v>3</v>
      </c>
      <c r="CK1953" s="2">
        <v>21</v>
      </c>
      <c r="CL1953" s="2" t="s">
        <v>86</v>
      </c>
      <c r="CM1953" s="2"/>
    </row>
    <row r="1954" spans="1:91">
      <c r="A1954" s="2" t="s">
        <v>71</v>
      </c>
      <c r="B1954" s="2" t="s">
        <v>72</v>
      </c>
      <c r="C1954" s="2" t="s">
        <v>73</v>
      </c>
      <c r="D1954" s="2"/>
      <c r="E1954" s="2" t="str">
        <f>"FES1162543733"</f>
        <v>FES1162543733</v>
      </c>
      <c r="F1954" s="3">
        <v>42838</v>
      </c>
      <c r="G1954" s="2">
        <v>201710</v>
      </c>
      <c r="H1954" s="2" t="s">
        <v>74</v>
      </c>
      <c r="I1954" s="2" t="s">
        <v>75</v>
      </c>
      <c r="J1954" s="2" t="s">
        <v>76</v>
      </c>
      <c r="K1954" s="2" t="s">
        <v>77</v>
      </c>
      <c r="L1954" s="2" t="s">
        <v>176</v>
      </c>
      <c r="M1954" s="2" t="s">
        <v>176</v>
      </c>
      <c r="N1954" s="2" t="s">
        <v>339</v>
      </c>
      <c r="O1954" s="2" t="s">
        <v>115</v>
      </c>
      <c r="P1954" s="2" t="str">
        <f>"2170562081                    "</f>
        <v xml:space="preserve">2170562081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42.87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20</v>
      </c>
      <c r="BJ1954" s="2">
        <v>9.4</v>
      </c>
      <c r="BK1954" s="2">
        <v>20</v>
      </c>
      <c r="BL1954" s="2">
        <v>417.27</v>
      </c>
      <c r="BM1954" s="2">
        <v>58.42</v>
      </c>
      <c r="BN1954" s="2">
        <v>475.69</v>
      </c>
      <c r="BO1954" s="2">
        <v>475.69</v>
      </c>
      <c r="BP1954" s="2"/>
      <c r="BQ1954" s="2" t="s">
        <v>340</v>
      </c>
      <c r="BR1954" s="2" t="s">
        <v>84</v>
      </c>
      <c r="BS1954" s="3">
        <v>42843</v>
      </c>
      <c r="BT1954" s="4">
        <v>0.52083333333333337</v>
      </c>
      <c r="BU1954" s="2" t="s">
        <v>2362</v>
      </c>
      <c r="BV1954" s="2" t="s">
        <v>86</v>
      </c>
      <c r="BW1954" s="2" t="s">
        <v>87</v>
      </c>
      <c r="BX1954" s="2" t="s">
        <v>1370</v>
      </c>
      <c r="BY1954" s="2">
        <v>47104</v>
      </c>
      <c r="BZ1954" s="2"/>
      <c r="CA1954" s="2"/>
      <c r="CB1954" s="2"/>
      <c r="CC1954" s="2" t="s">
        <v>176</v>
      </c>
      <c r="CD1954" s="2">
        <v>7646</v>
      </c>
      <c r="CE1954" s="2" t="s">
        <v>89</v>
      </c>
      <c r="CF1954" s="5">
        <v>42844</v>
      </c>
      <c r="CG1954" s="2"/>
      <c r="CH1954" s="2"/>
      <c r="CI1954" s="2">
        <v>1</v>
      </c>
      <c r="CJ1954" s="2">
        <v>3</v>
      </c>
      <c r="CK1954" s="2">
        <v>21</v>
      </c>
      <c r="CL1954" s="2" t="s">
        <v>86</v>
      </c>
      <c r="CM1954" s="2"/>
    </row>
    <row r="1955" spans="1:91">
      <c r="A1955" s="2" t="s">
        <v>71</v>
      </c>
      <c r="B1955" s="2" t="s">
        <v>72</v>
      </c>
      <c r="C1955" s="2" t="s">
        <v>73</v>
      </c>
      <c r="D1955" s="2"/>
      <c r="E1955" s="2" t="str">
        <f>"FES1162543805"</f>
        <v>FES1162543805</v>
      </c>
      <c r="F1955" s="3">
        <v>42838</v>
      </c>
      <c r="G1955" s="2">
        <v>201710</v>
      </c>
      <c r="H1955" s="2" t="s">
        <v>74</v>
      </c>
      <c r="I1955" s="2" t="s">
        <v>75</v>
      </c>
      <c r="J1955" s="2" t="s">
        <v>76</v>
      </c>
      <c r="K1955" s="2" t="s">
        <v>77</v>
      </c>
      <c r="L1955" s="2" t="s">
        <v>180</v>
      </c>
      <c r="M1955" s="2" t="s">
        <v>181</v>
      </c>
      <c r="N1955" s="2" t="s">
        <v>457</v>
      </c>
      <c r="O1955" s="2" t="s">
        <v>115</v>
      </c>
      <c r="P1955" s="2" t="str">
        <f>"2170562452                    "</f>
        <v xml:space="preserve">2170562452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15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7</v>
      </c>
      <c r="BJ1955" s="2">
        <v>4.0999999999999996</v>
      </c>
      <c r="BK1955" s="2">
        <v>7</v>
      </c>
      <c r="BL1955" s="2">
        <v>146.04</v>
      </c>
      <c r="BM1955" s="2">
        <v>20.45</v>
      </c>
      <c r="BN1955" s="2">
        <v>166.49</v>
      </c>
      <c r="BO1955" s="2">
        <v>166.49</v>
      </c>
      <c r="BP1955" s="2"/>
      <c r="BQ1955" s="2" t="s">
        <v>458</v>
      </c>
      <c r="BR1955" s="2" t="s">
        <v>84</v>
      </c>
      <c r="BS1955" s="3">
        <v>42843</v>
      </c>
      <c r="BT1955" s="4">
        <v>0.39583333333333331</v>
      </c>
      <c r="BU1955" s="2" t="s">
        <v>2409</v>
      </c>
      <c r="BV1955" s="2" t="s">
        <v>86</v>
      </c>
      <c r="BW1955" s="2" t="s">
        <v>164</v>
      </c>
      <c r="BX1955" s="2" t="s">
        <v>2343</v>
      </c>
      <c r="BY1955" s="2">
        <v>20460</v>
      </c>
      <c r="BZ1955" s="2"/>
      <c r="CA1955" s="2"/>
      <c r="CB1955" s="2"/>
      <c r="CC1955" s="2" t="s">
        <v>181</v>
      </c>
      <c r="CD1955" s="2">
        <v>4001</v>
      </c>
      <c r="CE1955" s="2" t="s">
        <v>89</v>
      </c>
      <c r="CF1955" s="5">
        <v>42844</v>
      </c>
      <c r="CG1955" s="2"/>
      <c r="CH1955" s="2"/>
      <c r="CI1955" s="2">
        <v>1</v>
      </c>
      <c r="CJ1955" s="2">
        <v>3</v>
      </c>
      <c r="CK1955" s="2">
        <v>21</v>
      </c>
      <c r="CL1955" s="2" t="s">
        <v>86</v>
      </c>
      <c r="CM1955" s="2"/>
    </row>
    <row r="1956" spans="1:91">
      <c r="A1956" s="2" t="s">
        <v>71</v>
      </c>
      <c r="B1956" s="2" t="s">
        <v>72</v>
      </c>
      <c r="C1956" s="2" t="s">
        <v>73</v>
      </c>
      <c r="D1956" s="2"/>
      <c r="E1956" s="2" t="str">
        <f>"FES1162543806"</f>
        <v>FES1162543806</v>
      </c>
      <c r="F1956" s="3">
        <v>42838</v>
      </c>
      <c r="G1956" s="2">
        <v>201710</v>
      </c>
      <c r="H1956" s="2" t="s">
        <v>74</v>
      </c>
      <c r="I1956" s="2" t="s">
        <v>75</v>
      </c>
      <c r="J1956" s="2" t="s">
        <v>76</v>
      </c>
      <c r="K1956" s="2" t="s">
        <v>77</v>
      </c>
      <c r="L1956" s="2" t="s">
        <v>234</v>
      </c>
      <c r="M1956" s="2" t="s">
        <v>235</v>
      </c>
      <c r="N1956" s="2" t="s">
        <v>236</v>
      </c>
      <c r="O1956" s="2" t="s">
        <v>115</v>
      </c>
      <c r="P1956" s="2" t="str">
        <f>"2170562455                    "</f>
        <v xml:space="preserve">2170562455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4.29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2</v>
      </c>
      <c r="BJ1956" s="2">
        <v>1.9</v>
      </c>
      <c r="BK1956" s="2">
        <v>2</v>
      </c>
      <c r="BL1956" s="2">
        <v>41.73</v>
      </c>
      <c r="BM1956" s="2">
        <v>5.84</v>
      </c>
      <c r="BN1956" s="2">
        <v>47.57</v>
      </c>
      <c r="BO1956" s="2">
        <v>47.57</v>
      </c>
      <c r="BP1956" s="2"/>
      <c r="BQ1956" s="2" t="s">
        <v>285</v>
      </c>
      <c r="BR1956" s="2" t="s">
        <v>84</v>
      </c>
      <c r="BS1956" s="3">
        <v>42843</v>
      </c>
      <c r="BT1956" s="4">
        <v>0.33680555555555558</v>
      </c>
      <c r="BU1956" s="2" t="s">
        <v>130</v>
      </c>
      <c r="BV1956" s="2" t="s">
        <v>86</v>
      </c>
      <c r="BW1956" s="2" t="s">
        <v>164</v>
      </c>
      <c r="BX1956" s="2" t="s">
        <v>1140</v>
      </c>
      <c r="BY1956" s="2">
        <v>9360</v>
      </c>
      <c r="BZ1956" s="2"/>
      <c r="CA1956" s="2"/>
      <c r="CB1956" s="2"/>
      <c r="CC1956" s="2" t="s">
        <v>235</v>
      </c>
      <c r="CD1956" s="2">
        <v>6220</v>
      </c>
      <c r="CE1956" s="2" t="s">
        <v>89</v>
      </c>
      <c r="CF1956" s="5">
        <v>42844</v>
      </c>
      <c r="CG1956" s="2"/>
      <c r="CH1956" s="2"/>
      <c r="CI1956" s="2">
        <v>1</v>
      </c>
      <c r="CJ1956" s="2">
        <v>3</v>
      </c>
      <c r="CK1956" s="2">
        <v>21</v>
      </c>
      <c r="CL1956" s="2" t="s">
        <v>86</v>
      </c>
      <c r="CM1956" s="2"/>
    </row>
    <row r="1957" spans="1:91">
      <c r="A1957" s="2" t="s">
        <v>71</v>
      </c>
      <c r="B1957" s="2" t="s">
        <v>72</v>
      </c>
      <c r="C1957" s="2" t="s">
        <v>73</v>
      </c>
      <c r="D1957" s="2"/>
      <c r="E1957" s="2" t="str">
        <f>"FES1162543804"</f>
        <v>FES1162543804</v>
      </c>
      <c r="F1957" s="3">
        <v>42838</v>
      </c>
      <c r="G1957" s="2">
        <v>201710</v>
      </c>
      <c r="H1957" s="2" t="s">
        <v>74</v>
      </c>
      <c r="I1957" s="2" t="s">
        <v>75</v>
      </c>
      <c r="J1957" s="2" t="s">
        <v>76</v>
      </c>
      <c r="K1957" s="2" t="s">
        <v>77</v>
      </c>
      <c r="L1957" s="2" t="s">
        <v>139</v>
      </c>
      <c r="M1957" s="2" t="s">
        <v>140</v>
      </c>
      <c r="N1957" s="2" t="s">
        <v>784</v>
      </c>
      <c r="O1957" s="2" t="s">
        <v>115</v>
      </c>
      <c r="P1957" s="2" t="str">
        <f>"2170555673                    "</f>
        <v xml:space="preserve">2170555673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4.29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1</v>
      </c>
      <c r="BJ1957" s="2">
        <v>0.2</v>
      </c>
      <c r="BK1957" s="2">
        <v>1</v>
      </c>
      <c r="BL1957" s="2">
        <v>41.73</v>
      </c>
      <c r="BM1957" s="2">
        <v>5.84</v>
      </c>
      <c r="BN1957" s="2">
        <v>47.57</v>
      </c>
      <c r="BO1957" s="2">
        <v>47.57</v>
      </c>
      <c r="BP1957" s="2"/>
      <c r="BQ1957" s="2"/>
      <c r="BR1957" s="2" t="s">
        <v>84</v>
      </c>
      <c r="BS1957" s="3">
        <v>42843</v>
      </c>
      <c r="BT1957" s="4">
        <v>0.41666666666666669</v>
      </c>
      <c r="BU1957" s="2" t="s">
        <v>2410</v>
      </c>
      <c r="BV1957" s="2" t="s">
        <v>86</v>
      </c>
      <c r="BW1957" s="2" t="s">
        <v>164</v>
      </c>
      <c r="BX1957" s="2" t="s">
        <v>786</v>
      </c>
      <c r="BY1957" s="2">
        <v>1200</v>
      </c>
      <c r="BZ1957" s="2"/>
      <c r="CA1957" s="2"/>
      <c r="CB1957" s="2"/>
      <c r="CC1957" s="2" t="s">
        <v>140</v>
      </c>
      <c r="CD1957" s="2">
        <v>157</v>
      </c>
      <c r="CE1957" s="2" t="s">
        <v>118</v>
      </c>
      <c r="CF1957" s="5">
        <v>42845</v>
      </c>
      <c r="CG1957" s="2"/>
      <c r="CH1957" s="2"/>
      <c r="CI1957" s="2">
        <v>0</v>
      </c>
      <c r="CJ1957" s="2">
        <v>0</v>
      </c>
      <c r="CK1957" s="2">
        <v>21</v>
      </c>
      <c r="CL1957" s="2" t="s">
        <v>86</v>
      </c>
      <c r="CM1957" s="2"/>
    </row>
    <row r="1958" spans="1:91">
      <c r="A1958" s="2" t="s">
        <v>71</v>
      </c>
      <c r="B1958" s="2" t="s">
        <v>72</v>
      </c>
      <c r="C1958" s="2" t="s">
        <v>73</v>
      </c>
      <c r="D1958" s="2"/>
      <c r="E1958" s="2" t="str">
        <f>"FES1162543809"</f>
        <v>FES1162543809</v>
      </c>
      <c r="F1958" s="3">
        <v>42838</v>
      </c>
      <c r="G1958" s="2">
        <v>201710</v>
      </c>
      <c r="H1958" s="2" t="s">
        <v>74</v>
      </c>
      <c r="I1958" s="2" t="s">
        <v>75</v>
      </c>
      <c r="J1958" s="2" t="s">
        <v>76</v>
      </c>
      <c r="K1958" s="2" t="s">
        <v>77</v>
      </c>
      <c r="L1958" s="2" t="s">
        <v>231</v>
      </c>
      <c r="M1958" s="2" t="s">
        <v>232</v>
      </c>
      <c r="N1958" s="2" t="s">
        <v>2411</v>
      </c>
      <c r="O1958" s="2" t="s">
        <v>115</v>
      </c>
      <c r="P1958" s="2" t="str">
        <f>"2170562460                    "</f>
        <v xml:space="preserve">2170562460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6.03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1</v>
      </c>
      <c r="BJ1958" s="2">
        <v>0.2</v>
      </c>
      <c r="BK1958" s="2">
        <v>1</v>
      </c>
      <c r="BL1958" s="2">
        <v>58.68</v>
      </c>
      <c r="BM1958" s="2">
        <v>8.2200000000000006</v>
      </c>
      <c r="BN1958" s="2">
        <v>66.900000000000006</v>
      </c>
      <c r="BO1958" s="2">
        <v>66.900000000000006</v>
      </c>
      <c r="BP1958" s="2"/>
      <c r="BQ1958" s="2" t="s">
        <v>2412</v>
      </c>
      <c r="BR1958" s="2" t="s">
        <v>84</v>
      </c>
      <c r="BS1958" s="3">
        <v>42843</v>
      </c>
      <c r="BT1958" s="4">
        <v>0.49305555555555558</v>
      </c>
      <c r="BU1958" s="2" t="s">
        <v>198</v>
      </c>
      <c r="BV1958" s="2" t="s">
        <v>86</v>
      </c>
      <c r="BW1958" s="2"/>
      <c r="BX1958" s="2"/>
      <c r="BY1958" s="2">
        <v>1200</v>
      </c>
      <c r="BZ1958" s="2"/>
      <c r="CA1958" s="2"/>
      <c r="CB1958" s="2"/>
      <c r="CC1958" s="2" t="s">
        <v>232</v>
      </c>
      <c r="CD1958" s="2">
        <v>250</v>
      </c>
      <c r="CE1958" s="2" t="s">
        <v>118</v>
      </c>
      <c r="CF1958" s="5">
        <v>42845</v>
      </c>
      <c r="CG1958" s="2"/>
      <c r="CH1958" s="2"/>
      <c r="CI1958" s="2">
        <v>1</v>
      </c>
      <c r="CJ1958" s="2">
        <v>3</v>
      </c>
      <c r="CK1958" s="2">
        <v>24</v>
      </c>
      <c r="CL1958" s="2" t="s">
        <v>86</v>
      </c>
      <c r="CM1958" s="2"/>
    </row>
    <row r="1959" spans="1:91">
      <c r="A1959" s="2" t="s">
        <v>71</v>
      </c>
      <c r="B1959" s="2" t="s">
        <v>72</v>
      </c>
      <c r="C1959" s="2" t="s">
        <v>73</v>
      </c>
      <c r="D1959" s="2"/>
      <c r="E1959" s="2" t="str">
        <f>"FES1162543808"</f>
        <v>FES1162543808</v>
      </c>
      <c r="F1959" s="3">
        <v>42838</v>
      </c>
      <c r="G1959" s="2">
        <v>201710</v>
      </c>
      <c r="H1959" s="2" t="s">
        <v>74</v>
      </c>
      <c r="I1959" s="2" t="s">
        <v>75</v>
      </c>
      <c r="J1959" s="2" t="s">
        <v>76</v>
      </c>
      <c r="K1959" s="2" t="s">
        <v>77</v>
      </c>
      <c r="L1959" s="2" t="s">
        <v>900</v>
      </c>
      <c r="M1959" s="2" t="s">
        <v>901</v>
      </c>
      <c r="N1959" s="2" t="s">
        <v>1428</v>
      </c>
      <c r="O1959" s="2" t="s">
        <v>115</v>
      </c>
      <c r="P1959" s="2" t="str">
        <f>"217562233                     "</f>
        <v xml:space="preserve">217562233 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10.72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5</v>
      </c>
      <c r="BJ1959" s="2">
        <v>3.5</v>
      </c>
      <c r="BK1959" s="2">
        <v>5</v>
      </c>
      <c r="BL1959" s="2">
        <v>104.32</v>
      </c>
      <c r="BM1959" s="2">
        <v>14.6</v>
      </c>
      <c r="BN1959" s="2">
        <v>118.92</v>
      </c>
      <c r="BO1959" s="2">
        <v>118.92</v>
      </c>
      <c r="BP1959" s="2"/>
      <c r="BQ1959" s="2" t="s">
        <v>1429</v>
      </c>
      <c r="BR1959" s="2" t="s">
        <v>84</v>
      </c>
      <c r="BS1959" s="3">
        <v>42843</v>
      </c>
      <c r="BT1959" s="4">
        <v>0.32291666666666669</v>
      </c>
      <c r="BU1959" s="2" t="s">
        <v>2413</v>
      </c>
      <c r="BV1959" s="2" t="s">
        <v>86</v>
      </c>
      <c r="BW1959" s="2" t="s">
        <v>164</v>
      </c>
      <c r="BX1959" s="2" t="s">
        <v>2343</v>
      </c>
      <c r="BY1959" s="2">
        <v>17550</v>
      </c>
      <c r="BZ1959" s="2"/>
      <c r="CA1959" s="2"/>
      <c r="CB1959" s="2"/>
      <c r="CC1959" s="2" t="s">
        <v>901</v>
      </c>
      <c r="CD1959" s="2">
        <v>4026</v>
      </c>
      <c r="CE1959" s="2" t="s">
        <v>89</v>
      </c>
      <c r="CF1959" s="5">
        <v>42844</v>
      </c>
      <c r="CG1959" s="2"/>
      <c r="CH1959" s="2"/>
      <c r="CI1959" s="2">
        <v>1</v>
      </c>
      <c r="CJ1959" s="2">
        <v>3</v>
      </c>
      <c r="CK1959" s="2">
        <v>21</v>
      </c>
      <c r="CL1959" s="2" t="s">
        <v>86</v>
      </c>
      <c r="CM1959" s="2"/>
    </row>
    <row r="1960" spans="1:91">
      <c r="A1960" s="2" t="s">
        <v>71</v>
      </c>
      <c r="B1960" s="2" t="s">
        <v>72</v>
      </c>
      <c r="C1960" s="2" t="s">
        <v>73</v>
      </c>
      <c r="D1960" s="2"/>
      <c r="E1960" s="2" t="str">
        <f>"FES1162543807"</f>
        <v>FES1162543807</v>
      </c>
      <c r="F1960" s="3">
        <v>42838</v>
      </c>
      <c r="G1960" s="2">
        <v>201710</v>
      </c>
      <c r="H1960" s="2" t="s">
        <v>74</v>
      </c>
      <c r="I1960" s="2" t="s">
        <v>75</v>
      </c>
      <c r="J1960" s="2" t="s">
        <v>76</v>
      </c>
      <c r="K1960" s="2" t="s">
        <v>77</v>
      </c>
      <c r="L1960" s="2" t="s">
        <v>131</v>
      </c>
      <c r="M1960" s="2" t="s">
        <v>132</v>
      </c>
      <c r="N1960" s="2" t="s">
        <v>1553</v>
      </c>
      <c r="O1960" s="2" t="s">
        <v>115</v>
      </c>
      <c r="P1960" s="2" t="str">
        <f>"2170556689                    "</f>
        <v xml:space="preserve">2170556689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4.29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1</v>
      </c>
      <c r="BJ1960" s="2">
        <v>0.2</v>
      </c>
      <c r="BK1960" s="2">
        <v>1</v>
      </c>
      <c r="BL1960" s="2">
        <v>41.73</v>
      </c>
      <c r="BM1960" s="2">
        <v>5.84</v>
      </c>
      <c r="BN1960" s="2">
        <v>47.57</v>
      </c>
      <c r="BO1960" s="2">
        <v>47.57</v>
      </c>
      <c r="BP1960" s="2"/>
      <c r="BQ1960" s="2" t="s">
        <v>2414</v>
      </c>
      <c r="BR1960" s="2" t="s">
        <v>84</v>
      </c>
      <c r="BS1960" s="3">
        <v>42843</v>
      </c>
      <c r="BT1960" s="4">
        <v>0.42708333333333331</v>
      </c>
      <c r="BU1960" s="2" t="s">
        <v>562</v>
      </c>
      <c r="BV1960" s="2" t="s">
        <v>86</v>
      </c>
      <c r="BW1960" s="2" t="s">
        <v>484</v>
      </c>
      <c r="BX1960" s="2" t="s">
        <v>1370</v>
      </c>
      <c r="BY1960" s="2">
        <v>1200</v>
      </c>
      <c r="BZ1960" s="2"/>
      <c r="CA1960" s="2"/>
      <c r="CB1960" s="2"/>
      <c r="CC1960" s="2" t="s">
        <v>132</v>
      </c>
      <c r="CD1960" s="2">
        <v>7560</v>
      </c>
      <c r="CE1960" s="2" t="s">
        <v>118</v>
      </c>
      <c r="CF1960" s="5">
        <v>42844</v>
      </c>
      <c r="CG1960" s="2"/>
      <c r="CH1960" s="2"/>
      <c r="CI1960" s="2">
        <v>1</v>
      </c>
      <c r="CJ1960" s="2">
        <v>3</v>
      </c>
      <c r="CK1960" s="2">
        <v>21</v>
      </c>
      <c r="CL1960" s="2" t="s">
        <v>86</v>
      </c>
      <c r="CM1960" s="2"/>
    </row>
    <row r="1961" spans="1:91">
      <c r="A1961" s="2" t="s">
        <v>71</v>
      </c>
      <c r="B1961" s="2" t="s">
        <v>72</v>
      </c>
      <c r="C1961" s="2" t="s">
        <v>73</v>
      </c>
      <c r="D1961" s="2"/>
      <c r="E1961" s="2" t="str">
        <f>"FES1162543603"</f>
        <v>FES1162543603</v>
      </c>
      <c r="F1961" s="3">
        <v>42838</v>
      </c>
      <c r="G1961" s="2">
        <v>201710</v>
      </c>
      <c r="H1961" s="2" t="s">
        <v>74</v>
      </c>
      <c r="I1961" s="2" t="s">
        <v>75</v>
      </c>
      <c r="J1961" s="2" t="s">
        <v>76</v>
      </c>
      <c r="K1961" s="2" t="s">
        <v>77</v>
      </c>
      <c r="L1961" s="2" t="s">
        <v>443</v>
      </c>
      <c r="M1961" s="2" t="s">
        <v>444</v>
      </c>
      <c r="N1961" s="2" t="s">
        <v>627</v>
      </c>
      <c r="O1961" s="2" t="s">
        <v>115</v>
      </c>
      <c r="P1961" s="2" t="str">
        <f>"2170560234 1162543601 21705599"</f>
        <v>2170560234 1162543601 21705599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21.43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10</v>
      </c>
      <c r="BJ1961" s="2">
        <v>3.4</v>
      </c>
      <c r="BK1961" s="2">
        <v>10</v>
      </c>
      <c r="BL1961" s="2">
        <v>208.63</v>
      </c>
      <c r="BM1961" s="2">
        <v>29.21</v>
      </c>
      <c r="BN1961" s="2">
        <v>237.84</v>
      </c>
      <c r="BO1961" s="2">
        <v>237.84</v>
      </c>
      <c r="BP1961" s="2"/>
      <c r="BQ1961" s="2" t="s">
        <v>628</v>
      </c>
      <c r="BR1961" s="2" t="s">
        <v>84</v>
      </c>
      <c r="BS1961" s="3">
        <v>42843</v>
      </c>
      <c r="BT1961" s="4">
        <v>0.41666666666666669</v>
      </c>
      <c r="BU1961" s="2" t="s">
        <v>2415</v>
      </c>
      <c r="BV1961" s="2" t="s">
        <v>86</v>
      </c>
      <c r="BW1961" s="2" t="s">
        <v>87</v>
      </c>
      <c r="BX1961" s="2" t="s">
        <v>1370</v>
      </c>
      <c r="BY1961" s="2">
        <v>16965</v>
      </c>
      <c r="BZ1961" s="2"/>
      <c r="CA1961" s="2" t="s">
        <v>159</v>
      </c>
      <c r="CB1961" s="2"/>
      <c r="CC1961" s="2" t="s">
        <v>444</v>
      </c>
      <c r="CD1961" s="2">
        <v>7130</v>
      </c>
      <c r="CE1961" s="2" t="s">
        <v>89</v>
      </c>
      <c r="CF1961" s="5">
        <v>42844</v>
      </c>
      <c r="CG1961" s="2"/>
      <c r="CH1961" s="2"/>
      <c r="CI1961" s="2">
        <v>1</v>
      </c>
      <c r="CJ1961" s="2">
        <v>3</v>
      </c>
      <c r="CK1961" s="2">
        <v>21</v>
      </c>
      <c r="CL1961" s="2" t="s">
        <v>86</v>
      </c>
      <c r="CM1961" s="2"/>
    </row>
    <row r="1962" spans="1:91">
      <c r="A1962" s="2" t="s">
        <v>71</v>
      </c>
      <c r="B1962" s="2" t="s">
        <v>72</v>
      </c>
      <c r="C1962" s="2" t="s">
        <v>73</v>
      </c>
      <c r="D1962" s="2"/>
      <c r="E1962" s="2" t="str">
        <f>"FES1162542641"</f>
        <v>FES1162542641</v>
      </c>
      <c r="F1962" s="3">
        <v>42838</v>
      </c>
      <c r="G1962" s="2">
        <v>201710</v>
      </c>
      <c r="H1962" s="2" t="s">
        <v>74</v>
      </c>
      <c r="I1962" s="2" t="s">
        <v>75</v>
      </c>
      <c r="J1962" s="2" t="s">
        <v>76</v>
      </c>
      <c r="K1962" s="2" t="s">
        <v>77</v>
      </c>
      <c r="L1962" s="2" t="s">
        <v>166</v>
      </c>
      <c r="M1962" s="2" t="s">
        <v>167</v>
      </c>
      <c r="N1962" s="2" t="s">
        <v>942</v>
      </c>
      <c r="O1962" s="2" t="s">
        <v>115</v>
      </c>
      <c r="P1962" s="2" t="str">
        <f>"2170560821                    "</f>
        <v xml:space="preserve">2170560821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3.35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1</v>
      </c>
      <c r="BJ1962" s="2">
        <v>0.2</v>
      </c>
      <c r="BK1962" s="2">
        <v>1</v>
      </c>
      <c r="BL1962" s="2">
        <v>32.6</v>
      </c>
      <c r="BM1962" s="2">
        <v>4.5599999999999996</v>
      </c>
      <c r="BN1962" s="2">
        <v>37.159999999999997</v>
      </c>
      <c r="BO1962" s="2">
        <v>37.159999999999997</v>
      </c>
      <c r="BP1962" s="2"/>
      <c r="BQ1962" s="2" t="s">
        <v>943</v>
      </c>
      <c r="BR1962" s="2" t="s">
        <v>84</v>
      </c>
      <c r="BS1962" s="3">
        <v>42843</v>
      </c>
      <c r="BT1962" s="4">
        <v>0.39583333333333331</v>
      </c>
      <c r="BU1962" s="2" t="s">
        <v>944</v>
      </c>
      <c r="BV1962" s="2" t="s">
        <v>86</v>
      </c>
      <c r="BW1962" s="2" t="s">
        <v>96</v>
      </c>
      <c r="BX1962" s="2" t="s">
        <v>812</v>
      </c>
      <c r="BY1962" s="2">
        <v>1200</v>
      </c>
      <c r="BZ1962" s="2"/>
      <c r="CA1962" s="2"/>
      <c r="CB1962" s="2"/>
      <c r="CC1962" s="2" t="s">
        <v>167</v>
      </c>
      <c r="CD1962" s="2">
        <v>2065</v>
      </c>
      <c r="CE1962" s="2" t="s">
        <v>118</v>
      </c>
      <c r="CF1962" s="5">
        <v>42844</v>
      </c>
      <c r="CG1962" s="2"/>
      <c r="CH1962" s="2"/>
      <c r="CI1962" s="2">
        <v>1</v>
      </c>
      <c r="CJ1962" s="2">
        <v>3</v>
      </c>
      <c r="CK1962" s="2">
        <v>22</v>
      </c>
      <c r="CL1962" s="2" t="s">
        <v>86</v>
      </c>
      <c r="CM1962" s="2"/>
    </row>
    <row r="1963" spans="1:91">
      <c r="A1963" s="2" t="s">
        <v>71</v>
      </c>
      <c r="B1963" s="2" t="s">
        <v>72</v>
      </c>
      <c r="C1963" s="2" t="s">
        <v>73</v>
      </c>
      <c r="D1963" s="2"/>
      <c r="E1963" s="2" t="str">
        <f>"FES1162543732"</f>
        <v>FES1162543732</v>
      </c>
      <c r="F1963" s="3">
        <v>42838</v>
      </c>
      <c r="G1963" s="2">
        <v>201710</v>
      </c>
      <c r="H1963" s="2" t="s">
        <v>74</v>
      </c>
      <c r="I1963" s="2" t="s">
        <v>75</v>
      </c>
      <c r="J1963" s="2" t="s">
        <v>76</v>
      </c>
      <c r="K1963" s="2" t="s">
        <v>77</v>
      </c>
      <c r="L1963" s="2" t="s">
        <v>591</v>
      </c>
      <c r="M1963" s="2" t="s">
        <v>592</v>
      </c>
      <c r="N1963" s="2" t="s">
        <v>2416</v>
      </c>
      <c r="O1963" s="2" t="s">
        <v>115</v>
      </c>
      <c r="P1963" s="2" t="str">
        <f>"2170561550                    "</f>
        <v xml:space="preserve">2170561550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13.93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6.3</v>
      </c>
      <c r="BJ1963" s="2">
        <v>2.4</v>
      </c>
      <c r="BK1963" s="2">
        <v>6.5</v>
      </c>
      <c r="BL1963" s="2">
        <v>135.61000000000001</v>
      </c>
      <c r="BM1963" s="2">
        <v>18.989999999999998</v>
      </c>
      <c r="BN1963" s="2">
        <v>154.6</v>
      </c>
      <c r="BO1963" s="2">
        <v>154.6</v>
      </c>
      <c r="BP1963" s="2"/>
      <c r="BQ1963" s="2"/>
      <c r="BR1963" s="2" t="s">
        <v>84</v>
      </c>
      <c r="BS1963" s="3">
        <v>42843</v>
      </c>
      <c r="BT1963" s="4">
        <v>0.41666666666666669</v>
      </c>
      <c r="BU1963" s="2" t="s">
        <v>2417</v>
      </c>
      <c r="BV1963" s="2" t="s">
        <v>86</v>
      </c>
      <c r="BW1963" s="2" t="s">
        <v>157</v>
      </c>
      <c r="BX1963" s="2" t="s">
        <v>158</v>
      </c>
      <c r="BY1963" s="2">
        <v>12192.12</v>
      </c>
      <c r="BZ1963" s="2"/>
      <c r="CA1963" s="2"/>
      <c r="CB1963" s="2"/>
      <c r="CC1963" s="2" t="s">
        <v>592</v>
      </c>
      <c r="CD1963" s="2">
        <v>7600</v>
      </c>
      <c r="CE1963" s="2" t="s">
        <v>89</v>
      </c>
      <c r="CF1963" s="5">
        <v>42844</v>
      </c>
      <c r="CG1963" s="2"/>
      <c r="CH1963" s="2"/>
      <c r="CI1963" s="2">
        <v>1</v>
      </c>
      <c r="CJ1963" s="2">
        <v>3</v>
      </c>
      <c r="CK1963" s="2">
        <v>21</v>
      </c>
      <c r="CL1963" s="2" t="s">
        <v>86</v>
      </c>
      <c r="CM1963" s="2"/>
    </row>
    <row r="1964" spans="1:91">
      <c r="A1964" s="2" t="s">
        <v>71</v>
      </c>
      <c r="B1964" s="2" t="s">
        <v>72</v>
      </c>
      <c r="C1964" s="2" t="s">
        <v>73</v>
      </c>
      <c r="D1964" s="2"/>
      <c r="E1964" s="2" t="str">
        <f>"FES1162543652"</f>
        <v>FES1162543652</v>
      </c>
      <c r="F1964" s="3">
        <v>42838</v>
      </c>
      <c r="G1964" s="2">
        <v>201710</v>
      </c>
      <c r="H1964" s="2" t="s">
        <v>74</v>
      </c>
      <c r="I1964" s="2" t="s">
        <v>75</v>
      </c>
      <c r="J1964" s="2" t="s">
        <v>76</v>
      </c>
      <c r="K1964" s="2" t="s">
        <v>77</v>
      </c>
      <c r="L1964" s="2" t="s">
        <v>131</v>
      </c>
      <c r="M1964" s="2" t="s">
        <v>132</v>
      </c>
      <c r="N1964" s="2" t="s">
        <v>1269</v>
      </c>
      <c r="O1964" s="2" t="s">
        <v>115</v>
      </c>
      <c r="P1964" s="2" t="str">
        <f>"2170561445                    "</f>
        <v xml:space="preserve">2170561445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5.36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2</v>
      </c>
      <c r="BJ1964" s="2">
        <v>2.2000000000000002</v>
      </c>
      <c r="BK1964" s="2">
        <v>2.5</v>
      </c>
      <c r="BL1964" s="2">
        <v>52.16</v>
      </c>
      <c r="BM1964" s="2">
        <v>7.3</v>
      </c>
      <c r="BN1964" s="2">
        <v>59.46</v>
      </c>
      <c r="BO1964" s="2">
        <v>59.46</v>
      </c>
      <c r="BP1964" s="2"/>
      <c r="BQ1964" s="2" t="s">
        <v>129</v>
      </c>
      <c r="BR1964" s="2" t="s">
        <v>84</v>
      </c>
      <c r="BS1964" s="3">
        <v>42843</v>
      </c>
      <c r="BT1964" s="4">
        <v>0.40972222222222227</v>
      </c>
      <c r="BU1964" s="2" t="s">
        <v>2418</v>
      </c>
      <c r="BV1964" s="2" t="s">
        <v>86</v>
      </c>
      <c r="BW1964" s="2" t="s">
        <v>157</v>
      </c>
      <c r="BX1964" s="2" t="s">
        <v>1537</v>
      </c>
      <c r="BY1964" s="2">
        <v>10920</v>
      </c>
      <c r="BZ1964" s="2"/>
      <c r="CA1964" s="2"/>
      <c r="CB1964" s="2"/>
      <c r="CC1964" s="2" t="s">
        <v>132</v>
      </c>
      <c r="CD1964" s="2">
        <v>7800</v>
      </c>
      <c r="CE1964" s="2" t="s">
        <v>89</v>
      </c>
      <c r="CF1964" s="5">
        <v>42844</v>
      </c>
      <c r="CG1964" s="2"/>
      <c r="CH1964" s="2"/>
      <c r="CI1964" s="2">
        <v>1</v>
      </c>
      <c r="CJ1964" s="2">
        <v>3</v>
      </c>
      <c r="CK1964" s="2">
        <v>21</v>
      </c>
      <c r="CL1964" s="2" t="s">
        <v>86</v>
      </c>
      <c r="CM1964" s="2"/>
    </row>
    <row r="1965" spans="1:91">
      <c r="A1965" s="2" t="s">
        <v>71</v>
      </c>
      <c r="B1965" s="2" t="s">
        <v>72</v>
      </c>
      <c r="C1965" s="2" t="s">
        <v>73</v>
      </c>
      <c r="D1965" s="2"/>
      <c r="E1965" s="2" t="str">
        <f>"FES1162543791"</f>
        <v>FES1162543791</v>
      </c>
      <c r="F1965" s="3">
        <v>42838</v>
      </c>
      <c r="G1965" s="2">
        <v>201710</v>
      </c>
      <c r="H1965" s="2" t="s">
        <v>74</v>
      </c>
      <c r="I1965" s="2" t="s">
        <v>75</v>
      </c>
      <c r="J1965" s="2" t="s">
        <v>76</v>
      </c>
      <c r="K1965" s="2" t="s">
        <v>77</v>
      </c>
      <c r="L1965" s="2" t="s">
        <v>131</v>
      </c>
      <c r="M1965" s="2" t="s">
        <v>132</v>
      </c>
      <c r="N1965" s="2" t="s">
        <v>1220</v>
      </c>
      <c r="O1965" s="2" t="s">
        <v>115</v>
      </c>
      <c r="P1965" s="2" t="str">
        <f>"2170562433                    "</f>
        <v xml:space="preserve">2170562433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4.29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1</v>
      </c>
      <c r="BJ1965" s="2">
        <v>0.2</v>
      </c>
      <c r="BK1965" s="2">
        <v>1</v>
      </c>
      <c r="BL1965" s="2">
        <v>41.73</v>
      </c>
      <c r="BM1965" s="2">
        <v>5.84</v>
      </c>
      <c r="BN1965" s="2">
        <v>47.57</v>
      </c>
      <c r="BO1965" s="2">
        <v>47.57</v>
      </c>
      <c r="BP1965" s="2"/>
      <c r="BQ1965" s="2"/>
      <c r="BR1965" s="2" t="s">
        <v>84</v>
      </c>
      <c r="BS1965" s="3">
        <v>42843</v>
      </c>
      <c r="BT1965" s="4">
        <v>0.42708333333333331</v>
      </c>
      <c r="BU1965" s="2" t="s">
        <v>245</v>
      </c>
      <c r="BV1965" s="2" t="s">
        <v>86</v>
      </c>
      <c r="BW1965" s="2" t="s">
        <v>484</v>
      </c>
      <c r="BX1965" s="2" t="s">
        <v>1370</v>
      </c>
      <c r="BY1965" s="2">
        <v>1200</v>
      </c>
      <c r="BZ1965" s="2"/>
      <c r="CA1965" s="2"/>
      <c r="CB1965" s="2"/>
      <c r="CC1965" s="2" t="s">
        <v>132</v>
      </c>
      <c r="CD1965" s="2">
        <v>7405</v>
      </c>
      <c r="CE1965" s="2" t="s">
        <v>118</v>
      </c>
      <c r="CF1965" s="5">
        <v>42844</v>
      </c>
      <c r="CG1965" s="2"/>
      <c r="CH1965" s="2"/>
      <c r="CI1965" s="2">
        <v>1</v>
      </c>
      <c r="CJ1965" s="2">
        <v>3</v>
      </c>
      <c r="CK1965" s="2">
        <v>21</v>
      </c>
      <c r="CL1965" s="2" t="s">
        <v>86</v>
      </c>
      <c r="CM1965" s="2"/>
    </row>
    <row r="1966" spans="1:91">
      <c r="A1966" s="2" t="s">
        <v>71</v>
      </c>
      <c r="B1966" s="2" t="s">
        <v>72</v>
      </c>
      <c r="C1966" s="2" t="s">
        <v>73</v>
      </c>
      <c r="D1966" s="2"/>
      <c r="E1966" s="2" t="str">
        <f>"FES1162543803"</f>
        <v>FES1162543803</v>
      </c>
      <c r="F1966" s="3">
        <v>42838</v>
      </c>
      <c r="G1966" s="2">
        <v>201710</v>
      </c>
      <c r="H1966" s="2" t="s">
        <v>74</v>
      </c>
      <c r="I1966" s="2" t="s">
        <v>75</v>
      </c>
      <c r="J1966" s="2" t="s">
        <v>76</v>
      </c>
      <c r="K1966" s="2" t="s">
        <v>77</v>
      </c>
      <c r="L1966" s="2" t="s">
        <v>91</v>
      </c>
      <c r="M1966" s="2" t="s">
        <v>92</v>
      </c>
      <c r="N1966" s="2" t="s">
        <v>1475</v>
      </c>
      <c r="O1966" s="2" t="s">
        <v>115</v>
      </c>
      <c r="P1966" s="2" t="str">
        <f>"2170562449                    "</f>
        <v xml:space="preserve">2170562449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3.35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1</v>
      </c>
      <c r="BJ1966" s="2">
        <v>0.2</v>
      </c>
      <c r="BK1966" s="2">
        <v>1</v>
      </c>
      <c r="BL1966" s="2">
        <v>32.6</v>
      </c>
      <c r="BM1966" s="2">
        <v>4.5599999999999996</v>
      </c>
      <c r="BN1966" s="2">
        <v>37.159999999999997</v>
      </c>
      <c r="BO1966" s="2">
        <v>37.159999999999997</v>
      </c>
      <c r="BP1966" s="2"/>
      <c r="BQ1966" s="2" t="s">
        <v>1476</v>
      </c>
      <c r="BR1966" s="2" t="s">
        <v>84</v>
      </c>
      <c r="BS1966" s="3">
        <v>42843</v>
      </c>
      <c r="BT1966" s="4">
        <v>0.41666666666666669</v>
      </c>
      <c r="BU1966" s="2" t="s">
        <v>1913</v>
      </c>
      <c r="BV1966" s="2" t="s">
        <v>86</v>
      </c>
      <c r="BW1966" s="2" t="s">
        <v>164</v>
      </c>
      <c r="BX1966" s="2" t="s">
        <v>2211</v>
      </c>
      <c r="BY1966" s="2">
        <v>1200</v>
      </c>
      <c r="BZ1966" s="2"/>
      <c r="CA1966" s="2"/>
      <c r="CB1966" s="2"/>
      <c r="CC1966" s="2" t="s">
        <v>92</v>
      </c>
      <c r="CD1966" s="2">
        <v>1422</v>
      </c>
      <c r="CE1966" s="2" t="s">
        <v>118</v>
      </c>
      <c r="CF1966" s="5">
        <v>42844</v>
      </c>
      <c r="CG1966" s="2"/>
      <c r="CH1966" s="2"/>
      <c r="CI1966" s="2">
        <v>1</v>
      </c>
      <c r="CJ1966" s="2">
        <v>3</v>
      </c>
      <c r="CK1966" s="2">
        <v>22</v>
      </c>
      <c r="CL1966" s="2" t="s">
        <v>86</v>
      </c>
      <c r="CM1966" s="2"/>
    </row>
    <row r="1967" spans="1:91">
      <c r="A1967" s="2" t="s">
        <v>71</v>
      </c>
      <c r="B1967" s="2" t="s">
        <v>72</v>
      </c>
      <c r="C1967" s="2" t="s">
        <v>73</v>
      </c>
      <c r="D1967" s="2"/>
      <c r="E1967" s="2" t="str">
        <f>"FES1162543801"</f>
        <v>FES1162543801</v>
      </c>
      <c r="F1967" s="3">
        <v>42838</v>
      </c>
      <c r="G1967" s="2">
        <v>201710</v>
      </c>
      <c r="H1967" s="2" t="s">
        <v>74</v>
      </c>
      <c r="I1967" s="2" t="s">
        <v>75</v>
      </c>
      <c r="J1967" s="2" t="s">
        <v>76</v>
      </c>
      <c r="K1967" s="2" t="s">
        <v>77</v>
      </c>
      <c r="L1967" s="2" t="s">
        <v>91</v>
      </c>
      <c r="M1967" s="2" t="s">
        <v>92</v>
      </c>
      <c r="N1967" s="2" t="s">
        <v>2419</v>
      </c>
      <c r="O1967" s="2" t="s">
        <v>115</v>
      </c>
      <c r="P1967" s="2" t="str">
        <f>"2170562448                    "</f>
        <v xml:space="preserve">2170562448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3.35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1</v>
      </c>
      <c r="BJ1967" s="2">
        <v>0.2</v>
      </c>
      <c r="BK1967" s="2">
        <v>1</v>
      </c>
      <c r="BL1967" s="2">
        <v>32.6</v>
      </c>
      <c r="BM1967" s="2">
        <v>4.5599999999999996</v>
      </c>
      <c r="BN1967" s="2">
        <v>37.159999999999997</v>
      </c>
      <c r="BO1967" s="2">
        <v>37.159999999999997</v>
      </c>
      <c r="BP1967" s="2"/>
      <c r="BQ1967" s="2"/>
      <c r="BR1967" s="2" t="s">
        <v>84</v>
      </c>
      <c r="BS1967" s="3">
        <v>42843</v>
      </c>
      <c r="BT1967" s="4">
        <v>0.41666666666666669</v>
      </c>
      <c r="BU1967" s="2" t="s">
        <v>2420</v>
      </c>
      <c r="BV1967" s="2" t="s">
        <v>86</v>
      </c>
      <c r="BW1967" s="2" t="s">
        <v>164</v>
      </c>
      <c r="BX1967" s="2" t="s">
        <v>2211</v>
      </c>
      <c r="BY1967" s="2">
        <v>1200</v>
      </c>
      <c r="BZ1967" s="2"/>
      <c r="CA1967" s="2"/>
      <c r="CB1967" s="2"/>
      <c r="CC1967" s="2" t="s">
        <v>92</v>
      </c>
      <c r="CD1967" s="2">
        <v>1422</v>
      </c>
      <c r="CE1967" s="2" t="s">
        <v>118</v>
      </c>
      <c r="CF1967" s="5">
        <v>42844</v>
      </c>
      <c r="CG1967" s="2"/>
      <c r="CH1967" s="2"/>
      <c r="CI1967" s="2">
        <v>1</v>
      </c>
      <c r="CJ1967" s="2">
        <v>3</v>
      </c>
      <c r="CK1967" s="2">
        <v>22</v>
      </c>
      <c r="CL1967" s="2" t="s">
        <v>86</v>
      </c>
      <c r="CM1967" s="2"/>
    </row>
    <row r="1968" spans="1:91">
      <c r="A1968" s="2" t="s">
        <v>71</v>
      </c>
      <c r="B1968" s="2" t="s">
        <v>72</v>
      </c>
      <c r="C1968" s="2" t="s">
        <v>73</v>
      </c>
      <c r="D1968" s="2"/>
      <c r="E1968" s="2" t="str">
        <f>"FES1162543797"</f>
        <v>FES1162543797</v>
      </c>
      <c r="F1968" s="3">
        <v>42838</v>
      </c>
      <c r="G1968" s="2">
        <v>201710</v>
      </c>
      <c r="H1968" s="2" t="s">
        <v>74</v>
      </c>
      <c r="I1968" s="2" t="s">
        <v>75</v>
      </c>
      <c r="J1968" s="2" t="s">
        <v>76</v>
      </c>
      <c r="K1968" s="2" t="s">
        <v>77</v>
      </c>
      <c r="L1968" s="2" t="s">
        <v>99</v>
      </c>
      <c r="M1968" s="2" t="s">
        <v>100</v>
      </c>
      <c r="N1968" s="2" t="s">
        <v>876</v>
      </c>
      <c r="O1968" s="2" t="s">
        <v>115</v>
      </c>
      <c r="P1968" s="2" t="str">
        <f>"2170562442                    "</f>
        <v xml:space="preserve">2170562442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4.29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1</v>
      </c>
      <c r="BJ1968" s="2">
        <v>0.2</v>
      </c>
      <c r="BK1968" s="2">
        <v>1</v>
      </c>
      <c r="BL1968" s="2">
        <v>41.73</v>
      </c>
      <c r="BM1968" s="2">
        <v>5.84</v>
      </c>
      <c r="BN1968" s="2">
        <v>47.57</v>
      </c>
      <c r="BO1968" s="2">
        <v>47.57</v>
      </c>
      <c r="BP1968" s="2"/>
      <c r="BQ1968" s="2" t="s">
        <v>877</v>
      </c>
      <c r="BR1968" s="2" t="s">
        <v>84</v>
      </c>
      <c r="BS1968" s="3">
        <v>42843</v>
      </c>
      <c r="BT1968" s="4">
        <v>0.29236111111111113</v>
      </c>
      <c r="BU1968" s="2" t="s">
        <v>2421</v>
      </c>
      <c r="BV1968" s="2" t="s">
        <v>86</v>
      </c>
      <c r="BW1968" s="2" t="s">
        <v>104</v>
      </c>
      <c r="BX1968" s="2" t="s">
        <v>105</v>
      </c>
      <c r="BY1968" s="2">
        <v>1200</v>
      </c>
      <c r="BZ1968" s="2"/>
      <c r="CA1968" s="2" t="s">
        <v>106</v>
      </c>
      <c r="CB1968" s="2"/>
      <c r="CC1968" s="2" t="s">
        <v>100</v>
      </c>
      <c r="CD1968" s="2">
        <v>6012</v>
      </c>
      <c r="CE1968" s="2" t="s">
        <v>118</v>
      </c>
      <c r="CF1968" s="5">
        <v>42843</v>
      </c>
      <c r="CG1968" s="2"/>
      <c r="CH1968" s="2"/>
      <c r="CI1968" s="2">
        <v>1</v>
      </c>
      <c r="CJ1968" s="2">
        <v>3</v>
      </c>
      <c r="CK1968" s="2">
        <v>21</v>
      </c>
      <c r="CL1968" s="2" t="s">
        <v>86</v>
      </c>
      <c r="CM1968" s="2"/>
    </row>
    <row r="1969" spans="1:91">
      <c r="A1969" s="2" t="s">
        <v>71</v>
      </c>
      <c r="B1969" s="2" t="s">
        <v>72</v>
      </c>
      <c r="C1969" s="2" t="s">
        <v>73</v>
      </c>
      <c r="D1969" s="2"/>
      <c r="E1969" s="2" t="str">
        <f>"FES1162543717"</f>
        <v>FES1162543717</v>
      </c>
      <c r="F1969" s="3">
        <v>42838</v>
      </c>
      <c r="G1969" s="2">
        <v>201710</v>
      </c>
      <c r="H1969" s="2" t="s">
        <v>74</v>
      </c>
      <c r="I1969" s="2" t="s">
        <v>75</v>
      </c>
      <c r="J1969" s="2" t="s">
        <v>76</v>
      </c>
      <c r="K1969" s="2" t="s">
        <v>77</v>
      </c>
      <c r="L1969" s="2" t="s">
        <v>131</v>
      </c>
      <c r="M1969" s="2" t="s">
        <v>132</v>
      </c>
      <c r="N1969" s="2" t="s">
        <v>363</v>
      </c>
      <c r="O1969" s="2" t="s">
        <v>115</v>
      </c>
      <c r="P1969" s="2" t="str">
        <f>"2170562356                    "</f>
        <v xml:space="preserve">2170562356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12.86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2</v>
      </c>
      <c r="BI1969" s="2">
        <v>6</v>
      </c>
      <c r="BJ1969" s="2">
        <v>2.7</v>
      </c>
      <c r="BK1969" s="2">
        <v>6</v>
      </c>
      <c r="BL1969" s="2">
        <v>125.18</v>
      </c>
      <c r="BM1969" s="2">
        <v>17.53</v>
      </c>
      <c r="BN1969" s="2">
        <v>142.71</v>
      </c>
      <c r="BO1969" s="2">
        <v>142.71</v>
      </c>
      <c r="BP1969" s="2"/>
      <c r="BQ1969" s="2" t="s">
        <v>170</v>
      </c>
      <c r="BR1969" s="2" t="s">
        <v>84</v>
      </c>
      <c r="BS1969" s="3">
        <v>42843</v>
      </c>
      <c r="BT1969" s="4">
        <v>0.41666666666666669</v>
      </c>
      <c r="BU1969" s="2" t="s">
        <v>2422</v>
      </c>
      <c r="BV1969" s="2" t="s">
        <v>86</v>
      </c>
      <c r="BW1969" s="2" t="s">
        <v>157</v>
      </c>
      <c r="BX1969" s="2" t="s">
        <v>158</v>
      </c>
      <c r="BY1969" s="2">
        <v>13707</v>
      </c>
      <c r="BZ1969" s="2"/>
      <c r="CA1969" s="2"/>
      <c r="CB1969" s="2"/>
      <c r="CC1969" s="2" t="s">
        <v>132</v>
      </c>
      <c r="CD1969" s="2">
        <v>7441</v>
      </c>
      <c r="CE1969" s="2" t="s">
        <v>89</v>
      </c>
      <c r="CF1969" s="5">
        <v>42844</v>
      </c>
      <c r="CG1969" s="2"/>
      <c r="CH1969" s="2"/>
      <c r="CI1969" s="2">
        <v>1</v>
      </c>
      <c r="CJ1969" s="2">
        <v>3</v>
      </c>
      <c r="CK1969" s="2">
        <v>21</v>
      </c>
      <c r="CL1969" s="2" t="s">
        <v>86</v>
      </c>
      <c r="CM1969" s="2"/>
    </row>
    <row r="1970" spans="1:91">
      <c r="A1970" s="2" t="s">
        <v>71</v>
      </c>
      <c r="B1970" s="2" t="s">
        <v>72</v>
      </c>
      <c r="C1970" s="2" t="s">
        <v>73</v>
      </c>
      <c r="D1970" s="2"/>
      <c r="E1970" s="2" t="str">
        <f>"FES1162543802"</f>
        <v>FES1162543802</v>
      </c>
      <c r="F1970" s="3">
        <v>42838</v>
      </c>
      <c r="G1970" s="2">
        <v>201710</v>
      </c>
      <c r="H1970" s="2" t="s">
        <v>74</v>
      </c>
      <c r="I1970" s="2" t="s">
        <v>75</v>
      </c>
      <c r="J1970" s="2" t="s">
        <v>76</v>
      </c>
      <c r="K1970" s="2" t="s">
        <v>77</v>
      </c>
      <c r="L1970" s="2" t="s">
        <v>267</v>
      </c>
      <c r="M1970" s="2" t="s">
        <v>268</v>
      </c>
      <c r="N1970" s="2" t="s">
        <v>2423</v>
      </c>
      <c r="O1970" s="2" t="s">
        <v>115</v>
      </c>
      <c r="P1970" s="2" t="str">
        <f>"2170562451                    "</f>
        <v xml:space="preserve">2170562451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3.35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234</v>
      </c>
      <c r="BF1970" s="2">
        <v>0</v>
      </c>
      <c r="BG1970" s="2">
        <v>0</v>
      </c>
      <c r="BH1970" s="2">
        <v>1</v>
      </c>
      <c r="BI1970" s="2">
        <v>1</v>
      </c>
      <c r="BJ1970" s="2">
        <v>0.2</v>
      </c>
      <c r="BK1970" s="2">
        <v>1</v>
      </c>
      <c r="BL1970" s="2">
        <v>266.60000000000002</v>
      </c>
      <c r="BM1970" s="2">
        <v>37.32</v>
      </c>
      <c r="BN1970" s="2">
        <v>303.92</v>
      </c>
      <c r="BO1970" s="2">
        <v>303.92</v>
      </c>
      <c r="BP1970" s="2" t="s">
        <v>2424</v>
      </c>
      <c r="BQ1970" s="2" t="s">
        <v>636</v>
      </c>
      <c r="BR1970" s="2" t="s">
        <v>84</v>
      </c>
      <c r="BS1970" s="3">
        <v>42844</v>
      </c>
      <c r="BT1970" s="4">
        <v>0.41666666666666669</v>
      </c>
      <c r="BU1970" s="2" t="s">
        <v>2425</v>
      </c>
      <c r="BV1970" s="2" t="s">
        <v>86</v>
      </c>
      <c r="BW1970" s="2" t="s">
        <v>811</v>
      </c>
      <c r="BX1970" s="2" t="s">
        <v>812</v>
      </c>
      <c r="BY1970" s="2">
        <v>1200</v>
      </c>
      <c r="BZ1970" s="2" t="s">
        <v>2426</v>
      </c>
      <c r="CA1970" s="2" t="s">
        <v>590</v>
      </c>
      <c r="CB1970" s="2"/>
      <c r="CC1970" s="2" t="s">
        <v>268</v>
      </c>
      <c r="CD1970" s="2">
        <v>1709</v>
      </c>
      <c r="CE1970" s="2" t="s">
        <v>118</v>
      </c>
      <c r="CF1970" s="2"/>
      <c r="CG1970" s="2"/>
      <c r="CH1970" s="2"/>
      <c r="CI1970" s="2">
        <v>1</v>
      </c>
      <c r="CJ1970" s="2">
        <v>6</v>
      </c>
      <c r="CK1970" s="2">
        <v>22</v>
      </c>
      <c r="CL1970" s="2" t="s">
        <v>86</v>
      </c>
      <c r="CM1970" s="2"/>
    </row>
    <row r="1971" spans="1:91">
      <c r="A1971" s="2" t="s">
        <v>71</v>
      </c>
      <c r="B1971" s="2" t="s">
        <v>72</v>
      </c>
      <c r="C1971" s="2" t="s">
        <v>73</v>
      </c>
      <c r="D1971" s="2"/>
      <c r="E1971" s="2" t="str">
        <f>"FES1162543787"</f>
        <v>FES1162543787</v>
      </c>
      <c r="F1971" s="3">
        <v>42838</v>
      </c>
      <c r="G1971" s="2">
        <v>201710</v>
      </c>
      <c r="H1971" s="2" t="s">
        <v>74</v>
      </c>
      <c r="I1971" s="2" t="s">
        <v>75</v>
      </c>
      <c r="J1971" s="2" t="s">
        <v>76</v>
      </c>
      <c r="K1971" s="2" t="s">
        <v>77</v>
      </c>
      <c r="L1971" s="2" t="s">
        <v>166</v>
      </c>
      <c r="M1971" s="2" t="s">
        <v>167</v>
      </c>
      <c r="N1971" s="2" t="s">
        <v>2177</v>
      </c>
      <c r="O1971" s="2" t="s">
        <v>115</v>
      </c>
      <c r="P1971" s="2" t="str">
        <f>"2170562426                    "</f>
        <v xml:space="preserve">2170562426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3.35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2.4</v>
      </c>
      <c r="BJ1971" s="2">
        <v>3.7</v>
      </c>
      <c r="BK1971" s="2">
        <v>4</v>
      </c>
      <c r="BL1971" s="2">
        <v>32.6</v>
      </c>
      <c r="BM1971" s="2">
        <v>4.5599999999999996</v>
      </c>
      <c r="BN1971" s="2">
        <v>37.159999999999997</v>
      </c>
      <c r="BO1971" s="2">
        <v>37.159999999999997</v>
      </c>
      <c r="BP1971" s="2"/>
      <c r="BQ1971" s="2" t="s">
        <v>2178</v>
      </c>
      <c r="BR1971" s="2" t="s">
        <v>84</v>
      </c>
      <c r="BS1971" s="3">
        <v>42843</v>
      </c>
      <c r="BT1971" s="4">
        <v>0.30208333333333331</v>
      </c>
      <c r="BU1971" s="2" t="s">
        <v>2427</v>
      </c>
      <c r="BV1971" s="2" t="s">
        <v>86</v>
      </c>
      <c r="BW1971" s="2" t="s">
        <v>96</v>
      </c>
      <c r="BX1971" s="2" t="s">
        <v>812</v>
      </c>
      <c r="BY1971" s="2">
        <v>18260.060000000001</v>
      </c>
      <c r="BZ1971" s="2"/>
      <c r="CA1971" s="2"/>
      <c r="CB1971" s="2"/>
      <c r="CC1971" s="2" t="s">
        <v>167</v>
      </c>
      <c r="CD1971" s="2">
        <v>2001</v>
      </c>
      <c r="CE1971" s="2" t="s">
        <v>89</v>
      </c>
      <c r="CF1971" s="5">
        <v>42844</v>
      </c>
      <c r="CG1971" s="2"/>
      <c r="CH1971" s="2"/>
      <c r="CI1971" s="2">
        <v>1</v>
      </c>
      <c r="CJ1971" s="2">
        <v>3</v>
      </c>
      <c r="CK1971" s="2">
        <v>22</v>
      </c>
      <c r="CL1971" s="2" t="s">
        <v>86</v>
      </c>
      <c r="CM1971" s="2"/>
    </row>
    <row r="1972" spans="1:91">
      <c r="A1972" s="2" t="s">
        <v>71</v>
      </c>
      <c r="B1972" s="2" t="s">
        <v>72</v>
      </c>
      <c r="C1972" s="2" t="s">
        <v>73</v>
      </c>
      <c r="D1972" s="2"/>
      <c r="E1972" s="2" t="str">
        <f>"FES1162543792"</f>
        <v>FES1162543792</v>
      </c>
      <c r="F1972" s="3">
        <v>42838</v>
      </c>
      <c r="G1972" s="2">
        <v>201710</v>
      </c>
      <c r="H1972" s="2" t="s">
        <v>74</v>
      </c>
      <c r="I1972" s="2" t="s">
        <v>75</v>
      </c>
      <c r="J1972" s="2" t="s">
        <v>76</v>
      </c>
      <c r="K1972" s="2" t="s">
        <v>77</v>
      </c>
      <c r="L1972" s="2" t="s">
        <v>180</v>
      </c>
      <c r="M1972" s="2" t="s">
        <v>181</v>
      </c>
      <c r="N1972" s="2" t="s">
        <v>80</v>
      </c>
      <c r="O1972" s="2" t="s">
        <v>115</v>
      </c>
      <c r="P1972" s="2" t="str">
        <f>"2170562435                    "</f>
        <v xml:space="preserve">2170562435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4.29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1</v>
      </c>
      <c r="BJ1972" s="2">
        <v>0.2</v>
      </c>
      <c r="BK1972" s="2">
        <v>1</v>
      </c>
      <c r="BL1972" s="2">
        <v>41.73</v>
      </c>
      <c r="BM1972" s="2">
        <v>5.84</v>
      </c>
      <c r="BN1972" s="2">
        <v>47.57</v>
      </c>
      <c r="BO1972" s="2">
        <v>47.57</v>
      </c>
      <c r="BP1972" s="2"/>
      <c r="BQ1972" s="2" t="s">
        <v>122</v>
      </c>
      <c r="BR1972" s="2" t="s">
        <v>84</v>
      </c>
      <c r="BS1972" s="3">
        <v>42843</v>
      </c>
      <c r="BT1972" s="4">
        <v>0.34583333333333338</v>
      </c>
      <c r="BU1972" s="2" t="s">
        <v>245</v>
      </c>
      <c r="BV1972" s="2" t="s">
        <v>86</v>
      </c>
      <c r="BW1972" s="2"/>
      <c r="BX1972" s="2"/>
      <c r="BY1972" s="2">
        <v>1200</v>
      </c>
      <c r="BZ1972" s="2"/>
      <c r="CA1972" s="2"/>
      <c r="CB1972" s="2"/>
      <c r="CC1972" s="2" t="s">
        <v>181</v>
      </c>
      <c r="CD1972" s="2">
        <v>4052</v>
      </c>
      <c r="CE1972" s="2" t="s">
        <v>118</v>
      </c>
      <c r="CF1972" s="5">
        <v>42844</v>
      </c>
      <c r="CG1972" s="2"/>
      <c r="CH1972" s="2"/>
      <c r="CI1972" s="2">
        <v>1</v>
      </c>
      <c r="CJ1972" s="2">
        <v>3</v>
      </c>
      <c r="CK1972" s="2">
        <v>21</v>
      </c>
      <c r="CL1972" s="2" t="s">
        <v>86</v>
      </c>
      <c r="CM1972" s="2"/>
    </row>
    <row r="1973" spans="1:91">
      <c r="A1973" s="2" t="s">
        <v>71</v>
      </c>
      <c r="B1973" s="2" t="s">
        <v>72</v>
      </c>
      <c r="C1973" s="2" t="s">
        <v>73</v>
      </c>
      <c r="D1973" s="2"/>
      <c r="E1973" s="2" t="str">
        <f>"FES1162543788"</f>
        <v>FES1162543788</v>
      </c>
      <c r="F1973" s="3">
        <v>42838</v>
      </c>
      <c r="G1973" s="2">
        <v>201710</v>
      </c>
      <c r="H1973" s="2" t="s">
        <v>74</v>
      </c>
      <c r="I1973" s="2" t="s">
        <v>75</v>
      </c>
      <c r="J1973" s="2" t="s">
        <v>76</v>
      </c>
      <c r="K1973" s="2" t="s">
        <v>77</v>
      </c>
      <c r="L1973" s="2" t="s">
        <v>659</v>
      </c>
      <c r="M1973" s="2" t="s">
        <v>660</v>
      </c>
      <c r="N1973" s="2" t="s">
        <v>2428</v>
      </c>
      <c r="O1973" s="2" t="s">
        <v>115</v>
      </c>
      <c r="P1973" s="2" t="str">
        <f>"2170562427                    "</f>
        <v xml:space="preserve">2170562427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4.29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2</v>
      </c>
      <c r="BJ1973" s="2">
        <v>2</v>
      </c>
      <c r="BK1973" s="2">
        <v>2</v>
      </c>
      <c r="BL1973" s="2">
        <v>41.73</v>
      </c>
      <c r="BM1973" s="2">
        <v>5.84</v>
      </c>
      <c r="BN1973" s="2">
        <v>47.57</v>
      </c>
      <c r="BO1973" s="2">
        <v>47.57</v>
      </c>
      <c r="BP1973" s="2"/>
      <c r="BQ1973" s="2" t="s">
        <v>2429</v>
      </c>
      <c r="BR1973" s="2" t="s">
        <v>84</v>
      </c>
      <c r="BS1973" s="3">
        <v>42843</v>
      </c>
      <c r="BT1973" s="4">
        <v>0.41666666666666669</v>
      </c>
      <c r="BU1973" s="2" t="s">
        <v>266</v>
      </c>
      <c r="BV1973" s="2" t="s">
        <v>86</v>
      </c>
      <c r="BW1973" s="2"/>
      <c r="BX1973" s="2"/>
      <c r="BY1973" s="2">
        <v>9900</v>
      </c>
      <c r="BZ1973" s="2"/>
      <c r="CA1973" s="2"/>
      <c r="CB1973" s="2"/>
      <c r="CC1973" s="2" t="s">
        <v>660</v>
      </c>
      <c r="CD1973" s="2">
        <v>3310</v>
      </c>
      <c r="CE1973" s="2" t="s">
        <v>89</v>
      </c>
      <c r="CF1973" s="5">
        <v>42844</v>
      </c>
      <c r="CG1973" s="2"/>
      <c r="CH1973" s="2"/>
      <c r="CI1973" s="2">
        <v>1</v>
      </c>
      <c r="CJ1973" s="2">
        <v>3</v>
      </c>
      <c r="CK1973" s="2">
        <v>21</v>
      </c>
      <c r="CL1973" s="2" t="s">
        <v>86</v>
      </c>
      <c r="CM1973" s="2"/>
    </row>
    <row r="1974" spans="1:91">
      <c r="A1974" s="2" t="s">
        <v>71</v>
      </c>
      <c r="B1974" s="2" t="s">
        <v>72</v>
      </c>
      <c r="C1974" s="2" t="s">
        <v>73</v>
      </c>
      <c r="D1974" s="2"/>
      <c r="E1974" s="2" t="str">
        <f>"FES1162543795"</f>
        <v>FES1162543795</v>
      </c>
      <c r="F1974" s="3">
        <v>42838</v>
      </c>
      <c r="G1974" s="2">
        <v>201710</v>
      </c>
      <c r="H1974" s="2" t="s">
        <v>74</v>
      </c>
      <c r="I1974" s="2" t="s">
        <v>75</v>
      </c>
      <c r="J1974" s="2" t="s">
        <v>76</v>
      </c>
      <c r="K1974" s="2" t="s">
        <v>77</v>
      </c>
      <c r="L1974" s="2" t="s">
        <v>2430</v>
      </c>
      <c r="M1974" s="2" t="s">
        <v>2431</v>
      </c>
      <c r="N1974" s="2" t="s">
        <v>2432</v>
      </c>
      <c r="O1974" s="2" t="s">
        <v>115</v>
      </c>
      <c r="P1974" s="2" t="str">
        <f>"2170562438                    "</f>
        <v xml:space="preserve">2170562438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8.31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2</v>
      </c>
      <c r="BJ1974" s="2">
        <v>0.2</v>
      </c>
      <c r="BK1974" s="2">
        <v>2</v>
      </c>
      <c r="BL1974" s="2">
        <v>80.849999999999994</v>
      </c>
      <c r="BM1974" s="2">
        <v>11.32</v>
      </c>
      <c r="BN1974" s="2">
        <v>92.17</v>
      </c>
      <c r="BO1974" s="2">
        <v>92.17</v>
      </c>
      <c r="BP1974" s="2"/>
      <c r="BQ1974" s="2" t="s">
        <v>116</v>
      </c>
      <c r="BR1974" s="2" t="s">
        <v>84</v>
      </c>
      <c r="BS1974" s="3">
        <v>42844</v>
      </c>
      <c r="BT1974" s="4">
        <v>0.3215277777777778</v>
      </c>
      <c r="BU1974" s="2" t="s">
        <v>2433</v>
      </c>
      <c r="BV1974" s="2" t="s">
        <v>86</v>
      </c>
      <c r="BW1974" s="2" t="s">
        <v>87</v>
      </c>
      <c r="BX1974" s="2" t="s">
        <v>251</v>
      </c>
      <c r="BY1974" s="2">
        <v>1200</v>
      </c>
      <c r="BZ1974" s="2"/>
      <c r="CA1974" s="2"/>
      <c r="CB1974" s="2"/>
      <c r="CC1974" s="2" t="s">
        <v>2431</v>
      </c>
      <c r="CD1974" s="2">
        <v>5099</v>
      </c>
      <c r="CE1974" s="2" t="s">
        <v>118</v>
      </c>
      <c r="CF1974" s="5">
        <v>42846</v>
      </c>
      <c r="CG1974" s="2"/>
      <c r="CH1974" s="2"/>
      <c r="CI1974" s="2">
        <v>3</v>
      </c>
      <c r="CJ1974" s="2">
        <v>4</v>
      </c>
      <c r="CK1974" s="2">
        <v>23</v>
      </c>
      <c r="CL1974" s="2" t="s">
        <v>86</v>
      </c>
      <c r="CM1974" s="2"/>
    </row>
    <row r="1975" spans="1:91">
      <c r="A1975" s="2" t="s">
        <v>71</v>
      </c>
      <c r="B1975" s="2" t="s">
        <v>72</v>
      </c>
      <c r="C1975" s="2" t="s">
        <v>73</v>
      </c>
      <c r="D1975" s="2"/>
      <c r="E1975" s="2" t="str">
        <f>"FES1162542629"</f>
        <v>FES1162542629</v>
      </c>
      <c r="F1975" s="3">
        <v>42838</v>
      </c>
      <c r="G1975" s="2">
        <v>201710</v>
      </c>
      <c r="H1975" s="2" t="s">
        <v>74</v>
      </c>
      <c r="I1975" s="2" t="s">
        <v>75</v>
      </c>
      <c r="J1975" s="2" t="s">
        <v>76</v>
      </c>
      <c r="K1975" s="2" t="s">
        <v>77</v>
      </c>
      <c r="L1975" s="2" t="s">
        <v>166</v>
      </c>
      <c r="M1975" s="2" t="s">
        <v>167</v>
      </c>
      <c r="N1975" s="2" t="s">
        <v>168</v>
      </c>
      <c r="O1975" s="2" t="s">
        <v>115</v>
      </c>
      <c r="P1975" s="2" t="str">
        <f>"2170560329                    "</f>
        <v xml:space="preserve">2170560329 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3.35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1</v>
      </c>
      <c r="BJ1975" s="2">
        <v>0.2</v>
      </c>
      <c r="BK1975" s="2">
        <v>1</v>
      </c>
      <c r="BL1975" s="2">
        <v>32.6</v>
      </c>
      <c r="BM1975" s="2">
        <v>4.5599999999999996</v>
      </c>
      <c r="BN1975" s="2">
        <v>37.159999999999997</v>
      </c>
      <c r="BO1975" s="2">
        <v>37.159999999999997</v>
      </c>
      <c r="BP1975" s="2"/>
      <c r="BQ1975" s="2" t="s">
        <v>169</v>
      </c>
      <c r="BR1975" s="2" t="s">
        <v>84</v>
      </c>
      <c r="BS1975" s="3">
        <v>42843</v>
      </c>
      <c r="BT1975" s="4">
        <v>0.38958333333333334</v>
      </c>
      <c r="BU1975" s="2" t="s">
        <v>2311</v>
      </c>
      <c r="BV1975" s="2" t="s">
        <v>86</v>
      </c>
      <c r="BW1975" s="2" t="s">
        <v>164</v>
      </c>
      <c r="BX1975" s="2" t="s">
        <v>618</v>
      </c>
      <c r="BY1975" s="2">
        <v>1200</v>
      </c>
      <c r="BZ1975" s="2"/>
      <c r="CA1975" s="2" t="s">
        <v>2312</v>
      </c>
      <c r="CB1975" s="2"/>
      <c r="CC1975" s="2" t="s">
        <v>167</v>
      </c>
      <c r="CD1975" s="2">
        <v>2094</v>
      </c>
      <c r="CE1975" s="2" t="s">
        <v>118</v>
      </c>
      <c r="CF1975" s="5">
        <v>42843</v>
      </c>
      <c r="CG1975" s="2"/>
      <c r="CH1975" s="2"/>
      <c r="CI1975" s="2">
        <v>1</v>
      </c>
      <c r="CJ1975" s="2">
        <v>3</v>
      </c>
      <c r="CK1975" s="2">
        <v>22</v>
      </c>
      <c r="CL1975" s="2" t="s">
        <v>86</v>
      </c>
      <c r="CM1975" s="2"/>
    </row>
    <row r="1976" spans="1:91">
      <c r="A1976" s="2" t="s">
        <v>71</v>
      </c>
      <c r="B1976" s="2" t="s">
        <v>72</v>
      </c>
      <c r="C1976" s="2" t="s">
        <v>73</v>
      </c>
      <c r="D1976" s="2"/>
      <c r="E1976" s="2" t="str">
        <f>"FES1162543757"</f>
        <v>FES1162543757</v>
      </c>
      <c r="F1976" s="3">
        <v>42838</v>
      </c>
      <c r="G1976" s="2">
        <v>201710</v>
      </c>
      <c r="H1976" s="2" t="s">
        <v>74</v>
      </c>
      <c r="I1976" s="2" t="s">
        <v>75</v>
      </c>
      <c r="J1976" s="2" t="s">
        <v>76</v>
      </c>
      <c r="K1976" s="2" t="s">
        <v>77</v>
      </c>
      <c r="L1976" s="2" t="s">
        <v>131</v>
      </c>
      <c r="M1976" s="2" t="s">
        <v>132</v>
      </c>
      <c r="N1976" s="2" t="s">
        <v>1097</v>
      </c>
      <c r="O1976" s="2" t="s">
        <v>115</v>
      </c>
      <c r="P1976" s="2" t="str">
        <f>"2170562395                    "</f>
        <v xml:space="preserve">2170562395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4.29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1</v>
      </c>
      <c r="BJ1976" s="2">
        <v>0.2</v>
      </c>
      <c r="BK1976" s="2">
        <v>1</v>
      </c>
      <c r="BL1976" s="2">
        <v>41.73</v>
      </c>
      <c r="BM1976" s="2">
        <v>5.84</v>
      </c>
      <c r="BN1976" s="2">
        <v>47.57</v>
      </c>
      <c r="BO1976" s="2">
        <v>47.57</v>
      </c>
      <c r="BP1976" s="2"/>
      <c r="BQ1976" s="2" t="s">
        <v>1098</v>
      </c>
      <c r="BR1976" s="2" t="s">
        <v>84</v>
      </c>
      <c r="BS1976" s="3">
        <v>42843</v>
      </c>
      <c r="BT1976" s="4">
        <v>0.40486111111111112</v>
      </c>
      <c r="BU1976" s="2" t="s">
        <v>2434</v>
      </c>
      <c r="BV1976" s="2" t="s">
        <v>86</v>
      </c>
      <c r="BW1976" s="2" t="s">
        <v>484</v>
      </c>
      <c r="BX1976" s="2" t="s">
        <v>1370</v>
      </c>
      <c r="BY1976" s="2">
        <v>1200</v>
      </c>
      <c r="BZ1976" s="2"/>
      <c r="CA1976" s="2"/>
      <c r="CB1976" s="2"/>
      <c r="CC1976" s="2" t="s">
        <v>132</v>
      </c>
      <c r="CD1976" s="2">
        <v>7925</v>
      </c>
      <c r="CE1976" s="2" t="s">
        <v>118</v>
      </c>
      <c r="CF1976" s="5">
        <v>42844</v>
      </c>
      <c r="CG1976" s="2"/>
      <c r="CH1976" s="2"/>
      <c r="CI1976" s="2">
        <v>1</v>
      </c>
      <c r="CJ1976" s="2">
        <v>3</v>
      </c>
      <c r="CK1976" s="2">
        <v>21</v>
      </c>
      <c r="CL1976" s="2" t="s">
        <v>86</v>
      </c>
      <c r="CM1976" s="2"/>
    </row>
    <row r="1977" spans="1:91">
      <c r="A1977" s="2" t="s">
        <v>71</v>
      </c>
      <c r="B1977" s="2" t="s">
        <v>72</v>
      </c>
      <c r="C1977" s="2" t="s">
        <v>73</v>
      </c>
      <c r="D1977" s="2"/>
      <c r="E1977" s="2" t="str">
        <f>"FES1162543755"</f>
        <v>FES1162543755</v>
      </c>
      <c r="F1977" s="3">
        <v>42838</v>
      </c>
      <c r="G1977" s="2">
        <v>201710</v>
      </c>
      <c r="H1977" s="2" t="s">
        <v>74</v>
      </c>
      <c r="I1977" s="2" t="s">
        <v>75</v>
      </c>
      <c r="J1977" s="2" t="s">
        <v>76</v>
      </c>
      <c r="K1977" s="2" t="s">
        <v>77</v>
      </c>
      <c r="L1977" s="2" t="s">
        <v>176</v>
      </c>
      <c r="M1977" s="2" t="s">
        <v>176</v>
      </c>
      <c r="N1977" s="2" t="s">
        <v>177</v>
      </c>
      <c r="O1977" s="2" t="s">
        <v>115</v>
      </c>
      <c r="P1977" s="2" t="str">
        <f>"2170562392                    "</f>
        <v xml:space="preserve">2170562392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4.29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</v>
      </c>
      <c r="BJ1977" s="2">
        <v>0.2</v>
      </c>
      <c r="BK1977" s="2">
        <v>1</v>
      </c>
      <c r="BL1977" s="2">
        <v>41.73</v>
      </c>
      <c r="BM1977" s="2">
        <v>5.84</v>
      </c>
      <c r="BN1977" s="2">
        <v>47.57</v>
      </c>
      <c r="BO1977" s="2">
        <v>47.57</v>
      </c>
      <c r="BP1977" s="2"/>
      <c r="BQ1977" s="2" t="s">
        <v>178</v>
      </c>
      <c r="BR1977" s="2" t="s">
        <v>84</v>
      </c>
      <c r="BS1977" s="3">
        <v>42843</v>
      </c>
      <c r="BT1977" s="4">
        <v>0.51041666666666663</v>
      </c>
      <c r="BU1977" s="2" t="s">
        <v>1487</v>
      </c>
      <c r="BV1977" s="2" t="s">
        <v>86</v>
      </c>
      <c r="BW1977" s="2" t="s">
        <v>87</v>
      </c>
      <c r="BX1977" s="2" t="s">
        <v>1370</v>
      </c>
      <c r="BY1977" s="2">
        <v>1200</v>
      </c>
      <c r="BZ1977" s="2"/>
      <c r="CA1977" s="2"/>
      <c r="CB1977" s="2"/>
      <c r="CC1977" s="2" t="s">
        <v>176</v>
      </c>
      <c r="CD1977" s="2">
        <v>7646</v>
      </c>
      <c r="CE1977" s="2" t="s">
        <v>118</v>
      </c>
      <c r="CF1977" s="5">
        <v>42844</v>
      </c>
      <c r="CG1977" s="2"/>
      <c r="CH1977" s="2"/>
      <c r="CI1977" s="2">
        <v>1</v>
      </c>
      <c r="CJ1977" s="2">
        <v>3</v>
      </c>
      <c r="CK1977" s="2">
        <v>21</v>
      </c>
      <c r="CL1977" s="2" t="s">
        <v>86</v>
      </c>
      <c r="CM1977" s="2"/>
    </row>
    <row r="1978" spans="1:91">
      <c r="A1978" s="2" t="s">
        <v>71</v>
      </c>
      <c r="B1978" s="2" t="s">
        <v>72</v>
      </c>
      <c r="C1978" s="2" t="s">
        <v>73</v>
      </c>
      <c r="D1978" s="2"/>
      <c r="E1978" s="2" t="str">
        <f>"FES1162543778"</f>
        <v>FES1162543778</v>
      </c>
      <c r="F1978" s="3">
        <v>42838</v>
      </c>
      <c r="G1978" s="2">
        <v>201710</v>
      </c>
      <c r="H1978" s="2" t="s">
        <v>74</v>
      </c>
      <c r="I1978" s="2" t="s">
        <v>75</v>
      </c>
      <c r="J1978" s="2" t="s">
        <v>76</v>
      </c>
      <c r="K1978" s="2" t="s">
        <v>77</v>
      </c>
      <c r="L1978" s="2" t="s">
        <v>74</v>
      </c>
      <c r="M1978" s="2" t="s">
        <v>75</v>
      </c>
      <c r="N1978" s="2" t="s">
        <v>2435</v>
      </c>
      <c r="O1978" s="2" t="s">
        <v>115</v>
      </c>
      <c r="P1978" s="2" t="str">
        <f>"2170561556                    "</f>
        <v xml:space="preserve">2170561556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3.35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2</v>
      </c>
      <c r="BJ1978" s="2">
        <v>0.2</v>
      </c>
      <c r="BK1978" s="2">
        <v>2</v>
      </c>
      <c r="BL1978" s="2">
        <v>32.6</v>
      </c>
      <c r="BM1978" s="2">
        <v>4.5599999999999996</v>
      </c>
      <c r="BN1978" s="2">
        <v>37.159999999999997</v>
      </c>
      <c r="BO1978" s="2">
        <v>37.159999999999997</v>
      </c>
      <c r="BP1978" s="2"/>
      <c r="BQ1978" s="2"/>
      <c r="BR1978" s="2" t="s">
        <v>84</v>
      </c>
      <c r="BS1978" s="3">
        <v>42843</v>
      </c>
      <c r="BT1978" s="4">
        <v>0.375</v>
      </c>
      <c r="BU1978" s="2" t="s">
        <v>2436</v>
      </c>
      <c r="BV1978" s="2" t="s">
        <v>86</v>
      </c>
      <c r="BW1978" s="2" t="s">
        <v>164</v>
      </c>
      <c r="BX1978" s="2" t="s">
        <v>2211</v>
      </c>
      <c r="BY1978" s="2">
        <v>1200</v>
      </c>
      <c r="BZ1978" s="2"/>
      <c r="CA1978" s="2"/>
      <c r="CB1978" s="2"/>
      <c r="CC1978" s="2" t="s">
        <v>75</v>
      </c>
      <c r="CD1978" s="2">
        <v>1624</v>
      </c>
      <c r="CE1978" s="2" t="s">
        <v>118</v>
      </c>
      <c r="CF1978" s="5">
        <v>42844</v>
      </c>
      <c r="CG1978" s="2"/>
      <c r="CH1978" s="2"/>
      <c r="CI1978" s="2">
        <v>1</v>
      </c>
      <c r="CJ1978" s="2">
        <v>3</v>
      </c>
      <c r="CK1978" s="2">
        <v>22</v>
      </c>
      <c r="CL1978" s="2" t="s">
        <v>86</v>
      </c>
      <c r="CM1978" s="2"/>
    </row>
    <row r="1979" spans="1:91">
      <c r="A1979" s="2" t="s">
        <v>71</v>
      </c>
      <c r="B1979" s="2" t="s">
        <v>72</v>
      </c>
      <c r="C1979" s="2" t="s">
        <v>73</v>
      </c>
      <c r="D1979" s="2"/>
      <c r="E1979" s="2" t="str">
        <f>"FES1162543780"</f>
        <v>FES1162543780</v>
      </c>
      <c r="F1979" s="3">
        <v>42838</v>
      </c>
      <c r="G1979" s="2">
        <v>201710</v>
      </c>
      <c r="H1979" s="2" t="s">
        <v>74</v>
      </c>
      <c r="I1979" s="2" t="s">
        <v>75</v>
      </c>
      <c r="J1979" s="2" t="s">
        <v>76</v>
      </c>
      <c r="K1979" s="2" t="s">
        <v>77</v>
      </c>
      <c r="L1979" s="2" t="s">
        <v>160</v>
      </c>
      <c r="M1979" s="2" t="s">
        <v>161</v>
      </c>
      <c r="N1979" s="2" t="s">
        <v>621</v>
      </c>
      <c r="O1979" s="2" t="s">
        <v>115</v>
      </c>
      <c r="P1979" s="2" t="str">
        <f>"2170562414                    "</f>
        <v xml:space="preserve">2170562414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4.29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1</v>
      </c>
      <c r="BJ1979" s="2">
        <v>0.2</v>
      </c>
      <c r="BK1979" s="2">
        <v>1</v>
      </c>
      <c r="BL1979" s="2">
        <v>41.73</v>
      </c>
      <c r="BM1979" s="2">
        <v>5.84</v>
      </c>
      <c r="BN1979" s="2">
        <v>47.57</v>
      </c>
      <c r="BO1979" s="2">
        <v>47.57</v>
      </c>
      <c r="BP1979" s="2"/>
      <c r="BQ1979" s="2" t="s">
        <v>129</v>
      </c>
      <c r="BR1979" s="2" t="s">
        <v>84</v>
      </c>
      <c r="BS1979" s="3">
        <v>42843</v>
      </c>
      <c r="BT1979" s="4">
        <v>0.41666666666666669</v>
      </c>
      <c r="BU1979" s="2" t="s">
        <v>2437</v>
      </c>
      <c r="BV1979" s="2" t="s">
        <v>86</v>
      </c>
      <c r="BW1979" s="2" t="s">
        <v>157</v>
      </c>
      <c r="BX1979" s="2" t="s">
        <v>251</v>
      </c>
      <c r="BY1979" s="2">
        <v>1200</v>
      </c>
      <c r="BZ1979" s="2"/>
      <c r="CA1979" s="2"/>
      <c r="CB1979" s="2"/>
      <c r="CC1979" s="2" t="s">
        <v>161</v>
      </c>
      <c r="CD1979" s="2">
        <v>5201</v>
      </c>
      <c r="CE1979" s="2" t="s">
        <v>118</v>
      </c>
      <c r="CF1979" s="5">
        <v>42844</v>
      </c>
      <c r="CG1979" s="2"/>
      <c r="CH1979" s="2"/>
      <c r="CI1979" s="2">
        <v>1</v>
      </c>
      <c r="CJ1979" s="2">
        <v>3</v>
      </c>
      <c r="CK1979" s="2">
        <v>21</v>
      </c>
      <c r="CL1979" s="2" t="s">
        <v>86</v>
      </c>
      <c r="CM1979" s="2"/>
    </row>
    <row r="1980" spans="1:91">
      <c r="A1980" s="2" t="s">
        <v>71</v>
      </c>
      <c r="B1980" s="2" t="s">
        <v>72</v>
      </c>
      <c r="C1980" s="2" t="s">
        <v>73</v>
      </c>
      <c r="D1980" s="2"/>
      <c r="E1980" s="2" t="str">
        <f>"FES1162543789"</f>
        <v>FES1162543789</v>
      </c>
      <c r="F1980" s="3">
        <v>42838</v>
      </c>
      <c r="G1980" s="2">
        <v>201710</v>
      </c>
      <c r="H1980" s="2" t="s">
        <v>74</v>
      </c>
      <c r="I1980" s="2" t="s">
        <v>75</v>
      </c>
      <c r="J1980" s="2" t="s">
        <v>76</v>
      </c>
      <c r="K1980" s="2" t="s">
        <v>77</v>
      </c>
      <c r="L1980" s="2" t="s">
        <v>99</v>
      </c>
      <c r="M1980" s="2" t="s">
        <v>100</v>
      </c>
      <c r="N1980" s="2" t="s">
        <v>375</v>
      </c>
      <c r="O1980" s="2" t="s">
        <v>115</v>
      </c>
      <c r="P1980" s="2" t="str">
        <f>"2170562428                    "</f>
        <v xml:space="preserve">2170562428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4.29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1</v>
      </c>
      <c r="BJ1980" s="2">
        <v>0.2</v>
      </c>
      <c r="BK1980" s="2">
        <v>1</v>
      </c>
      <c r="BL1980" s="2">
        <v>41.73</v>
      </c>
      <c r="BM1980" s="2">
        <v>5.84</v>
      </c>
      <c r="BN1980" s="2">
        <v>47.57</v>
      </c>
      <c r="BO1980" s="2">
        <v>47.57</v>
      </c>
      <c r="BP1980" s="2"/>
      <c r="BQ1980" s="2" t="s">
        <v>376</v>
      </c>
      <c r="BR1980" s="2" t="s">
        <v>84</v>
      </c>
      <c r="BS1980" s="3">
        <v>42843</v>
      </c>
      <c r="BT1980" s="4">
        <v>0.4201388888888889</v>
      </c>
      <c r="BU1980" s="2" t="s">
        <v>2438</v>
      </c>
      <c r="BV1980" s="2" t="s">
        <v>86</v>
      </c>
      <c r="BW1980" s="2" t="s">
        <v>164</v>
      </c>
      <c r="BX1980" s="2" t="s">
        <v>1140</v>
      </c>
      <c r="BY1980" s="2">
        <v>1200</v>
      </c>
      <c r="BZ1980" s="2"/>
      <c r="CA1980" s="2" t="s">
        <v>378</v>
      </c>
      <c r="CB1980" s="2"/>
      <c r="CC1980" s="2" t="s">
        <v>100</v>
      </c>
      <c r="CD1980" s="2">
        <v>6070</v>
      </c>
      <c r="CE1980" s="2" t="s">
        <v>118</v>
      </c>
      <c r="CF1980" s="5">
        <v>42843</v>
      </c>
      <c r="CG1980" s="2"/>
      <c r="CH1980" s="2"/>
      <c r="CI1980" s="2">
        <v>1</v>
      </c>
      <c r="CJ1980" s="2">
        <v>3</v>
      </c>
      <c r="CK1980" s="2">
        <v>21</v>
      </c>
      <c r="CL1980" s="2" t="s">
        <v>86</v>
      </c>
      <c r="CM1980" s="2"/>
    </row>
    <row r="1981" spans="1:91">
      <c r="A1981" s="2" t="s">
        <v>71</v>
      </c>
      <c r="B1981" s="2" t="s">
        <v>72</v>
      </c>
      <c r="C1981" s="2" t="s">
        <v>73</v>
      </c>
      <c r="D1981" s="2"/>
      <c r="E1981" s="2" t="str">
        <f>"FES1162543782"</f>
        <v>FES1162543782</v>
      </c>
      <c r="F1981" s="3">
        <v>42838</v>
      </c>
      <c r="G1981" s="2">
        <v>201710</v>
      </c>
      <c r="H1981" s="2" t="s">
        <v>74</v>
      </c>
      <c r="I1981" s="2" t="s">
        <v>75</v>
      </c>
      <c r="J1981" s="2" t="s">
        <v>76</v>
      </c>
      <c r="K1981" s="2" t="s">
        <v>77</v>
      </c>
      <c r="L1981" s="2" t="s">
        <v>294</v>
      </c>
      <c r="M1981" s="2" t="s">
        <v>295</v>
      </c>
      <c r="N1981" s="2" t="s">
        <v>1200</v>
      </c>
      <c r="O1981" s="2" t="s">
        <v>115</v>
      </c>
      <c r="P1981" s="2" t="str">
        <f>"2170562419                    "</f>
        <v xml:space="preserve">2170562419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8.57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3.9</v>
      </c>
      <c r="BJ1981" s="2">
        <v>3.4</v>
      </c>
      <c r="BK1981" s="2">
        <v>4</v>
      </c>
      <c r="BL1981" s="2">
        <v>83.45</v>
      </c>
      <c r="BM1981" s="2">
        <v>11.68</v>
      </c>
      <c r="BN1981" s="2">
        <v>95.13</v>
      </c>
      <c r="BO1981" s="2">
        <v>95.13</v>
      </c>
      <c r="BP1981" s="2"/>
      <c r="BQ1981" s="2" t="s">
        <v>1201</v>
      </c>
      <c r="BR1981" s="2" t="s">
        <v>84</v>
      </c>
      <c r="BS1981" s="3">
        <v>42843</v>
      </c>
      <c r="BT1981" s="4">
        <v>0.3888888888888889</v>
      </c>
      <c r="BU1981" s="2" t="s">
        <v>2439</v>
      </c>
      <c r="BV1981" s="2" t="s">
        <v>86</v>
      </c>
      <c r="BW1981" s="2" t="s">
        <v>164</v>
      </c>
      <c r="BX1981" s="2" t="s">
        <v>2350</v>
      </c>
      <c r="BY1981" s="2">
        <v>17230.11</v>
      </c>
      <c r="BZ1981" s="2"/>
      <c r="CA1981" s="2" t="s">
        <v>2440</v>
      </c>
      <c r="CB1981" s="2"/>
      <c r="CC1981" s="2" t="s">
        <v>295</v>
      </c>
      <c r="CD1981" s="2">
        <v>3610</v>
      </c>
      <c r="CE1981" s="2" t="s">
        <v>89</v>
      </c>
      <c r="CF1981" s="5">
        <v>42844</v>
      </c>
      <c r="CG1981" s="2"/>
      <c r="CH1981" s="2"/>
      <c r="CI1981" s="2">
        <v>1</v>
      </c>
      <c r="CJ1981" s="2">
        <v>3</v>
      </c>
      <c r="CK1981" s="2">
        <v>21</v>
      </c>
      <c r="CL1981" s="2" t="s">
        <v>86</v>
      </c>
      <c r="CM1981" s="2"/>
    </row>
    <row r="1982" spans="1:91">
      <c r="A1982" s="2" t="s">
        <v>71</v>
      </c>
      <c r="B1982" s="2" t="s">
        <v>72</v>
      </c>
      <c r="C1982" s="2" t="s">
        <v>73</v>
      </c>
      <c r="D1982" s="2"/>
      <c r="E1982" s="2" t="str">
        <f>"FES1162543776"</f>
        <v>FES1162543776</v>
      </c>
      <c r="F1982" s="3">
        <v>42838</v>
      </c>
      <c r="G1982" s="2">
        <v>201710</v>
      </c>
      <c r="H1982" s="2" t="s">
        <v>74</v>
      </c>
      <c r="I1982" s="2" t="s">
        <v>75</v>
      </c>
      <c r="J1982" s="2" t="s">
        <v>76</v>
      </c>
      <c r="K1982" s="2" t="s">
        <v>77</v>
      </c>
      <c r="L1982" s="2" t="s">
        <v>234</v>
      </c>
      <c r="M1982" s="2" t="s">
        <v>235</v>
      </c>
      <c r="N1982" s="2" t="s">
        <v>236</v>
      </c>
      <c r="O1982" s="2" t="s">
        <v>115</v>
      </c>
      <c r="P1982" s="2" t="str">
        <f>"2170561385                    "</f>
        <v xml:space="preserve">2170561385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15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6.6</v>
      </c>
      <c r="BJ1982" s="2">
        <v>4.5</v>
      </c>
      <c r="BK1982" s="2">
        <v>7</v>
      </c>
      <c r="BL1982" s="2">
        <v>146.04</v>
      </c>
      <c r="BM1982" s="2">
        <v>20.45</v>
      </c>
      <c r="BN1982" s="2">
        <v>166.49</v>
      </c>
      <c r="BO1982" s="2">
        <v>166.49</v>
      </c>
      <c r="BP1982" s="2"/>
      <c r="BQ1982" s="2" t="s">
        <v>285</v>
      </c>
      <c r="BR1982" s="2" t="s">
        <v>84</v>
      </c>
      <c r="BS1982" s="3">
        <v>42843</v>
      </c>
      <c r="BT1982" s="4">
        <v>0.33680555555555558</v>
      </c>
      <c r="BU1982" s="2" t="s">
        <v>130</v>
      </c>
      <c r="BV1982" s="2" t="s">
        <v>86</v>
      </c>
      <c r="BW1982" s="2" t="s">
        <v>96</v>
      </c>
      <c r="BX1982" s="2" t="s">
        <v>1140</v>
      </c>
      <c r="BY1982" s="2">
        <v>22585.63</v>
      </c>
      <c r="BZ1982" s="2"/>
      <c r="CA1982" s="2"/>
      <c r="CB1982" s="2"/>
      <c r="CC1982" s="2" t="s">
        <v>235</v>
      </c>
      <c r="CD1982" s="2">
        <v>6220</v>
      </c>
      <c r="CE1982" s="2" t="s">
        <v>89</v>
      </c>
      <c r="CF1982" s="5">
        <v>42844</v>
      </c>
      <c r="CG1982" s="2"/>
      <c r="CH1982" s="2"/>
      <c r="CI1982" s="2">
        <v>1</v>
      </c>
      <c r="CJ1982" s="2">
        <v>3</v>
      </c>
      <c r="CK1982" s="2">
        <v>21</v>
      </c>
      <c r="CL1982" s="2" t="s">
        <v>86</v>
      </c>
      <c r="CM1982" s="2"/>
    </row>
    <row r="1983" spans="1:91">
      <c r="A1983" s="2" t="s">
        <v>71</v>
      </c>
      <c r="B1983" s="2" t="s">
        <v>72</v>
      </c>
      <c r="C1983" s="2" t="s">
        <v>73</v>
      </c>
      <c r="D1983" s="2"/>
      <c r="E1983" s="2" t="str">
        <f>"FES1162543775"</f>
        <v>FES1162543775</v>
      </c>
      <c r="F1983" s="3">
        <v>42838</v>
      </c>
      <c r="G1983" s="2">
        <v>201710</v>
      </c>
      <c r="H1983" s="2" t="s">
        <v>74</v>
      </c>
      <c r="I1983" s="2" t="s">
        <v>75</v>
      </c>
      <c r="J1983" s="2" t="s">
        <v>76</v>
      </c>
      <c r="K1983" s="2" t="s">
        <v>77</v>
      </c>
      <c r="L1983" s="2" t="s">
        <v>187</v>
      </c>
      <c r="M1983" s="2" t="s">
        <v>146</v>
      </c>
      <c r="N1983" s="2" t="s">
        <v>722</v>
      </c>
      <c r="O1983" s="2" t="s">
        <v>115</v>
      </c>
      <c r="P1983" s="2" t="str">
        <f>"2170561298                    "</f>
        <v xml:space="preserve">2170561298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6.43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3</v>
      </c>
      <c r="BJ1983" s="2">
        <v>2</v>
      </c>
      <c r="BK1983" s="2">
        <v>3</v>
      </c>
      <c r="BL1983" s="2">
        <v>62.59</v>
      </c>
      <c r="BM1983" s="2">
        <v>8.76</v>
      </c>
      <c r="BN1983" s="2">
        <v>71.349999999999994</v>
      </c>
      <c r="BO1983" s="2">
        <v>71.349999999999994</v>
      </c>
      <c r="BP1983" s="2"/>
      <c r="BQ1983" s="2" t="s">
        <v>723</v>
      </c>
      <c r="BR1983" s="2" t="s">
        <v>84</v>
      </c>
      <c r="BS1983" s="3">
        <v>42843</v>
      </c>
      <c r="BT1983" s="4">
        <v>0.38194444444444442</v>
      </c>
      <c r="BU1983" s="2" t="s">
        <v>2441</v>
      </c>
      <c r="BV1983" s="2" t="s">
        <v>86</v>
      </c>
      <c r="BW1983" s="2"/>
      <c r="BX1983" s="2"/>
      <c r="BY1983" s="2">
        <v>9900</v>
      </c>
      <c r="BZ1983" s="2"/>
      <c r="CA1983" s="2"/>
      <c r="CB1983" s="2"/>
      <c r="CC1983" s="2" t="s">
        <v>146</v>
      </c>
      <c r="CD1983" s="2">
        <v>200</v>
      </c>
      <c r="CE1983" s="2" t="s">
        <v>89</v>
      </c>
      <c r="CF1983" s="5">
        <v>42845</v>
      </c>
      <c r="CG1983" s="2"/>
      <c r="CH1983" s="2"/>
      <c r="CI1983" s="2">
        <v>0</v>
      </c>
      <c r="CJ1983" s="2">
        <v>0</v>
      </c>
      <c r="CK1983" s="2">
        <v>21</v>
      </c>
      <c r="CL1983" s="2" t="s">
        <v>86</v>
      </c>
      <c r="CM1983" s="2"/>
    </row>
    <row r="1984" spans="1:91">
      <c r="A1984" s="2" t="s">
        <v>71</v>
      </c>
      <c r="B1984" s="2" t="s">
        <v>72</v>
      </c>
      <c r="C1984" s="2" t="s">
        <v>73</v>
      </c>
      <c r="D1984" s="2"/>
      <c r="E1984" s="2" t="str">
        <f>"FES1162543777"</f>
        <v>FES1162543777</v>
      </c>
      <c r="F1984" s="3">
        <v>42838</v>
      </c>
      <c r="G1984" s="2">
        <v>201710</v>
      </c>
      <c r="H1984" s="2" t="s">
        <v>74</v>
      </c>
      <c r="I1984" s="2" t="s">
        <v>75</v>
      </c>
      <c r="J1984" s="2" t="s">
        <v>76</v>
      </c>
      <c r="K1984" s="2" t="s">
        <v>77</v>
      </c>
      <c r="L1984" s="2" t="s">
        <v>131</v>
      </c>
      <c r="M1984" s="2" t="s">
        <v>132</v>
      </c>
      <c r="N1984" s="2" t="s">
        <v>1084</v>
      </c>
      <c r="O1984" s="2" t="s">
        <v>115</v>
      </c>
      <c r="P1984" s="2" t="str">
        <f>"2170561517                    "</f>
        <v xml:space="preserve">2170561517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6.43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3</v>
      </c>
      <c r="BJ1984" s="2">
        <v>2</v>
      </c>
      <c r="BK1984" s="2">
        <v>3</v>
      </c>
      <c r="BL1984" s="2">
        <v>62.59</v>
      </c>
      <c r="BM1984" s="2">
        <v>8.76</v>
      </c>
      <c r="BN1984" s="2">
        <v>71.349999999999994</v>
      </c>
      <c r="BO1984" s="2">
        <v>71.349999999999994</v>
      </c>
      <c r="BP1984" s="2"/>
      <c r="BQ1984" s="2" t="s">
        <v>1085</v>
      </c>
      <c r="BR1984" s="2" t="s">
        <v>84</v>
      </c>
      <c r="BS1984" s="3">
        <v>42843</v>
      </c>
      <c r="BT1984" s="4">
        <v>0.41666666666666669</v>
      </c>
      <c r="BU1984" s="2" t="s">
        <v>1871</v>
      </c>
      <c r="BV1984" s="2" t="s">
        <v>86</v>
      </c>
      <c r="BW1984" s="2" t="s">
        <v>157</v>
      </c>
      <c r="BX1984" s="2" t="s">
        <v>158</v>
      </c>
      <c r="BY1984" s="2">
        <v>9900</v>
      </c>
      <c r="BZ1984" s="2"/>
      <c r="CA1984" s="2"/>
      <c r="CB1984" s="2"/>
      <c r="CC1984" s="2" t="s">
        <v>132</v>
      </c>
      <c r="CD1984" s="2">
        <v>7441</v>
      </c>
      <c r="CE1984" s="2" t="s">
        <v>89</v>
      </c>
      <c r="CF1984" s="5">
        <v>42844</v>
      </c>
      <c r="CG1984" s="2"/>
      <c r="CH1984" s="2"/>
      <c r="CI1984" s="2">
        <v>1</v>
      </c>
      <c r="CJ1984" s="2">
        <v>3</v>
      </c>
      <c r="CK1984" s="2">
        <v>21</v>
      </c>
      <c r="CL1984" s="2" t="s">
        <v>86</v>
      </c>
      <c r="CM1984" s="2"/>
    </row>
    <row r="1985" spans="1:91">
      <c r="A1985" s="2" t="s">
        <v>71</v>
      </c>
      <c r="B1985" s="2" t="s">
        <v>72</v>
      </c>
      <c r="C1985" s="2" t="s">
        <v>73</v>
      </c>
      <c r="D1985" s="2"/>
      <c r="E1985" s="2" t="str">
        <f>"FES1162543779"</f>
        <v>FES1162543779</v>
      </c>
      <c r="F1985" s="3">
        <v>42838</v>
      </c>
      <c r="G1985" s="2">
        <v>201710</v>
      </c>
      <c r="H1985" s="2" t="s">
        <v>74</v>
      </c>
      <c r="I1985" s="2" t="s">
        <v>75</v>
      </c>
      <c r="J1985" s="2" t="s">
        <v>76</v>
      </c>
      <c r="K1985" s="2" t="s">
        <v>77</v>
      </c>
      <c r="L1985" s="2" t="s">
        <v>131</v>
      </c>
      <c r="M1985" s="2" t="s">
        <v>132</v>
      </c>
      <c r="N1985" s="2" t="s">
        <v>2148</v>
      </c>
      <c r="O1985" s="2" t="s">
        <v>115</v>
      </c>
      <c r="P1985" s="2" t="str">
        <f>"2170561959                    "</f>
        <v xml:space="preserve">2170561959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5.36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2.1</v>
      </c>
      <c r="BJ1985" s="2">
        <v>1.5</v>
      </c>
      <c r="BK1985" s="2">
        <v>2.5</v>
      </c>
      <c r="BL1985" s="2">
        <v>52.16</v>
      </c>
      <c r="BM1985" s="2">
        <v>7.3</v>
      </c>
      <c r="BN1985" s="2">
        <v>59.46</v>
      </c>
      <c r="BO1985" s="2">
        <v>59.46</v>
      </c>
      <c r="BP1985" s="2"/>
      <c r="BQ1985" s="2" t="s">
        <v>2149</v>
      </c>
      <c r="BR1985" s="2" t="s">
        <v>84</v>
      </c>
      <c r="BS1985" s="3">
        <v>42843</v>
      </c>
      <c r="BT1985" s="4">
        <v>0.41666666666666669</v>
      </c>
      <c r="BU1985" s="2" t="s">
        <v>130</v>
      </c>
      <c r="BV1985" s="2" t="s">
        <v>86</v>
      </c>
      <c r="BW1985" s="2" t="s">
        <v>157</v>
      </c>
      <c r="BX1985" s="2" t="s">
        <v>158</v>
      </c>
      <c r="BY1985" s="2">
        <v>7332.77</v>
      </c>
      <c r="BZ1985" s="2"/>
      <c r="CA1985" s="2"/>
      <c r="CB1985" s="2"/>
      <c r="CC1985" s="2" t="s">
        <v>132</v>
      </c>
      <c r="CD1985" s="2">
        <v>7441</v>
      </c>
      <c r="CE1985" s="2" t="s">
        <v>89</v>
      </c>
      <c r="CF1985" s="5">
        <v>42844</v>
      </c>
      <c r="CG1985" s="2"/>
      <c r="CH1985" s="2"/>
      <c r="CI1985" s="2">
        <v>1</v>
      </c>
      <c r="CJ1985" s="2">
        <v>3</v>
      </c>
      <c r="CK1985" s="2">
        <v>21</v>
      </c>
      <c r="CL1985" s="2" t="s">
        <v>86</v>
      </c>
      <c r="CM1985" s="2"/>
    </row>
    <row r="1986" spans="1:91">
      <c r="A1986" s="2" t="s">
        <v>71</v>
      </c>
      <c r="B1986" s="2" t="s">
        <v>72</v>
      </c>
      <c r="C1986" s="2" t="s">
        <v>73</v>
      </c>
      <c r="D1986" s="2"/>
      <c r="E1986" s="2" t="str">
        <f>"FES1162542465"</f>
        <v>FES1162542465</v>
      </c>
      <c r="F1986" s="3">
        <v>42838</v>
      </c>
      <c r="G1986" s="2">
        <v>201710</v>
      </c>
      <c r="H1986" s="2" t="s">
        <v>74</v>
      </c>
      <c r="I1986" s="2" t="s">
        <v>75</v>
      </c>
      <c r="J1986" s="2" t="s">
        <v>76</v>
      </c>
      <c r="K1986" s="2" t="s">
        <v>77</v>
      </c>
      <c r="L1986" s="2" t="s">
        <v>74</v>
      </c>
      <c r="M1986" s="2" t="s">
        <v>75</v>
      </c>
      <c r="N1986" s="2" t="s">
        <v>1383</v>
      </c>
      <c r="O1986" s="2" t="s">
        <v>115</v>
      </c>
      <c r="P1986" s="2" t="str">
        <f>"2170561361                    "</f>
        <v xml:space="preserve">2170561361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3.35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32.6</v>
      </c>
      <c r="BM1986" s="2">
        <v>4.5599999999999996</v>
      </c>
      <c r="BN1986" s="2">
        <v>37.159999999999997</v>
      </c>
      <c r="BO1986" s="2">
        <v>37.159999999999997</v>
      </c>
      <c r="BP1986" s="2"/>
      <c r="BQ1986" s="2" t="s">
        <v>1384</v>
      </c>
      <c r="BR1986" s="2" t="s">
        <v>84</v>
      </c>
      <c r="BS1986" s="3">
        <v>42843</v>
      </c>
      <c r="BT1986" s="4">
        <v>0.31666666666666665</v>
      </c>
      <c r="BU1986" s="2" t="s">
        <v>1919</v>
      </c>
      <c r="BV1986" s="2" t="s">
        <v>86</v>
      </c>
      <c r="BW1986" s="2" t="s">
        <v>164</v>
      </c>
      <c r="BX1986" s="2" t="s">
        <v>618</v>
      </c>
      <c r="BY1986" s="2">
        <v>1200</v>
      </c>
      <c r="BZ1986" s="2"/>
      <c r="CA1986" s="2"/>
      <c r="CB1986" s="2"/>
      <c r="CC1986" s="2" t="s">
        <v>75</v>
      </c>
      <c r="CD1986" s="2">
        <v>1600</v>
      </c>
      <c r="CE1986" s="2" t="s">
        <v>118</v>
      </c>
      <c r="CF1986" s="5">
        <v>42844</v>
      </c>
      <c r="CG1986" s="2"/>
      <c r="CH1986" s="2"/>
      <c r="CI1986" s="2">
        <v>1</v>
      </c>
      <c r="CJ1986" s="2">
        <v>3</v>
      </c>
      <c r="CK1986" s="2">
        <v>22</v>
      </c>
      <c r="CL1986" s="2" t="s">
        <v>86</v>
      </c>
      <c r="CM1986" s="2"/>
    </row>
    <row r="1987" spans="1:91">
      <c r="A1987" s="2" t="s">
        <v>71</v>
      </c>
      <c r="B1987" s="2" t="s">
        <v>72</v>
      </c>
      <c r="C1987" s="2" t="s">
        <v>73</v>
      </c>
      <c r="D1987" s="2"/>
      <c r="E1987" s="2" t="str">
        <f>"FES1162543698"</f>
        <v>FES1162543698</v>
      </c>
      <c r="F1987" s="3">
        <v>42838</v>
      </c>
      <c r="G1987" s="2">
        <v>201710</v>
      </c>
      <c r="H1987" s="2" t="s">
        <v>74</v>
      </c>
      <c r="I1987" s="2" t="s">
        <v>75</v>
      </c>
      <c r="J1987" s="2" t="s">
        <v>76</v>
      </c>
      <c r="K1987" s="2" t="s">
        <v>77</v>
      </c>
      <c r="L1987" s="2" t="s">
        <v>131</v>
      </c>
      <c r="M1987" s="2" t="s">
        <v>132</v>
      </c>
      <c r="N1987" s="2" t="s">
        <v>1771</v>
      </c>
      <c r="O1987" s="2" t="s">
        <v>115</v>
      </c>
      <c r="P1987" s="2" t="str">
        <f>"2170562272                    "</f>
        <v xml:space="preserve">2170562272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4.29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41.73</v>
      </c>
      <c r="BM1987" s="2">
        <v>5.84</v>
      </c>
      <c r="BN1987" s="2">
        <v>47.57</v>
      </c>
      <c r="BO1987" s="2">
        <v>47.57</v>
      </c>
      <c r="BP1987" s="2"/>
      <c r="BQ1987" s="2" t="s">
        <v>1772</v>
      </c>
      <c r="BR1987" s="2" t="s">
        <v>84</v>
      </c>
      <c r="BS1987" s="3">
        <v>42843</v>
      </c>
      <c r="BT1987" s="4">
        <v>0.41666666666666669</v>
      </c>
      <c r="BU1987" s="2" t="s">
        <v>130</v>
      </c>
      <c r="BV1987" s="2" t="s">
        <v>86</v>
      </c>
      <c r="BW1987" s="2" t="s">
        <v>157</v>
      </c>
      <c r="BX1987" s="2" t="s">
        <v>158</v>
      </c>
      <c r="BY1987" s="2">
        <v>1200</v>
      </c>
      <c r="BZ1987" s="2"/>
      <c r="CA1987" s="2"/>
      <c r="CB1987" s="2"/>
      <c r="CC1987" s="2" t="s">
        <v>132</v>
      </c>
      <c r="CD1987" s="2">
        <v>7441</v>
      </c>
      <c r="CE1987" s="2" t="s">
        <v>118</v>
      </c>
      <c r="CF1987" s="5">
        <v>42844</v>
      </c>
      <c r="CG1987" s="2"/>
      <c r="CH1987" s="2"/>
      <c r="CI1987" s="2">
        <v>1</v>
      </c>
      <c r="CJ1987" s="2">
        <v>3</v>
      </c>
      <c r="CK1987" s="2">
        <v>21</v>
      </c>
      <c r="CL1987" s="2" t="s">
        <v>86</v>
      </c>
      <c r="CM1987" s="2"/>
    </row>
    <row r="1988" spans="1:91">
      <c r="A1988" s="2" t="s">
        <v>71</v>
      </c>
      <c r="B1988" s="2" t="s">
        <v>72</v>
      </c>
      <c r="C1988" s="2" t="s">
        <v>73</v>
      </c>
      <c r="D1988" s="2"/>
      <c r="E1988" s="2" t="str">
        <f>"FES1162543763"</f>
        <v>FES1162543763</v>
      </c>
      <c r="F1988" s="3">
        <v>42838</v>
      </c>
      <c r="G1988" s="2">
        <v>201710</v>
      </c>
      <c r="H1988" s="2" t="s">
        <v>74</v>
      </c>
      <c r="I1988" s="2" t="s">
        <v>75</v>
      </c>
      <c r="J1988" s="2" t="s">
        <v>76</v>
      </c>
      <c r="K1988" s="2" t="s">
        <v>77</v>
      </c>
      <c r="L1988" s="2" t="s">
        <v>900</v>
      </c>
      <c r="M1988" s="2" t="s">
        <v>901</v>
      </c>
      <c r="N1988" s="2" t="s">
        <v>902</v>
      </c>
      <c r="O1988" s="2" t="s">
        <v>115</v>
      </c>
      <c r="P1988" s="2" t="str">
        <f>"2170562400                    "</f>
        <v xml:space="preserve">2170562400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4.29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1</v>
      </c>
      <c r="BJ1988" s="2">
        <v>0.2</v>
      </c>
      <c r="BK1988" s="2">
        <v>1</v>
      </c>
      <c r="BL1988" s="2">
        <v>41.73</v>
      </c>
      <c r="BM1988" s="2">
        <v>5.84</v>
      </c>
      <c r="BN1988" s="2">
        <v>47.57</v>
      </c>
      <c r="BO1988" s="2">
        <v>47.57</v>
      </c>
      <c r="BP1988" s="2"/>
      <c r="BQ1988" s="2" t="s">
        <v>903</v>
      </c>
      <c r="BR1988" s="2" t="s">
        <v>84</v>
      </c>
      <c r="BS1988" s="3">
        <v>42839</v>
      </c>
      <c r="BT1988" s="4">
        <v>0.36458333333333331</v>
      </c>
      <c r="BU1988" s="2" t="s">
        <v>903</v>
      </c>
      <c r="BV1988" s="2" t="s">
        <v>111</v>
      </c>
      <c r="BW1988" s="2"/>
      <c r="BX1988" s="2"/>
      <c r="BY1988" s="2">
        <v>1200</v>
      </c>
      <c r="BZ1988" s="2"/>
      <c r="CA1988" s="2"/>
      <c r="CB1988" s="2"/>
      <c r="CC1988" s="2" t="s">
        <v>901</v>
      </c>
      <c r="CD1988" s="2">
        <v>4026</v>
      </c>
      <c r="CE1988" s="2" t="s">
        <v>118</v>
      </c>
      <c r="CF1988" s="5">
        <v>42844</v>
      </c>
      <c r="CG1988" s="2"/>
      <c r="CH1988" s="2"/>
      <c r="CI1988" s="2">
        <v>1</v>
      </c>
      <c r="CJ1988" s="2">
        <v>1</v>
      </c>
      <c r="CK1988" s="2">
        <v>21</v>
      </c>
      <c r="CL1988" s="2" t="s">
        <v>86</v>
      </c>
      <c r="CM1988" s="2"/>
    </row>
    <row r="1989" spans="1:91">
      <c r="A1989" s="2" t="s">
        <v>71</v>
      </c>
      <c r="B1989" s="2" t="s">
        <v>72</v>
      </c>
      <c r="C1989" s="2" t="s">
        <v>73</v>
      </c>
      <c r="D1989" s="2"/>
      <c r="E1989" s="2" t="str">
        <f>"FES1162542806"</f>
        <v>FES1162542806</v>
      </c>
      <c r="F1989" s="3">
        <v>42838</v>
      </c>
      <c r="G1989" s="2">
        <v>201710</v>
      </c>
      <c r="H1989" s="2" t="s">
        <v>74</v>
      </c>
      <c r="I1989" s="2" t="s">
        <v>75</v>
      </c>
      <c r="J1989" s="2" t="s">
        <v>76</v>
      </c>
      <c r="K1989" s="2" t="s">
        <v>77</v>
      </c>
      <c r="L1989" s="2" t="s">
        <v>1073</v>
      </c>
      <c r="M1989" s="2" t="s">
        <v>1074</v>
      </c>
      <c r="N1989" s="2" t="s">
        <v>225</v>
      </c>
      <c r="O1989" s="2" t="s">
        <v>115</v>
      </c>
      <c r="P1989" s="2" t="str">
        <f>"2170561686                    "</f>
        <v xml:space="preserve">2170561686 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4.29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1</v>
      </c>
      <c r="BJ1989" s="2">
        <v>0.2</v>
      </c>
      <c r="BK1989" s="2">
        <v>1</v>
      </c>
      <c r="BL1989" s="2">
        <v>41.73</v>
      </c>
      <c r="BM1989" s="2">
        <v>5.84</v>
      </c>
      <c r="BN1989" s="2">
        <v>47.57</v>
      </c>
      <c r="BO1989" s="2">
        <v>47.57</v>
      </c>
      <c r="BP1989" s="2"/>
      <c r="BQ1989" s="2" t="s">
        <v>2442</v>
      </c>
      <c r="BR1989" s="2" t="s">
        <v>84</v>
      </c>
      <c r="BS1989" s="3">
        <v>42843</v>
      </c>
      <c r="BT1989" s="4">
        <v>0.41666666666666669</v>
      </c>
      <c r="BU1989" s="2" t="s">
        <v>2443</v>
      </c>
      <c r="BV1989" s="2" t="s">
        <v>86</v>
      </c>
      <c r="BW1989" s="2" t="s">
        <v>96</v>
      </c>
      <c r="BX1989" s="2" t="s">
        <v>2367</v>
      </c>
      <c r="BY1989" s="2">
        <v>1200</v>
      </c>
      <c r="BZ1989" s="2"/>
      <c r="CA1989" s="2"/>
      <c r="CB1989" s="2"/>
      <c r="CC1989" s="2" t="s">
        <v>1074</v>
      </c>
      <c r="CD1989" s="2">
        <v>1947</v>
      </c>
      <c r="CE1989" s="2" t="s">
        <v>118</v>
      </c>
      <c r="CF1989" s="5">
        <v>42845</v>
      </c>
      <c r="CG1989" s="2"/>
      <c r="CH1989" s="2"/>
      <c r="CI1989" s="2">
        <v>1</v>
      </c>
      <c r="CJ1989" s="2">
        <v>3</v>
      </c>
      <c r="CK1989" s="2">
        <v>21</v>
      </c>
      <c r="CL1989" s="2" t="s">
        <v>86</v>
      </c>
      <c r="CM1989" s="2"/>
    </row>
    <row r="1990" spans="1:91">
      <c r="A1990" s="2" t="s">
        <v>71</v>
      </c>
      <c r="B1990" s="2" t="s">
        <v>72</v>
      </c>
      <c r="C1990" s="2" t="s">
        <v>73</v>
      </c>
      <c r="D1990" s="2"/>
      <c r="E1990" s="2" t="str">
        <f>"FES1162543585"</f>
        <v>FES1162543585</v>
      </c>
      <c r="F1990" s="3">
        <v>42838</v>
      </c>
      <c r="G1990" s="2">
        <v>201710</v>
      </c>
      <c r="H1990" s="2" t="s">
        <v>74</v>
      </c>
      <c r="I1990" s="2" t="s">
        <v>75</v>
      </c>
      <c r="J1990" s="2" t="s">
        <v>76</v>
      </c>
      <c r="K1990" s="2" t="s">
        <v>77</v>
      </c>
      <c r="L1990" s="2" t="s">
        <v>1341</v>
      </c>
      <c r="M1990" s="2" t="s">
        <v>1341</v>
      </c>
      <c r="N1990" s="2" t="s">
        <v>1342</v>
      </c>
      <c r="O1990" s="2" t="s">
        <v>115</v>
      </c>
      <c r="P1990" s="2" t="str">
        <f>"2170562253                    "</f>
        <v xml:space="preserve">2170562253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4.29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1</v>
      </c>
      <c r="BJ1990" s="2">
        <v>0.2</v>
      </c>
      <c r="BK1990" s="2">
        <v>1</v>
      </c>
      <c r="BL1990" s="2">
        <v>41.73</v>
      </c>
      <c r="BM1990" s="2">
        <v>5.84</v>
      </c>
      <c r="BN1990" s="2">
        <v>47.57</v>
      </c>
      <c r="BO1990" s="2">
        <v>47.57</v>
      </c>
      <c r="BP1990" s="2"/>
      <c r="BQ1990" s="2" t="s">
        <v>116</v>
      </c>
      <c r="BR1990" s="2" t="s">
        <v>84</v>
      </c>
      <c r="BS1990" s="3">
        <v>42844</v>
      </c>
      <c r="BT1990" s="4">
        <v>0</v>
      </c>
      <c r="BU1990" s="2" t="s">
        <v>2444</v>
      </c>
      <c r="BV1990" s="2" t="s">
        <v>86</v>
      </c>
      <c r="BW1990" s="2"/>
      <c r="BX1990" s="2"/>
      <c r="BY1990" s="2">
        <v>1200</v>
      </c>
      <c r="BZ1990" s="2"/>
      <c r="CA1990" s="2"/>
      <c r="CB1990" s="2"/>
      <c r="CC1990" s="2" t="s">
        <v>1341</v>
      </c>
      <c r="CD1990" s="2">
        <v>6835</v>
      </c>
      <c r="CE1990" s="2" t="s">
        <v>118</v>
      </c>
      <c r="CF1990" s="5">
        <v>42846</v>
      </c>
      <c r="CG1990" s="2"/>
      <c r="CH1990" s="2"/>
      <c r="CI1990" s="2">
        <v>3</v>
      </c>
      <c r="CJ1990" s="2">
        <v>4</v>
      </c>
      <c r="CK1990" s="2">
        <v>21</v>
      </c>
      <c r="CL1990" s="2" t="s">
        <v>86</v>
      </c>
      <c r="CM1990" s="2"/>
    </row>
    <row r="1991" spans="1:91">
      <c r="A1991" s="2" t="s">
        <v>71</v>
      </c>
      <c r="B1991" s="2" t="s">
        <v>72</v>
      </c>
      <c r="C1991" s="2" t="s">
        <v>73</v>
      </c>
      <c r="D1991" s="2"/>
      <c r="E1991" s="2" t="str">
        <f>"FES1162543771"</f>
        <v>FES1162543771</v>
      </c>
      <c r="F1991" s="3">
        <v>42838</v>
      </c>
      <c r="G1991" s="2">
        <v>201710</v>
      </c>
      <c r="H1991" s="2" t="s">
        <v>74</v>
      </c>
      <c r="I1991" s="2" t="s">
        <v>75</v>
      </c>
      <c r="J1991" s="2" t="s">
        <v>76</v>
      </c>
      <c r="K1991" s="2" t="s">
        <v>77</v>
      </c>
      <c r="L1991" s="2" t="s">
        <v>2445</v>
      </c>
      <c r="M1991" s="2" t="s">
        <v>2446</v>
      </c>
      <c r="N1991" s="2" t="s">
        <v>1309</v>
      </c>
      <c r="O1991" s="2" t="s">
        <v>115</v>
      </c>
      <c r="P1991" s="2" t="str">
        <f>"2170562410                    "</f>
        <v xml:space="preserve">2170562410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8.31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80.849999999999994</v>
      </c>
      <c r="BM1991" s="2">
        <v>11.32</v>
      </c>
      <c r="BN1991" s="2">
        <v>92.17</v>
      </c>
      <c r="BO1991" s="2">
        <v>92.17</v>
      </c>
      <c r="BP1991" s="2"/>
      <c r="BQ1991" s="2"/>
      <c r="BR1991" s="2" t="s">
        <v>84</v>
      </c>
      <c r="BS1991" s="3">
        <v>42843</v>
      </c>
      <c r="BT1991" s="4">
        <v>0.4375</v>
      </c>
      <c r="BU1991" s="2" t="s">
        <v>2447</v>
      </c>
      <c r="BV1991" s="2" t="s">
        <v>86</v>
      </c>
      <c r="BW1991" s="2"/>
      <c r="BX1991" s="2"/>
      <c r="BY1991" s="2">
        <v>1200</v>
      </c>
      <c r="BZ1991" s="2"/>
      <c r="CA1991" s="2"/>
      <c r="CB1991" s="2"/>
      <c r="CC1991" s="2" t="s">
        <v>2446</v>
      </c>
      <c r="CD1991" s="2">
        <v>9499</v>
      </c>
      <c r="CE1991" s="2" t="s">
        <v>118</v>
      </c>
      <c r="CF1991" s="5">
        <v>42845</v>
      </c>
      <c r="CG1991" s="2"/>
      <c r="CH1991" s="2"/>
      <c r="CI1991" s="2">
        <v>1</v>
      </c>
      <c r="CJ1991" s="2">
        <v>3</v>
      </c>
      <c r="CK1991" s="2">
        <v>23</v>
      </c>
      <c r="CL1991" s="2" t="s">
        <v>86</v>
      </c>
      <c r="CM1991" s="2"/>
    </row>
    <row r="1992" spans="1:91">
      <c r="A1992" s="2" t="s">
        <v>71</v>
      </c>
      <c r="B1992" s="2" t="s">
        <v>72</v>
      </c>
      <c r="C1992" s="2" t="s">
        <v>73</v>
      </c>
      <c r="D1992" s="2"/>
      <c r="E1992" s="2" t="str">
        <f>"FES1162543683"</f>
        <v>FES1162543683</v>
      </c>
      <c r="F1992" s="3">
        <v>42838</v>
      </c>
      <c r="G1992" s="2">
        <v>201710</v>
      </c>
      <c r="H1992" s="2" t="s">
        <v>74</v>
      </c>
      <c r="I1992" s="2" t="s">
        <v>75</v>
      </c>
      <c r="J1992" s="2" t="s">
        <v>76</v>
      </c>
      <c r="K1992" s="2" t="s">
        <v>77</v>
      </c>
      <c r="L1992" s="2" t="s">
        <v>294</v>
      </c>
      <c r="M1992" s="2" t="s">
        <v>295</v>
      </c>
      <c r="N1992" s="2" t="s">
        <v>296</v>
      </c>
      <c r="O1992" s="2" t="s">
        <v>115</v>
      </c>
      <c r="P1992" s="2" t="str">
        <f>"2170562310                    "</f>
        <v xml:space="preserve">2170562310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46.08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21.1</v>
      </c>
      <c r="BJ1992" s="2">
        <v>18</v>
      </c>
      <c r="BK1992" s="2">
        <v>21.5</v>
      </c>
      <c r="BL1992" s="2">
        <v>448.56</v>
      </c>
      <c r="BM1992" s="2">
        <v>62.8</v>
      </c>
      <c r="BN1992" s="2">
        <v>511.36</v>
      </c>
      <c r="BO1992" s="2">
        <v>511.36</v>
      </c>
      <c r="BP1992" s="2"/>
      <c r="BQ1992" s="2" t="s">
        <v>297</v>
      </c>
      <c r="BR1992" s="2" t="s">
        <v>84</v>
      </c>
      <c r="BS1992" s="3">
        <v>42843</v>
      </c>
      <c r="BT1992" s="4">
        <v>0.41875000000000001</v>
      </c>
      <c r="BU1992" s="2" t="s">
        <v>1092</v>
      </c>
      <c r="BV1992" s="2" t="s">
        <v>86</v>
      </c>
      <c r="BW1992" s="2" t="s">
        <v>164</v>
      </c>
      <c r="BX1992" s="2" t="s">
        <v>2350</v>
      </c>
      <c r="BY1992" s="2">
        <v>89937.600000000006</v>
      </c>
      <c r="BZ1992" s="2"/>
      <c r="CA1992" s="2"/>
      <c r="CB1992" s="2"/>
      <c r="CC1992" s="2" t="s">
        <v>295</v>
      </c>
      <c r="CD1992" s="2">
        <v>3620</v>
      </c>
      <c r="CE1992" s="2" t="s">
        <v>89</v>
      </c>
      <c r="CF1992" s="5">
        <v>42844</v>
      </c>
      <c r="CG1992" s="2"/>
      <c r="CH1992" s="2"/>
      <c r="CI1992" s="2">
        <v>1</v>
      </c>
      <c r="CJ1992" s="2">
        <v>3</v>
      </c>
      <c r="CK1992" s="2">
        <v>21</v>
      </c>
      <c r="CL1992" s="2" t="s">
        <v>86</v>
      </c>
      <c r="CM1992" s="2"/>
    </row>
    <row r="1993" spans="1:91">
      <c r="A1993" s="2" t="s">
        <v>71</v>
      </c>
      <c r="B1993" s="2" t="s">
        <v>72</v>
      </c>
      <c r="C1993" s="2" t="s">
        <v>73</v>
      </c>
      <c r="D1993" s="2"/>
      <c r="E1993" s="2" t="str">
        <f>"FES1162543773"</f>
        <v>FES1162543773</v>
      </c>
      <c r="F1993" s="3">
        <v>42838</v>
      </c>
      <c r="G1993" s="2">
        <v>201710</v>
      </c>
      <c r="H1993" s="2" t="s">
        <v>74</v>
      </c>
      <c r="I1993" s="2" t="s">
        <v>75</v>
      </c>
      <c r="J1993" s="2" t="s">
        <v>76</v>
      </c>
      <c r="K1993" s="2" t="s">
        <v>77</v>
      </c>
      <c r="L1993" s="2" t="s">
        <v>99</v>
      </c>
      <c r="M1993" s="2" t="s">
        <v>100</v>
      </c>
      <c r="N1993" s="2" t="s">
        <v>101</v>
      </c>
      <c r="O1993" s="2" t="s">
        <v>115</v>
      </c>
      <c r="P1993" s="2" t="str">
        <f>"2170562388                    "</f>
        <v xml:space="preserve">2170562388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68.59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22</v>
      </c>
      <c r="BJ1993" s="2">
        <v>31.6</v>
      </c>
      <c r="BK1993" s="2">
        <v>32</v>
      </c>
      <c r="BL1993" s="2">
        <v>667.63</v>
      </c>
      <c r="BM1993" s="2">
        <v>93.47</v>
      </c>
      <c r="BN1993" s="2">
        <v>761.1</v>
      </c>
      <c r="BO1993" s="2">
        <v>761.1</v>
      </c>
      <c r="BP1993" s="2"/>
      <c r="BQ1993" s="2" t="s">
        <v>102</v>
      </c>
      <c r="BR1993" s="2" t="s">
        <v>84</v>
      </c>
      <c r="BS1993" s="3">
        <v>42843</v>
      </c>
      <c r="BT1993" s="4">
        <v>0.3034722222222222</v>
      </c>
      <c r="BU1993" s="2" t="s">
        <v>103</v>
      </c>
      <c r="BV1993" s="2" t="s">
        <v>86</v>
      </c>
      <c r="BW1993" s="2" t="s">
        <v>104</v>
      </c>
      <c r="BX1993" s="2" t="s">
        <v>105</v>
      </c>
      <c r="BY1993" s="2">
        <v>157920</v>
      </c>
      <c r="BZ1993" s="2"/>
      <c r="CA1993" s="2" t="s">
        <v>106</v>
      </c>
      <c r="CB1993" s="2"/>
      <c r="CC1993" s="2" t="s">
        <v>100</v>
      </c>
      <c r="CD1993" s="2">
        <v>6012</v>
      </c>
      <c r="CE1993" s="2" t="s">
        <v>89</v>
      </c>
      <c r="CF1993" s="5">
        <v>42843</v>
      </c>
      <c r="CG1993" s="2"/>
      <c r="CH1993" s="2"/>
      <c r="CI1993" s="2">
        <v>1</v>
      </c>
      <c r="CJ1993" s="2">
        <v>3</v>
      </c>
      <c r="CK1993" s="2">
        <v>21</v>
      </c>
      <c r="CL1993" s="2" t="s">
        <v>86</v>
      </c>
      <c r="CM1993" s="2"/>
    </row>
    <row r="1994" spans="1:91">
      <c r="A1994" s="2" t="s">
        <v>71</v>
      </c>
      <c r="B1994" s="2" t="s">
        <v>72</v>
      </c>
      <c r="C1994" s="2" t="s">
        <v>73</v>
      </c>
      <c r="D1994" s="2"/>
      <c r="E1994" s="2" t="str">
        <f>"FES1162541924"</f>
        <v>FES1162541924</v>
      </c>
      <c r="F1994" s="3">
        <v>42838</v>
      </c>
      <c r="G1994" s="2">
        <v>201710</v>
      </c>
      <c r="H1994" s="2" t="s">
        <v>74</v>
      </c>
      <c r="I1994" s="2" t="s">
        <v>75</v>
      </c>
      <c r="J1994" s="2" t="s">
        <v>76</v>
      </c>
      <c r="K1994" s="2" t="s">
        <v>77</v>
      </c>
      <c r="L1994" s="2" t="s">
        <v>166</v>
      </c>
      <c r="M1994" s="2" t="s">
        <v>167</v>
      </c>
      <c r="N1994" s="2" t="s">
        <v>168</v>
      </c>
      <c r="O1994" s="2" t="s">
        <v>115</v>
      </c>
      <c r="P1994" s="2" t="str">
        <f>"2170560912                    "</f>
        <v xml:space="preserve">2170560912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3.35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1</v>
      </c>
      <c r="BJ1994" s="2">
        <v>0.2</v>
      </c>
      <c r="BK1994" s="2">
        <v>1</v>
      </c>
      <c r="BL1994" s="2">
        <v>32.6</v>
      </c>
      <c r="BM1994" s="2">
        <v>4.5599999999999996</v>
      </c>
      <c r="BN1994" s="2">
        <v>37.159999999999997</v>
      </c>
      <c r="BO1994" s="2">
        <v>37.159999999999997</v>
      </c>
      <c r="BP1994" s="2"/>
      <c r="BQ1994" s="2" t="s">
        <v>169</v>
      </c>
      <c r="BR1994" s="2" t="s">
        <v>84</v>
      </c>
      <c r="BS1994" s="3">
        <v>42843</v>
      </c>
      <c r="BT1994" s="4">
        <v>0.38958333333333334</v>
      </c>
      <c r="BU1994" s="2" t="s">
        <v>2311</v>
      </c>
      <c r="BV1994" s="2" t="s">
        <v>86</v>
      </c>
      <c r="BW1994" s="2" t="s">
        <v>164</v>
      </c>
      <c r="BX1994" s="2" t="s">
        <v>618</v>
      </c>
      <c r="BY1994" s="2">
        <v>1200</v>
      </c>
      <c r="BZ1994" s="2"/>
      <c r="CA1994" s="2" t="s">
        <v>2312</v>
      </c>
      <c r="CB1994" s="2"/>
      <c r="CC1994" s="2" t="s">
        <v>167</v>
      </c>
      <c r="CD1994" s="2">
        <v>2094</v>
      </c>
      <c r="CE1994" s="2" t="s">
        <v>118</v>
      </c>
      <c r="CF1994" s="5">
        <v>42843</v>
      </c>
      <c r="CG1994" s="2"/>
      <c r="CH1994" s="2"/>
      <c r="CI1994" s="2">
        <v>1</v>
      </c>
      <c r="CJ1994" s="2">
        <v>3</v>
      </c>
      <c r="CK1994" s="2">
        <v>22</v>
      </c>
      <c r="CL1994" s="2" t="s">
        <v>86</v>
      </c>
      <c r="CM1994" s="2"/>
    </row>
    <row r="1995" spans="1:91">
      <c r="A1995" s="2" t="s">
        <v>71</v>
      </c>
      <c r="B1995" s="2" t="s">
        <v>72</v>
      </c>
      <c r="C1995" s="2" t="s">
        <v>73</v>
      </c>
      <c r="D1995" s="2"/>
      <c r="E1995" s="2" t="str">
        <f>"FES1162543764"</f>
        <v>FES1162543764</v>
      </c>
      <c r="F1995" s="3">
        <v>42838</v>
      </c>
      <c r="G1995" s="2">
        <v>201710</v>
      </c>
      <c r="H1995" s="2" t="s">
        <v>74</v>
      </c>
      <c r="I1995" s="2" t="s">
        <v>75</v>
      </c>
      <c r="J1995" s="2" t="s">
        <v>76</v>
      </c>
      <c r="K1995" s="2" t="s">
        <v>77</v>
      </c>
      <c r="L1995" s="2" t="s">
        <v>1151</v>
      </c>
      <c r="M1995" s="2" t="s">
        <v>1152</v>
      </c>
      <c r="N1995" s="2" t="s">
        <v>1153</v>
      </c>
      <c r="O1995" s="2" t="s">
        <v>115</v>
      </c>
      <c r="P1995" s="2" t="str">
        <f>"2170562132                    "</f>
        <v xml:space="preserve">2170562132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23.31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6</v>
      </c>
      <c r="BJ1995" s="2">
        <v>4.0999999999999996</v>
      </c>
      <c r="BK1995" s="2">
        <v>6</v>
      </c>
      <c r="BL1995" s="2">
        <v>226.89</v>
      </c>
      <c r="BM1995" s="2">
        <v>31.76</v>
      </c>
      <c r="BN1995" s="2">
        <v>258.64999999999998</v>
      </c>
      <c r="BO1995" s="2">
        <v>258.64999999999998</v>
      </c>
      <c r="BP1995" s="2"/>
      <c r="BQ1995" s="2"/>
      <c r="BR1995" s="2" t="s">
        <v>84</v>
      </c>
      <c r="BS1995" s="3">
        <v>42843</v>
      </c>
      <c r="BT1995" s="4">
        <v>0</v>
      </c>
      <c r="BU1995" s="2" t="s">
        <v>2448</v>
      </c>
      <c r="BV1995" s="2" t="s">
        <v>111</v>
      </c>
      <c r="BW1995" s="2"/>
      <c r="BX1995" s="2"/>
      <c r="BY1995" s="2">
        <v>20520</v>
      </c>
      <c r="BZ1995" s="2"/>
      <c r="CA1995" s="2"/>
      <c r="CB1995" s="2"/>
      <c r="CC1995" s="2" t="s">
        <v>1152</v>
      </c>
      <c r="CD1995" s="2">
        <v>4930</v>
      </c>
      <c r="CE1995" s="2" t="s">
        <v>89</v>
      </c>
      <c r="CF1995" s="5">
        <v>42845</v>
      </c>
      <c r="CG1995" s="2"/>
      <c r="CH1995" s="2"/>
      <c r="CI1995" s="2">
        <v>3</v>
      </c>
      <c r="CJ1995" s="2">
        <v>3</v>
      </c>
      <c r="CK1995" s="2">
        <v>23</v>
      </c>
      <c r="CL1995" s="2" t="s">
        <v>86</v>
      </c>
      <c r="CM1995" s="2"/>
    </row>
    <row r="1996" spans="1:91">
      <c r="A1996" s="2" t="s">
        <v>71</v>
      </c>
      <c r="B1996" s="2" t="s">
        <v>72</v>
      </c>
      <c r="C1996" s="2" t="s">
        <v>73</v>
      </c>
      <c r="D1996" s="2"/>
      <c r="E1996" s="2" t="str">
        <f>"FES1162543707"</f>
        <v>FES1162543707</v>
      </c>
      <c r="F1996" s="3">
        <v>42838</v>
      </c>
      <c r="G1996" s="2">
        <v>201710</v>
      </c>
      <c r="H1996" s="2" t="s">
        <v>74</v>
      </c>
      <c r="I1996" s="2" t="s">
        <v>75</v>
      </c>
      <c r="J1996" s="2" t="s">
        <v>76</v>
      </c>
      <c r="K1996" s="2" t="s">
        <v>77</v>
      </c>
      <c r="L1996" s="2" t="s">
        <v>131</v>
      </c>
      <c r="M1996" s="2" t="s">
        <v>132</v>
      </c>
      <c r="N1996" s="2" t="s">
        <v>929</v>
      </c>
      <c r="O1996" s="2" t="s">
        <v>115</v>
      </c>
      <c r="P1996" s="2" t="str">
        <f>"2170560618                    "</f>
        <v xml:space="preserve">2170560618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4.29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41.73</v>
      </c>
      <c r="BM1996" s="2">
        <v>5.84</v>
      </c>
      <c r="BN1996" s="2">
        <v>47.57</v>
      </c>
      <c r="BO1996" s="2">
        <v>47.57</v>
      </c>
      <c r="BP1996" s="2"/>
      <c r="BQ1996" s="2"/>
      <c r="BR1996" s="2" t="s">
        <v>84</v>
      </c>
      <c r="BS1996" s="3">
        <v>42843</v>
      </c>
      <c r="BT1996" s="4">
        <v>0.35694444444444445</v>
      </c>
      <c r="BU1996" s="2" t="s">
        <v>930</v>
      </c>
      <c r="BV1996" s="2" t="s">
        <v>86</v>
      </c>
      <c r="BW1996" s="2" t="s">
        <v>157</v>
      </c>
      <c r="BX1996" s="2" t="s">
        <v>1537</v>
      </c>
      <c r="BY1996" s="2">
        <v>1200</v>
      </c>
      <c r="BZ1996" s="2"/>
      <c r="CA1996" s="2"/>
      <c r="CB1996" s="2"/>
      <c r="CC1996" s="2" t="s">
        <v>132</v>
      </c>
      <c r="CD1996" s="2">
        <v>7500</v>
      </c>
      <c r="CE1996" s="2" t="s">
        <v>118</v>
      </c>
      <c r="CF1996" s="5">
        <v>42844</v>
      </c>
      <c r="CG1996" s="2"/>
      <c r="CH1996" s="2"/>
      <c r="CI1996" s="2">
        <v>1</v>
      </c>
      <c r="CJ1996" s="2">
        <v>3</v>
      </c>
      <c r="CK1996" s="2">
        <v>21</v>
      </c>
      <c r="CL1996" s="2" t="s">
        <v>86</v>
      </c>
      <c r="CM1996" s="2"/>
    </row>
    <row r="1997" spans="1:91">
      <c r="A1997" s="2" t="s">
        <v>71</v>
      </c>
      <c r="B1997" s="2" t="s">
        <v>72</v>
      </c>
      <c r="C1997" s="2" t="s">
        <v>73</v>
      </c>
      <c r="D1997" s="2"/>
      <c r="E1997" s="2" t="str">
        <f>"FES1162543522"</f>
        <v>FES1162543522</v>
      </c>
      <c r="F1997" s="3">
        <v>42838</v>
      </c>
      <c r="G1997" s="2">
        <v>201710</v>
      </c>
      <c r="H1997" s="2" t="s">
        <v>74</v>
      </c>
      <c r="I1997" s="2" t="s">
        <v>75</v>
      </c>
      <c r="J1997" s="2" t="s">
        <v>76</v>
      </c>
      <c r="K1997" s="2" t="s">
        <v>77</v>
      </c>
      <c r="L1997" s="2" t="s">
        <v>187</v>
      </c>
      <c r="M1997" s="2" t="s">
        <v>146</v>
      </c>
      <c r="N1997" s="2" t="s">
        <v>2449</v>
      </c>
      <c r="O1997" s="2" t="s">
        <v>115</v>
      </c>
      <c r="P1997" s="2" t="str">
        <f>"2170558228                    "</f>
        <v xml:space="preserve">2170558228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4.29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1.2</v>
      </c>
      <c r="BJ1997" s="2">
        <v>0.2</v>
      </c>
      <c r="BK1997" s="2">
        <v>1.5</v>
      </c>
      <c r="BL1997" s="2">
        <v>41.73</v>
      </c>
      <c r="BM1997" s="2">
        <v>5.84</v>
      </c>
      <c r="BN1997" s="2">
        <v>47.57</v>
      </c>
      <c r="BO1997" s="2">
        <v>47.57</v>
      </c>
      <c r="BP1997" s="2"/>
      <c r="BQ1997" s="2"/>
      <c r="BR1997" s="2" t="s">
        <v>84</v>
      </c>
      <c r="BS1997" s="3">
        <v>42843</v>
      </c>
      <c r="BT1997" s="4">
        <v>0.37916666666666665</v>
      </c>
      <c r="BU1997" s="2" t="s">
        <v>2450</v>
      </c>
      <c r="BV1997" s="2" t="s">
        <v>86</v>
      </c>
      <c r="BW1997" s="2"/>
      <c r="BX1997" s="2"/>
      <c r="BY1997" s="2">
        <v>1200</v>
      </c>
      <c r="BZ1997" s="2"/>
      <c r="CA1997" s="2" t="s">
        <v>2228</v>
      </c>
      <c r="CB1997" s="2"/>
      <c r="CC1997" s="2" t="s">
        <v>146</v>
      </c>
      <c r="CD1997" s="2">
        <v>2</v>
      </c>
      <c r="CE1997" s="2" t="s">
        <v>118</v>
      </c>
      <c r="CF1997" s="5">
        <v>42843</v>
      </c>
      <c r="CG1997" s="2"/>
      <c r="CH1997" s="2"/>
      <c r="CI1997" s="2">
        <v>0</v>
      </c>
      <c r="CJ1997" s="2">
        <v>0</v>
      </c>
      <c r="CK1997" s="2">
        <v>21</v>
      </c>
      <c r="CL1997" s="2" t="s">
        <v>86</v>
      </c>
      <c r="CM1997" s="2"/>
    </row>
    <row r="1998" spans="1:91">
      <c r="A1998" s="2" t="s">
        <v>2231</v>
      </c>
      <c r="B1998" s="2" t="s">
        <v>72</v>
      </c>
      <c r="C1998" s="2" t="s">
        <v>73</v>
      </c>
      <c r="D1998" s="2"/>
      <c r="E1998" s="2" t="str">
        <f>"009935902498"</f>
        <v>009935902498</v>
      </c>
      <c r="F1998" s="3">
        <v>42843</v>
      </c>
      <c r="G1998" s="2">
        <v>201710</v>
      </c>
      <c r="H1998" s="2" t="s">
        <v>112</v>
      </c>
      <c r="I1998" s="2" t="s">
        <v>113</v>
      </c>
      <c r="J1998" s="2" t="s">
        <v>2451</v>
      </c>
      <c r="K1998" s="2" t="s">
        <v>77</v>
      </c>
      <c r="L1998" s="2" t="s">
        <v>1666</v>
      </c>
      <c r="M1998" s="2" t="s">
        <v>1667</v>
      </c>
      <c r="N1998" s="2" t="s">
        <v>2452</v>
      </c>
      <c r="O1998" s="2" t="s">
        <v>81</v>
      </c>
      <c r="P1998" s="2" t="str">
        <f>"                              "</f>
        <v xml:space="preserve">          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8.7799999999999994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1</v>
      </c>
      <c r="BJ1998" s="2">
        <v>0.2</v>
      </c>
      <c r="BK1998" s="2">
        <v>1</v>
      </c>
      <c r="BL1998" s="2">
        <v>90.42</v>
      </c>
      <c r="BM1998" s="2">
        <v>12.66</v>
      </c>
      <c r="BN1998" s="2">
        <v>103.08</v>
      </c>
      <c r="BO1998" s="2">
        <v>103.08</v>
      </c>
      <c r="BP1998" s="2"/>
      <c r="BQ1998" s="2" t="s">
        <v>2453</v>
      </c>
      <c r="BR1998" s="2" t="s">
        <v>2235</v>
      </c>
      <c r="BS1998" s="3">
        <v>42844</v>
      </c>
      <c r="BT1998" s="4">
        <v>0.36805555555555558</v>
      </c>
      <c r="BU1998" s="2" t="s">
        <v>170</v>
      </c>
      <c r="BV1998" s="2" t="s">
        <v>111</v>
      </c>
      <c r="BW1998" s="2"/>
      <c r="BX1998" s="2"/>
      <c r="BY1998" s="2">
        <v>1200</v>
      </c>
      <c r="BZ1998" s="2"/>
      <c r="CA1998" s="2"/>
      <c r="CB1998" s="2"/>
      <c r="CC1998" s="2" t="s">
        <v>1667</v>
      </c>
      <c r="CD1998" s="2">
        <v>9700</v>
      </c>
      <c r="CE1998" s="2" t="s">
        <v>89</v>
      </c>
      <c r="CF1998" s="5">
        <v>42846</v>
      </c>
      <c r="CG1998" s="2"/>
      <c r="CH1998" s="2"/>
      <c r="CI1998" s="2">
        <v>0</v>
      </c>
      <c r="CJ1998" s="2">
        <v>0</v>
      </c>
      <c r="CK1998" s="2" t="s">
        <v>107</v>
      </c>
      <c r="CL1998" s="2" t="s">
        <v>86</v>
      </c>
      <c r="CM1998" s="2"/>
    </row>
    <row r="1999" spans="1:91">
      <c r="A1999" s="2" t="s">
        <v>71</v>
      </c>
      <c r="B1999" s="2" t="s">
        <v>72</v>
      </c>
      <c r="C1999" s="2" t="s">
        <v>73</v>
      </c>
      <c r="D1999" s="2"/>
      <c r="E1999" s="2" t="str">
        <f>"FES1162543505"</f>
        <v>FES1162543505</v>
      </c>
      <c r="F1999" s="3">
        <v>42837</v>
      </c>
      <c r="G1999" s="2">
        <v>201710</v>
      </c>
      <c r="H1999" s="2" t="s">
        <v>74</v>
      </c>
      <c r="I1999" s="2" t="s">
        <v>75</v>
      </c>
      <c r="J1999" s="2" t="s">
        <v>76</v>
      </c>
      <c r="K1999" s="2" t="s">
        <v>77</v>
      </c>
      <c r="L1999" s="2" t="s">
        <v>112</v>
      </c>
      <c r="M1999" s="2" t="s">
        <v>113</v>
      </c>
      <c r="N1999" s="2" t="s">
        <v>114</v>
      </c>
      <c r="O1999" s="2" t="s">
        <v>81</v>
      </c>
      <c r="P1999" s="2" t="str">
        <f>"2170553107                    "</f>
        <v xml:space="preserve">2170553107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17.760000000000002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41</v>
      </c>
      <c r="BJ1999" s="2">
        <v>20.8</v>
      </c>
      <c r="BK1999" s="2">
        <v>41</v>
      </c>
      <c r="BL1999" s="2">
        <v>177.85</v>
      </c>
      <c r="BM1999" s="2">
        <v>24.9</v>
      </c>
      <c r="BN1999" s="2">
        <v>202.75</v>
      </c>
      <c r="BO1999" s="2">
        <v>202.75</v>
      </c>
      <c r="BP1999" s="2"/>
      <c r="BQ1999" s="2" t="s">
        <v>116</v>
      </c>
      <c r="BR1999" s="2" t="s">
        <v>84</v>
      </c>
      <c r="BS1999" s="3">
        <v>42838</v>
      </c>
      <c r="BT1999" s="4">
        <v>0.39652777777777781</v>
      </c>
      <c r="BU1999" s="2" t="s">
        <v>1036</v>
      </c>
      <c r="BV1999" s="2" t="s">
        <v>111</v>
      </c>
      <c r="BW1999" s="2"/>
      <c r="BX1999" s="2"/>
      <c r="BY1999" s="2">
        <v>104160</v>
      </c>
      <c r="BZ1999" s="2"/>
      <c r="CA1999" s="2" t="s">
        <v>159</v>
      </c>
      <c r="CB1999" s="2"/>
      <c r="CC1999" s="2" t="s">
        <v>113</v>
      </c>
      <c r="CD1999" s="2">
        <v>3201</v>
      </c>
      <c r="CE1999" s="2" t="s">
        <v>89</v>
      </c>
      <c r="CF1999" s="5">
        <v>42843</v>
      </c>
      <c r="CG1999" s="2"/>
      <c r="CH1999" s="2"/>
      <c r="CI1999" s="2">
        <v>0</v>
      </c>
      <c r="CJ1999" s="2">
        <v>0</v>
      </c>
      <c r="CK1999" s="2" t="s">
        <v>211</v>
      </c>
      <c r="CL1999" s="2" t="s">
        <v>86</v>
      </c>
      <c r="CM1999" s="2"/>
    </row>
    <row r="2000" spans="1:91">
      <c r="A2000" s="2" t="s">
        <v>71</v>
      </c>
      <c r="B2000" s="2" t="s">
        <v>72</v>
      </c>
      <c r="C2000" s="2" t="s">
        <v>73</v>
      </c>
      <c r="D2000" s="2"/>
      <c r="E2000" s="2" t="str">
        <f>"FES1162544808"</f>
        <v>FES1162544808</v>
      </c>
      <c r="F2000" s="3">
        <v>42846</v>
      </c>
      <c r="G2000" s="2">
        <v>201710</v>
      </c>
      <c r="H2000" s="2" t="s">
        <v>74</v>
      </c>
      <c r="I2000" s="2" t="s">
        <v>75</v>
      </c>
      <c r="J2000" s="2" t="s">
        <v>76</v>
      </c>
      <c r="K2000" s="2" t="s">
        <v>77</v>
      </c>
      <c r="L2000" s="2" t="s">
        <v>496</v>
      </c>
      <c r="M2000" s="2" t="s">
        <v>497</v>
      </c>
      <c r="N2000" s="2" t="s">
        <v>498</v>
      </c>
      <c r="O2000" s="2" t="s">
        <v>115</v>
      </c>
      <c r="P2000" s="2" t="str">
        <f>"2170561966                    "</f>
        <v xml:space="preserve">2170561966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3.35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1</v>
      </c>
      <c r="BJ2000" s="2">
        <v>0.2</v>
      </c>
      <c r="BK2000" s="2">
        <v>1</v>
      </c>
      <c r="BL2000" s="2">
        <v>32.6</v>
      </c>
      <c r="BM2000" s="2">
        <v>4.5599999999999996</v>
      </c>
      <c r="BN2000" s="2">
        <v>37.159999999999997</v>
      </c>
      <c r="BO2000" s="2">
        <v>37.159999999999997</v>
      </c>
      <c r="BP2000" s="2"/>
      <c r="BQ2000" s="2" t="s">
        <v>122</v>
      </c>
      <c r="BR2000" s="2" t="s">
        <v>84</v>
      </c>
      <c r="BS2000" s="3">
        <v>42849</v>
      </c>
      <c r="BT2000" s="4">
        <v>0.2986111111111111</v>
      </c>
      <c r="BU2000" s="2" t="s">
        <v>499</v>
      </c>
      <c r="BV2000" s="2" t="s">
        <v>111</v>
      </c>
      <c r="BW2000" s="2"/>
      <c r="BX2000" s="2"/>
      <c r="BY2000" s="2">
        <v>1200</v>
      </c>
      <c r="BZ2000" s="2"/>
      <c r="CA2000" s="2"/>
      <c r="CB2000" s="2"/>
      <c r="CC2000" s="2" t="s">
        <v>497</v>
      </c>
      <c r="CD2000" s="2">
        <v>1559</v>
      </c>
      <c r="CE2000" s="2" t="s">
        <v>118</v>
      </c>
      <c r="CF2000" s="5">
        <v>42850</v>
      </c>
      <c r="CG2000" s="2"/>
      <c r="CH2000" s="2"/>
      <c r="CI2000" s="2">
        <v>1</v>
      </c>
      <c r="CJ2000" s="2">
        <v>1</v>
      </c>
      <c r="CK2000" s="2">
        <v>22</v>
      </c>
      <c r="CL2000" s="2" t="s">
        <v>86</v>
      </c>
      <c r="CM2000" s="2"/>
    </row>
    <row r="2001" spans="1:91">
      <c r="A2001" s="2" t="s">
        <v>71</v>
      </c>
      <c r="B2001" s="2" t="s">
        <v>72</v>
      </c>
      <c r="C2001" s="2" t="s">
        <v>73</v>
      </c>
      <c r="D2001" s="2"/>
      <c r="E2001" s="2" t="str">
        <f>"FES1162543944"</f>
        <v>FES1162543944</v>
      </c>
      <c r="F2001" s="3">
        <v>42843</v>
      </c>
      <c r="G2001" s="2">
        <v>201710</v>
      </c>
      <c r="H2001" s="2" t="s">
        <v>74</v>
      </c>
      <c r="I2001" s="2" t="s">
        <v>75</v>
      </c>
      <c r="J2001" s="2" t="s">
        <v>76</v>
      </c>
      <c r="K2001" s="2" t="s">
        <v>77</v>
      </c>
      <c r="L2001" s="2" t="s">
        <v>516</v>
      </c>
      <c r="M2001" s="2" t="s">
        <v>517</v>
      </c>
      <c r="N2001" s="2" t="s">
        <v>2454</v>
      </c>
      <c r="O2001" s="2" t="s">
        <v>81</v>
      </c>
      <c r="P2001" s="2" t="str">
        <f>"2170562555                    "</f>
        <v xml:space="preserve">2170562555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6.03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2</v>
      </c>
      <c r="BJ2001" s="2">
        <v>1.3</v>
      </c>
      <c r="BK2001" s="2">
        <v>2</v>
      </c>
      <c r="BL2001" s="2">
        <v>63.68</v>
      </c>
      <c r="BM2001" s="2">
        <v>8.92</v>
      </c>
      <c r="BN2001" s="2">
        <v>72.599999999999994</v>
      </c>
      <c r="BO2001" s="2">
        <v>72.599999999999994</v>
      </c>
      <c r="BP2001" s="2" t="s">
        <v>82</v>
      </c>
      <c r="BQ2001" s="2" t="s">
        <v>2455</v>
      </c>
      <c r="BR2001" s="2" t="s">
        <v>84</v>
      </c>
      <c r="BS2001" s="3">
        <v>42844</v>
      </c>
      <c r="BT2001" s="4">
        <v>0.44930555555555557</v>
      </c>
      <c r="BU2001" s="2" t="s">
        <v>170</v>
      </c>
      <c r="BV2001" s="2" t="s">
        <v>111</v>
      </c>
      <c r="BW2001" s="2"/>
      <c r="BX2001" s="2"/>
      <c r="BY2001" s="2">
        <v>6671.84</v>
      </c>
      <c r="BZ2001" s="2"/>
      <c r="CA2001" s="2"/>
      <c r="CB2001" s="2"/>
      <c r="CC2001" s="2" t="s">
        <v>517</v>
      </c>
      <c r="CD2001" s="2">
        <v>1459</v>
      </c>
      <c r="CE2001" s="2" t="s">
        <v>89</v>
      </c>
      <c r="CF2001" s="5">
        <v>42845</v>
      </c>
      <c r="CG2001" s="2"/>
      <c r="CH2001" s="2"/>
      <c r="CI2001" s="2">
        <v>0</v>
      </c>
      <c r="CJ2001" s="2">
        <v>0</v>
      </c>
      <c r="CK2001" s="2" t="s">
        <v>98</v>
      </c>
      <c r="CL2001" s="2" t="s">
        <v>86</v>
      </c>
      <c r="CM2001" s="2"/>
    </row>
    <row r="2002" spans="1:91">
      <c r="A2002" s="2" t="s">
        <v>71</v>
      </c>
      <c r="B2002" s="2" t="s">
        <v>72</v>
      </c>
      <c r="C2002" s="2" t="s">
        <v>73</v>
      </c>
      <c r="D2002" s="2"/>
      <c r="E2002" s="2" t="str">
        <f>"FES1162543892"</f>
        <v>FES1162543892</v>
      </c>
      <c r="F2002" s="3">
        <v>42843</v>
      </c>
      <c r="G2002" s="2">
        <v>201710</v>
      </c>
      <c r="H2002" s="2" t="s">
        <v>74</v>
      </c>
      <c r="I2002" s="2" t="s">
        <v>75</v>
      </c>
      <c r="J2002" s="2" t="s">
        <v>76</v>
      </c>
      <c r="K2002" s="2" t="s">
        <v>77</v>
      </c>
      <c r="L2002" s="2" t="s">
        <v>91</v>
      </c>
      <c r="M2002" s="2" t="s">
        <v>92</v>
      </c>
      <c r="N2002" s="2" t="s">
        <v>2456</v>
      </c>
      <c r="O2002" s="2" t="s">
        <v>81</v>
      </c>
      <c r="P2002" s="2" t="str">
        <f>"2170562495                    "</f>
        <v xml:space="preserve">2170562495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8.65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2</v>
      </c>
      <c r="BI2002" s="2">
        <v>27.3</v>
      </c>
      <c r="BJ2002" s="2">
        <v>18</v>
      </c>
      <c r="BK2002" s="2">
        <v>28</v>
      </c>
      <c r="BL2002" s="2">
        <v>89.18</v>
      </c>
      <c r="BM2002" s="2">
        <v>12.49</v>
      </c>
      <c r="BN2002" s="2">
        <v>101.67</v>
      </c>
      <c r="BO2002" s="2">
        <v>101.67</v>
      </c>
      <c r="BP2002" s="2"/>
      <c r="BQ2002" s="2" t="s">
        <v>2457</v>
      </c>
      <c r="BR2002" s="2" t="s">
        <v>84</v>
      </c>
      <c r="BS2002" s="3">
        <v>42844</v>
      </c>
      <c r="BT2002" s="4">
        <v>0.47500000000000003</v>
      </c>
      <c r="BU2002" s="2" t="s">
        <v>198</v>
      </c>
      <c r="BV2002" s="2" t="s">
        <v>111</v>
      </c>
      <c r="BW2002" s="2"/>
      <c r="BX2002" s="2"/>
      <c r="BY2002" s="2">
        <v>90111.25</v>
      </c>
      <c r="BZ2002" s="2"/>
      <c r="CA2002" s="2"/>
      <c r="CB2002" s="2"/>
      <c r="CC2002" s="2" t="s">
        <v>92</v>
      </c>
      <c r="CD2002" s="2">
        <v>1422</v>
      </c>
      <c r="CE2002" s="2" t="s">
        <v>89</v>
      </c>
      <c r="CF2002" s="5">
        <v>42845</v>
      </c>
      <c r="CG2002" s="2"/>
      <c r="CH2002" s="2"/>
      <c r="CI2002" s="2">
        <v>0</v>
      </c>
      <c r="CJ2002" s="2">
        <v>0</v>
      </c>
      <c r="CK2002" s="2" t="s">
        <v>98</v>
      </c>
      <c r="CL2002" s="2" t="s">
        <v>86</v>
      </c>
      <c r="CM2002" s="2"/>
    </row>
    <row r="2003" spans="1:91">
      <c r="A2003" s="2" t="s">
        <v>71</v>
      </c>
      <c r="B2003" s="2" t="s">
        <v>72</v>
      </c>
      <c r="C2003" s="2" t="s">
        <v>73</v>
      </c>
      <c r="D2003" s="2"/>
      <c r="E2003" s="2" t="str">
        <f>"FES1162544081"</f>
        <v>FES1162544081</v>
      </c>
      <c r="F2003" s="3">
        <v>42843</v>
      </c>
      <c r="G2003" s="2">
        <v>201710</v>
      </c>
      <c r="H2003" s="2" t="s">
        <v>74</v>
      </c>
      <c r="I2003" s="2" t="s">
        <v>75</v>
      </c>
      <c r="J2003" s="2" t="s">
        <v>76</v>
      </c>
      <c r="K2003" s="2" t="s">
        <v>77</v>
      </c>
      <c r="L2003" s="2" t="s">
        <v>131</v>
      </c>
      <c r="M2003" s="2" t="s">
        <v>132</v>
      </c>
      <c r="N2003" s="2" t="s">
        <v>1292</v>
      </c>
      <c r="O2003" s="2" t="s">
        <v>115</v>
      </c>
      <c r="P2003" s="2" t="str">
        <f>"2170561664                    "</f>
        <v xml:space="preserve">2170561664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4.29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1</v>
      </c>
      <c r="BJ2003" s="2">
        <v>0.2</v>
      </c>
      <c r="BK2003" s="2">
        <v>1</v>
      </c>
      <c r="BL2003" s="2">
        <v>41.73</v>
      </c>
      <c r="BM2003" s="2">
        <v>5.84</v>
      </c>
      <c r="BN2003" s="2">
        <v>47.57</v>
      </c>
      <c r="BO2003" s="2">
        <v>47.57</v>
      </c>
      <c r="BP2003" s="2"/>
      <c r="BQ2003" s="2" t="s">
        <v>129</v>
      </c>
      <c r="BR2003" s="2" t="s">
        <v>84</v>
      </c>
      <c r="BS2003" s="3">
        <v>42844</v>
      </c>
      <c r="BT2003" s="4">
        <v>0.35416666666666669</v>
      </c>
      <c r="BU2003" s="2" t="s">
        <v>2458</v>
      </c>
      <c r="BV2003" s="2" t="s">
        <v>111</v>
      </c>
      <c r="BW2003" s="2"/>
      <c r="BX2003" s="2"/>
      <c r="BY2003" s="2">
        <v>1200</v>
      </c>
      <c r="BZ2003" s="2"/>
      <c r="CA2003" s="2"/>
      <c r="CB2003" s="2"/>
      <c r="CC2003" s="2" t="s">
        <v>132</v>
      </c>
      <c r="CD2003" s="2">
        <v>7493</v>
      </c>
      <c r="CE2003" s="2" t="s">
        <v>118</v>
      </c>
      <c r="CF2003" s="5">
        <v>42845</v>
      </c>
      <c r="CG2003" s="2"/>
      <c r="CH2003" s="2"/>
      <c r="CI2003" s="2">
        <v>1</v>
      </c>
      <c r="CJ2003" s="2">
        <v>1</v>
      </c>
      <c r="CK2003" s="2">
        <v>21</v>
      </c>
      <c r="CL2003" s="2" t="s">
        <v>86</v>
      </c>
      <c r="CM2003" s="2"/>
    </row>
    <row r="2004" spans="1:91">
      <c r="A2004" s="2" t="s">
        <v>71</v>
      </c>
      <c r="B2004" s="2" t="s">
        <v>72</v>
      </c>
      <c r="C2004" s="2" t="s">
        <v>73</v>
      </c>
      <c r="D2004" s="2"/>
      <c r="E2004" s="2" t="str">
        <f>"039902661817"</f>
        <v>039902661817</v>
      </c>
      <c r="F2004" s="3">
        <v>42843</v>
      </c>
      <c r="G2004" s="2">
        <v>201710</v>
      </c>
      <c r="H2004" s="2" t="s">
        <v>99</v>
      </c>
      <c r="I2004" s="2" t="s">
        <v>100</v>
      </c>
      <c r="J2004" s="2" t="s">
        <v>2459</v>
      </c>
      <c r="K2004" s="2" t="s">
        <v>77</v>
      </c>
      <c r="L2004" s="2" t="s">
        <v>74</v>
      </c>
      <c r="M2004" s="2" t="s">
        <v>75</v>
      </c>
      <c r="N2004" s="2" t="s">
        <v>200</v>
      </c>
      <c r="O2004" s="2" t="s">
        <v>115</v>
      </c>
      <c r="P2004" s="2" t="str">
        <f>"                              "</f>
        <v xml:space="preserve">          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6.43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2.9</v>
      </c>
      <c r="BJ2004" s="2">
        <v>1.6</v>
      </c>
      <c r="BK2004" s="2">
        <v>3</v>
      </c>
      <c r="BL2004" s="2">
        <v>62.59</v>
      </c>
      <c r="BM2004" s="2">
        <v>8.76</v>
      </c>
      <c r="BN2004" s="2">
        <v>71.349999999999994</v>
      </c>
      <c r="BO2004" s="2">
        <v>71.349999999999994</v>
      </c>
      <c r="BP2004" s="2"/>
      <c r="BQ2004" s="2"/>
      <c r="BR2004" s="2"/>
      <c r="BS2004" s="3">
        <v>42844</v>
      </c>
      <c r="BT2004" s="4">
        <v>0.38611111111111113</v>
      </c>
      <c r="BU2004" s="2" t="s">
        <v>2460</v>
      </c>
      <c r="BV2004" s="2" t="s">
        <v>111</v>
      </c>
      <c r="BW2004" s="2"/>
      <c r="BX2004" s="2"/>
      <c r="BY2004" s="2">
        <v>7980</v>
      </c>
      <c r="BZ2004" s="2" t="s">
        <v>27</v>
      </c>
      <c r="CA2004" s="2" t="s">
        <v>2461</v>
      </c>
      <c r="CB2004" s="2"/>
      <c r="CC2004" s="2" t="s">
        <v>75</v>
      </c>
      <c r="CD2004" s="2">
        <v>1600</v>
      </c>
      <c r="CE2004" s="2" t="s">
        <v>89</v>
      </c>
      <c r="CF2004" s="5">
        <v>42844</v>
      </c>
      <c r="CG2004" s="2"/>
      <c r="CH2004" s="2"/>
      <c r="CI2004" s="2">
        <v>1</v>
      </c>
      <c r="CJ2004" s="2">
        <v>1</v>
      </c>
      <c r="CK2004" s="2">
        <v>21</v>
      </c>
      <c r="CL2004" s="2" t="s">
        <v>86</v>
      </c>
      <c r="CM2004" s="2"/>
    </row>
    <row r="2005" spans="1:91">
      <c r="A2005" s="2" t="s">
        <v>71</v>
      </c>
      <c r="B2005" s="2" t="s">
        <v>72</v>
      </c>
      <c r="C2005" s="2" t="s">
        <v>73</v>
      </c>
      <c r="D2005" s="2"/>
      <c r="E2005" s="2" t="str">
        <f>"FES1162544061"</f>
        <v>FES1162544061</v>
      </c>
      <c r="F2005" s="3">
        <v>42843</v>
      </c>
      <c r="G2005" s="2">
        <v>201710</v>
      </c>
      <c r="H2005" s="2" t="s">
        <v>74</v>
      </c>
      <c r="I2005" s="2" t="s">
        <v>75</v>
      </c>
      <c r="J2005" s="2" t="s">
        <v>76</v>
      </c>
      <c r="K2005" s="2" t="s">
        <v>77</v>
      </c>
      <c r="L2005" s="2" t="s">
        <v>112</v>
      </c>
      <c r="M2005" s="2" t="s">
        <v>113</v>
      </c>
      <c r="N2005" s="2" t="s">
        <v>2462</v>
      </c>
      <c r="O2005" s="2" t="s">
        <v>115</v>
      </c>
      <c r="P2005" s="2" t="str">
        <f>"2170562666                    "</f>
        <v xml:space="preserve">2170562666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4.29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1</v>
      </c>
      <c r="BJ2005" s="2">
        <v>0.2</v>
      </c>
      <c r="BK2005" s="2">
        <v>1</v>
      </c>
      <c r="BL2005" s="2">
        <v>41.73</v>
      </c>
      <c r="BM2005" s="2">
        <v>5.84</v>
      </c>
      <c r="BN2005" s="2">
        <v>47.57</v>
      </c>
      <c r="BO2005" s="2">
        <v>47.57</v>
      </c>
      <c r="BP2005" s="2"/>
      <c r="BQ2005" s="2" t="s">
        <v>2463</v>
      </c>
      <c r="BR2005" s="2" t="s">
        <v>84</v>
      </c>
      <c r="BS2005" s="3">
        <v>42844</v>
      </c>
      <c r="BT2005" s="4">
        <v>0.33333333333333331</v>
      </c>
      <c r="BU2005" s="2" t="s">
        <v>2464</v>
      </c>
      <c r="BV2005" s="2" t="s">
        <v>111</v>
      </c>
      <c r="BW2005" s="2"/>
      <c r="BX2005" s="2"/>
      <c r="BY2005" s="2">
        <v>1200</v>
      </c>
      <c r="BZ2005" s="2"/>
      <c r="CA2005" s="2" t="s">
        <v>2465</v>
      </c>
      <c r="CB2005" s="2"/>
      <c r="CC2005" s="2" t="s">
        <v>113</v>
      </c>
      <c r="CD2005" s="2">
        <v>3201</v>
      </c>
      <c r="CE2005" s="2" t="s">
        <v>118</v>
      </c>
      <c r="CF2005" s="5">
        <v>42845</v>
      </c>
      <c r="CG2005" s="2"/>
      <c r="CH2005" s="2"/>
      <c r="CI2005" s="2">
        <v>1</v>
      </c>
      <c r="CJ2005" s="2">
        <v>1</v>
      </c>
      <c r="CK2005" s="2">
        <v>21</v>
      </c>
      <c r="CL2005" s="2" t="s">
        <v>86</v>
      </c>
      <c r="CM2005" s="2"/>
    </row>
    <row r="2006" spans="1:91">
      <c r="A2006" s="2" t="s">
        <v>71</v>
      </c>
      <c r="B2006" s="2" t="s">
        <v>72</v>
      </c>
      <c r="C2006" s="2" t="s">
        <v>73</v>
      </c>
      <c r="D2006" s="2"/>
      <c r="E2006" s="2" t="str">
        <f>"FES1162544011"</f>
        <v>FES1162544011</v>
      </c>
      <c r="F2006" s="3">
        <v>42843</v>
      </c>
      <c r="G2006" s="2">
        <v>201710</v>
      </c>
      <c r="H2006" s="2" t="s">
        <v>74</v>
      </c>
      <c r="I2006" s="2" t="s">
        <v>75</v>
      </c>
      <c r="J2006" s="2" t="s">
        <v>76</v>
      </c>
      <c r="K2006" s="2" t="s">
        <v>77</v>
      </c>
      <c r="L2006" s="2" t="s">
        <v>934</v>
      </c>
      <c r="M2006" s="2" t="s">
        <v>935</v>
      </c>
      <c r="N2006" s="2" t="s">
        <v>2466</v>
      </c>
      <c r="O2006" s="2" t="s">
        <v>115</v>
      </c>
      <c r="P2006" s="2" t="str">
        <f>"2170562612                    "</f>
        <v xml:space="preserve">2170562612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4.29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1</v>
      </c>
      <c r="BJ2006" s="2">
        <v>0.2</v>
      </c>
      <c r="BK2006" s="2">
        <v>1</v>
      </c>
      <c r="BL2006" s="2">
        <v>41.73</v>
      </c>
      <c r="BM2006" s="2">
        <v>5.84</v>
      </c>
      <c r="BN2006" s="2">
        <v>47.57</v>
      </c>
      <c r="BO2006" s="2">
        <v>47.57</v>
      </c>
      <c r="BP2006" s="2"/>
      <c r="BQ2006" s="2" t="s">
        <v>2467</v>
      </c>
      <c r="BR2006" s="2" t="s">
        <v>84</v>
      </c>
      <c r="BS2006" s="3">
        <v>42844</v>
      </c>
      <c r="BT2006" s="4">
        <v>0.41666666666666669</v>
      </c>
      <c r="BU2006" s="2" t="s">
        <v>2468</v>
      </c>
      <c r="BV2006" s="2" t="s">
        <v>111</v>
      </c>
      <c r="BW2006" s="2"/>
      <c r="BX2006" s="2"/>
      <c r="BY2006" s="2">
        <v>1200</v>
      </c>
      <c r="BZ2006" s="2"/>
      <c r="CA2006" s="2"/>
      <c r="CB2006" s="2"/>
      <c r="CC2006" s="2" t="s">
        <v>935</v>
      </c>
      <c r="CD2006" s="2">
        <v>1934</v>
      </c>
      <c r="CE2006" s="2" t="s">
        <v>118</v>
      </c>
      <c r="CF2006" s="5">
        <v>42846</v>
      </c>
      <c r="CG2006" s="2"/>
      <c r="CH2006" s="2"/>
      <c r="CI2006" s="2">
        <v>1</v>
      </c>
      <c r="CJ2006" s="2">
        <v>1</v>
      </c>
      <c r="CK2006" s="2">
        <v>21</v>
      </c>
      <c r="CL2006" s="2" t="s">
        <v>86</v>
      </c>
      <c r="CM2006" s="2"/>
    </row>
    <row r="2007" spans="1:91">
      <c r="A2007" s="2" t="s">
        <v>71</v>
      </c>
      <c r="B2007" s="2" t="s">
        <v>72</v>
      </c>
      <c r="C2007" s="2" t="s">
        <v>73</v>
      </c>
      <c r="D2007" s="2"/>
      <c r="E2007" s="2" t="str">
        <f>"FES1162544043"</f>
        <v>FES1162544043</v>
      </c>
      <c r="F2007" s="3">
        <v>42843</v>
      </c>
      <c r="G2007" s="2">
        <v>201710</v>
      </c>
      <c r="H2007" s="2" t="s">
        <v>74</v>
      </c>
      <c r="I2007" s="2" t="s">
        <v>75</v>
      </c>
      <c r="J2007" s="2" t="s">
        <v>76</v>
      </c>
      <c r="K2007" s="2" t="s">
        <v>77</v>
      </c>
      <c r="L2007" s="2" t="s">
        <v>294</v>
      </c>
      <c r="M2007" s="2" t="s">
        <v>295</v>
      </c>
      <c r="N2007" s="2" t="s">
        <v>416</v>
      </c>
      <c r="O2007" s="2" t="s">
        <v>115</v>
      </c>
      <c r="P2007" s="2" t="str">
        <f>"2170560731                    "</f>
        <v xml:space="preserve">2170560731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38.58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17</v>
      </c>
      <c r="BJ2007" s="2">
        <v>18</v>
      </c>
      <c r="BK2007" s="2">
        <v>18</v>
      </c>
      <c r="BL2007" s="2">
        <v>375.54</v>
      </c>
      <c r="BM2007" s="2">
        <v>52.58</v>
      </c>
      <c r="BN2007" s="2">
        <v>428.12</v>
      </c>
      <c r="BO2007" s="2">
        <v>428.12</v>
      </c>
      <c r="BP2007" s="2"/>
      <c r="BQ2007" s="2" t="s">
        <v>417</v>
      </c>
      <c r="BR2007" s="2" t="s">
        <v>84</v>
      </c>
      <c r="BS2007" s="3">
        <v>42844</v>
      </c>
      <c r="BT2007" s="4">
        <v>0.29166666666666669</v>
      </c>
      <c r="BU2007" s="2" t="s">
        <v>418</v>
      </c>
      <c r="BV2007" s="2" t="s">
        <v>111</v>
      </c>
      <c r="BW2007" s="2"/>
      <c r="BX2007" s="2"/>
      <c r="BY2007" s="2">
        <v>90000</v>
      </c>
      <c r="BZ2007" s="2"/>
      <c r="CA2007" s="2"/>
      <c r="CB2007" s="2"/>
      <c r="CC2007" s="2" t="s">
        <v>295</v>
      </c>
      <c r="CD2007" s="2">
        <v>3610</v>
      </c>
      <c r="CE2007" s="2" t="s">
        <v>89</v>
      </c>
      <c r="CF2007" s="5">
        <v>42845</v>
      </c>
      <c r="CG2007" s="2"/>
      <c r="CH2007" s="2"/>
      <c r="CI2007" s="2">
        <v>1</v>
      </c>
      <c r="CJ2007" s="2">
        <v>1</v>
      </c>
      <c r="CK2007" s="2">
        <v>21</v>
      </c>
      <c r="CL2007" s="2" t="s">
        <v>86</v>
      </c>
      <c r="CM2007" s="2"/>
    </row>
    <row r="2008" spans="1:91">
      <c r="A2008" s="2" t="s">
        <v>71</v>
      </c>
      <c r="B2008" s="2" t="s">
        <v>72</v>
      </c>
      <c r="C2008" s="2" t="s">
        <v>73</v>
      </c>
      <c r="D2008" s="2"/>
      <c r="E2008" s="2" t="str">
        <f>"FES1162543987"</f>
        <v>FES1162543987</v>
      </c>
      <c r="F2008" s="3">
        <v>42843</v>
      </c>
      <c r="G2008" s="2">
        <v>201710</v>
      </c>
      <c r="H2008" s="2" t="s">
        <v>74</v>
      </c>
      <c r="I2008" s="2" t="s">
        <v>75</v>
      </c>
      <c r="J2008" s="2" t="s">
        <v>76</v>
      </c>
      <c r="K2008" s="2" t="s">
        <v>77</v>
      </c>
      <c r="L2008" s="2" t="s">
        <v>180</v>
      </c>
      <c r="M2008" s="2" t="s">
        <v>181</v>
      </c>
      <c r="N2008" s="2" t="s">
        <v>931</v>
      </c>
      <c r="O2008" s="2" t="s">
        <v>115</v>
      </c>
      <c r="P2008" s="2" t="str">
        <f>"2170562577                    "</f>
        <v xml:space="preserve">2170562577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7.5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1.9</v>
      </c>
      <c r="BJ2008" s="2">
        <v>3.4</v>
      </c>
      <c r="BK2008" s="2">
        <v>3.5</v>
      </c>
      <c r="BL2008" s="2">
        <v>73.02</v>
      </c>
      <c r="BM2008" s="2">
        <v>10.220000000000001</v>
      </c>
      <c r="BN2008" s="2">
        <v>83.24</v>
      </c>
      <c r="BO2008" s="2">
        <v>83.24</v>
      </c>
      <c r="BP2008" s="2"/>
      <c r="BQ2008" s="2" t="s">
        <v>932</v>
      </c>
      <c r="BR2008" s="2" t="s">
        <v>84</v>
      </c>
      <c r="BS2008" s="3">
        <v>42845</v>
      </c>
      <c r="BT2008" s="4">
        <v>0.4375</v>
      </c>
      <c r="BU2008" s="2" t="s">
        <v>2469</v>
      </c>
      <c r="BV2008" s="2" t="s">
        <v>86</v>
      </c>
      <c r="BW2008" s="2" t="s">
        <v>164</v>
      </c>
      <c r="BX2008" s="2" t="s">
        <v>88</v>
      </c>
      <c r="BY2008" s="2">
        <v>17248.060000000001</v>
      </c>
      <c r="BZ2008" s="2"/>
      <c r="CA2008" s="2"/>
      <c r="CB2008" s="2"/>
      <c r="CC2008" s="2" t="s">
        <v>181</v>
      </c>
      <c r="CD2008" s="2">
        <v>4072</v>
      </c>
      <c r="CE2008" s="2" t="s">
        <v>89</v>
      </c>
      <c r="CF2008" s="5">
        <v>42846</v>
      </c>
      <c r="CG2008" s="2"/>
      <c r="CH2008" s="2"/>
      <c r="CI2008" s="2">
        <v>1</v>
      </c>
      <c r="CJ2008" s="2">
        <v>2</v>
      </c>
      <c r="CK2008" s="2">
        <v>21</v>
      </c>
      <c r="CL2008" s="2" t="s">
        <v>86</v>
      </c>
      <c r="CM2008" s="2"/>
    </row>
    <row r="2009" spans="1:91">
      <c r="A2009" s="2" t="s">
        <v>71</v>
      </c>
      <c r="B2009" s="2" t="s">
        <v>72</v>
      </c>
      <c r="C2009" s="2" t="s">
        <v>73</v>
      </c>
      <c r="D2009" s="2"/>
      <c r="E2009" s="2" t="str">
        <f>"FES1162543951"</f>
        <v>FES1162543951</v>
      </c>
      <c r="F2009" s="3">
        <v>42843</v>
      </c>
      <c r="G2009" s="2">
        <v>201710</v>
      </c>
      <c r="H2009" s="2" t="s">
        <v>74</v>
      </c>
      <c r="I2009" s="2" t="s">
        <v>75</v>
      </c>
      <c r="J2009" s="2" t="s">
        <v>76</v>
      </c>
      <c r="K2009" s="2" t="s">
        <v>77</v>
      </c>
      <c r="L2009" s="2" t="s">
        <v>187</v>
      </c>
      <c r="M2009" s="2" t="s">
        <v>146</v>
      </c>
      <c r="N2009" s="2" t="s">
        <v>1999</v>
      </c>
      <c r="O2009" s="2" t="s">
        <v>115</v>
      </c>
      <c r="P2009" s="2" t="str">
        <f>"2170560245                    "</f>
        <v xml:space="preserve">2170560245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4.29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1</v>
      </c>
      <c r="BJ2009" s="2">
        <v>0.2</v>
      </c>
      <c r="BK2009" s="2">
        <v>1</v>
      </c>
      <c r="BL2009" s="2">
        <v>41.73</v>
      </c>
      <c r="BM2009" s="2">
        <v>5.84</v>
      </c>
      <c r="BN2009" s="2">
        <v>47.57</v>
      </c>
      <c r="BO2009" s="2">
        <v>47.57</v>
      </c>
      <c r="BP2009" s="2"/>
      <c r="BQ2009" s="2" t="s">
        <v>2000</v>
      </c>
      <c r="BR2009" s="2" t="s">
        <v>84</v>
      </c>
      <c r="BS2009" s="3">
        <v>42844</v>
      </c>
      <c r="BT2009" s="4">
        <v>0.41319444444444442</v>
      </c>
      <c r="BU2009" s="2" t="s">
        <v>2470</v>
      </c>
      <c r="BV2009" s="2" t="s">
        <v>111</v>
      </c>
      <c r="BW2009" s="2"/>
      <c r="BX2009" s="2"/>
      <c r="BY2009" s="2">
        <v>1200</v>
      </c>
      <c r="BZ2009" s="2"/>
      <c r="CA2009" s="2" t="s">
        <v>159</v>
      </c>
      <c r="CB2009" s="2"/>
      <c r="CC2009" s="2" t="s">
        <v>146</v>
      </c>
      <c r="CD2009" s="2">
        <v>200</v>
      </c>
      <c r="CE2009" s="2" t="s">
        <v>118</v>
      </c>
      <c r="CF2009" s="5">
        <v>42846</v>
      </c>
      <c r="CG2009" s="2"/>
      <c r="CH2009" s="2"/>
      <c r="CI2009" s="2">
        <v>0</v>
      </c>
      <c r="CJ2009" s="2">
        <v>0</v>
      </c>
      <c r="CK2009" s="2">
        <v>21</v>
      </c>
      <c r="CL2009" s="2" t="s">
        <v>86</v>
      </c>
      <c r="CM2009" s="2"/>
    </row>
    <row r="2010" spans="1:91">
      <c r="A2010" s="2" t="s">
        <v>71</v>
      </c>
      <c r="B2010" s="2" t="s">
        <v>72</v>
      </c>
      <c r="C2010" s="2" t="s">
        <v>73</v>
      </c>
      <c r="D2010" s="2"/>
      <c r="E2010" s="2" t="str">
        <f>"FES1162544002"</f>
        <v>FES1162544002</v>
      </c>
      <c r="F2010" s="3">
        <v>42843</v>
      </c>
      <c r="G2010" s="2">
        <v>201710</v>
      </c>
      <c r="H2010" s="2" t="s">
        <v>74</v>
      </c>
      <c r="I2010" s="2" t="s">
        <v>75</v>
      </c>
      <c r="J2010" s="2" t="s">
        <v>76</v>
      </c>
      <c r="K2010" s="2" t="s">
        <v>77</v>
      </c>
      <c r="L2010" s="2" t="s">
        <v>112</v>
      </c>
      <c r="M2010" s="2" t="s">
        <v>113</v>
      </c>
      <c r="N2010" s="2" t="s">
        <v>114</v>
      </c>
      <c r="O2010" s="2" t="s">
        <v>115</v>
      </c>
      <c r="P2010" s="2" t="str">
        <f>"2170561516                    "</f>
        <v xml:space="preserve">2170561516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18.22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8.1999999999999993</v>
      </c>
      <c r="BJ2010" s="2">
        <v>8</v>
      </c>
      <c r="BK2010" s="2">
        <v>8.5</v>
      </c>
      <c r="BL2010" s="2">
        <v>177.34</v>
      </c>
      <c r="BM2010" s="2">
        <v>24.83</v>
      </c>
      <c r="BN2010" s="2">
        <v>202.17</v>
      </c>
      <c r="BO2010" s="2">
        <v>202.17</v>
      </c>
      <c r="BP2010" s="2"/>
      <c r="BQ2010" s="2" t="s">
        <v>116</v>
      </c>
      <c r="BR2010" s="2" t="s">
        <v>84</v>
      </c>
      <c r="BS2010" s="3">
        <v>42844</v>
      </c>
      <c r="BT2010" s="4">
        <v>0.40833333333333338</v>
      </c>
      <c r="BU2010" s="2" t="s">
        <v>2471</v>
      </c>
      <c r="BV2010" s="2" t="s">
        <v>111</v>
      </c>
      <c r="BW2010" s="2"/>
      <c r="BX2010" s="2"/>
      <c r="BY2010" s="2">
        <v>40079.85</v>
      </c>
      <c r="BZ2010" s="2" t="s">
        <v>27</v>
      </c>
      <c r="CA2010" s="2"/>
      <c r="CB2010" s="2"/>
      <c r="CC2010" s="2" t="s">
        <v>113</v>
      </c>
      <c r="CD2010" s="2">
        <v>3201</v>
      </c>
      <c r="CE2010" s="2" t="s">
        <v>89</v>
      </c>
      <c r="CF2010" s="5">
        <v>42845</v>
      </c>
      <c r="CG2010" s="2"/>
      <c r="CH2010" s="2"/>
      <c r="CI2010" s="2">
        <v>1</v>
      </c>
      <c r="CJ2010" s="2">
        <v>1</v>
      </c>
      <c r="CK2010" s="2">
        <v>21</v>
      </c>
      <c r="CL2010" s="2" t="s">
        <v>86</v>
      </c>
      <c r="CM2010" s="2"/>
    </row>
    <row r="2011" spans="1:91">
      <c r="A2011" s="2" t="s">
        <v>71</v>
      </c>
      <c r="B2011" s="2" t="s">
        <v>72</v>
      </c>
      <c r="C2011" s="2" t="s">
        <v>73</v>
      </c>
      <c r="D2011" s="2"/>
      <c r="E2011" s="2" t="str">
        <f>"FES1162543923"</f>
        <v>FES1162543923</v>
      </c>
      <c r="F2011" s="3">
        <v>42843</v>
      </c>
      <c r="G2011" s="2">
        <v>201710</v>
      </c>
      <c r="H2011" s="2" t="s">
        <v>74</v>
      </c>
      <c r="I2011" s="2" t="s">
        <v>75</v>
      </c>
      <c r="J2011" s="2" t="s">
        <v>76</v>
      </c>
      <c r="K2011" s="2" t="s">
        <v>77</v>
      </c>
      <c r="L2011" s="2" t="s">
        <v>180</v>
      </c>
      <c r="M2011" s="2" t="s">
        <v>181</v>
      </c>
      <c r="N2011" s="2" t="s">
        <v>982</v>
      </c>
      <c r="O2011" s="2" t="s">
        <v>115</v>
      </c>
      <c r="P2011" s="2" t="str">
        <f>"2170562530                    "</f>
        <v xml:space="preserve">2170562530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4.29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2</v>
      </c>
      <c r="BJ2011" s="2">
        <v>0.8</v>
      </c>
      <c r="BK2011" s="2">
        <v>2</v>
      </c>
      <c r="BL2011" s="2">
        <v>41.73</v>
      </c>
      <c r="BM2011" s="2">
        <v>5.84</v>
      </c>
      <c r="BN2011" s="2">
        <v>47.57</v>
      </c>
      <c r="BO2011" s="2">
        <v>47.57</v>
      </c>
      <c r="BP2011" s="2"/>
      <c r="BQ2011" s="2" t="s">
        <v>1168</v>
      </c>
      <c r="BR2011" s="2" t="s">
        <v>84</v>
      </c>
      <c r="BS2011" s="3">
        <v>42844</v>
      </c>
      <c r="BT2011" s="4">
        <v>0.40277777777777773</v>
      </c>
      <c r="BU2011" s="2" t="s">
        <v>2472</v>
      </c>
      <c r="BV2011" s="2" t="s">
        <v>111</v>
      </c>
      <c r="BW2011" s="2"/>
      <c r="BX2011" s="2"/>
      <c r="BY2011" s="2">
        <v>3775.8</v>
      </c>
      <c r="BZ2011" s="2" t="s">
        <v>27</v>
      </c>
      <c r="CA2011" s="2" t="s">
        <v>159</v>
      </c>
      <c r="CB2011" s="2"/>
      <c r="CC2011" s="2" t="s">
        <v>181</v>
      </c>
      <c r="CD2011" s="2">
        <v>4052</v>
      </c>
      <c r="CE2011" s="2" t="s">
        <v>118</v>
      </c>
      <c r="CF2011" s="5">
        <v>42845</v>
      </c>
      <c r="CG2011" s="2"/>
      <c r="CH2011" s="2"/>
      <c r="CI2011" s="2">
        <v>1</v>
      </c>
      <c r="CJ2011" s="2">
        <v>1</v>
      </c>
      <c r="CK2011" s="2">
        <v>21</v>
      </c>
      <c r="CL2011" s="2" t="s">
        <v>86</v>
      </c>
      <c r="CM2011" s="2"/>
    </row>
    <row r="2012" spans="1:91">
      <c r="A2012" s="2" t="s">
        <v>71</v>
      </c>
      <c r="B2012" s="2" t="s">
        <v>72</v>
      </c>
      <c r="C2012" s="2" t="s">
        <v>73</v>
      </c>
      <c r="D2012" s="2"/>
      <c r="E2012" s="2" t="str">
        <f>"FES1162543919"</f>
        <v>FES1162543919</v>
      </c>
      <c r="F2012" s="3">
        <v>42843</v>
      </c>
      <c r="G2012" s="2">
        <v>201710</v>
      </c>
      <c r="H2012" s="2" t="s">
        <v>74</v>
      </c>
      <c r="I2012" s="2" t="s">
        <v>75</v>
      </c>
      <c r="J2012" s="2" t="s">
        <v>76</v>
      </c>
      <c r="K2012" s="2" t="s">
        <v>77</v>
      </c>
      <c r="L2012" s="2" t="s">
        <v>294</v>
      </c>
      <c r="M2012" s="2" t="s">
        <v>295</v>
      </c>
      <c r="N2012" s="2" t="s">
        <v>873</v>
      </c>
      <c r="O2012" s="2" t="s">
        <v>115</v>
      </c>
      <c r="P2012" s="2" t="str">
        <f>"2170562528                    "</f>
        <v xml:space="preserve">2170562528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4.29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1</v>
      </c>
      <c r="BJ2012" s="2">
        <v>0.2</v>
      </c>
      <c r="BK2012" s="2">
        <v>1</v>
      </c>
      <c r="BL2012" s="2">
        <v>41.73</v>
      </c>
      <c r="BM2012" s="2">
        <v>5.84</v>
      </c>
      <c r="BN2012" s="2">
        <v>47.57</v>
      </c>
      <c r="BO2012" s="2">
        <v>47.57</v>
      </c>
      <c r="BP2012" s="2"/>
      <c r="BQ2012" s="2" t="s">
        <v>874</v>
      </c>
      <c r="BR2012" s="2" t="s">
        <v>84</v>
      </c>
      <c r="BS2012" s="3">
        <v>42844</v>
      </c>
      <c r="BT2012" s="4">
        <v>0.39583333333333331</v>
      </c>
      <c r="BU2012" s="2" t="s">
        <v>2473</v>
      </c>
      <c r="BV2012" s="2" t="s">
        <v>111</v>
      </c>
      <c r="BW2012" s="2"/>
      <c r="BX2012" s="2"/>
      <c r="BY2012" s="2">
        <v>1200</v>
      </c>
      <c r="BZ2012" s="2" t="s">
        <v>27</v>
      </c>
      <c r="CA2012" s="2"/>
      <c r="CB2012" s="2"/>
      <c r="CC2012" s="2" t="s">
        <v>295</v>
      </c>
      <c r="CD2012" s="2">
        <v>3600</v>
      </c>
      <c r="CE2012" s="2" t="s">
        <v>118</v>
      </c>
      <c r="CF2012" s="5">
        <v>42845</v>
      </c>
      <c r="CG2012" s="2"/>
      <c r="CH2012" s="2"/>
      <c r="CI2012" s="2">
        <v>1</v>
      </c>
      <c r="CJ2012" s="2">
        <v>1</v>
      </c>
      <c r="CK2012" s="2">
        <v>21</v>
      </c>
      <c r="CL2012" s="2" t="s">
        <v>86</v>
      </c>
      <c r="CM2012" s="2"/>
    </row>
    <row r="2013" spans="1:91">
      <c r="A2013" s="2" t="s">
        <v>71</v>
      </c>
      <c r="B2013" s="2" t="s">
        <v>72</v>
      </c>
      <c r="C2013" s="2" t="s">
        <v>73</v>
      </c>
      <c r="D2013" s="2"/>
      <c r="E2013" s="2" t="str">
        <f>"FES1162543897"</f>
        <v>FES1162543897</v>
      </c>
      <c r="F2013" s="3">
        <v>42843</v>
      </c>
      <c r="G2013" s="2">
        <v>201710</v>
      </c>
      <c r="H2013" s="2" t="s">
        <v>74</v>
      </c>
      <c r="I2013" s="2" t="s">
        <v>75</v>
      </c>
      <c r="J2013" s="2" t="s">
        <v>76</v>
      </c>
      <c r="K2013" s="2" t="s">
        <v>77</v>
      </c>
      <c r="L2013" s="2" t="s">
        <v>74</v>
      </c>
      <c r="M2013" s="2" t="s">
        <v>75</v>
      </c>
      <c r="N2013" s="2" t="s">
        <v>488</v>
      </c>
      <c r="O2013" s="2" t="s">
        <v>115</v>
      </c>
      <c r="P2013" s="2" t="str">
        <f>"2170562501                    "</f>
        <v xml:space="preserve">2170562501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3.35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1</v>
      </c>
      <c r="BJ2013" s="2">
        <v>0.2</v>
      </c>
      <c r="BK2013" s="2">
        <v>1</v>
      </c>
      <c r="BL2013" s="2">
        <v>32.6</v>
      </c>
      <c r="BM2013" s="2">
        <v>4.5599999999999996</v>
      </c>
      <c r="BN2013" s="2">
        <v>37.159999999999997</v>
      </c>
      <c r="BO2013" s="2">
        <v>37.159999999999997</v>
      </c>
      <c r="BP2013" s="2"/>
      <c r="BQ2013" s="2" t="s">
        <v>489</v>
      </c>
      <c r="BR2013" s="2" t="s">
        <v>84</v>
      </c>
      <c r="BS2013" s="3">
        <v>42844</v>
      </c>
      <c r="BT2013" s="4">
        <v>0.41666666666666669</v>
      </c>
      <c r="BU2013" s="2" t="s">
        <v>1750</v>
      </c>
      <c r="BV2013" s="2" t="s">
        <v>111</v>
      </c>
      <c r="BW2013" s="2"/>
      <c r="BX2013" s="2"/>
      <c r="BY2013" s="2">
        <v>1200</v>
      </c>
      <c r="BZ2013" s="2"/>
      <c r="CA2013" s="2"/>
      <c r="CB2013" s="2"/>
      <c r="CC2013" s="2" t="s">
        <v>75</v>
      </c>
      <c r="CD2013" s="2">
        <v>1645</v>
      </c>
      <c r="CE2013" s="2" t="s">
        <v>118</v>
      </c>
      <c r="CF2013" s="5">
        <v>42845</v>
      </c>
      <c r="CG2013" s="2"/>
      <c r="CH2013" s="2"/>
      <c r="CI2013" s="2">
        <v>1</v>
      </c>
      <c r="CJ2013" s="2">
        <v>1</v>
      </c>
      <c r="CK2013" s="2">
        <v>22</v>
      </c>
      <c r="CL2013" s="2" t="s">
        <v>86</v>
      </c>
      <c r="CM2013" s="2"/>
    </row>
    <row r="2014" spans="1:91">
      <c r="A2014" s="2" t="s">
        <v>71</v>
      </c>
      <c r="B2014" s="2" t="s">
        <v>72</v>
      </c>
      <c r="C2014" s="2" t="s">
        <v>73</v>
      </c>
      <c r="D2014" s="2"/>
      <c r="E2014" s="2" t="str">
        <f>"FES1162543843"</f>
        <v>FES1162543843</v>
      </c>
      <c r="F2014" s="3">
        <v>42843</v>
      </c>
      <c r="G2014" s="2">
        <v>201710</v>
      </c>
      <c r="H2014" s="2" t="s">
        <v>74</v>
      </c>
      <c r="I2014" s="2" t="s">
        <v>75</v>
      </c>
      <c r="J2014" s="2" t="s">
        <v>76</v>
      </c>
      <c r="K2014" s="2" t="s">
        <v>77</v>
      </c>
      <c r="L2014" s="2" t="s">
        <v>396</v>
      </c>
      <c r="M2014" s="2" t="s">
        <v>397</v>
      </c>
      <c r="N2014" s="2" t="s">
        <v>398</v>
      </c>
      <c r="O2014" s="2" t="s">
        <v>115</v>
      </c>
      <c r="P2014" s="2" t="str">
        <f>"2170560539                    "</f>
        <v xml:space="preserve">2170560539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4.29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0.5</v>
      </c>
      <c r="BJ2014" s="2">
        <v>0.2</v>
      </c>
      <c r="BK2014" s="2">
        <v>0.5</v>
      </c>
      <c r="BL2014" s="2">
        <v>41.73</v>
      </c>
      <c r="BM2014" s="2">
        <v>5.84</v>
      </c>
      <c r="BN2014" s="2">
        <v>47.57</v>
      </c>
      <c r="BO2014" s="2">
        <v>47.57</v>
      </c>
      <c r="BP2014" s="2"/>
      <c r="BQ2014" s="2" t="s">
        <v>399</v>
      </c>
      <c r="BR2014" s="2" t="s">
        <v>84</v>
      </c>
      <c r="BS2014" s="3">
        <v>42844</v>
      </c>
      <c r="BT2014" s="4">
        <v>0.41666666666666669</v>
      </c>
      <c r="BU2014" s="2" t="s">
        <v>2474</v>
      </c>
      <c r="BV2014" s="2" t="s">
        <v>111</v>
      </c>
      <c r="BW2014" s="2"/>
      <c r="BX2014" s="2"/>
      <c r="BY2014" s="2">
        <v>1200</v>
      </c>
      <c r="BZ2014" s="2" t="s">
        <v>27</v>
      </c>
      <c r="CA2014" s="2"/>
      <c r="CB2014" s="2"/>
      <c r="CC2014" s="2" t="s">
        <v>397</v>
      </c>
      <c r="CD2014" s="2">
        <v>4300</v>
      </c>
      <c r="CE2014" s="2" t="s">
        <v>118</v>
      </c>
      <c r="CF2014" s="5">
        <v>42845</v>
      </c>
      <c r="CG2014" s="2"/>
      <c r="CH2014" s="2"/>
      <c r="CI2014" s="2">
        <v>1</v>
      </c>
      <c r="CJ2014" s="2">
        <v>1</v>
      </c>
      <c r="CK2014" s="2">
        <v>21</v>
      </c>
      <c r="CL2014" s="2" t="s">
        <v>86</v>
      </c>
      <c r="CM2014" s="2"/>
    </row>
    <row r="2015" spans="1:91">
      <c r="A2015" s="2" t="s">
        <v>71</v>
      </c>
      <c r="B2015" s="2" t="s">
        <v>72</v>
      </c>
      <c r="C2015" s="2" t="s">
        <v>73</v>
      </c>
      <c r="D2015" s="2"/>
      <c r="E2015" s="2" t="str">
        <f>"FES1162544055"</f>
        <v>FES1162544055</v>
      </c>
      <c r="F2015" s="3">
        <v>42843</v>
      </c>
      <c r="G2015" s="2">
        <v>201710</v>
      </c>
      <c r="H2015" s="2" t="s">
        <v>74</v>
      </c>
      <c r="I2015" s="2" t="s">
        <v>75</v>
      </c>
      <c r="J2015" s="2" t="s">
        <v>76</v>
      </c>
      <c r="K2015" s="2" t="s">
        <v>77</v>
      </c>
      <c r="L2015" s="2" t="s">
        <v>139</v>
      </c>
      <c r="M2015" s="2" t="s">
        <v>140</v>
      </c>
      <c r="N2015" s="2" t="s">
        <v>2095</v>
      </c>
      <c r="O2015" s="2" t="s">
        <v>115</v>
      </c>
      <c r="P2015" s="2" t="str">
        <f>"2170562653                    "</f>
        <v xml:space="preserve">2170562653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4.29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</v>
      </c>
      <c r="BJ2015" s="2">
        <v>0.2</v>
      </c>
      <c r="BK2015" s="2">
        <v>1</v>
      </c>
      <c r="BL2015" s="2">
        <v>41.73</v>
      </c>
      <c r="BM2015" s="2">
        <v>5.84</v>
      </c>
      <c r="BN2015" s="2">
        <v>47.57</v>
      </c>
      <c r="BO2015" s="2">
        <v>47.57</v>
      </c>
      <c r="BP2015" s="2"/>
      <c r="BQ2015" s="2" t="s">
        <v>2096</v>
      </c>
      <c r="BR2015" s="2" t="s">
        <v>84</v>
      </c>
      <c r="BS2015" s="3">
        <v>42844</v>
      </c>
      <c r="BT2015" s="4">
        <v>0.39930555555555558</v>
      </c>
      <c r="BU2015" s="2" t="s">
        <v>186</v>
      </c>
      <c r="BV2015" s="2" t="s">
        <v>111</v>
      </c>
      <c r="BW2015" s="2"/>
      <c r="BX2015" s="2"/>
      <c r="BY2015" s="2">
        <v>1200</v>
      </c>
      <c r="BZ2015" s="2"/>
      <c r="CA2015" s="2" t="s">
        <v>159</v>
      </c>
      <c r="CB2015" s="2"/>
      <c r="CC2015" s="2" t="s">
        <v>140</v>
      </c>
      <c r="CD2015" s="2">
        <v>157</v>
      </c>
      <c r="CE2015" s="2" t="s">
        <v>118</v>
      </c>
      <c r="CF2015" s="5">
        <v>42846</v>
      </c>
      <c r="CG2015" s="2"/>
      <c r="CH2015" s="2"/>
      <c r="CI2015" s="2">
        <v>0</v>
      </c>
      <c r="CJ2015" s="2">
        <v>0</v>
      </c>
      <c r="CK2015" s="2">
        <v>21</v>
      </c>
      <c r="CL2015" s="2" t="s">
        <v>86</v>
      </c>
      <c r="CM2015" s="2"/>
    </row>
    <row r="2016" spans="1:91">
      <c r="A2016" s="2" t="s">
        <v>71</v>
      </c>
      <c r="B2016" s="2" t="s">
        <v>72</v>
      </c>
      <c r="C2016" s="2" t="s">
        <v>73</v>
      </c>
      <c r="D2016" s="2"/>
      <c r="E2016" s="2" t="str">
        <f>"FES1162543834"</f>
        <v>FES1162543834</v>
      </c>
      <c r="F2016" s="3">
        <v>42843</v>
      </c>
      <c r="G2016" s="2">
        <v>201710</v>
      </c>
      <c r="H2016" s="2" t="s">
        <v>74</v>
      </c>
      <c r="I2016" s="2" t="s">
        <v>75</v>
      </c>
      <c r="J2016" s="2" t="s">
        <v>76</v>
      </c>
      <c r="K2016" s="2" t="s">
        <v>77</v>
      </c>
      <c r="L2016" s="2" t="s">
        <v>598</v>
      </c>
      <c r="M2016" s="2" t="s">
        <v>599</v>
      </c>
      <c r="N2016" s="2" t="s">
        <v>600</v>
      </c>
      <c r="O2016" s="2" t="s">
        <v>115</v>
      </c>
      <c r="P2016" s="2" t="str">
        <f>"2170560440                    "</f>
        <v xml:space="preserve">2170560440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8.31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0.5</v>
      </c>
      <c r="BJ2016" s="2">
        <v>0.2</v>
      </c>
      <c r="BK2016" s="2">
        <v>0.5</v>
      </c>
      <c r="BL2016" s="2">
        <v>80.849999999999994</v>
      </c>
      <c r="BM2016" s="2">
        <v>11.32</v>
      </c>
      <c r="BN2016" s="2">
        <v>92.17</v>
      </c>
      <c r="BO2016" s="2">
        <v>92.17</v>
      </c>
      <c r="BP2016" s="2"/>
      <c r="BQ2016" s="2" t="s">
        <v>601</v>
      </c>
      <c r="BR2016" s="2" t="s">
        <v>84</v>
      </c>
      <c r="BS2016" s="3">
        <v>42844</v>
      </c>
      <c r="BT2016" s="4">
        <v>0.58333333333333337</v>
      </c>
      <c r="BU2016" s="2" t="s">
        <v>602</v>
      </c>
      <c r="BV2016" s="2" t="s">
        <v>111</v>
      </c>
      <c r="BW2016" s="2"/>
      <c r="BX2016" s="2"/>
      <c r="BY2016" s="2">
        <v>1200</v>
      </c>
      <c r="BZ2016" s="2" t="s">
        <v>27</v>
      </c>
      <c r="CA2016" s="2"/>
      <c r="CB2016" s="2"/>
      <c r="CC2016" s="2" t="s">
        <v>599</v>
      </c>
      <c r="CD2016" s="2">
        <v>3370</v>
      </c>
      <c r="CE2016" s="2" t="s">
        <v>118</v>
      </c>
      <c r="CF2016" s="5">
        <v>42846</v>
      </c>
      <c r="CG2016" s="2"/>
      <c r="CH2016" s="2"/>
      <c r="CI2016" s="2">
        <v>3</v>
      </c>
      <c r="CJ2016" s="2">
        <v>1</v>
      </c>
      <c r="CK2016" s="2">
        <v>23</v>
      </c>
      <c r="CL2016" s="2" t="s">
        <v>86</v>
      </c>
      <c r="CM2016" s="2"/>
    </row>
    <row r="2017" spans="1:91">
      <c r="A2017" s="2" t="s">
        <v>71</v>
      </c>
      <c r="B2017" s="2" t="s">
        <v>72</v>
      </c>
      <c r="C2017" s="2" t="s">
        <v>73</v>
      </c>
      <c r="D2017" s="2"/>
      <c r="E2017" s="2" t="str">
        <f>"FES1162543999"</f>
        <v>FES1162543999</v>
      </c>
      <c r="F2017" s="3">
        <v>42843</v>
      </c>
      <c r="G2017" s="2">
        <v>201710</v>
      </c>
      <c r="H2017" s="2" t="s">
        <v>74</v>
      </c>
      <c r="I2017" s="2" t="s">
        <v>75</v>
      </c>
      <c r="J2017" s="2" t="s">
        <v>76</v>
      </c>
      <c r="K2017" s="2" t="s">
        <v>77</v>
      </c>
      <c r="L2017" s="2" t="s">
        <v>180</v>
      </c>
      <c r="M2017" s="2" t="s">
        <v>181</v>
      </c>
      <c r="N2017" s="2" t="s">
        <v>931</v>
      </c>
      <c r="O2017" s="2" t="s">
        <v>115</v>
      </c>
      <c r="P2017" s="2" t="str">
        <f>"2170562581                    "</f>
        <v xml:space="preserve">2170562581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4.29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1</v>
      </c>
      <c r="BJ2017" s="2">
        <v>0.2</v>
      </c>
      <c r="BK2017" s="2">
        <v>1</v>
      </c>
      <c r="BL2017" s="2">
        <v>41.73</v>
      </c>
      <c r="BM2017" s="2">
        <v>5.84</v>
      </c>
      <c r="BN2017" s="2">
        <v>47.57</v>
      </c>
      <c r="BO2017" s="2">
        <v>47.57</v>
      </c>
      <c r="BP2017" s="2"/>
      <c r="BQ2017" s="2" t="s">
        <v>932</v>
      </c>
      <c r="BR2017" s="2" t="s">
        <v>84</v>
      </c>
      <c r="BS2017" s="3">
        <v>42844</v>
      </c>
      <c r="BT2017" s="4">
        <v>0.37222222222222223</v>
      </c>
      <c r="BU2017" s="2" t="s">
        <v>2475</v>
      </c>
      <c r="BV2017" s="2" t="s">
        <v>111</v>
      </c>
      <c r="BW2017" s="2"/>
      <c r="BX2017" s="2"/>
      <c r="BY2017" s="2">
        <v>1200</v>
      </c>
      <c r="BZ2017" s="2" t="s">
        <v>27</v>
      </c>
      <c r="CA2017" s="2"/>
      <c r="CB2017" s="2"/>
      <c r="CC2017" s="2" t="s">
        <v>181</v>
      </c>
      <c r="CD2017" s="2">
        <v>4072</v>
      </c>
      <c r="CE2017" s="2" t="s">
        <v>118</v>
      </c>
      <c r="CF2017" s="5">
        <v>42845</v>
      </c>
      <c r="CG2017" s="2"/>
      <c r="CH2017" s="2"/>
      <c r="CI2017" s="2">
        <v>1</v>
      </c>
      <c r="CJ2017" s="2">
        <v>1</v>
      </c>
      <c r="CK2017" s="2">
        <v>21</v>
      </c>
      <c r="CL2017" s="2" t="s">
        <v>86</v>
      </c>
      <c r="CM2017" s="2"/>
    </row>
    <row r="2018" spans="1:91">
      <c r="A2018" s="2" t="s">
        <v>71</v>
      </c>
      <c r="B2018" s="2" t="s">
        <v>72</v>
      </c>
      <c r="C2018" s="2" t="s">
        <v>73</v>
      </c>
      <c r="D2018" s="2"/>
      <c r="E2018" s="2" t="str">
        <f>"FES1162543950"</f>
        <v>FES1162543950</v>
      </c>
      <c r="F2018" s="3">
        <v>42843</v>
      </c>
      <c r="G2018" s="2">
        <v>201710</v>
      </c>
      <c r="H2018" s="2" t="s">
        <v>74</v>
      </c>
      <c r="I2018" s="2" t="s">
        <v>75</v>
      </c>
      <c r="J2018" s="2" t="s">
        <v>76</v>
      </c>
      <c r="K2018" s="2" t="s">
        <v>77</v>
      </c>
      <c r="L2018" s="2" t="s">
        <v>991</v>
      </c>
      <c r="M2018" s="2" t="s">
        <v>992</v>
      </c>
      <c r="N2018" s="2" t="s">
        <v>993</v>
      </c>
      <c r="O2018" s="2" t="s">
        <v>115</v>
      </c>
      <c r="P2018" s="2" t="str">
        <f>"2170559654                    "</f>
        <v xml:space="preserve">2170559654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10.72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5</v>
      </c>
      <c r="BJ2018" s="2">
        <v>1.8</v>
      </c>
      <c r="BK2018" s="2">
        <v>5</v>
      </c>
      <c r="BL2018" s="2">
        <v>104.32</v>
      </c>
      <c r="BM2018" s="2">
        <v>14.6</v>
      </c>
      <c r="BN2018" s="2">
        <v>118.92</v>
      </c>
      <c r="BO2018" s="2">
        <v>118.92</v>
      </c>
      <c r="BP2018" s="2"/>
      <c r="BQ2018" s="2" t="s">
        <v>994</v>
      </c>
      <c r="BR2018" s="2" t="s">
        <v>84</v>
      </c>
      <c r="BS2018" s="3">
        <v>42844</v>
      </c>
      <c r="BT2018" s="4">
        <v>0.57777777777777783</v>
      </c>
      <c r="BU2018" s="2" t="s">
        <v>2476</v>
      </c>
      <c r="BV2018" s="2" t="s">
        <v>111</v>
      </c>
      <c r="BW2018" s="2"/>
      <c r="BX2018" s="2"/>
      <c r="BY2018" s="2">
        <v>9120</v>
      </c>
      <c r="BZ2018" s="2"/>
      <c r="CA2018" s="2"/>
      <c r="CB2018" s="2"/>
      <c r="CC2018" s="2" t="s">
        <v>992</v>
      </c>
      <c r="CD2018" s="2">
        <v>7655</v>
      </c>
      <c r="CE2018" s="2" t="s">
        <v>89</v>
      </c>
      <c r="CF2018" s="5">
        <v>42845</v>
      </c>
      <c r="CG2018" s="2"/>
      <c r="CH2018" s="2"/>
      <c r="CI2018" s="2">
        <v>1</v>
      </c>
      <c r="CJ2018" s="2">
        <v>1</v>
      </c>
      <c r="CK2018" s="2">
        <v>21</v>
      </c>
      <c r="CL2018" s="2" t="s">
        <v>86</v>
      </c>
      <c r="CM2018" s="2"/>
    </row>
    <row r="2019" spans="1:91">
      <c r="A2019" s="2" t="s">
        <v>71</v>
      </c>
      <c r="B2019" s="2" t="s">
        <v>72</v>
      </c>
      <c r="C2019" s="2" t="s">
        <v>73</v>
      </c>
      <c r="D2019" s="2"/>
      <c r="E2019" s="2" t="str">
        <f>"FES1162543865"</f>
        <v>FES1162543865</v>
      </c>
      <c r="F2019" s="3">
        <v>42843</v>
      </c>
      <c r="G2019" s="2">
        <v>201710</v>
      </c>
      <c r="H2019" s="2" t="s">
        <v>74</v>
      </c>
      <c r="I2019" s="2" t="s">
        <v>75</v>
      </c>
      <c r="J2019" s="2" t="s">
        <v>76</v>
      </c>
      <c r="K2019" s="2" t="s">
        <v>77</v>
      </c>
      <c r="L2019" s="2" t="s">
        <v>180</v>
      </c>
      <c r="M2019" s="2" t="s">
        <v>181</v>
      </c>
      <c r="N2019" s="2" t="s">
        <v>2477</v>
      </c>
      <c r="O2019" s="2" t="s">
        <v>115</v>
      </c>
      <c r="P2019" s="2" t="str">
        <f>"2170562332                    "</f>
        <v xml:space="preserve">2170562332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4.29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0.7</v>
      </c>
      <c r="BJ2019" s="2">
        <v>1.9</v>
      </c>
      <c r="BK2019" s="2">
        <v>2</v>
      </c>
      <c r="BL2019" s="2">
        <v>41.73</v>
      </c>
      <c r="BM2019" s="2">
        <v>5.84</v>
      </c>
      <c r="BN2019" s="2">
        <v>47.57</v>
      </c>
      <c r="BO2019" s="2">
        <v>47.57</v>
      </c>
      <c r="BP2019" s="2"/>
      <c r="BQ2019" s="2" t="s">
        <v>2478</v>
      </c>
      <c r="BR2019" s="2" t="s">
        <v>84</v>
      </c>
      <c r="BS2019" s="3">
        <v>42844</v>
      </c>
      <c r="BT2019" s="4">
        <v>0.42708333333333331</v>
      </c>
      <c r="BU2019" s="2" t="s">
        <v>2479</v>
      </c>
      <c r="BV2019" s="2" t="s">
        <v>111</v>
      </c>
      <c r="BW2019" s="2"/>
      <c r="BX2019" s="2"/>
      <c r="BY2019" s="2">
        <v>9386.24</v>
      </c>
      <c r="BZ2019" s="2" t="s">
        <v>27</v>
      </c>
      <c r="CA2019" s="2"/>
      <c r="CB2019" s="2"/>
      <c r="CC2019" s="2" t="s">
        <v>181</v>
      </c>
      <c r="CD2019" s="2">
        <v>4051</v>
      </c>
      <c r="CE2019" s="2" t="s">
        <v>89</v>
      </c>
      <c r="CF2019" s="5">
        <v>42845</v>
      </c>
      <c r="CG2019" s="2"/>
      <c r="CH2019" s="2"/>
      <c r="CI2019" s="2">
        <v>1</v>
      </c>
      <c r="CJ2019" s="2">
        <v>1</v>
      </c>
      <c r="CK2019" s="2">
        <v>21</v>
      </c>
      <c r="CL2019" s="2" t="s">
        <v>86</v>
      </c>
      <c r="CM2019" s="2"/>
    </row>
    <row r="2020" spans="1:91">
      <c r="A2020" s="2" t="s">
        <v>71</v>
      </c>
      <c r="B2020" s="2" t="s">
        <v>72</v>
      </c>
      <c r="C2020" s="2" t="s">
        <v>73</v>
      </c>
      <c r="D2020" s="2"/>
      <c r="E2020" s="2" t="str">
        <f>"FES1162543887"</f>
        <v>FES1162543887</v>
      </c>
      <c r="F2020" s="3">
        <v>42843</v>
      </c>
      <c r="G2020" s="2">
        <v>201710</v>
      </c>
      <c r="H2020" s="2" t="s">
        <v>74</v>
      </c>
      <c r="I2020" s="2" t="s">
        <v>75</v>
      </c>
      <c r="J2020" s="2" t="s">
        <v>76</v>
      </c>
      <c r="K2020" s="2" t="s">
        <v>77</v>
      </c>
      <c r="L2020" s="2" t="s">
        <v>131</v>
      </c>
      <c r="M2020" s="2" t="s">
        <v>132</v>
      </c>
      <c r="N2020" s="2" t="s">
        <v>961</v>
      </c>
      <c r="O2020" s="2" t="s">
        <v>115</v>
      </c>
      <c r="P2020" s="2" t="str">
        <f>"2170559867                    "</f>
        <v xml:space="preserve">2170559867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12.86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6</v>
      </c>
      <c r="BJ2020" s="2">
        <v>1.3</v>
      </c>
      <c r="BK2020" s="2">
        <v>6</v>
      </c>
      <c r="BL2020" s="2">
        <v>125.18</v>
      </c>
      <c r="BM2020" s="2">
        <v>17.53</v>
      </c>
      <c r="BN2020" s="2">
        <v>142.71</v>
      </c>
      <c r="BO2020" s="2">
        <v>142.71</v>
      </c>
      <c r="BP2020" s="2"/>
      <c r="BQ2020" s="2" t="s">
        <v>962</v>
      </c>
      <c r="BR2020" s="2" t="s">
        <v>84</v>
      </c>
      <c r="BS2020" s="3">
        <v>42844</v>
      </c>
      <c r="BT2020" s="4">
        <v>0.34027777777777773</v>
      </c>
      <c r="BU2020" s="2" t="s">
        <v>2480</v>
      </c>
      <c r="BV2020" s="2" t="s">
        <v>111</v>
      </c>
      <c r="BW2020" s="2"/>
      <c r="BX2020" s="2"/>
      <c r="BY2020" s="2">
        <v>6600</v>
      </c>
      <c r="BZ2020" s="2"/>
      <c r="CA2020" s="2"/>
      <c r="CB2020" s="2"/>
      <c r="CC2020" s="2" t="s">
        <v>132</v>
      </c>
      <c r="CD2020" s="2">
        <v>7945</v>
      </c>
      <c r="CE2020" s="2" t="s">
        <v>89</v>
      </c>
      <c r="CF2020" s="5">
        <v>42845</v>
      </c>
      <c r="CG2020" s="2"/>
      <c r="CH2020" s="2"/>
      <c r="CI2020" s="2">
        <v>1</v>
      </c>
      <c r="CJ2020" s="2">
        <v>1</v>
      </c>
      <c r="CK2020" s="2">
        <v>21</v>
      </c>
      <c r="CL2020" s="2" t="s">
        <v>86</v>
      </c>
      <c r="CM2020" s="2"/>
    </row>
    <row r="2021" spans="1:91">
      <c r="A2021" s="2" t="s">
        <v>71</v>
      </c>
      <c r="B2021" s="2" t="s">
        <v>72</v>
      </c>
      <c r="C2021" s="2" t="s">
        <v>73</v>
      </c>
      <c r="D2021" s="2"/>
      <c r="E2021" s="2" t="str">
        <f>"FES1162543976"</f>
        <v>FES1162543976</v>
      </c>
      <c r="F2021" s="3">
        <v>42843</v>
      </c>
      <c r="G2021" s="2">
        <v>201710</v>
      </c>
      <c r="H2021" s="2" t="s">
        <v>74</v>
      </c>
      <c r="I2021" s="2" t="s">
        <v>75</v>
      </c>
      <c r="J2021" s="2" t="s">
        <v>76</v>
      </c>
      <c r="K2021" s="2" t="s">
        <v>77</v>
      </c>
      <c r="L2021" s="2" t="s">
        <v>180</v>
      </c>
      <c r="M2021" s="2" t="s">
        <v>181</v>
      </c>
      <c r="N2021" s="2" t="s">
        <v>839</v>
      </c>
      <c r="O2021" s="2" t="s">
        <v>115</v>
      </c>
      <c r="P2021" s="2" t="str">
        <f>"2170561956                    "</f>
        <v xml:space="preserve">2170561956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4.29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1</v>
      </c>
      <c r="BJ2021" s="2">
        <v>0.2</v>
      </c>
      <c r="BK2021" s="2">
        <v>1</v>
      </c>
      <c r="BL2021" s="2">
        <v>41.73</v>
      </c>
      <c r="BM2021" s="2">
        <v>5.84</v>
      </c>
      <c r="BN2021" s="2">
        <v>47.57</v>
      </c>
      <c r="BO2021" s="2">
        <v>47.57</v>
      </c>
      <c r="BP2021" s="2"/>
      <c r="BQ2021" s="2" t="s">
        <v>840</v>
      </c>
      <c r="BR2021" s="2" t="s">
        <v>84</v>
      </c>
      <c r="BS2021" s="3">
        <v>42844</v>
      </c>
      <c r="BT2021" s="4">
        <v>0.34375</v>
      </c>
      <c r="BU2021" s="2" t="s">
        <v>245</v>
      </c>
      <c r="BV2021" s="2" t="s">
        <v>111</v>
      </c>
      <c r="BW2021" s="2"/>
      <c r="BX2021" s="2"/>
      <c r="BY2021" s="2">
        <v>1200</v>
      </c>
      <c r="BZ2021" s="2" t="s">
        <v>27</v>
      </c>
      <c r="CA2021" s="2"/>
      <c r="CB2021" s="2"/>
      <c r="CC2021" s="2" t="s">
        <v>181</v>
      </c>
      <c r="CD2021" s="2">
        <v>4052</v>
      </c>
      <c r="CE2021" s="2" t="s">
        <v>118</v>
      </c>
      <c r="CF2021" s="5">
        <v>42845</v>
      </c>
      <c r="CG2021" s="2"/>
      <c r="CH2021" s="2"/>
      <c r="CI2021" s="2">
        <v>1</v>
      </c>
      <c r="CJ2021" s="2">
        <v>1</v>
      </c>
      <c r="CK2021" s="2">
        <v>21</v>
      </c>
      <c r="CL2021" s="2" t="s">
        <v>86</v>
      </c>
      <c r="CM2021" s="2"/>
    </row>
    <row r="2022" spans="1:91">
      <c r="A2022" s="2" t="s">
        <v>71</v>
      </c>
      <c r="B2022" s="2" t="s">
        <v>72</v>
      </c>
      <c r="C2022" s="2" t="s">
        <v>73</v>
      </c>
      <c r="D2022" s="2"/>
      <c r="E2022" s="2" t="str">
        <f>"FES1162544072"</f>
        <v>FES1162544072</v>
      </c>
      <c r="F2022" s="3">
        <v>42843</v>
      </c>
      <c r="G2022" s="2">
        <v>201710</v>
      </c>
      <c r="H2022" s="2" t="s">
        <v>74</v>
      </c>
      <c r="I2022" s="2" t="s">
        <v>75</v>
      </c>
      <c r="J2022" s="2" t="s">
        <v>76</v>
      </c>
      <c r="K2022" s="2" t="s">
        <v>77</v>
      </c>
      <c r="L2022" s="2" t="s">
        <v>99</v>
      </c>
      <c r="M2022" s="2" t="s">
        <v>100</v>
      </c>
      <c r="N2022" s="2" t="s">
        <v>671</v>
      </c>
      <c r="O2022" s="2" t="s">
        <v>115</v>
      </c>
      <c r="P2022" s="2" t="str">
        <f>"2170558965                    "</f>
        <v xml:space="preserve">2170558965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17.149999999999999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8</v>
      </c>
      <c r="BJ2022" s="2">
        <v>4.0999999999999996</v>
      </c>
      <c r="BK2022" s="2">
        <v>8</v>
      </c>
      <c r="BL2022" s="2">
        <v>166.91</v>
      </c>
      <c r="BM2022" s="2">
        <v>23.37</v>
      </c>
      <c r="BN2022" s="2">
        <v>190.28</v>
      </c>
      <c r="BO2022" s="2">
        <v>190.28</v>
      </c>
      <c r="BP2022" s="2"/>
      <c r="BQ2022" s="2" t="s">
        <v>672</v>
      </c>
      <c r="BR2022" s="2" t="s">
        <v>84</v>
      </c>
      <c r="BS2022" s="3">
        <v>42844</v>
      </c>
      <c r="BT2022" s="4">
        <v>0.54166666666666663</v>
      </c>
      <c r="BU2022" s="2" t="s">
        <v>672</v>
      </c>
      <c r="BV2022" s="2" t="s">
        <v>86</v>
      </c>
      <c r="BW2022" s="2"/>
      <c r="BX2022" s="2"/>
      <c r="BY2022" s="2">
        <v>20358</v>
      </c>
      <c r="BZ2022" s="2"/>
      <c r="CA2022" s="2"/>
      <c r="CB2022" s="2"/>
      <c r="CC2022" s="2" t="s">
        <v>100</v>
      </c>
      <c r="CD2022" s="2">
        <v>6001</v>
      </c>
      <c r="CE2022" s="2" t="s">
        <v>89</v>
      </c>
      <c r="CF2022" s="5">
        <v>42845</v>
      </c>
      <c r="CG2022" s="2"/>
      <c r="CH2022" s="2"/>
      <c r="CI2022" s="2">
        <v>1</v>
      </c>
      <c r="CJ2022" s="2">
        <v>1</v>
      </c>
      <c r="CK2022" s="2">
        <v>21</v>
      </c>
      <c r="CL2022" s="2" t="s">
        <v>86</v>
      </c>
      <c r="CM2022" s="2"/>
    </row>
    <row r="2023" spans="1:91">
      <c r="A2023" s="2" t="s">
        <v>71</v>
      </c>
      <c r="B2023" s="2" t="s">
        <v>72</v>
      </c>
      <c r="C2023" s="2" t="s">
        <v>73</v>
      </c>
      <c r="D2023" s="2"/>
      <c r="E2023" s="2" t="str">
        <f>"FES1162543982"</f>
        <v>FES1162543982</v>
      </c>
      <c r="F2023" s="3">
        <v>42843</v>
      </c>
      <c r="G2023" s="2">
        <v>201710</v>
      </c>
      <c r="H2023" s="2" t="s">
        <v>74</v>
      </c>
      <c r="I2023" s="2" t="s">
        <v>75</v>
      </c>
      <c r="J2023" s="2" t="s">
        <v>76</v>
      </c>
      <c r="K2023" s="2" t="s">
        <v>77</v>
      </c>
      <c r="L2023" s="2" t="s">
        <v>275</v>
      </c>
      <c r="M2023" s="2" t="s">
        <v>276</v>
      </c>
      <c r="N2023" s="2" t="s">
        <v>277</v>
      </c>
      <c r="O2023" s="2" t="s">
        <v>115</v>
      </c>
      <c r="P2023" s="2" t="str">
        <f>"2170559055                    "</f>
        <v xml:space="preserve">2170559055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4.29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0.5</v>
      </c>
      <c r="BJ2023" s="2">
        <v>0.2</v>
      </c>
      <c r="BK2023" s="2">
        <v>0.5</v>
      </c>
      <c r="BL2023" s="2">
        <v>41.73</v>
      </c>
      <c r="BM2023" s="2">
        <v>5.84</v>
      </c>
      <c r="BN2023" s="2">
        <v>47.57</v>
      </c>
      <c r="BO2023" s="2">
        <v>47.57</v>
      </c>
      <c r="BP2023" s="2"/>
      <c r="BQ2023" s="2" t="s">
        <v>278</v>
      </c>
      <c r="BR2023" s="2" t="s">
        <v>84</v>
      </c>
      <c r="BS2023" s="3">
        <v>42844</v>
      </c>
      <c r="BT2023" s="4">
        <v>0.40972222222222227</v>
      </c>
      <c r="BU2023" s="2" t="s">
        <v>279</v>
      </c>
      <c r="BV2023" s="2" t="s">
        <v>111</v>
      </c>
      <c r="BW2023" s="2"/>
      <c r="BX2023" s="2"/>
      <c r="BY2023" s="2">
        <v>1200</v>
      </c>
      <c r="BZ2023" s="2" t="s">
        <v>27</v>
      </c>
      <c r="CA2023" s="2"/>
      <c r="CB2023" s="2"/>
      <c r="CC2023" s="2" t="s">
        <v>276</v>
      </c>
      <c r="CD2023" s="2">
        <v>4126</v>
      </c>
      <c r="CE2023" s="2" t="s">
        <v>118</v>
      </c>
      <c r="CF2023" s="5">
        <v>42845</v>
      </c>
      <c r="CG2023" s="2"/>
      <c r="CH2023" s="2"/>
      <c r="CI2023" s="2">
        <v>1</v>
      </c>
      <c r="CJ2023" s="2">
        <v>1</v>
      </c>
      <c r="CK2023" s="2">
        <v>21</v>
      </c>
      <c r="CL2023" s="2" t="s">
        <v>86</v>
      </c>
      <c r="CM2023" s="2"/>
    </row>
    <row r="2024" spans="1:91">
      <c r="A2024" s="2" t="s">
        <v>71</v>
      </c>
      <c r="B2024" s="2" t="s">
        <v>72</v>
      </c>
      <c r="C2024" s="2" t="s">
        <v>73</v>
      </c>
      <c r="D2024" s="2"/>
      <c r="E2024" s="2" t="str">
        <f>"FES1162543888"</f>
        <v>FES1162543888</v>
      </c>
      <c r="F2024" s="3">
        <v>42843</v>
      </c>
      <c r="G2024" s="2">
        <v>201710</v>
      </c>
      <c r="H2024" s="2" t="s">
        <v>74</v>
      </c>
      <c r="I2024" s="2" t="s">
        <v>75</v>
      </c>
      <c r="J2024" s="2" t="s">
        <v>76</v>
      </c>
      <c r="K2024" s="2" t="s">
        <v>77</v>
      </c>
      <c r="L2024" s="2" t="s">
        <v>294</v>
      </c>
      <c r="M2024" s="2" t="s">
        <v>295</v>
      </c>
      <c r="N2024" s="2" t="s">
        <v>728</v>
      </c>
      <c r="O2024" s="2" t="s">
        <v>115</v>
      </c>
      <c r="P2024" s="2" t="str">
        <f>"2170562190                    "</f>
        <v xml:space="preserve">2170562190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6.43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3</v>
      </c>
      <c r="BJ2024" s="2">
        <v>2</v>
      </c>
      <c r="BK2024" s="2">
        <v>3</v>
      </c>
      <c r="BL2024" s="2">
        <v>62.59</v>
      </c>
      <c r="BM2024" s="2">
        <v>8.76</v>
      </c>
      <c r="BN2024" s="2">
        <v>71.349999999999994</v>
      </c>
      <c r="BO2024" s="2">
        <v>71.349999999999994</v>
      </c>
      <c r="BP2024" s="2"/>
      <c r="BQ2024" s="2" t="s">
        <v>729</v>
      </c>
      <c r="BR2024" s="2" t="s">
        <v>84</v>
      </c>
      <c r="BS2024" s="3">
        <v>42844</v>
      </c>
      <c r="BT2024" s="4">
        <v>0.4375</v>
      </c>
      <c r="BU2024" s="2" t="s">
        <v>2481</v>
      </c>
      <c r="BV2024" s="2" t="s">
        <v>111</v>
      </c>
      <c r="BW2024" s="2"/>
      <c r="BX2024" s="2"/>
      <c r="BY2024" s="2">
        <v>9900</v>
      </c>
      <c r="BZ2024" s="2"/>
      <c r="CA2024" s="2" t="s">
        <v>159</v>
      </c>
      <c r="CB2024" s="2"/>
      <c r="CC2024" s="2" t="s">
        <v>295</v>
      </c>
      <c r="CD2024" s="2">
        <v>3610</v>
      </c>
      <c r="CE2024" s="2" t="s">
        <v>89</v>
      </c>
      <c r="CF2024" s="5">
        <v>42845</v>
      </c>
      <c r="CG2024" s="2"/>
      <c r="CH2024" s="2"/>
      <c r="CI2024" s="2">
        <v>1</v>
      </c>
      <c r="CJ2024" s="2">
        <v>1</v>
      </c>
      <c r="CK2024" s="2">
        <v>21</v>
      </c>
      <c r="CL2024" s="2" t="s">
        <v>86</v>
      </c>
      <c r="CM2024" s="2"/>
    </row>
    <row r="2025" spans="1:91">
      <c r="A2025" s="2" t="s">
        <v>71</v>
      </c>
      <c r="B2025" s="2" t="s">
        <v>72</v>
      </c>
      <c r="C2025" s="2" t="s">
        <v>73</v>
      </c>
      <c r="D2025" s="2"/>
      <c r="E2025" s="2" t="str">
        <f>"FES1162543880"</f>
        <v>FES1162543880</v>
      </c>
      <c r="F2025" s="3">
        <v>42843</v>
      </c>
      <c r="G2025" s="2">
        <v>201710</v>
      </c>
      <c r="H2025" s="2" t="s">
        <v>74</v>
      </c>
      <c r="I2025" s="2" t="s">
        <v>75</v>
      </c>
      <c r="J2025" s="2" t="s">
        <v>76</v>
      </c>
      <c r="K2025" s="2" t="s">
        <v>77</v>
      </c>
      <c r="L2025" s="2" t="s">
        <v>294</v>
      </c>
      <c r="M2025" s="2" t="s">
        <v>295</v>
      </c>
      <c r="N2025" s="2" t="s">
        <v>416</v>
      </c>
      <c r="O2025" s="2" t="s">
        <v>115</v>
      </c>
      <c r="P2025" s="2" t="str">
        <f>"2170562484                    "</f>
        <v xml:space="preserve">2170562484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66.45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14.5</v>
      </c>
      <c r="BJ2025" s="2">
        <v>31</v>
      </c>
      <c r="BK2025" s="2">
        <v>31</v>
      </c>
      <c r="BL2025" s="2">
        <v>646.77</v>
      </c>
      <c r="BM2025" s="2">
        <v>90.55</v>
      </c>
      <c r="BN2025" s="2">
        <v>737.32</v>
      </c>
      <c r="BO2025" s="2">
        <v>737.32</v>
      </c>
      <c r="BP2025" s="2"/>
      <c r="BQ2025" s="2" t="s">
        <v>417</v>
      </c>
      <c r="BR2025" s="2" t="s">
        <v>84</v>
      </c>
      <c r="BS2025" s="3">
        <v>42844</v>
      </c>
      <c r="BT2025" s="4">
        <v>0.29166666666666669</v>
      </c>
      <c r="BU2025" s="2" t="s">
        <v>418</v>
      </c>
      <c r="BV2025" s="2" t="s">
        <v>111</v>
      </c>
      <c r="BW2025" s="2"/>
      <c r="BX2025" s="2"/>
      <c r="BY2025" s="2">
        <v>154900.4</v>
      </c>
      <c r="BZ2025" s="2" t="s">
        <v>27</v>
      </c>
      <c r="CA2025" s="2"/>
      <c r="CB2025" s="2"/>
      <c r="CC2025" s="2" t="s">
        <v>295</v>
      </c>
      <c r="CD2025" s="2">
        <v>3610</v>
      </c>
      <c r="CE2025" s="2" t="s">
        <v>89</v>
      </c>
      <c r="CF2025" s="5">
        <v>42845</v>
      </c>
      <c r="CG2025" s="2"/>
      <c r="CH2025" s="2"/>
      <c r="CI2025" s="2">
        <v>1</v>
      </c>
      <c r="CJ2025" s="2">
        <v>1</v>
      </c>
      <c r="CK2025" s="2">
        <v>21</v>
      </c>
      <c r="CL2025" s="2" t="s">
        <v>86</v>
      </c>
      <c r="CM2025" s="2"/>
    </row>
    <row r="2026" spans="1:91">
      <c r="A2026" s="2" t="s">
        <v>71</v>
      </c>
      <c r="B2026" s="2" t="s">
        <v>72</v>
      </c>
      <c r="C2026" s="2" t="s">
        <v>73</v>
      </c>
      <c r="D2026" s="2"/>
      <c r="E2026" s="2" t="str">
        <f>"FES1162544093"</f>
        <v>FES1162544093</v>
      </c>
      <c r="F2026" s="3">
        <v>42843</v>
      </c>
      <c r="G2026" s="2">
        <v>201710</v>
      </c>
      <c r="H2026" s="2" t="s">
        <v>74</v>
      </c>
      <c r="I2026" s="2" t="s">
        <v>75</v>
      </c>
      <c r="J2026" s="2" t="s">
        <v>76</v>
      </c>
      <c r="K2026" s="2" t="s">
        <v>77</v>
      </c>
      <c r="L2026" s="2" t="s">
        <v>99</v>
      </c>
      <c r="M2026" s="2" t="s">
        <v>100</v>
      </c>
      <c r="N2026" s="2" t="s">
        <v>700</v>
      </c>
      <c r="O2026" s="2" t="s">
        <v>115</v>
      </c>
      <c r="P2026" s="2" t="str">
        <f>"2170562691                    "</f>
        <v xml:space="preserve">2170562691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4.29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1</v>
      </c>
      <c r="BJ2026" s="2">
        <v>0.2</v>
      </c>
      <c r="BK2026" s="2">
        <v>1</v>
      </c>
      <c r="BL2026" s="2">
        <v>41.73</v>
      </c>
      <c r="BM2026" s="2">
        <v>5.84</v>
      </c>
      <c r="BN2026" s="2">
        <v>47.57</v>
      </c>
      <c r="BO2026" s="2">
        <v>47.57</v>
      </c>
      <c r="BP2026" s="2"/>
      <c r="BQ2026" s="2" t="s">
        <v>701</v>
      </c>
      <c r="BR2026" s="2" t="s">
        <v>84</v>
      </c>
      <c r="BS2026" s="3">
        <v>42844</v>
      </c>
      <c r="BT2026" s="4">
        <v>0.46111111111111108</v>
      </c>
      <c r="BU2026" s="2" t="s">
        <v>2482</v>
      </c>
      <c r="BV2026" s="2" t="s">
        <v>86</v>
      </c>
      <c r="BW2026" s="2"/>
      <c r="BX2026" s="2"/>
      <c r="BY2026" s="2">
        <v>1200</v>
      </c>
      <c r="BZ2026" s="2"/>
      <c r="CA2026" s="2" t="s">
        <v>106</v>
      </c>
      <c r="CB2026" s="2"/>
      <c r="CC2026" s="2" t="s">
        <v>100</v>
      </c>
      <c r="CD2026" s="2">
        <v>6001</v>
      </c>
      <c r="CE2026" s="2" t="s">
        <v>118</v>
      </c>
      <c r="CF2026" s="5">
        <v>42844</v>
      </c>
      <c r="CG2026" s="2"/>
      <c r="CH2026" s="2"/>
      <c r="CI2026" s="2">
        <v>1</v>
      </c>
      <c r="CJ2026" s="2">
        <v>1</v>
      </c>
      <c r="CK2026" s="2">
        <v>21</v>
      </c>
      <c r="CL2026" s="2" t="s">
        <v>86</v>
      </c>
      <c r="CM2026" s="2"/>
    </row>
    <row r="2027" spans="1:91">
      <c r="A2027" s="2" t="s">
        <v>71</v>
      </c>
      <c r="B2027" s="2" t="s">
        <v>72</v>
      </c>
      <c r="C2027" s="2" t="s">
        <v>73</v>
      </c>
      <c r="D2027" s="2"/>
      <c r="E2027" s="2" t="str">
        <f>"FES1162543907"</f>
        <v>FES1162543907</v>
      </c>
      <c r="F2027" s="3">
        <v>42843</v>
      </c>
      <c r="G2027" s="2">
        <v>201710</v>
      </c>
      <c r="H2027" s="2" t="s">
        <v>74</v>
      </c>
      <c r="I2027" s="2" t="s">
        <v>75</v>
      </c>
      <c r="J2027" s="2" t="s">
        <v>76</v>
      </c>
      <c r="K2027" s="2" t="s">
        <v>77</v>
      </c>
      <c r="L2027" s="2" t="s">
        <v>131</v>
      </c>
      <c r="M2027" s="2" t="s">
        <v>132</v>
      </c>
      <c r="N2027" s="2" t="s">
        <v>2483</v>
      </c>
      <c r="O2027" s="2" t="s">
        <v>115</v>
      </c>
      <c r="P2027" s="2" t="str">
        <f>"2170562510                    "</f>
        <v xml:space="preserve">2170562510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4.29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2</v>
      </c>
      <c r="BJ2027" s="2">
        <v>1.5</v>
      </c>
      <c r="BK2027" s="2">
        <v>2</v>
      </c>
      <c r="BL2027" s="2">
        <v>41.73</v>
      </c>
      <c r="BM2027" s="2">
        <v>5.84</v>
      </c>
      <c r="BN2027" s="2">
        <v>47.57</v>
      </c>
      <c r="BO2027" s="2">
        <v>47.57</v>
      </c>
      <c r="BP2027" s="2"/>
      <c r="BQ2027" s="2"/>
      <c r="BR2027" s="2" t="s">
        <v>84</v>
      </c>
      <c r="BS2027" s="3">
        <v>42844</v>
      </c>
      <c r="BT2027" s="4">
        <v>0.41666666666666669</v>
      </c>
      <c r="BU2027" s="2" t="s">
        <v>2484</v>
      </c>
      <c r="BV2027" s="2" t="s">
        <v>111</v>
      </c>
      <c r="BW2027" s="2"/>
      <c r="BX2027" s="2"/>
      <c r="BY2027" s="2">
        <v>7558.61</v>
      </c>
      <c r="BZ2027" s="2" t="s">
        <v>27</v>
      </c>
      <c r="CA2027" s="2"/>
      <c r="CB2027" s="2"/>
      <c r="CC2027" s="2" t="s">
        <v>132</v>
      </c>
      <c r="CD2027" s="2">
        <v>7460</v>
      </c>
      <c r="CE2027" s="2" t="s">
        <v>118</v>
      </c>
      <c r="CF2027" s="5">
        <v>42845</v>
      </c>
      <c r="CG2027" s="2"/>
      <c r="CH2027" s="2"/>
      <c r="CI2027" s="2">
        <v>1</v>
      </c>
      <c r="CJ2027" s="2">
        <v>1</v>
      </c>
      <c r="CK2027" s="2">
        <v>21</v>
      </c>
      <c r="CL2027" s="2" t="s">
        <v>86</v>
      </c>
      <c r="CM2027" s="2"/>
    </row>
    <row r="2028" spans="1:91">
      <c r="A2028" s="2" t="s">
        <v>71</v>
      </c>
      <c r="B2028" s="2" t="s">
        <v>72</v>
      </c>
      <c r="C2028" s="2" t="s">
        <v>73</v>
      </c>
      <c r="D2028" s="2"/>
      <c r="E2028" s="2" t="str">
        <f>"FES1162544083"</f>
        <v>FES1162544083</v>
      </c>
      <c r="F2028" s="3">
        <v>42843</v>
      </c>
      <c r="G2028" s="2">
        <v>201710</v>
      </c>
      <c r="H2028" s="2" t="s">
        <v>74</v>
      </c>
      <c r="I2028" s="2" t="s">
        <v>75</v>
      </c>
      <c r="J2028" s="2" t="s">
        <v>76</v>
      </c>
      <c r="K2028" s="2" t="s">
        <v>77</v>
      </c>
      <c r="L2028" s="2" t="s">
        <v>160</v>
      </c>
      <c r="M2028" s="2" t="s">
        <v>161</v>
      </c>
      <c r="N2028" s="2" t="s">
        <v>894</v>
      </c>
      <c r="O2028" s="2" t="s">
        <v>115</v>
      </c>
      <c r="P2028" s="2" t="str">
        <f>"2170544083                    "</f>
        <v xml:space="preserve">2170544083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4.29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1</v>
      </c>
      <c r="BJ2028" s="2">
        <v>0.2</v>
      </c>
      <c r="BK2028" s="2">
        <v>1</v>
      </c>
      <c r="BL2028" s="2">
        <v>41.73</v>
      </c>
      <c r="BM2028" s="2">
        <v>5.84</v>
      </c>
      <c r="BN2028" s="2">
        <v>47.57</v>
      </c>
      <c r="BO2028" s="2">
        <v>47.57</v>
      </c>
      <c r="BP2028" s="2"/>
      <c r="BQ2028" s="2" t="s">
        <v>895</v>
      </c>
      <c r="BR2028" s="2" t="s">
        <v>84</v>
      </c>
      <c r="BS2028" s="3">
        <v>42844</v>
      </c>
      <c r="BT2028" s="4">
        <v>0.45833333333333331</v>
      </c>
      <c r="BU2028" s="2" t="s">
        <v>2485</v>
      </c>
      <c r="BV2028" s="2" t="s">
        <v>86</v>
      </c>
      <c r="BW2028" s="2" t="s">
        <v>157</v>
      </c>
      <c r="BX2028" s="2" t="s">
        <v>251</v>
      </c>
      <c r="BY2028" s="2">
        <v>1200</v>
      </c>
      <c r="BZ2028" s="2"/>
      <c r="CA2028" s="2"/>
      <c r="CB2028" s="2"/>
      <c r="CC2028" s="2" t="s">
        <v>161</v>
      </c>
      <c r="CD2028" s="2">
        <v>5201</v>
      </c>
      <c r="CE2028" s="2" t="s">
        <v>118</v>
      </c>
      <c r="CF2028" s="5">
        <v>42845</v>
      </c>
      <c r="CG2028" s="2"/>
      <c r="CH2028" s="2"/>
      <c r="CI2028" s="2">
        <v>1</v>
      </c>
      <c r="CJ2028" s="2">
        <v>1</v>
      </c>
      <c r="CK2028" s="2">
        <v>21</v>
      </c>
      <c r="CL2028" s="2" t="s">
        <v>86</v>
      </c>
      <c r="CM2028" s="2"/>
    </row>
    <row r="2029" spans="1:91">
      <c r="A2029" s="2" t="s">
        <v>71</v>
      </c>
      <c r="B2029" s="2" t="s">
        <v>72</v>
      </c>
      <c r="C2029" s="2" t="s">
        <v>73</v>
      </c>
      <c r="D2029" s="2"/>
      <c r="E2029" s="2" t="str">
        <f>"FES1162543914"</f>
        <v>FES1162543914</v>
      </c>
      <c r="F2029" s="3">
        <v>42843</v>
      </c>
      <c r="G2029" s="2">
        <v>201710</v>
      </c>
      <c r="H2029" s="2" t="s">
        <v>74</v>
      </c>
      <c r="I2029" s="2" t="s">
        <v>75</v>
      </c>
      <c r="J2029" s="2" t="s">
        <v>76</v>
      </c>
      <c r="K2029" s="2" t="s">
        <v>77</v>
      </c>
      <c r="L2029" s="2" t="s">
        <v>609</v>
      </c>
      <c r="M2029" s="2" t="s">
        <v>610</v>
      </c>
      <c r="N2029" s="2" t="s">
        <v>982</v>
      </c>
      <c r="O2029" s="2" t="s">
        <v>115</v>
      </c>
      <c r="P2029" s="2" t="str">
        <f>"2170562519                    "</f>
        <v xml:space="preserve">2170562519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6.43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2.7</v>
      </c>
      <c r="BJ2029" s="2">
        <v>1.3</v>
      </c>
      <c r="BK2029" s="2">
        <v>3</v>
      </c>
      <c r="BL2029" s="2">
        <v>62.59</v>
      </c>
      <c r="BM2029" s="2">
        <v>8.76</v>
      </c>
      <c r="BN2029" s="2">
        <v>71.349999999999994</v>
      </c>
      <c r="BO2029" s="2">
        <v>71.349999999999994</v>
      </c>
      <c r="BP2029" s="2"/>
      <c r="BQ2029" s="2" t="s">
        <v>129</v>
      </c>
      <c r="BR2029" s="2" t="s">
        <v>84</v>
      </c>
      <c r="BS2029" s="3">
        <v>42844</v>
      </c>
      <c r="BT2029" s="4">
        <v>0.41666666666666669</v>
      </c>
      <c r="BU2029" s="2" t="s">
        <v>1054</v>
      </c>
      <c r="BV2029" s="2" t="s">
        <v>111</v>
      </c>
      <c r="BW2029" s="2"/>
      <c r="BX2029" s="2"/>
      <c r="BY2029" s="2">
        <v>6586.07</v>
      </c>
      <c r="BZ2029" s="2" t="s">
        <v>27</v>
      </c>
      <c r="CA2029" s="2"/>
      <c r="CB2029" s="2"/>
      <c r="CC2029" s="2" t="s">
        <v>610</v>
      </c>
      <c r="CD2029" s="2">
        <v>1911</v>
      </c>
      <c r="CE2029" s="2" t="s">
        <v>118</v>
      </c>
      <c r="CF2029" s="5">
        <v>42846</v>
      </c>
      <c r="CG2029" s="2"/>
      <c r="CH2029" s="2"/>
      <c r="CI2029" s="2">
        <v>1</v>
      </c>
      <c r="CJ2029" s="2">
        <v>1</v>
      </c>
      <c r="CK2029" s="2">
        <v>21</v>
      </c>
      <c r="CL2029" s="2" t="s">
        <v>86</v>
      </c>
      <c r="CM2029" s="2"/>
    </row>
    <row r="2030" spans="1:91">
      <c r="A2030" s="2" t="s">
        <v>71</v>
      </c>
      <c r="B2030" s="2" t="s">
        <v>72</v>
      </c>
      <c r="C2030" s="2" t="s">
        <v>73</v>
      </c>
      <c r="D2030" s="2"/>
      <c r="E2030" s="2" t="str">
        <f>"FES1162544048"</f>
        <v>FES1162544048</v>
      </c>
      <c r="F2030" s="3">
        <v>42843</v>
      </c>
      <c r="G2030" s="2">
        <v>201710</v>
      </c>
      <c r="H2030" s="2" t="s">
        <v>74</v>
      </c>
      <c r="I2030" s="2" t="s">
        <v>75</v>
      </c>
      <c r="J2030" s="2" t="s">
        <v>76</v>
      </c>
      <c r="K2030" s="2" t="s">
        <v>77</v>
      </c>
      <c r="L2030" s="2" t="s">
        <v>633</v>
      </c>
      <c r="M2030" s="2" t="s">
        <v>634</v>
      </c>
      <c r="N2030" s="2" t="s">
        <v>1555</v>
      </c>
      <c r="O2030" s="2" t="s">
        <v>115</v>
      </c>
      <c r="P2030" s="2" t="str">
        <f>"2170562645                    "</f>
        <v xml:space="preserve">2170562645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6.03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1</v>
      </c>
      <c r="BJ2030" s="2">
        <v>0.2</v>
      </c>
      <c r="BK2030" s="2">
        <v>1</v>
      </c>
      <c r="BL2030" s="2">
        <v>58.68</v>
      </c>
      <c r="BM2030" s="2">
        <v>8.2200000000000006</v>
      </c>
      <c r="BN2030" s="2">
        <v>66.900000000000006</v>
      </c>
      <c r="BO2030" s="2">
        <v>66.900000000000006</v>
      </c>
      <c r="BP2030" s="2"/>
      <c r="BQ2030" s="2" t="s">
        <v>129</v>
      </c>
      <c r="BR2030" s="2" t="s">
        <v>84</v>
      </c>
      <c r="BS2030" s="3">
        <v>42844</v>
      </c>
      <c r="BT2030" s="4">
        <v>0.43402777777777773</v>
      </c>
      <c r="BU2030" s="2" t="s">
        <v>2486</v>
      </c>
      <c r="BV2030" s="2" t="s">
        <v>111</v>
      </c>
      <c r="BW2030" s="2"/>
      <c r="BX2030" s="2"/>
      <c r="BY2030" s="2">
        <v>1200</v>
      </c>
      <c r="BZ2030" s="2"/>
      <c r="CA2030" s="2"/>
      <c r="CB2030" s="2"/>
      <c r="CC2030" s="2" t="s">
        <v>634</v>
      </c>
      <c r="CD2030" s="2">
        <v>1759</v>
      </c>
      <c r="CE2030" s="2" t="s">
        <v>118</v>
      </c>
      <c r="CF2030" s="5">
        <v>42844</v>
      </c>
      <c r="CG2030" s="2"/>
      <c r="CH2030" s="2"/>
      <c r="CI2030" s="2">
        <v>1</v>
      </c>
      <c r="CJ2030" s="2">
        <v>1</v>
      </c>
      <c r="CK2030" s="2">
        <v>24</v>
      </c>
      <c r="CL2030" s="2" t="s">
        <v>86</v>
      </c>
      <c r="CM2030" s="2"/>
    </row>
    <row r="2031" spans="1:91">
      <c r="A2031" s="2" t="s">
        <v>71</v>
      </c>
      <c r="B2031" s="2" t="s">
        <v>72</v>
      </c>
      <c r="C2031" s="2" t="s">
        <v>73</v>
      </c>
      <c r="D2031" s="2"/>
      <c r="E2031" s="2" t="str">
        <f>"FES1162543991"</f>
        <v>FES1162543991</v>
      </c>
      <c r="F2031" s="3">
        <v>42843</v>
      </c>
      <c r="G2031" s="2">
        <v>201710</v>
      </c>
      <c r="H2031" s="2" t="s">
        <v>74</v>
      </c>
      <c r="I2031" s="2" t="s">
        <v>75</v>
      </c>
      <c r="J2031" s="2" t="s">
        <v>76</v>
      </c>
      <c r="K2031" s="2" t="s">
        <v>77</v>
      </c>
      <c r="L2031" s="2" t="s">
        <v>131</v>
      </c>
      <c r="M2031" s="2" t="s">
        <v>132</v>
      </c>
      <c r="N2031" s="2" t="s">
        <v>1374</v>
      </c>
      <c r="O2031" s="2" t="s">
        <v>115</v>
      </c>
      <c r="P2031" s="2" t="str">
        <f>"2170561674                    "</f>
        <v xml:space="preserve">2170561674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4.29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2</v>
      </c>
      <c r="BJ2031" s="2">
        <v>2</v>
      </c>
      <c r="BK2031" s="2">
        <v>2</v>
      </c>
      <c r="BL2031" s="2">
        <v>41.73</v>
      </c>
      <c r="BM2031" s="2">
        <v>5.84</v>
      </c>
      <c r="BN2031" s="2">
        <v>47.57</v>
      </c>
      <c r="BO2031" s="2">
        <v>47.57</v>
      </c>
      <c r="BP2031" s="2"/>
      <c r="BQ2031" s="2"/>
      <c r="BR2031" s="2" t="s">
        <v>84</v>
      </c>
      <c r="BS2031" s="3">
        <v>42844</v>
      </c>
      <c r="BT2031" s="4">
        <v>0.35416666666666669</v>
      </c>
      <c r="BU2031" s="2" t="s">
        <v>1375</v>
      </c>
      <c r="BV2031" s="2" t="s">
        <v>111</v>
      </c>
      <c r="BW2031" s="2"/>
      <c r="BX2031" s="2"/>
      <c r="BY2031" s="2">
        <v>10008.040000000001</v>
      </c>
      <c r="BZ2031" s="2" t="s">
        <v>27</v>
      </c>
      <c r="CA2031" s="2"/>
      <c r="CB2031" s="2"/>
      <c r="CC2031" s="2" t="s">
        <v>132</v>
      </c>
      <c r="CD2031" s="2">
        <v>7530</v>
      </c>
      <c r="CE2031" s="2" t="s">
        <v>118</v>
      </c>
      <c r="CF2031" s="5">
        <v>42845</v>
      </c>
      <c r="CG2031" s="2"/>
      <c r="CH2031" s="2"/>
      <c r="CI2031" s="2">
        <v>1</v>
      </c>
      <c r="CJ2031" s="2">
        <v>1</v>
      </c>
      <c r="CK2031" s="2">
        <v>21</v>
      </c>
      <c r="CL2031" s="2" t="s">
        <v>86</v>
      </c>
      <c r="CM2031" s="2"/>
    </row>
    <row r="2032" spans="1:91">
      <c r="A2032" s="2" t="s">
        <v>71</v>
      </c>
      <c r="B2032" s="2" t="s">
        <v>72</v>
      </c>
      <c r="C2032" s="2" t="s">
        <v>73</v>
      </c>
      <c r="D2032" s="2"/>
      <c r="E2032" s="2" t="str">
        <f>"FES1162543922"</f>
        <v>FES1162543922</v>
      </c>
      <c r="F2032" s="3">
        <v>42843</v>
      </c>
      <c r="G2032" s="2">
        <v>201710</v>
      </c>
      <c r="H2032" s="2" t="s">
        <v>74</v>
      </c>
      <c r="I2032" s="2" t="s">
        <v>75</v>
      </c>
      <c r="J2032" s="2" t="s">
        <v>76</v>
      </c>
      <c r="K2032" s="2" t="s">
        <v>77</v>
      </c>
      <c r="L2032" s="2" t="s">
        <v>598</v>
      </c>
      <c r="M2032" s="2" t="s">
        <v>599</v>
      </c>
      <c r="N2032" s="2" t="s">
        <v>600</v>
      </c>
      <c r="O2032" s="2" t="s">
        <v>115</v>
      </c>
      <c r="P2032" s="2" t="str">
        <f>"2170562523                    "</f>
        <v xml:space="preserve">2170562523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8.31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1</v>
      </c>
      <c r="BJ2032" s="2">
        <v>0.2</v>
      </c>
      <c r="BK2032" s="2">
        <v>1</v>
      </c>
      <c r="BL2032" s="2">
        <v>80.849999999999994</v>
      </c>
      <c r="BM2032" s="2">
        <v>11.32</v>
      </c>
      <c r="BN2032" s="2">
        <v>92.17</v>
      </c>
      <c r="BO2032" s="2">
        <v>92.17</v>
      </c>
      <c r="BP2032" s="2"/>
      <c r="BQ2032" s="2" t="s">
        <v>601</v>
      </c>
      <c r="BR2032" s="2" t="s">
        <v>84</v>
      </c>
      <c r="BS2032" s="3">
        <v>42844</v>
      </c>
      <c r="BT2032" s="4">
        <v>0.59861111111111109</v>
      </c>
      <c r="BU2032" s="2" t="s">
        <v>602</v>
      </c>
      <c r="BV2032" s="2" t="s">
        <v>111</v>
      </c>
      <c r="BW2032" s="2"/>
      <c r="BX2032" s="2"/>
      <c r="BY2032" s="2">
        <v>1200</v>
      </c>
      <c r="BZ2032" s="2"/>
      <c r="CA2032" s="2"/>
      <c r="CB2032" s="2"/>
      <c r="CC2032" s="2" t="s">
        <v>599</v>
      </c>
      <c r="CD2032" s="2">
        <v>3370</v>
      </c>
      <c r="CE2032" s="2" t="s">
        <v>118</v>
      </c>
      <c r="CF2032" s="5">
        <v>42846</v>
      </c>
      <c r="CG2032" s="2"/>
      <c r="CH2032" s="2"/>
      <c r="CI2032" s="2">
        <v>3</v>
      </c>
      <c r="CJ2032" s="2">
        <v>1</v>
      </c>
      <c r="CK2032" s="2">
        <v>23</v>
      </c>
      <c r="CL2032" s="2" t="s">
        <v>86</v>
      </c>
      <c r="CM2032" s="2"/>
    </row>
    <row r="2033" spans="1:91">
      <c r="A2033" s="2" t="s">
        <v>71</v>
      </c>
      <c r="B2033" s="2" t="s">
        <v>72</v>
      </c>
      <c r="C2033" s="2" t="s">
        <v>73</v>
      </c>
      <c r="D2033" s="2"/>
      <c r="E2033" s="2" t="str">
        <f>"FES1162543898"</f>
        <v>FES1162543898</v>
      </c>
      <c r="F2033" s="3">
        <v>42843</v>
      </c>
      <c r="G2033" s="2">
        <v>201710</v>
      </c>
      <c r="H2033" s="2" t="s">
        <v>74</v>
      </c>
      <c r="I2033" s="2" t="s">
        <v>75</v>
      </c>
      <c r="J2033" s="2" t="s">
        <v>76</v>
      </c>
      <c r="K2033" s="2" t="s">
        <v>77</v>
      </c>
      <c r="L2033" s="2" t="s">
        <v>112</v>
      </c>
      <c r="M2033" s="2" t="s">
        <v>113</v>
      </c>
      <c r="N2033" s="2" t="s">
        <v>454</v>
      </c>
      <c r="O2033" s="2" t="s">
        <v>115</v>
      </c>
      <c r="P2033" s="2" t="str">
        <f>"2170562025                    "</f>
        <v xml:space="preserve">2170562025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10.72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5</v>
      </c>
      <c r="BJ2033" s="2">
        <v>1.7</v>
      </c>
      <c r="BK2033" s="2">
        <v>5</v>
      </c>
      <c r="BL2033" s="2">
        <v>104.32</v>
      </c>
      <c r="BM2033" s="2">
        <v>14.6</v>
      </c>
      <c r="BN2033" s="2">
        <v>118.92</v>
      </c>
      <c r="BO2033" s="2">
        <v>118.92</v>
      </c>
      <c r="BP2033" s="2"/>
      <c r="BQ2033" s="2" t="s">
        <v>455</v>
      </c>
      <c r="BR2033" s="2" t="s">
        <v>84</v>
      </c>
      <c r="BS2033" s="3">
        <v>42844</v>
      </c>
      <c r="BT2033" s="4">
        <v>0.39583333333333331</v>
      </c>
      <c r="BU2033" s="2" t="s">
        <v>1136</v>
      </c>
      <c r="BV2033" s="2" t="s">
        <v>111</v>
      </c>
      <c r="BW2033" s="2"/>
      <c r="BX2033" s="2"/>
      <c r="BY2033" s="2">
        <v>8402.4699999999993</v>
      </c>
      <c r="BZ2033" s="2" t="s">
        <v>27</v>
      </c>
      <c r="CA2033" s="2"/>
      <c r="CB2033" s="2"/>
      <c r="CC2033" s="2" t="s">
        <v>113</v>
      </c>
      <c r="CD2033" s="2">
        <v>3201</v>
      </c>
      <c r="CE2033" s="2" t="s">
        <v>89</v>
      </c>
      <c r="CF2033" s="5">
        <v>42845</v>
      </c>
      <c r="CG2033" s="2"/>
      <c r="CH2033" s="2"/>
      <c r="CI2033" s="2">
        <v>1</v>
      </c>
      <c r="CJ2033" s="2">
        <v>1</v>
      </c>
      <c r="CK2033" s="2">
        <v>21</v>
      </c>
      <c r="CL2033" s="2" t="s">
        <v>86</v>
      </c>
      <c r="CM2033" s="2"/>
    </row>
    <row r="2034" spans="1:91">
      <c r="A2034" s="2" t="s">
        <v>71</v>
      </c>
      <c r="B2034" s="2" t="s">
        <v>72</v>
      </c>
      <c r="C2034" s="2" t="s">
        <v>73</v>
      </c>
      <c r="D2034" s="2"/>
      <c r="E2034" s="2" t="str">
        <f>"FES1162544080"</f>
        <v>FES1162544080</v>
      </c>
      <c r="F2034" s="3">
        <v>42843</v>
      </c>
      <c r="G2034" s="2">
        <v>201710</v>
      </c>
      <c r="H2034" s="2" t="s">
        <v>74</v>
      </c>
      <c r="I2034" s="2" t="s">
        <v>75</v>
      </c>
      <c r="J2034" s="2" t="s">
        <v>76</v>
      </c>
      <c r="K2034" s="2" t="s">
        <v>77</v>
      </c>
      <c r="L2034" s="2" t="s">
        <v>396</v>
      </c>
      <c r="M2034" s="2" t="s">
        <v>397</v>
      </c>
      <c r="N2034" s="2" t="s">
        <v>398</v>
      </c>
      <c r="O2034" s="2" t="s">
        <v>115</v>
      </c>
      <c r="P2034" s="2" t="str">
        <f>"2170560113                    "</f>
        <v xml:space="preserve">2170560113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4.29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1</v>
      </c>
      <c r="BJ2034" s="2">
        <v>0.2</v>
      </c>
      <c r="BK2034" s="2">
        <v>1</v>
      </c>
      <c r="BL2034" s="2">
        <v>41.73</v>
      </c>
      <c r="BM2034" s="2">
        <v>5.84</v>
      </c>
      <c r="BN2034" s="2">
        <v>47.57</v>
      </c>
      <c r="BO2034" s="2">
        <v>47.57</v>
      </c>
      <c r="BP2034" s="2"/>
      <c r="BQ2034" s="2" t="s">
        <v>399</v>
      </c>
      <c r="BR2034" s="2" t="s">
        <v>84</v>
      </c>
      <c r="BS2034" s="3">
        <v>42844</v>
      </c>
      <c r="BT2034" s="4">
        <v>0.41666666666666669</v>
      </c>
      <c r="BU2034" s="2" t="s">
        <v>2474</v>
      </c>
      <c r="BV2034" s="2" t="s">
        <v>111</v>
      </c>
      <c r="BW2034" s="2"/>
      <c r="BX2034" s="2"/>
      <c r="BY2034" s="2">
        <v>1200</v>
      </c>
      <c r="BZ2034" s="2"/>
      <c r="CA2034" s="2"/>
      <c r="CB2034" s="2"/>
      <c r="CC2034" s="2" t="s">
        <v>397</v>
      </c>
      <c r="CD2034" s="2">
        <v>4300</v>
      </c>
      <c r="CE2034" s="2" t="s">
        <v>118</v>
      </c>
      <c r="CF2034" s="5">
        <v>42845</v>
      </c>
      <c r="CG2034" s="2"/>
      <c r="CH2034" s="2"/>
      <c r="CI2034" s="2">
        <v>1</v>
      </c>
      <c r="CJ2034" s="2">
        <v>1</v>
      </c>
      <c r="CK2034" s="2">
        <v>21</v>
      </c>
      <c r="CL2034" s="2" t="s">
        <v>86</v>
      </c>
      <c r="CM2034" s="2"/>
    </row>
    <row r="2035" spans="1:91">
      <c r="A2035" s="2" t="s">
        <v>71</v>
      </c>
      <c r="B2035" s="2" t="s">
        <v>72</v>
      </c>
      <c r="C2035" s="2" t="s">
        <v>73</v>
      </c>
      <c r="D2035" s="2"/>
      <c r="E2035" s="2" t="str">
        <f>"FES1162543823"</f>
        <v>FES1162543823</v>
      </c>
      <c r="F2035" s="3">
        <v>42843</v>
      </c>
      <c r="G2035" s="2">
        <v>201710</v>
      </c>
      <c r="H2035" s="2" t="s">
        <v>74</v>
      </c>
      <c r="I2035" s="2" t="s">
        <v>75</v>
      </c>
      <c r="J2035" s="2" t="s">
        <v>76</v>
      </c>
      <c r="K2035" s="2" t="s">
        <v>77</v>
      </c>
      <c r="L2035" s="2" t="s">
        <v>131</v>
      </c>
      <c r="M2035" s="2" t="s">
        <v>132</v>
      </c>
      <c r="N2035" s="2" t="s">
        <v>2487</v>
      </c>
      <c r="O2035" s="2" t="s">
        <v>115</v>
      </c>
      <c r="P2035" s="2" t="str">
        <f>"21705606169                   "</f>
        <v xml:space="preserve">21705606169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4.29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0.5</v>
      </c>
      <c r="BJ2035" s="2">
        <v>0.2</v>
      </c>
      <c r="BK2035" s="2">
        <v>0.5</v>
      </c>
      <c r="BL2035" s="2">
        <v>41.73</v>
      </c>
      <c r="BM2035" s="2">
        <v>5.84</v>
      </c>
      <c r="BN2035" s="2">
        <v>47.57</v>
      </c>
      <c r="BO2035" s="2">
        <v>47.57</v>
      </c>
      <c r="BP2035" s="2"/>
      <c r="BQ2035" s="2"/>
      <c r="BR2035" s="2" t="s">
        <v>84</v>
      </c>
      <c r="BS2035" s="3">
        <v>42844</v>
      </c>
      <c r="BT2035" s="4">
        <v>0.41666666666666669</v>
      </c>
      <c r="BU2035" s="2" t="s">
        <v>2488</v>
      </c>
      <c r="BV2035" s="2" t="s">
        <v>111</v>
      </c>
      <c r="BW2035" s="2"/>
      <c r="BX2035" s="2"/>
      <c r="BY2035" s="2">
        <v>1200</v>
      </c>
      <c r="BZ2035" s="2" t="s">
        <v>27</v>
      </c>
      <c r="CA2035" s="2"/>
      <c r="CB2035" s="2"/>
      <c r="CC2035" s="2" t="s">
        <v>132</v>
      </c>
      <c r="CD2035" s="2">
        <v>7405</v>
      </c>
      <c r="CE2035" s="2" t="s">
        <v>118</v>
      </c>
      <c r="CF2035" s="5">
        <v>42845</v>
      </c>
      <c r="CG2035" s="2"/>
      <c r="CH2035" s="2"/>
      <c r="CI2035" s="2">
        <v>1</v>
      </c>
      <c r="CJ2035" s="2">
        <v>1</v>
      </c>
      <c r="CK2035" s="2">
        <v>21</v>
      </c>
      <c r="CL2035" s="2" t="s">
        <v>86</v>
      </c>
      <c r="CM2035" s="2"/>
    </row>
    <row r="2036" spans="1:91">
      <c r="A2036" s="2" t="s">
        <v>71</v>
      </c>
      <c r="B2036" s="2" t="s">
        <v>72</v>
      </c>
      <c r="C2036" s="2" t="s">
        <v>73</v>
      </c>
      <c r="D2036" s="2"/>
      <c r="E2036" s="2" t="str">
        <f>"FES1162543942"</f>
        <v>FES1162543942</v>
      </c>
      <c r="F2036" s="3">
        <v>42843</v>
      </c>
      <c r="G2036" s="2">
        <v>201710</v>
      </c>
      <c r="H2036" s="2" t="s">
        <v>74</v>
      </c>
      <c r="I2036" s="2" t="s">
        <v>75</v>
      </c>
      <c r="J2036" s="2" t="s">
        <v>76</v>
      </c>
      <c r="K2036" s="2" t="s">
        <v>77</v>
      </c>
      <c r="L2036" s="2" t="s">
        <v>166</v>
      </c>
      <c r="M2036" s="2" t="s">
        <v>167</v>
      </c>
      <c r="N2036" s="2" t="s">
        <v>2489</v>
      </c>
      <c r="O2036" s="2" t="s">
        <v>115</v>
      </c>
      <c r="P2036" s="2" t="str">
        <f>"2170562551                    "</f>
        <v xml:space="preserve">2170562551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3.35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1</v>
      </c>
      <c r="BJ2036" s="2">
        <v>0.2</v>
      </c>
      <c r="BK2036" s="2">
        <v>1</v>
      </c>
      <c r="BL2036" s="2">
        <v>32.6</v>
      </c>
      <c r="BM2036" s="2">
        <v>4.5599999999999996</v>
      </c>
      <c r="BN2036" s="2">
        <v>37.159999999999997</v>
      </c>
      <c r="BO2036" s="2">
        <v>37.159999999999997</v>
      </c>
      <c r="BP2036" s="2"/>
      <c r="BQ2036" s="2" t="s">
        <v>2490</v>
      </c>
      <c r="BR2036" s="2" t="s">
        <v>84</v>
      </c>
      <c r="BS2036" s="3">
        <v>42844</v>
      </c>
      <c r="BT2036" s="4">
        <v>0.41666666666666669</v>
      </c>
      <c r="BU2036" s="2" t="s">
        <v>2491</v>
      </c>
      <c r="BV2036" s="2" t="s">
        <v>111</v>
      </c>
      <c r="BW2036" s="2"/>
      <c r="BX2036" s="2"/>
      <c r="BY2036" s="2">
        <v>1200</v>
      </c>
      <c r="BZ2036" s="2"/>
      <c r="CA2036" s="2" t="s">
        <v>159</v>
      </c>
      <c r="CB2036" s="2"/>
      <c r="CC2036" s="2" t="s">
        <v>167</v>
      </c>
      <c r="CD2036" s="2">
        <v>2093</v>
      </c>
      <c r="CE2036" s="2" t="s">
        <v>118</v>
      </c>
      <c r="CF2036" s="5">
        <v>42845</v>
      </c>
      <c r="CG2036" s="2"/>
      <c r="CH2036" s="2"/>
      <c r="CI2036" s="2">
        <v>1</v>
      </c>
      <c r="CJ2036" s="2">
        <v>1</v>
      </c>
      <c r="CK2036" s="2">
        <v>22</v>
      </c>
      <c r="CL2036" s="2" t="s">
        <v>86</v>
      </c>
      <c r="CM2036" s="2"/>
    </row>
    <row r="2037" spans="1:91">
      <c r="A2037" s="2" t="s">
        <v>71</v>
      </c>
      <c r="B2037" s="2" t="s">
        <v>72</v>
      </c>
      <c r="C2037" s="2" t="s">
        <v>73</v>
      </c>
      <c r="D2037" s="2"/>
      <c r="E2037" s="2" t="str">
        <f>"FES1162543840"</f>
        <v>FES1162543840</v>
      </c>
      <c r="F2037" s="3">
        <v>42843</v>
      </c>
      <c r="G2037" s="2">
        <v>201710</v>
      </c>
      <c r="H2037" s="2" t="s">
        <v>74</v>
      </c>
      <c r="I2037" s="2" t="s">
        <v>75</v>
      </c>
      <c r="J2037" s="2" t="s">
        <v>76</v>
      </c>
      <c r="K2037" s="2" t="s">
        <v>77</v>
      </c>
      <c r="L2037" s="2" t="s">
        <v>131</v>
      </c>
      <c r="M2037" s="2" t="s">
        <v>132</v>
      </c>
      <c r="N2037" s="2" t="s">
        <v>1180</v>
      </c>
      <c r="O2037" s="2" t="s">
        <v>115</v>
      </c>
      <c r="P2037" s="2" t="str">
        <f>"2170560490                    "</f>
        <v xml:space="preserve">2170560490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5.36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2.5</v>
      </c>
      <c r="BJ2037" s="2">
        <v>1.9</v>
      </c>
      <c r="BK2037" s="2">
        <v>2.5</v>
      </c>
      <c r="BL2037" s="2">
        <v>52.16</v>
      </c>
      <c r="BM2037" s="2">
        <v>7.3</v>
      </c>
      <c r="BN2037" s="2">
        <v>59.46</v>
      </c>
      <c r="BO2037" s="2">
        <v>59.46</v>
      </c>
      <c r="BP2037" s="2"/>
      <c r="BQ2037" s="2" t="s">
        <v>129</v>
      </c>
      <c r="BR2037" s="2" t="s">
        <v>84</v>
      </c>
      <c r="BS2037" s="3">
        <v>42844</v>
      </c>
      <c r="BT2037" s="4">
        <v>0.41666666666666669</v>
      </c>
      <c r="BU2037" s="2" t="s">
        <v>1181</v>
      </c>
      <c r="BV2037" s="2" t="s">
        <v>111</v>
      </c>
      <c r="BW2037" s="2"/>
      <c r="BX2037" s="2"/>
      <c r="BY2037" s="2">
        <v>9639</v>
      </c>
      <c r="BZ2037" s="2" t="s">
        <v>27</v>
      </c>
      <c r="CA2037" s="2"/>
      <c r="CB2037" s="2"/>
      <c r="CC2037" s="2" t="s">
        <v>132</v>
      </c>
      <c r="CD2037" s="2">
        <v>7460</v>
      </c>
      <c r="CE2037" s="2" t="s">
        <v>118</v>
      </c>
      <c r="CF2037" s="5">
        <v>42845</v>
      </c>
      <c r="CG2037" s="2"/>
      <c r="CH2037" s="2"/>
      <c r="CI2037" s="2">
        <v>1</v>
      </c>
      <c r="CJ2037" s="2">
        <v>1</v>
      </c>
      <c r="CK2037" s="2">
        <v>21</v>
      </c>
      <c r="CL2037" s="2" t="s">
        <v>86</v>
      </c>
      <c r="CM2037" s="2"/>
    </row>
    <row r="2038" spans="1:91">
      <c r="A2038" s="2" t="s">
        <v>71</v>
      </c>
      <c r="B2038" s="2" t="s">
        <v>72</v>
      </c>
      <c r="C2038" s="2" t="s">
        <v>73</v>
      </c>
      <c r="D2038" s="2"/>
      <c r="E2038" s="2" t="str">
        <f>"FES1162543924"</f>
        <v>FES1162543924</v>
      </c>
      <c r="F2038" s="3">
        <v>42843</v>
      </c>
      <c r="G2038" s="2">
        <v>201710</v>
      </c>
      <c r="H2038" s="2" t="s">
        <v>74</v>
      </c>
      <c r="I2038" s="2" t="s">
        <v>75</v>
      </c>
      <c r="J2038" s="2" t="s">
        <v>76</v>
      </c>
      <c r="K2038" s="2" t="s">
        <v>77</v>
      </c>
      <c r="L2038" s="2" t="s">
        <v>166</v>
      </c>
      <c r="M2038" s="2" t="s">
        <v>167</v>
      </c>
      <c r="N2038" s="2" t="s">
        <v>2492</v>
      </c>
      <c r="O2038" s="2" t="s">
        <v>115</v>
      </c>
      <c r="P2038" s="2" t="str">
        <f>"2170562534                    "</f>
        <v xml:space="preserve">2170562534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3.35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1</v>
      </c>
      <c r="BJ2038" s="2">
        <v>0.2</v>
      </c>
      <c r="BK2038" s="2">
        <v>1</v>
      </c>
      <c r="BL2038" s="2">
        <v>32.6</v>
      </c>
      <c r="BM2038" s="2">
        <v>4.5599999999999996</v>
      </c>
      <c r="BN2038" s="2">
        <v>37.159999999999997</v>
      </c>
      <c r="BO2038" s="2">
        <v>37.159999999999997</v>
      </c>
      <c r="BP2038" s="2"/>
      <c r="BQ2038" s="2" t="s">
        <v>2493</v>
      </c>
      <c r="BR2038" s="2" t="s">
        <v>84</v>
      </c>
      <c r="BS2038" s="3">
        <v>42844</v>
      </c>
      <c r="BT2038" s="4">
        <v>0.4375</v>
      </c>
      <c r="BU2038" s="2" t="s">
        <v>198</v>
      </c>
      <c r="BV2038" s="2" t="s">
        <v>111</v>
      </c>
      <c r="BW2038" s="2"/>
      <c r="BX2038" s="2"/>
      <c r="BY2038" s="2">
        <v>1200</v>
      </c>
      <c r="BZ2038" s="2"/>
      <c r="CA2038" s="2"/>
      <c r="CB2038" s="2"/>
      <c r="CC2038" s="2" t="s">
        <v>167</v>
      </c>
      <c r="CD2038" s="2">
        <v>2013</v>
      </c>
      <c r="CE2038" s="2" t="s">
        <v>118</v>
      </c>
      <c r="CF2038" s="5">
        <v>42845</v>
      </c>
      <c r="CG2038" s="2"/>
      <c r="CH2038" s="2"/>
      <c r="CI2038" s="2">
        <v>1</v>
      </c>
      <c r="CJ2038" s="2">
        <v>1</v>
      </c>
      <c r="CK2038" s="2">
        <v>22</v>
      </c>
      <c r="CL2038" s="2" t="s">
        <v>86</v>
      </c>
      <c r="CM2038" s="2"/>
    </row>
    <row r="2039" spans="1:91">
      <c r="A2039" s="2" t="s">
        <v>71</v>
      </c>
      <c r="B2039" s="2" t="s">
        <v>72</v>
      </c>
      <c r="C2039" s="2" t="s">
        <v>73</v>
      </c>
      <c r="D2039" s="2"/>
      <c r="E2039" s="2" t="str">
        <f>"FES1162543884"</f>
        <v>FES1162543884</v>
      </c>
      <c r="F2039" s="3">
        <v>42843</v>
      </c>
      <c r="G2039" s="2">
        <v>201710</v>
      </c>
      <c r="H2039" s="2" t="s">
        <v>74</v>
      </c>
      <c r="I2039" s="2" t="s">
        <v>75</v>
      </c>
      <c r="J2039" s="2" t="s">
        <v>76</v>
      </c>
      <c r="K2039" s="2" t="s">
        <v>77</v>
      </c>
      <c r="L2039" s="2" t="s">
        <v>131</v>
      </c>
      <c r="M2039" s="2" t="s">
        <v>132</v>
      </c>
      <c r="N2039" s="2" t="s">
        <v>384</v>
      </c>
      <c r="O2039" s="2" t="s">
        <v>115</v>
      </c>
      <c r="P2039" s="2" t="str">
        <f>"2170562490                    "</f>
        <v xml:space="preserve">2170562490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7.5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3.2</v>
      </c>
      <c r="BJ2039" s="2">
        <v>1.3</v>
      </c>
      <c r="BK2039" s="2">
        <v>3.5</v>
      </c>
      <c r="BL2039" s="2">
        <v>73.02</v>
      </c>
      <c r="BM2039" s="2">
        <v>10.220000000000001</v>
      </c>
      <c r="BN2039" s="2">
        <v>83.24</v>
      </c>
      <c r="BO2039" s="2">
        <v>83.24</v>
      </c>
      <c r="BP2039" s="2"/>
      <c r="BQ2039" s="2" t="s">
        <v>468</v>
      </c>
      <c r="BR2039" s="2" t="s">
        <v>84</v>
      </c>
      <c r="BS2039" s="3">
        <v>42844</v>
      </c>
      <c r="BT2039" s="4">
        <v>0.41666666666666669</v>
      </c>
      <c r="BU2039" s="2" t="s">
        <v>130</v>
      </c>
      <c r="BV2039" s="2" t="s">
        <v>111</v>
      </c>
      <c r="BW2039" s="2"/>
      <c r="BX2039" s="2"/>
      <c r="BY2039" s="2">
        <v>6328.87</v>
      </c>
      <c r="BZ2039" s="2" t="s">
        <v>27</v>
      </c>
      <c r="CA2039" s="2"/>
      <c r="CB2039" s="2"/>
      <c r="CC2039" s="2" t="s">
        <v>132</v>
      </c>
      <c r="CD2039" s="2">
        <v>7405</v>
      </c>
      <c r="CE2039" s="2" t="s">
        <v>118</v>
      </c>
      <c r="CF2039" s="5">
        <v>42845</v>
      </c>
      <c r="CG2039" s="2"/>
      <c r="CH2039" s="2"/>
      <c r="CI2039" s="2">
        <v>1</v>
      </c>
      <c r="CJ2039" s="2">
        <v>1</v>
      </c>
      <c r="CK2039" s="2">
        <v>21</v>
      </c>
      <c r="CL2039" s="2" t="s">
        <v>86</v>
      </c>
      <c r="CM2039" s="2"/>
    </row>
    <row r="2040" spans="1:91">
      <c r="A2040" s="2" t="s">
        <v>71</v>
      </c>
      <c r="B2040" s="2" t="s">
        <v>72</v>
      </c>
      <c r="C2040" s="2" t="s">
        <v>73</v>
      </c>
      <c r="D2040" s="2"/>
      <c r="E2040" s="2" t="str">
        <f>"FES1162543882"</f>
        <v>FES1162543882</v>
      </c>
      <c r="F2040" s="3">
        <v>42843</v>
      </c>
      <c r="G2040" s="2">
        <v>201710</v>
      </c>
      <c r="H2040" s="2" t="s">
        <v>74</v>
      </c>
      <c r="I2040" s="2" t="s">
        <v>75</v>
      </c>
      <c r="J2040" s="2" t="s">
        <v>76</v>
      </c>
      <c r="K2040" s="2" t="s">
        <v>77</v>
      </c>
      <c r="L2040" s="2" t="s">
        <v>74</v>
      </c>
      <c r="M2040" s="2" t="s">
        <v>75</v>
      </c>
      <c r="N2040" s="2" t="s">
        <v>436</v>
      </c>
      <c r="O2040" s="2" t="s">
        <v>115</v>
      </c>
      <c r="P2040" s="2" t="str">
        <f>"2170562488                    "</f>
        <v xml:space="preserve">2170562488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3.35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3</v>
      </c>
      <c r="BJ2040" s="2">
        <v>5.0999999999999996</v>
      </c>
      <c r="BK2040" s="2">
        <v>6</v>
      </c>
      <c r="BL2040" s="2">
        <v>32.6</v>
      </c>
      <c r="BM2040" s="2">
        <v>4.5599999999999996</v>
      </c>
      <c r="BN2040" s="2">
        <v>37.159999999999997</v>
      </c>
      <c r="BO2040" s="2">
        <v>37.159999999999997</v>
      </c>
      <c r="BP2040" s="2"/>
      <c r="BQ2040" s="2" t="s">
        <v>437</v>
      </c>
      <c r="BR2040" s="2" t="s">
        <v>84</v>
      </c>
      <c r="BS2040" s="3">
        <v>42844</v>
      </c>
      <c r="BT2040" s="4">
        <v>0.35347222222222219</v>
      </c>
      <c r="BU2040" s="2" t="s">
        <v>2494</v>
      </c>
      <c r="BV2040" s="2" t="s">
        <v>111</v>
      </c>
      <c r="BW2040" s="2"/>
      <c r="BX2040" s="2"/>
      <c r="BY2040" s="2">
        <v>25344</v>
      </c>
      <c r="BZ2040" s="2"/>
      <c r="CA2040" s="2" t="s">
        <v>2495</v>
      </c>
      <c r="CB2040" s="2"/>
      <c r="CC2040" s="2" t="s">
        <v>75</v>
      </c>
      <c r="CD2040" s="2">
        <v>1600</v>
      </c>
      <c r="CE2040" s="2" t="s">
        <v>89</v>
      </c>
      <c r="CF2040" s="5">
        <v>42844</v>
      </c>
      <c r="CG2040" s="2"/>
      <c r="CH2040" s="2"/>
      <c r="CI2040" s="2">
        <v>1</v>
      </c>
      <c r="CJ2040" s="2">
        <v>1</v>
      </c>
      <c r="CK2040" s="2">
        <v>22</v>
      </c>
      <c r="CL2040" s="2" t="s">
        <v>86</v>
      </c>
      <c r="CM2040" s="2"/>
    </row>
    <row r="2041" spans="1:91">
      <c r="A2041" s="2" t="s">
        <v>71</v>
      </c>
      <c r="B2041" s="2" t="s">
        <v>72</v>
      </c>
      <c r="C2041" s="2" t="s">
        <v>73</v>
      </c>
      <c r="D2041" s="2"/>
      <c r="E2041" s="2" t="str">
        <f>"FES1162544016"</f>
        <v>FES1162544016</v>
      </c>
      <c r="F2041" s="3">
        <v>42843</v>
      </c>
      <c r="G2041" s="2">
        <v>201710</v>
      </c>
      <c r="H2041" s="2" t="s">
        <v>74</v>
      </c>
      <c r="I2041" s="2" t="s">
        <v>75</v>
      </c>
      <c r="J2041" s="2" t="s">
        <v>76</v>
      </c>
      <c r="K2041" s="2" t="s">
        <v>77</v>
      </c>
      <c r="L2041" s="2" t="s">
        <v>99</v>
      </c>
      <c r="M2041" s="2" t="s">
        <v>100</v>
      </c>
      <c r="N2041" s="2" t="s">
        <v>1009</v>
      </c>
      <c r="O2041" s="2" t="s">
        <v>115</v>
      </c>
      <c r="P2041" s="2" t="str">
        <f>"2170562192                    "</f>
        <v xml:space="preserve">2170562192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10.72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3</v>
      </c>
      <c r="BJ2041" s="2">
        <v>4.9000000000000004</v>
      </c>
      <c r="BK2041" s="2">
        <v>5</v>
      </c>
      <c r="BL2041" s="2">
        <v>104.32</v>
      </c>
      <c r="BM2041" s="2">
        <v>14.6</v>
      </c>
      <c r="BN2041" s="2">
        <v>118.92</v>
      </c>
      <c r="BO2041" s="2">
        <v>118.92</v>
      </c>
      <c r="BP2041" s="2"/>
      <c r="BQ2041" s="2" t="s">
        <v>1010</v>
      </c>
      <c r="BR2041" s="2" t="s">
        <v>84</v>
      </c>
      <c r="BS2041" s="3">
        <v>42844</v>
      </c>
      <c r="BT2041" s="4">
        <v>0.53611111111111109</v>
      </c>
      <c r="BU2041" s="2" t="s">
        <v>2496</v>
      </c>
      <c r="BV2041" s="2" t="s">
        <v>86</v>
      </c>
      <c r="BW2041" s="2"/>
      <c r="BX2041" s="2"/>
      <c r="BY2041" s="2">
        <v>24548.76</v>
      </c>
      <c r="BZ2041" s="2" t="s">
        <v>27</v>
      </c>
      <c r="CA2041" s="2" t="s">
        <v>154</v>
      </c>
      <c r="CB2041" s="2"/>
      <c r="CC2041" s="2" t="s">
        <v>100</v>
      </c>
      <c r="CD2041" s="2">
        <v>6001</v>
      </c>
      <c r="CE2041" s="2" t="s">
        <v>118</v>
      </c>
      <c r="CF2041" s="5">
        <v>42844</v>
      </c>
      <c r="CG2041" s="2"/>
      <c r="CH2041" s="2"/>
      <c r="CI2041" s="2">
        <v>1</v>
      </c>
      <c r="CJ2041" s="2">
        <v>1</v>
      </c>
      <c r="CK2041" s="2">
        <v>21</v>
      </c>
      <c r="CL2041" s="2" t="s">
        <v>86</v>
      </c>
      <c r="CM2041" s="2"/>
    </row>
    <row r="2042" spans="1:91">
      <c r="A2042" s="2" t="s">
        <v>71</v>
      </c>
      <c r="B2042" s="2" t="s">
        <v>72</v>
      </c>
      <c r="C2042" s="2" t="s">
        <v>73</v>
      </c>
      <c r="D2042" s="2"/>
      <c r="E2042" s="2" t="str">
        <f>"FES1162543883"</f>
        <v>FES1162543883</v>
      </c>
      <c r="F2042" s="3">
        <v>42843</v>
      </c>
      <c r="G2042" s="2">
        <v>201710</v>
      </c>
      <c r="H2042" s="2" t="s">
        <v>74</v>
      </c>
      <c r="I2042" s="2" t="s">
        <v>75</v>
      </c>
      <c r="J2042" s="2" t="s">
        <v>76</v>
      </c>
      <c r="K2042" s="2" t="s">
        <v>77</v>
      </c>
      <c r="L2042" s="2" t="s">
        <v>74</v>
      </c>
      <c r="M2042" s="2" t="s">
        <v>75</v>
      </c>
      <c r="N2042" s="2" t="s">
        <v>436</v>
      </c>
      <c r="O2042" s="2" t="s">
        <v>115</v>
      </c>
      <c r="P2042" s="2" t="str">
        <f>"2170562489                    "</f>
        <v xml:space="preserve">2170562489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3.35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1.4</v>
      </c>
      <c r="BJ2042" s="2">
        <v>2.8</v>
      </c>
      <c r="BK2042" s="2">
        <v>3</v>
      </c>
      <c r="BL2042" s="2">
        <v>32.6</v>
      </c>
      <c r="BM2042" s="2">
        <v>4.5599999999999996</v>
      </c>
      <c r="BN2042" s="2">
        <v>37.159999999999997</v>
      </c>
      <c r="BO2042" s="2">
        <v>37.159999999999997</v>
      </c>
      <c r="BP2042" s="2"/>
      <c r="BQ2042" s="2" t="s">
        <v>437</v>
      </c>
      <c r="BR2042" s="2" t="s">
        <v>84</v>
      </c>
      <c r="BS2042" s="3">
        <v>42844</v>
      </c>
      <c r="BT2042" s="4">
        <v>0.35555555555555557</v>
      </c>
      <c r="BU2042" s="2" t="s">
        <v>2494</v>
      </c>
      <c r="BV2042" s="2" t="s">
        <v>111</v>
      </c>
      <c r="BW2042" s="2"/>
      <c r="BX2042" s="2"/>
      <c r="BY2042" s="2">
        <v>14183.36</v>
      </c>
      <c r="BZ2042" s="2"/>
      <c r="CA2042" s="2" t="s">
        <v>2495</v>
      </c>
      <c r="CB2042" s="2"/>
      <c r="CC2042" s="2" t="s">
        <v>75</v>
      </c>
      <c r="CD2042" s="2">
        <v>1600</v>
      </c>
      <c r="CE2042" s="2" t="s">
        <v>89</v>
      </c>
      <c r="CF2042" s="5">
        <v>42844</v>
      </c>
      <c r="CG2042" s="2"/>
      <c r="CH2042" s="2"/>
      <c r="CI2042" s="2">
        <v>1</v>
      </c>
      <c r="CJ2042" s="2">
        <v>1</v>
      </c>
      <c r="CK2042" s="2">
        <v>22</v>
      </c>
      <c r="CL2042" s="2" t="s">
        <v>86</v>
      </c>
      <c r="CM2042" s="2"/>
    </row>
    <row r="2043" spans="1:91">
      <c r="A2043" s="2" t="s">
        <v>71</v>
      </c>
      <c r="B2043" s="2" t="s">
        <v>72</v>
      </c>
      <c r="C2043" s="2" t="s">
        <v>73</v>
      </c>
      <c r="D2043" s="2"/>
      <c r="E2043" s="2" t="str">
        <f>"FES1162543928"</f>
        <v>FES1162543928</v>
      </c>
      <c r="F2043" s="3">
        <v>42843</v>
      </c>
      <c r="G2043" s="2">
        <v>201710</v>
      </c>
      <c r="H2043" s="2" t="s">
        <v>74</v>
      </c>
      <c r="I2043" s="2" t="s">
        <v>75</v>
      </c>
      <c r="J2043" s="2" t="s">
        <v>76</v>
      </c>
      <c r="K2043" s="2" t="s">
        <v>77</v>
      </c>
      <c r="L2043" s="2" t="s">
        <v>187</v>
      </c>
      <c r="M2043" s="2" t="s">
        <v>146</v>
      </c>
      <c r="N2043" s="2" t="s">
        <v>722</v>
      </c>
      <c r="O2043" s="2" t="s">
        <v>115</v>
      </c>
      <c r="P2043" s="2" t="str">
        <f>"2170562539                    "</f>
        <v xml:space="preserve">2170562539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5.36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2.5</v>
      </c>
      <c r="BJ2043" s="2">
        <v>2.4</v>
      </c>
      <c r="BK2043" s="2">
        <v>2.5</v>
      </c>
      <c r="BL2043" s="2">
        <v>52.16</v>
      </c>
      <c r="BM2043" s="2">
        <v>7.3</v>
      </c>
      <c r="BN2043" s="2">
        <v>59.46</v>
      </c>
      <c r="BO2043" s="2">
        <v>59.46</v>
      </c>
      <c r="BP2043" s="2"/>
      <c r="BQ2043" s="2" t="s">
        <v>723</v>
      </c>
      <c r="BR2043" s="2" t="s">
        <v>84</v>
      </c>
      <c r="BS2043" s="3">
        <v>42844</v>
      </c>
      <c r="BT2043" s="4">
        <v>0.36458333333333331</v>
      </c>
      <c r="BU2043" s="2" t="s">
        <v>2497</v>
      </c>
      <c r="BV2043" s="2" t="s">
        <v>111</v>
      </c>
      <c r="BW2043" s="2"/>
      <c r="BX2043" s="2"/>
      <c r="BY2043" s="2">
        <v>12070.17</v>
      </c>
      <c r="BZ2043" s="2" t="s">
        <v>27</v>
      </c>
      <c r="CA2043" s="2" t="s">
        <v>159</v>
      </c>
      <c r="CB2043" s="2"/>
      <c r="CC2043" s="2" t="s">
        <v>146</v>
      </c>
      <c r="CD2043" s="2">
        <v>200</v>
      </c>
      <c r="CE2043" s="2" t="s">
        <v>118</v>
      </c>
      <c r="CF2043" s="5">
        <v>42846</v>
      </c>
      <c r="CG2043" s="2"/>
      <c r="CH2043" s="2"/>
      <c r="CI2043" s="2">
        <v>0</v>
      </c>
      <c r="CJ2043" s="2">
        <v>0</v>
      </c>
      <c r="CK2043" s="2">
        <v>21</v>
      </c>
      <c r="CL2043" s="2" t="s">
        <v>86</v>
      </c>
      <c r="CM2043" s="2"/>
    </row>
    <row r="2044" spans="1:91">
      <c r="A2044" s="2" t="s">
        <v>71</v>
      </c>
      <c r="B2044" s="2" t="s">
        <v>72</v>
      </c>
      <c r="C2044" s="2" t="s">
        <v>73</v>
      </c>
      <c r="D2044" s="2"/>
      <c r="E2044" s="2" t="str">
        <f>"FES1162543896"</f>
        <v>FES1162543896</v>
      </c>
      <c r="F2044" s="3">
        <v>42843</v>
      </c>
      <c r="G2044" s="2">
        <v>201710</v>
      </c>
      <c r="H2044" s="2" t="s">
        <v>74</v>
      </c>
      <c r="I2044" s="2" t="s">
        <v>75</v>
      </c>
      <c r="J2044" s="2" t="s">
        <v>76</v>
      </c>
      <c r="K2044" s="2" t="s">
        <v>77</v>
      </c>
      <c r="L2044" s="2" t="s">
        <v>516</v>
      </c>
      <c r="M2044" s="2" t="s">
        <v>517</v>
      </c>
      <c r="N2044" s="2" t="s">
        <v>2163</v>
      </c>
      <c r="O2044" s="2" t="s">
        <v>115</v>
      </c>
      <c r="P2044" s="2" t="str">
        <f>"2170562500                    "</f>
        <v xml:space="preserve">2170562500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3.35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3.8</v>
      </c>
      <c r="BJ2044" s="2">
        <v>3.3</v>
      </c>
      <c r="BK2044" s="2">
        <v>4</v>
      </c>
      <c r="BL2044" s="2">
        <v>32.6</v>
      </c>
      <c r="BM2044" s="2">
        <v>4.5599999999999996</v>
      </c>
      <c r="BN2044" s="2">
        <v>37.159999999999997</v>
      </c>
      <c r="BO2044" s="2">
        <v>37.159999999999997</v>
      </c>
      <c r="BP2044" s="2"/>
      <c r="BQ2044" s="2" t="s">
        <v>122</v>
      </c>
      <c r="BR2044" s="2" t="s">
        <v>84</v>
      </c>
      <c r="BS2044" s="3">
        <v>42844</v>
      </c>
      <c r="BT2044" s="4">
        <v>0.33055555555555555</v>
      </c>
      <c r="BU2044" s="2" t="s">
        <v>2498</v>
      </c>
      <c r="BV2044" s="2" t="s">
        <v>111</v>
      </c>
      <c r="BW2044" s="2"/>
      <c r="BX2044" s="2"/>
      <c r="BY2044" s="2">
        <v>16309.65</v>
      </c>
      <c r="BZ2044" s="2"/>
      <c r="CA2044" s="2" t="s">
        <v>2320</v>
      </c>
      <c r="CB2044" s="2"/>
      <c r="CC2044" s="2" t="s">
        <v>517</v>
      </c>
      <c r="CD2044" s="2">
        <v>1459</v>
      </c>
      <c r="CE2044" s="2" t="s">
        <v>89</v>
      </c>
      <c r="CF2044" s="5">
        <v>42844</v>
      </c>
      <c r="CG2044" s="2"/>
      <c r="CH2044" s="2"/>
      <c r="CI2044" s="2">
        <v>1</v>
      </c>
      <c r="CJ2044" s="2">
        <v>1</v>
      </c>
      <c r="CK2044" s="2">
        <v>22</v>
      </c>
      <c r="CL2044" s="2" t="s">
        <v>86</v>
      </c>
      <c r="CM2044" s="2"/>
    </row>
    <row r="2045" spans="1:91">
      <c r="A2045" s="2" t="s">
        <v>71</v>
      </c>
      <c r="B2045" s="2" t="s">
        <v>72</v>
      </c>
      <c r="C2045" s="2" t="s">
        <v>73</v>
      </c>
      <c r="D2045" s="2"/>
      <c r="E2045" s="2" t="str">
        <f>"FES1162543931"</f>
        <v>FES1162543931</v>
      </c>
      <c r="F2045" s="3">
        <v>42843</v>
      </c>
      <c r="G2045" s="2">
        <v>201710</v>
      </c>
      <c r="H2045" s="2" t="s">
        <v>74</v>
      </c>
      <c r="I2045" s="2" t="s">
        <v>75</v>
      </c>
      <c r="J2045" s="2" t="s">
        <v>76</v>
      </c>
      <c r="K2045" s="2" t="s">
        <v>77</v>
      </c>
      <c r="L2045" s="2" t="s">
        <v>112</v>
      </c>
      <c r="M2045" s="2" t="s">
        <v>113</v>
      </c>
      <c r="N2045" s="2" t="s">
        <v>208</v>
      </c>
      <c r="O2045" s="2" t="s">
        <v>115</v>
      </c>
      <c r="P2045" s="2" t="str">
        <f>"2170562542                    "</f>
        <v xml:space="preserve">2170562542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4.29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1.6</v>
      </c>
      <c r="BJ2045" s="2">
        <v>1.8</v>
      </c>
      <c r="BK2045" s="2">
        <v>2</v>
      </c>
      <c r="BL2045" s="2">
        <v>41.73</v>
      </c>
      <c r="BM2045" s="2">
        <v>5.84</v>
      </c>
      <c r="BN2045" s="2">
        <v>47.57</v>
      </c>
      <c r="BO2045" s="2">
        <v>47.57</v>
      </c>
      <c r="BP2045" s="2"/>
      <c r="BQ2045" s="2" t="s">
        <v>122</v>
      </c>
      <c r="BR2045" s="2" t="s">
        <v>84</v>
      </c>
      <c r="BS2045" s="3">
        <v>42844</v>
      </c>
      <c r="BT2045" s="4">
        <v>0.40763888888888888</v>
      </c>
      <c r="BU2045" s="2" t="s">
        <v>2499</v>
      </c>
      <c r="BV2045" s="2" t="s">
        <v>111</v>
      </c>
      <c r="BW2045" s="2"/>
      <c r="BX2045" s="2"/>
      <c r="BY2045" s="2">
        <v>9187.84</v>
      </c>
      <c r="BZ2045" s="2" t="s">
        <v>27</v>
      </c>
      <c r="CA2045" s="2"/>
      <c r="CB2045" s="2"/>
      <c r="CC2045" s="2" t="s">
        <v>113</v>
      </c>
      <c r="CD2045" s="2">
        <v>3201</v>
      </c>
      <c r="CE2045" s="2" t="s">
        <v>89</v>
      </c>
      <c r="CF2045" s="5">
        <v>42845</v>
      </c>
      <c r="CG2045" s="2"/>
      <c r="CH2045" s="2"/>
      <c r="CI2045" s="2">
        <v>1</v>
      </c>
      <c r="CJ2045" s="2">
        <v>1</v>
      </c>
      <c r="CK2045" s="2">
        <v>21</v>
      </c>
      <c r="CL2045" s="2" t="s">
        <v>86</v>
      </c>
      <c r="CM2045" s="2"/>
    </row>
    <row r="2046" spans="1:91">
      <c r="A2046" s="2" t="s">
        <v>71</v>
      </c>
      <c r="B2046" s="2" t="s">
        <v>72</v>
      </c>
      <c r="C2046" s="2" t="s">
        <v>73</v>
      </c>
      <c r="D2046" s="2"/>
      <c r="E2046" s="2" t="str">
        <f>"FES1162544070"</f>
        <v>FES1162544070</v>
      </c>
      <c r="F2046" s="3">
        <v>42843</v>
      </c>
      <c r="G2046" s="2">
        <v>201710</v>
      </c>
      <c r="H2046" s="2" t="s">
        <v>74</v>
      </c>
      <c r="I2046" s="2" t="s">
        <v>75</v>
      </c>
      <c r="J2046" s="2" t="s">
        <v>76</v>
      </c>
      <c r="K2046" s="2" t="s">
        <v>77</v>
      </c>
      <c r="L2046" s="2" t="s">
        <v>99</v>
      </c>
      <c r="M2046" s="2" t="s">
        <v>100</v>
      </c>
      <c r="N2046" s="2" t="s">
        <v>513</v>
      </c>
      <c r="O2046" s="2" t="s">
        <v>115</v>
      </c>
      <c r="P2046" s="2" t="str">
        <f>"2170562671                    "</f>
        <v xml:space="preserve">2170562671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28.94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12.2</v>
      </c>
      <c r="BJ2046" s="2">
        <v>13.4</v>
      </c>
      <c r="BK2046" s="2">
        <v>13.5</v>
      </c>
      <c r="BL2046" s="2">
        <v>281.66000000000003</v>
      </c>
      <c r="BM2046" s="2">
        <v>39.43</v>
      </c>
      <c r="BN2046" s="2">
        <v>321.08999999999997</v>
      </c>
      <c r="BO2046" s="2">
        <v>321.08999999999997</v>
      </c>
      <c r="BP2046" s="2"/>
      <c r="BQ2046" s="2" t="s">
        <v>515</v>
      </c>
      <c r="BR2046" s="2" t="s">
        <v>84</v>
      </c>
      <c r="BS2046" s="3">
        <v>42844</v>
      </c>
      <c r="BT2046" s="4">
        <v>0.48958333333333331</v>
      </c>
      <c r="BU2046" s="2" t="s">
        <v>882</v>
      </c>
      <c r="BV2046" s="2" t="s">
        <v>86</v>
      </c>
      <c r="BW2046" s="2"/>
      <c r="BX2046" s="2"/>
      <c r="BY2046" s="2">
        <v>66862.8</v>
      </c>
      <c r="BZ2046" s="2"/>
      <c r="CA2046" s="2"/>
      <c r="CB2046" s="2"/>
      <c r="CC2046" s="2" t="s">
        <v>100</v>
      </c>
      <c r="CD2046" s="2">
        <v>6045</v>
      </c>
      <c r="CE2046" s="2" t="s">
        <v>89</v>
      </c>
      <c r="CF2046" s="5">
        <v>42845</v>
      </c>
      <c r="CG2046" s="2"/>
      <c r="CH2046" s="2"/>
      <c r="CI2046" s="2">
        <v>1</v>
      </c>
      <c r="CJ2046" s="2">
        <v>1</v>
      </c>
      <c r="CK2046" s="2">
        <v>21</v>
      </c>
      <c r="CL2046" s="2" t="s">
        <v>86</v>
      </c>
      <c r="CM2046" s="2"/>
    </row>
    <row r="2047" spans="1:91">
      <c r="A2047" s="2" t="s">
        <v>71</v>
      </c>
      <c r="B2047" s="2" t="s">
        <v>72</v>
      </c>
      <c r="C2047" s="2" t="s">
        <v>73</v>
      </c>
      <c r="D2047" s="2"/>
      <c r="E2047" s="2" t="str">
        <f>"FES1162543885"</f>
        <v>FES1162543885</v>
      </c>
      <c r="F2047" s="3">
        <v>42843</v>
      </c>
      <c r="G2047" s="2">
        <v>201710</v>
      </c>
      <c r="H2047" s="2" t="s">
        <v>74</v>
      </c>
      <c r="I2047" s="2" t="s">
        <v>75</v>
      </c>
      <c r="J2047" s="2" t="s">
        <v>76</v>
      </c>
      <c r="K2047" s="2" t="s">
        <v>77</v>
      </c>
      <c r="L2047" s="2" t="s">
        <v>234</v>
      </c>
      <c r="M2047" s="2" t="s">
        <v>235</v>
      </c>
      <c r="N2047" s="2" t="s">
        <v>1133</v>
      </c>
      <c r="O2047" s="2" t="s">
        <v>115</v>
      </c>
      <c r="P2047" s="2" t="str">
        <f>"2170562491                    "</f>
        <v xml:space="preserve">2170562491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12.86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4.4000000000000004</v>
      </c>
      <c r="BJ2047" s="2">
        <v>5.7</v>
      </c>
      <c r="BK2047" s="2">
        <v>6</v>
      </c>
      <c r="BL2047" s="2">
        <v>125.18</v>
      </c>
      <c r="BM2047" s="2">
        <v>17.53</v>
      </c>
      <c r="BN2047" s="2">
        <v>142.71</v>
      </c>
      <c r="BO2047" s="2">
        <v>142.71</v>
      </c>
      <c r="BP2047" s="2"/>
      <c r="BQ2047" s="2" t="s">
        <v>1781</v>
      </c>
      <c r="BR2047" s="2" t="s">
        <v>84</v>
      </c>
      <c r="BS2047" s="3">
        <v>42844</v>
      </c>
      <c r="BT2047" s="4">
        <v>0.46319444444444446</v>
      </c>
      <c r="BU2047" s="2" t="s">
        <v>2500</v>
      </c>
      <c r="BV2047" s="2" t="s">
        <v>86</v>
      </c>
      <c r="BW2047" s="2"/>
      <c r="BX2047" s="2"/>
      <c r="BY2047" s="2">
        <v>28459.8</v>
      </c>
      <c r="BZ2047" s="2" t="s">
        <v>27</v>
      </c>
      <c r="CA2047" s="2" t="s">
        <v>159</v>
      </c>
      <c r="CB2047" s="2"/>
      <c r="CC2047" s="2" t="s">
        <v>235</v>
      </c>
      <c r="CD2047" s="2">
        <v>6220</v>
      </c>
      <c r="CE2047" s="2" t="s">
        <v>89</v>
      </c>
      <c r="CF2047" s="5">
        <v>42845</v>
      </c>
      <c r="CG2047" s="2"/>
      <c r="CH2047" s="2"/>
      <c r="CI2047" s="2">
        <v>1</v>
      </c>
      <c r="CJ2047" s="2">
        <v>1</v>
      </c>
      <c r="CK2047" s="2">
        <v>21</v>
      </c>
      <c r="CL2047" s="2" t="s">
        <v>86</v>
      </c>
      <c r="CM2047" s="2"/>
    </row>
    <row r="2048" spans="1:91">
      <c r="A2048" s="2" t="s">
        <v>71</v>
      </c>
      <c r="B2048" s="2" t="s">
        <v>72</v>
      </c>
      <c r="C2048" s="2" t="s">
        <v>73</v>
      </c>
      <c r="D2048" s="2"/>
      <c r="E2048" s="2" t="str">
        <f>"FES1162543913"</f>
        <v>FES1162543913</v>
      </c>
      <c r="F2048" s="3">
        <v>42843</v>
      </c>
      <c r="G2048" s="2">
        <v>201710</v>
      </c>
      <c r="H2048" s="2" t="s">
        <v>74</v>
      </c>
      <c r="I2048" s="2" t="s">
        <v>75</v>
      </c>
      <c r="J2048" s="2" t="s">
        <v>76</v>
      </c>
      <c r="K2048" s="2" t="s">
        <v>77</v>
      </c>
      <c r="L2048" s="2" t="s">
        <v>260</v>
      </c>
      <c r="M2048" s="2" t="s">
        <v>261</v>
      </c>
      <c r="N2048" s="2" t="s">
        <v>1371</v>
      </c>
      <c r="O2048" s="2" t="s">
        <v>115</v>
      </c>
      <c r="P2048" s="2" t="str">
        <f>"2170562518                    "</f>
        <v xml:space="preserve">2170562518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3.35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1</v>
      </c>
      <c r="BI2048" s="2">
        <v>1</v>
      </c>
      <c r="BJ2048" s="2">
        <v>0.2</v>
      </c>
      <c r="BK2048" s="2">
        <v>1</v>
      </c>
      <c r="BL2048" s="2">
        <v>32.6</v>
      </c>
      <c r="BM2048" s="2">
        <v>4.5599999999999996</v>
      </c>
      <c r="BN2048" s="2">
        <v>37.159999999999997</v>
      </c>
      <c r="BO2048" s="2">
        <v>37.159999999999997</v>
      </c>
      <c r="BP2048" s="2"/>
      <c r="BQ2048" s="2" t="s">
        <v>1372</v>
      </c>
      <c r="BR2048" s="2" t="s">
        <v>84</v>
      </c>
      <c r="BS2048" s="3">
        <v>42844</v>
      </c>
      <c r="BT2048" s="4">
        <v>0.31944444444444448</v>
      </c>
      <c r="BU2048" s="2" t="s">
        <v>2501</v>
      </c>
      <c r="BV2048" s="2" t="s">
        <v>111</v>
      </c>
      <c r="BW2048" s="2"/>
      <c r="BX2048" s="2"/>
      <c r="BY2048" s="2">
        <v>1200</v>
      </c>
      <c r="BZ2048" s="2"/>
      <c r="CA2048" s="2"/>
      <c r="CB2048" s="2"/>
      <c r="CC2048" s="2" t="s">
        <v>261</v>
      </c>
      <c r="CD2048" s="2">
        <v>1451</v>
      </c>
      <c r="CE2048" s="2" t="s">
        <v>118</v>
      </c>
      <c r="CF2048" s="5">
        <v>42845</v>
      </c>
      <c r="CG2048" s="2"/>
      <c r="CH2048" s="2"/>
      <c r="CI2048" s="2">
        <v>1</v>
      </c>
      <c r="CJ2048" s="2">
        <v>1</v>
      </c>
      <c r="CK2048" s="2">
        <v>22</v>
      </c>
      <c r="CL2048" s="2" t="s">
        <v>86</v>
      </c>
      <c r="CM2048" s="2"/>
    </row>
    <row r="2049" spans="1:91">
      <c r="A2049" s="2" t="s">
        <v>71</v>
      </c>
      <c r="B2049" s="2" t="s">
        <v>72</v>
      </c>
      <c r="C2049" s="2" t="s">
        <v>73</v>
      </c>
      <c r="D2049" s="2"/>
      <c r="E2049" s="2" t="str">
        <f>"FES1162543971"</f>
        <v>FES1162543971</v>
      </c>
      <c r="F2049" s="3">
        <v>42843</v>
      </c>
      <c r="G2049" s="2">
        <v>201710</v>
      </c>
      <c r="H2049" s="2" t="s">
        <v>74</v>
      </c>
      <c r="I2049" s="2" t="s">
        <v>75</v>
      </c>
      <c r="J2049" s="2" t="s">
        <v>76</v>
      </c>
      <c r="K2049" s="2" t="s">
        <v>77</v>
      </c>
      <c r="L2049" s="2" t="s">
        <v>166</v>
      </c>
      <c r="M2049" s="2" t="s">
        <v>167</v>
      </c>
      <c r="N2049" s="2" t="s">
        <v>2502</v>
      </c>
      <c r="O2049" s="2" t="s">
        <v>115</v>
      </c>
      <c r="P2049" s="2" t="str">
        <f>"2170562565                    "</f>
        <v xml:space="preserve">2170562565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3.35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4</v>
      </c>
      <c r="BJ2049" s="2">
        <v>0.2</v>
      </c>
      <c r="BK2049" s="2">
        <v>4</v>
      </c>
      <c r="BL2049" s="2">
        <v>32.6</v>
      </c>
      <c r="BM2049" s="2">
        <v>4.5599999999999996</v>
      </c>
      <c r="BN2049" s="2">
        <v>37.159999999999997</v>
      </c>
      <c r="BO2049" s="2">
        <v>37.159999999999997</v>
      </c>
      <c r="BP2049" s="2"/>
      <c r="BQ2049" s="2"/>
      <c r="BR2049" s="2" t="s">
        <v>84</v>
      </c>
      <c r="BS2049" s="3">
        <v>42844</v>
      </c>
      <c r="BT2049" s="4">
        <v>0.3298611111111111</v>
      </c>
      <c r="BU2049" s="2" t="s">
        <v>2503</v>
      </c>
      <c r="BV2049" s="2" t="s">
        <v>111</v>
      </c>
      <c r="BW2049" s="2"/>
      <c r="BX2049" s="2"/>
      <c r="BY2049" s="2">
        <v>1200</v>
      </c>
      <c r="BZ2049" s="2"/>
      <c r="CA2049" s="2" t="s">
        <v>2312</v>
      </c>
      <c r="CB2049" s="2"/>
      <c r="CC2049" s="2" t="s">
        <v>167</v>
      </c>
      <c r="CD2049" s="2">
        <v>2011</v>
      </c>
      <c r="CE2049" s="2" t="s">
        <v>118</v>
      </c>
      <c r="CF2049" s="5">
        <v>42844</v>
      </c>
      <c r="CG2049" s="2"/>
      <c r="CH2049" s="2"/>
      <c r="CI2049" s="2">
        <v>1</v>
      </c>
      <c r="CJ2049" s="2">
        <v>1</v>
      </c>
      <c r="CK2049" s="2">
        <v>22</v>
      </c>
      <c r="CL2049" s="2" t="s">
        <v>86</v>
      </c>
      <c r="CM2049" s="2"/>
    </row>
    <row r="2050" spans="1:91">
      <c r="A2050" s="2" t="s">
        <v>71</v>
      </c>
      <c r="B2050" s="2" t="s">
        <v>72</v>
      </c>
      <c r="C2050" s="2" t="s">
        <v>73</v>
      </c>
      <c r="D2050" s="2"/>
      <c r="E2050" s="2" t="str">
        <f>"FES1162543881"</f>
        <v>FES1162543881</v>
      </c>
      <c r="F2050" s="3">
        <v>42843</v>
      </c>
      <c r="G2050" s="2">
        <v>201710</v>
      </c>
      <c r="H2050" s="2" t="s">
        <v>74</v>
      </c>
      <c r="I2050" s="2" t="s">
        <v>75</v>
      </c>
      <c r="J2050" s="2" t="s">
        <v>76</v>
      </c>
      <c r="K2050" s="2" t="s">
        <v>77</v>
      </c>
      <c r="L2050" s="2" t="s">
        <v>180</v>
      </c>
      <c r="M2050" s="2" t="s">
        <v>181</v>
      </c>
      <c r="N2050" s="2" t="s">
        <v>2504</v>
      </c>
      <c r="O2050" s="2" t="s">
        <v>115</v>
      </c>
      <c r="P2050" s="2" t="str">
        <f>"2170562487                    "</f>
        <v xml:space="preserve">2170562487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9.65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3.5</v>
      </c>
      <c r="BJ2050" s="2">
        <v>4.5</v>
      </c>
      <c r="BK2050" s="2">
        <v>4.5</v>
      </c>
      <c r="BL2050" s="2">
        <v>93.89</v>
      </c>
      <c r="BM2050" s="2">
        <v>13.14</v>
      </c>
      <c r="BN2050" s="2">
        <v>107.03</v>
      </c>
      <c r="BO2050" s="2">
        <v>107.03</v>
      </c>
      <c r="BP2050" s="2"/>
      <c r="BQ2050" s="2" t="s">
        <v>116</v>
      </c>
      <c r="BR2050" s="2" t="s">
        <v>84</v>
      </c>
      <c r="BS2050" s="3">
        <v>42844</v>
      </c>
      <c r="BT2050" s="4">
        <v>0.28680555555555554</v>
      </c>
      <c r="BU2050" s="2" t="s">
        <v>2505</v>
      </c>
      <c r="BV2050" s="2" t="s">
        <v>111</v>
      </c>
      <c r="BW2050" s="2"/>
      <c r="BX2050" s="2"/>
      <c r="BY2050" s="2">
        <v>22300.16</v>
      </c>
      <c r="BZ2050" s="2" t="s">
        <v>27</v>
      </c>
      <c r="CA2050" s="2"/>
      <c r="CB2050" s="2"/>
      <c r="CC2050" s="2" t="s">
        <v>181</v>
      </c>
      <c r="CD2050" s="2">
        <v>4070</v>
      </c>
      <c r="CE2050" s="2" t="s">
        <v>118</v>
      </c>
      <c r="CF2050" s="5">
        <v>42845</v>
      </c>
      <c r="CG2050" s="2"/>
      <c r="CH2050" s="2"/>
      <c r="CI2050" s="2">
        <v>1</v>
      </c>
      <c r="CJ2050" s="2">
        <v>1</v>
      </c>
      <c r="CK2050" s="2">
        <v>21</v>
      </c>
      <c r="CL2050" s="2" t="s">
        <v>86</v>
      </c>
      <c r="CM2050" s="2"/>
    </row>
    <row r="2051" spans="1:91">
      <c r="A2051" s="2" t="s">
        <v>71</v>
      </c>
      <c r="B2051" s="2" t="s">
        <v>72</v>
      </c>
      <c r="C2051" s="2" t="s">
        <v>73</v>
      </c>
      <c r="D2051" s="2"/>
      <c r="E2051" s="2" t="str">
        <f>"FES1162543969"</f>
        <v>FES1162543969</v>
      </c>
      <c r="F2051" s="3">
        <v>42843</v>
      </c>
      <c r="G2051" s="2">
        <v>201710</v>
      </c>
      <c r="H2051" s="2" t="s">
        <v>74</v>
      </c>
      <c r="I2051" s="2" t="s">
        <v>75</v>
      </c>
      <c r="J2051" s="2" t="s">
        <v>76</v>
      </c>
      <c r="K2051" s="2" t="s">
        <v>77</v>
      </c>
      <c r="L2051" s="2" t="s">
        <v>112</v>
      </c>
      <c r="M2051" s="2" t="s">
        <v>113</v>
      </c>
      <c r="N2051" s="2" t="s">
        <v>239</v>
      </c>
      <c r="O2051" s="2" t="s">
        <v>115</v>
      </c>
      <c r="P2051" s="2" t="str">
        <f>"2170562563                    "</f>
        <v xml:space="preserve">2170562563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4.29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1</v>
      </c>
      <c r="BJ2051" s="2">
        <v>0.2</v>
      </c>
      <c r="BK2051" s="2">
        <v>1</v>
      </c>
      <c r="BL2051" s="2">
        <v>41.73</v>
      </c>
      <c r="BM2051" s="2">
        <v>5.84</v>
      </c>
      <c r="BN2051" s="2">
        <v>47.57</v>
      </c>
      <c r="BO2051" s="2">
        <v>47.57</v>
      </c>
      <c r="BP2051" s="2"/>
      <c r="BQ2051" s="2" t="s">
        <v>240</v>
      </c>
      <c r="BR2051" s="2" t="s">
        <v>84</v>
      </c>
      <c r="BS2051" s="3">
        <v>42844</v>
      </c>
      <c r="BT2051" s="4">
        <v>0.42708333333333331</v>
      </c>
      <c r="BU2051" s="2" t="s">
        <v>2506</v>
      </c>
      <c r="BV2051" s="2" t="s">
        <v>111</v>
      </c>
      <c r="BW2051" s="2"/>
      <c r="BX2051" s="2"/>
      <c r="BY2051" s="2">
        <v>1200</v>
      </c>
      <c r="BZ2051" s="2"/>
      <c r="CA2051" s="2"/>
      <c r="CB2051" s="2"/>
      <c r="CC2051" s="2" t="s">
        <v>113</v>
      </c>
      <c r="CD2051" s="2">
        <v>3201</v>
      </c>
      <c r="CE2051" s="2" t="s">
        <v>118</v>
      </c>
      <c r="CF2051" s="5">
        <v>42845</v>
      </c>
      <c r="CG2051" s="2"/>
      <c r="CH2051" s="2"/>
      <c r="CI2051" s="2">
        <v>1</v>
      </c>
      <c r="CJ2051" s="2">
        <v>1</v>
      </c>
      <c r="CK2051" s="2">
        <v>21</v>
      </c>
      <c r="CL2051" s="2" t="s">
        <v>86</v>
      </c>
      <c r="CM2051" s="2"/>
    </row>
    <row r="2052" spans="1:91">
      <c r="A2052" s="2" t="s">
        <v>71</v>
      </c>
      <c r="B2052" s="2" t="s">
        <v>72</v>
      </c>
      <c r="C2052" s="2" t="s">
        <v>73</v>
      </c>
      <c r="D2052" s="2"/>
      <c r="E2052" s="2" t="str">
        <f>"FES1162543959"</f>
        <v>FES1162543959</v>
      </c>
      <c r="F2052" s="3">
        <v>42843</v>
      </c>
      <c r="G2052" s="2">
        <v>201710</v>
      </c>
      <c r="H2052" s="2" t="s">
        <v>74</v>
      </c>
      <c r="I2052" s="2" t="s">
        <v>75</v>
      </c>
      <c r="J2052" s="2" t="s">
        <v>76</v>
      </c>
      <c r="K2052" s="2" t="s">
        <v>77</v>
      </c>
      <c r="L2052" s="2" t="s">
        <v>99</v>
      </c>
      <c r="M2052" s="2" t="s">
        <v>100</v>
      </c>
      <c r="N2052" s="2" t="s">
        <v>876</v>
      </c>
      <c r="O2052" s="2" t="s">
        <v>115</v>
      </c>
      <c r="P2052" s="2" t="str">
        <f>"2170560568                    "</f>
        <v xml:space="preserve">2170560568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4.29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1</v>
      </c>
      <c r="BJ2052" s="2">
        <v>0.2</v>
      </c>
      <c r="BK2052" s="2">
        <v>1</v>
      </c>
      <c r="BL2052" s="2">
        <v>41.73</v>
      </c>
      <c r="BM2052" s="2">
        <v>5.84</v>
      </c>
      <c r="BN2052" s="2">
        <v>47.57</v>
      </c>
      <c r="BO2052" s="2">
        <v>47.57</v>
      </c>
      <c r="BP2052" s="2"/>
      <c r="BQ2052" s="2" t="s">
        <v>877</v>
      </c>
      <c r="BR2052" s="2" t="s">
        <v>84</v>
      </c>
      <c r="BS2052" s="3">
        <v>42844</v>
      </c>
      <c r="BT2052" s="4">
        <v>0.45069444444444445</v>
      </c>
      <c r="BU2052" s="2" t="s">
        <v>2507</v>
      </c>
      <c r="BV2052" s="2" t="s">
        <v>111</v>
      </c>
      <c r="BW2052" s="2"/>
      <c r="BX2052" s="2"/>
      <c r="BY2052" s="2">
        <v>1200</v>
      </c>
      <c r="BZ2052" s="2" t="s">
        <v>27</v>
      </c>
      <c r="CA2052" s="2" t="s">
        <v>106</v>
      </c>
      <c r="CB2052" s="2"/>
      <c r="CC2052" s="2" t="s">
        <v>100</v>
      </c>
      <c r="CD2052" s="2">
        <v>6012</v>
      </c>
      <c r="CE2052" s="2" t="s">
        <v>118</v>
      </c>
      <c r="CF2052" s="5">
        <v>42844</v>
      </c>
      <c r="CG2052" s="2"/>
      <c r="CH2052" s="2"/>
      <c r="CI2052" s="2">
        <v>1</v>
      </c>
      <c r="CJ2052" s="2">
        <v>1</v>
      </c>
      <c r="CK2052" s="2">
        <v>21</v>
      </c>
      <c r="CL2052" s="2" t="s">
        <v>86</v>
      </c>
      <c r="CM2052" s="2"/>
    </row>
    <row r="2053" spans="1:91">
      <c r="A2053" s="2" t="s">
        <v>71</v>
      </c>
      <c r="B2053" s="2" t="s">
        <v>72</v>
      </c>
      <c r="C2053" s="2" t="s">
        <v>73</v>
      </c>
      <c r="D2053" s="2"/>
      <c r="E2053" s="2" t="str">
        <f>"FES1162543856"</f>
        <v>FES1162543856</v>
      </c>
      <c r="F2053" s="3">
        <v>42843</v>
      </c>
      <c r="G2053" s="2">
        <v>201710</v>
      </c>
      <c r="H2053" s="2" t="s">
        <v>74</v>
      </c>
      <c r="I2053" s="2" t="s">
        <v>75</v>
      </c>
      <c r="J2053" s="2" t="s">
        <v>76</v>
      </c>
      <c r="K2053" s="2" t="s">
        <v>77</v>
      </c>
      <c r="L2053" s="2" t="s">
        <v>166</v>
      </c>
      <c r="M2053" s="2" t="s">
        <v>167</v>
      </c>
      <c r="N2053" s="2" t="s">
        <v>329</v>
      </c>
      <c r="O2053" s="2" t="s">
        <v>115</v>
      </c>
      <c r="P2053" s="2" t="str">
        <f>"2170560866                    "</f>
        <v xml:space="preserve">2170560866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3.35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1</v>
      </c>
      <c r="BJ2053" s="2">
        <v>0.2</v>
      </c>
      <c r="BK2053" s="2">
        <v>1</v>
      </c>
      <c r="BL2053" s="2">
        <v>32.6</v>
      </c>
      <c r="BM2053" s="2">
        <v>4.5599999999999996</v>
      </c>
      <c r="BN2053" s="2">
        <v>37.159999999999997</v>
      </c>
      <c r="BO2053" s="2">
        <v>37.159999999999997</v>
      </c>
      <c r="BP2053" s="2"/>
      <c r="BQ2053" s="2" t="s">
        <v>330</v>
      </c>
      <c r="BR2053" s="2" t="s">
        <v>84</v>
      </c>
      <c r="BS2053" s="3">
        <v>42844</v>
      </c>
      <c r="BT2053" s="4">
        <v>0.36805555555555558</v>
      </c>
      <c r="BU2053" s="2" t="s">
        <v>2508</v>
      </c>
      <c r="BV2053" s="2" t="s">
        <v>111</v>
      </c>
      <c r="BW2053" s="2"/>
      <c r="BX2053" s="2"/>
      <c r="BY2053" s="2">
        <v>1200</v>
      </c>
      <c r="BZ2053" s="2"/>
      <c r="CA2053" s="2" t="s">
        <v>159</v>
      </c>
      <c r="CB2053" s="2"/>
      <c r="CC2053" s="2" t="s">
        <v>167</v>
      </c>
      <c r="CD2053" s="2">
        <v>2090</v>
      </c>
      <c r="CE2053" s="2" t="s">
        <v>118</v>
      </c>
      <c r="CF2053" s="5">
        <v>42845</v>
      </c>
      <c r="CG2053" s="2"/>
      <c r="CH2053" s="2"/>
      <c r="CI2053" s="2">
        <v>1</v>
      </c>
      <c r="CJ2053" s="2">
        <v>1</v>
      </c>
      <c r="CK2053" s="2">
        <v>22</v>
      </c>
      <c r="CL2053" s="2" t="s">
        <v>86</v>
      </c>
      <c r="CM2053" s="2"/>
    </row>
    <row r="2054" spans="1:91">
      <c r="A2054" s="2" t="s">
        <v>71</v>
      </c>
      <c r="B2054" s="2" t="s">
        <v>72</v>
      </c>
      <c r="C2054" s="2" t="s">
        <v>73</v>
      </c>
      <c r="D2054" s="2"/>
      <c r="E2054" s="2" t="str">
        <f>"FES1162543921"</f>
        <v>FES1162543921</v>
      </c>
      <c r="F2054" s="3">
        <v>42843</v>
      </c>
      <c r="G2054" s="2">
        <v>201710</v>
      </c>
      <c r="H2054" s="2" t="s">
        <v>74</v>
      </c>
      <c r="I2054" s="2" t="s">
        <v>75</v>
      </c>
      <c r="J2054" s="2" t="s">
        <v>76</v>
      </c>
      <c r="K2054" s="2" t="s">
        <v>77</v>
      </c>
      <c r="L2054" s="2" t="s">
        <v>234</v>
      </c>
      <c r="M2054" s="2" t="s">
        <v>235</v>
      </c>
      <c r="N2054" s="2" t="s">
        <v>236</v>
      </c>
      <c r="O2054" s="2" t="s">
        <v>115</v>
      </c>
      <c r="P2054" s="2" t="str">
        <f>"2170562535                    "</f>
        <v xml:space="preserve">2170562535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5.36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2.1</v>
      </c>
      <c r="BJ2054" s="2">
        <v>0.9</v>
      </c>
      <c r="BK2054" s="2">
        <v>2.5</v>
      </c>
      <c r="BL2054" s="2">
        <v>52.16</v>
      </c>
      <c r="BM2054" s="2">
        <v>7.3</v>
      </c>
      <c r="BN2054" s="2">
        <v>59.46</v>
      </c>
      <c r="BO2054" s="2">
        <v>59.46</v>
      </c>
      <c r="BP2054" s="2"/>
      <c r="BQ2054" s="2" t="s">
        <v>285</v>
      </c>
      <c r="BR2054" s="2" t="s">
        <v>84</v>
      </c>
      <c r="BS2054" s="3">
        <v>42844</v>
      </c>
      <c r="BT2054" s="4">
        <v>0.45833333333333331</v>
      </c>
      <c r="BU2054" s="2" t="s">
        <v>245</v>
      </c>
      <c r="BV2054" s="2" t="s">
        <v>86</v>
      </c>
      <c r="BW2054" s="2"/>
      <c r="BX2054" s="2"/>
      <c r="BY2054" s="2">
        <v>4692.6000000000004</v>
      </c>
      <c r="BZ2054" s="2" t="s">
        <v>27</v>
      </c>
      <c r="CA2054" s="2"/>
      <c r="CB2054" s="2"/>
      <c r="CC2054" s="2" t="s">
        <v>235</v>
      </c>
      <c r="CD2054" s="2">
        <v>6220</v>
      </c>
      <c r="CE2054" s="2" t="s">
        <v>118</v>
      </c>
      <c r="CF2054" s="5">
        <v>42845</v>
      </c>
      <c r="CG2054" s="2"/>
      <c r="CH2054" s="2"/>
      <c r="CI2054" s="2">
        <v>1</v>
      </c>
      <c r="CJ2054" s="2">
        <v>1</v>
      </c>
      <c r="CK2054" s="2">
        <v>21</v>
      </c>
      <c r="CL2054" s="2" t="s">
        <v>86</v>
      </c>
      <c r="CM2054" s="2"/>
    </row>
    <row r="2055" spans="1:91">
      <c r="A2055" s="2" t="s">
        <v>71</v>
      </c>
      <c r="B2055" s="2" t="s">
        <v>72</v>
      </c>
      <c r="C2055" s="2" t="s">
        <v>73</v>
      </c>
      <c r="D2055" s="2"/>
      <c r="E2055" s="2" t="str">
        <f>"FES1162543821"</f>
        <v>FES1162543821</v>
      </c>
      <c r="F2055" s="3">
        <v>42843</v>
      </c>
      <c r="G2055" s="2">
        <v>201710</v>
      </c>
      <c r="H2055" s="2" t="s">
        <v>74</v>
      </c>
      <c r="I2055" s="2" t="s">
        <v>75</v>
      </c>
      <c r="J2055" s="2" t="s">
        <v>76</v>
      </c>
      <c r="K2055" s="2" t="s">
        <v>77</v>
      </c>
      <c r="L2055" s="2" t="s">
        <v>160</v>
      </c>
      <c r="M2055" s="2" t="s">
        <v>161</v>
      </c>
      <c r="N2055" s="2" t="s">
        <v>741</v>
      </c>
      <c r="O2055" s="2" t="s">
        <v>115</v>
      </c>
      <c r="P2055" s="2" t="str">
        <f>"2170559561                    "</f>
        <v xml:space="preserve">2170559561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4.29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1</v>
      </c>
      <c r="BJ2055" s="2">
        <v>0.2</v>
      </c>
      <c r="BK2055" s="2">
        <v>1</v>
      </c>
      <c r="BL2055" s="2">
        <v>41.73</v>
      </c>
      <c r="BM2055" s="2">
        <v>5.84</v>
      </c>
      <c r="BN2055" s="2">
        <v>47.57</v>
      </c>
      <c r="BO2055" s="2">
        <v>47.57</v>
      </c>
      <c r="BP2055" s="2"/>
      <c r="BQ2055" s="2" t="s">
        <v>742</v>
      </c>
      <c r="BR2055" s="2" t="s">
        <v>84</v>
      </c>
      <c r="BS2055" s="3">
        <v>42844</v>
      </c>
      <c r="BT2055" s="4">
        <v>0.41666666666666669</v>
      </c>
      <c r="BU2055" s="2" t="s">
        <v>2509</v>
      </c>
      <c r="BV2055" s="2" t="s">
        <v>111</v>
      </c>
      <c r="BW2055" s="2"/>
      <c r="BX2055" s="2"/>
      <c r="BY2055" s="2">
        <v>1200</v>
      </c>
      <c r="BZ2055" s="2" t="s">
        <v>27</v>
      </c>
      <c r="CA2055" s="2" t="s">
        <v>159</v>
      </c>
      <c r="CB2055" s="2"/>
      <c r="CC2055" s="2" t="s">
        <v>161</v>
      </c>
      <c r="CD2055" s="2">
        <v>5201</v>
      </c>
      <c r="CE2055" s="2" t="s">
        <v>118</v>
      </c>
      <c r="CF2055" s="5">
        <v>42846</v>
      </c>
      <c r="CG2055" s="2"/>
      <c r="CH2055" s="2"/>
      <c r="CI2055" s="2">
        <v>1</v>
      </c>
      <c r="CJ2055" s="2">
        <v>1</v>
      </c>
      <c r="CK2055" s="2">
        <v>21</v>
      </c>
      <c r="CL2055" s="2" t="s">
        <v>86</v>
      </c>
      <c r="CM2055" s="2"/>
    </row>
    <row r="2056" spans="1:91">
      <c r="A2056" s="2" t="s">
        <v>71</v>
      </c>
      <c r="B2056" s="2" t="s">
        <v>72</v>
      </c>
      <c r="C2056" s="2" t="s">
        <v>73</v>
      </c>
      <c r="D2056" s="2"/>
      <c r="E2056" s="2" t="str">
        <f>"FES1162544021"</f>
        <v>FES1162544021</v>
      </c>
      <c r="F2056" s="3">
        <v>42843</v>
      </c>
      <c r="G2056" s="2">
        <v>201710</v>
      </c>
      <c r="H2056" s="2" t="s">
        <v>74</v>
      </c>
      <c r="I2056" s="2" t="s">
        <v>75</v>
      </c>
      <c r="J2056" s="2" t="s">
        <v>76</v>
      </c>
      <c r="K2056" s="2" t="s">
        <v>77</v>
      </c>
      <c r="L2056" s="2" t="s">
        <v>294</v>
      </c>
      <c r="M2056" s="2" t="s">
        <v>295</v>
      </c>
      <c r="N2056" s="2" t="s">
        <v>1200</v>
      </c>
      <c r="O2056" s="2" t="s">
        <v>115</v>
      </c>
      <c r="P2056" s="2" t="str">
        <f>"2170562494                    "</f>
        <v xml:space="preserve">2170562494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4.29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1</v>
      </c>
      <c r="BJ2056" s="2">
        <v>0.2</v>
      </c>
      <c r="BK2056" s="2">
        <v>1</v>
      </c>
      <c r="BL2056" s="2">
        <v>41.73</v>
      </c>
      <c r="BM2056" s="2">
        <v>5.84</v>
      </c>
      <c r="BN2056" s="2">
        <v>47.57</v>
      </c>
      <c r="BO2056" s="2">
        <v>47.57</v>
      </c>
      <c r="BP2056" s="2"/>
      <c r="BQ2056" s="2" t="s">
        <v>1201</v>
      </c>
      <c r="BR2056" s="2" t="s">
        <v>84</v>
      </c>
      <c r="BS2056" s="3">
        <v>42844</v>
      </c>
      <c r="BT2056" s="4">
        <v>0.39583333333333331</v>
      </c>
      <c r="BU2056" s="2" t="s">
        <v>245</v>
      </c>
      <c r="BV2056" s="2" t="s">
        <v>111</v>
      </c>
      <c r="BW2056" s="2"/>
      <c r="BX2056" s="2"/>
      <c r="BY2056" s="2">
        <v>1200</v>
      </c>
      <c r="BZ2056" s="2"/>
      <c r="CA2056" s="2"/>
      <c r="CB2056" s="2"/>
      <c r="CC2056" s="2" t="s">
        <v>295</v>
      </c>
      <c r="CD2056" s="2">
        <v>3610</v>
      </c>
      <c r="CE2056" s="2" t="s">
        <v>118</v>
      </c>
      <c r="CF2056" s="5">
        <v>42845</v>
      </c>
      <c r="CG2056" s="2"/>
      <c r="CH2056" s="2"/>
      <c r="CI2056" s="2">
        <v>1</v>
      </c>
      <c r="CJ2056" s="2">
        <v>1</v>
      </c>
      <c r="CK2056" s="2">
        <v>21</v>
      </c>
      <c r="CL2056" s="2" t="s">
        <v>86</v>
      </c>
      <c r="CM2056" s="2"/>
    </row>
    <row r="2057" spans="1:91">
      <c r="A2057" s="2" t="s">
        <v>71</v>
      </c>
      <c r="B2057" s="2" t="s">
        <v>72</v>
      </c>
      <c r="C2057" s="2" t="s">
        <v>73</v>
      </c>
      <c r="D2057" s="2"/>
      <c r="E2057" s="2" t="str">
        <f>"FES1162543906"</f>
        <v>FES1162543906</v>
      </c>
      <c r="F2057" s="3">
        <v>42843</v>
      </c>
      <c r="G2057" s="2">
        <v>201710</v>
      </c>
      <c r="H2057" s="2" t="s">
        <v>74</v>
      </c>
      <c r="I2057" s="2" t="s">
        <v>75</v>
      </c>
      <c r="J2057" s="2" t="s">
        <v>76</v>
      </c>
      <c r="K2057" s="2" t="s">
        <v>77</v>
      </c>
      <c r="L2057" s="2" t="s">
        <v>99</v>
      </c>
      <c r="M2057" s="2" t="s">
        <v>100</v>
      </c>
      <c r="N2057" s="2" t="s">
        <v>671</v>
      </c>
      <c r="O2057" s="2" t="s">
        <v>115</v>
      </c>
      <c r="P2057" s="2" t="str">
        <f>"2170562508                    "</f>
        <v xml:space="preserve">2170562508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4.29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0.5</v>
      </c>
      <c r="BJ2057" s="2">
        <v>0.2</v>
      </c>
      <c r="BK2057" s="2">
        <v>0.5</v>
      </c>
      <c r="BL2057" s="2">
        <v>41.73</v>
      </c>
      <c r="BM2057" s="2">
        <v>5.84</v>
      </c>
      <c r="BN2057" s="2">
        <v>47.57</v>
      </c>
      <c r="BO2057" s="2">
        <v>47.57</v>
      </c>
      <c r="BP2057" s="2"/>
      <c r="BQ2057" s="2" t="s">
        <v>672</v>
      </c>
      <c r="BR2057" s="2" t="s">
        <v>84</v>
      </c>
      <c r="BS2057" s="3">
        <v>42844</v>
      </c>
      <c r="BT2057" s="4">
        <v>0.54583333333333328</v>
      </c>
      <c r="BU2057" s="2" t="s">
        <v>672</v>
      </c>
      <c r="BV2057" s="2" t="s">
        <v>86</v>
      </c>
      <c r="BW2057" s="2"/>
      <c r="BX2057" s="2"/>
      <c r="BY2057" s="2">
        <v>1200</v>
      </c>
      <c r="BZ2057" s="2" t="s">
        <v>27</v>
      </c>
      <c r="CA2057" s="2"/>
      <c r="CB2057" s="2"/>
      <c r="CC2057" s="2" t="s">
        <v>100</v>
      </c>
      <c r="CD2057" s="2">
        <v>6001</v>
      </c>
      <c r="CE2057" s="2" t="s">
        <v>118</v>
      </c>
      <c r="CF2057" s="5">
        <v>42845</v>
      </c>
      <c r="CG2057" s="2"/>
      <c r="CH2057" s="2"/>
      <c r="CI2057" s="2">
        <v>1</v>
      </c>
      <c r="CJ2057" s="2">
        <v>1</v>
      </c>
      <c r="CK2057" s="2">
        <v>21</v>
      </c>
      <c r="CL2057" s="2" t="s">
        <v>86</v>
      </c>
      <c r="CM2057" s="2"/>
    </row>
    <row r="2058" spans="1:91">
      <c r="A2058" s="2" t="s">
        <v>71</v>
      </c>
      <c r="B2058" s="2" t="s">
        <v>72</v>
      </c>
      <c r="C2058" s="2" t="s">
        <v>73</v>
      </c>
      <c r="D2058" s="2"/>
      <c r="E2058" s="2" t="str">
        <f>"FES1162544071"</f>
        <v>FES1162544071</v>
      </c>
      <c r="F2058" s="3">
        <v>42843</v>
      </c>
      <c r="G2058" s="2">
        <v>201710</v>
      </c>
      <c r="H2058" s="2" t="s">
        <v>74</v>
      </c>
      <c r="I2058" s="2" t="s">
        <v>75</v>
      </c>
      <c r="J2058" s="2" t="s">
        <v>76</v>
      </c>
      <c r="K2058" s="2" t="s">
        <v>77</v>
      </c>
      <c r="L2058" s="2" t="s">
        <v>180</v>
      </c>
      <c r="M2058" s="2" t="s">
        <v>181</v>
      </c>
      <c r="N2058" s="2" t="s">
        <v>320</v>
      </c>
      <c r="O2058" s="2" t="s">
        <v>115</v>
      </c>
      <c r="P2058" s="2" t="str">
        <f>"2170559562                    "</f>
        <v xml:space="preserve">2170559562 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4.29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1</v>
      </c>
      <c r="BJ2058" s="2">
        <v>0.2</v>
      </c>
      <c r="BK2058" s="2">
        <v>1</v>
      </c>
      <c r="BL2058" s="2">
        <v>41.73</v>
      </c>
      <c r="BM2058" s="2">
        <v>5.84</v>
      </c>
      <c r="BN2058" s="2">
        <v>47.57</v>
      </c>
      <c r="BO2058" s="2">
        <v>47.57</v>
      </c>
      <c r="BP2058" s="2"/>
      <c r="BQ2058" s="2" t="s">
        <v>129</v>
      </c>
      <c r="BR2058" s="2" t="s">
        <v>84</v>
      </c>
      <c r="BS2058" s="3">
        <v>42844</v>
      </c>
      <c r="BT2058" s="4">
        <v>0.43055555555555558</v>
      </c>
      <c r="BU2058" s="2" t="s">
        <v>2024</v>
      </c>
      <c r="BV2058" s="2" t="s">
        <v>111</v>
      </c>
      <c r="BW2058" s="2"/>
      <c r="BX2058" s="2"/>
      <c r="BY2058" s="2">
        <v>1200</v>
      </c>
      <c r="BZ2058" s="2"/>
      <c r="CA2058" s="2"/>
      <c r="CB2058" s="2"/>
      <c r="CC2058" s="2" t="s">
        <v>181</v>
      </c>
      <c r="CD2058" s="2">
        <v>4051</v>
      </c>
      <c r="CE2058" s="2" t="s">
        <v>118</v>
      </c>
      <c r="CF2058" s="5">
        <v>42845</v>
      </c>
      <c r="CG2058" s="2"/>
      <c r="CH2058" s="2"/>
      <c r="CI2058" s="2">
        <v>1</v>
      </c>
      <c r="CJ2058" s="2">
        <v>1</v>
      </c>
      <c r="CK2058" s="2">
        <v>21</v>
      </c>
      <c r="CL2058" s="2" t="s">
        <v>86</v>
      </c>
      <c r="CM2058" s="2"/>
    </row>
    <row r="2059" spans="1:91">
      <c r="A2059" s="2" t="s">
        <v>71</v>
      </c>
      <c r="B2059" s="2" t="s">
        <v>72</v>
      </c>
      <c r="C2059" s="2" t="s">
        <v>73</v>
      </c>
      <c r="D2059" s="2"/>
      <c r="E2059" s="2" t="str">
        <f>"FES1162543853"</f>
        <v>FES1162543853</v>
      </c>
      <c r="F2059" s="3">
        <v>42843</v>
      </c>
      <c r="G2059" s="2">
        <v>201710</v>
      </c>
      <c r="H2059" s="2" t="s">
        <v>74</v>
      </c>
      <c r="I2059" s="2" t="s">
        <v>75</v>
      </c>
      <c r="J2059" s="2" t="s">
        <v>76</v>
      </c>
      <c r="K2059" s="2" t="s">
        <v>77</v>
      </c>
      <c r="L2059" s="2" t="s">
        <v>234</v>
      </c>
      <c r="M2059" s="2" t="s">
        <v>235</v>
      </c>
      <c r="N2059" s="2" t="s">
        <v>236</v>
      </c>
      <c r="O2059" s="2" t="s">
        <v>115</v>
      </c>
      <c r="P2059" s="2" t="str">
        <f>"2170560844                    "</f>
        <v xml:space="preserve">2170560844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4.29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1</v>
      </c>
      <c r="BJ2059" s="2">
        <v>0.2</v>
      </c>
      <c r="BK2059" s="2">
        <v>1</v>
      </c>
      <c r="BL2059" s="2">
        <v>41.73</v>
      </c>
      <c r="BM2059" s="2">
        <v>5.84</v>
      </c>
      <c r="BN2059" s="2">
        <v>47.57</v>
      </c>
      <c r="BO2059" s="2">
        <v>47.57</v>
      </c>
      <c r="BP2059" s="2"/>
      <c r="BQ2059" s="2" t="s">
        <v>285</v>
      </c>
      <c r="BR2059" s="2" t="s">
        <v>84</v>
      </c>
      <c r="BS2059" s="3">
        <v>42844</v>
      </c>
      <c r="BT2059" s="4">
        <v>0.45833333333333331</v>
      </c>
      <c r="BU2059" s="2" t="s">
        <v>186</v>
      </c>
      <c r="BV2059" s="2" t="s">
        <v>86</v>
      </c>
      <c r="BW2059" s="2"/>
      <c r="BX2059" s="2"/>
      <c r="BY2059" s="2">
        <v>1200</v>
      </c>
      <c r="BZ2059" s="2" t="s">
        <v>27</v>
      </c>
      <c r="CA2059" s="2" t="s">
        <v>159</v>
      </c>
      <c r="CB2059" s="2"/>
      <c r="CC2059" s="2" t="s">
        <v>235</v>
      </c>
      <c r="CD2059" s="2">
        <v>6220</v>
      </c>
      <c r="CE2059" s="2" t="s">
        <v>118</v>
      </c>
      <c r="CF2059" s="5">
        <v>42845</v>
      </c>
      <c r="CG2059" s="2"/>
      <c r="CH2059" s="2"/>
      <c r="CI2059" s="2">
        <v>1</v>
      </c>
      <c r="CJ2059" s="2">
        <v>1</v>
      </c>
      <c r="CK2059" s="2">
        <v>21</v>
      </c>
      <c r="CL2059" s="2" t="s">
        <v>86</v>
      </c>
      <c r="CM2059" s="2"/>
    </row>
    <row r="2060" spans="1:91">
      <c r="A2060" s="2" t="s">
        <v>71</v>
      </c>
      <c r="B2060" s="2" t="s">
        <v>72</v>
      </c>
      <c r="C2060" s="2" t="s">
        <v>73</v>
      </c>
      <c r="D2060" s="2"/>
      <c r="E2060" s="2" t="str">
        <f>"FES1162544084"</f>
        <v>FES1162544084</v>
      </c>
      <c r="F2060" s="3">
        <v>42843</v>
      </c>
      <c r="G2060" s="2">
        <v>201710</v>
      </c>
      <c r="H2060" s="2" t="s">
        <v>74</v>
      </c>
      <c r="I2060" s="2" t="s">
        <v>75</v>
      </c>
      <c r="J2060" s="2" t="s">
        <v>76</v>
      </c>
      <c r="K2060" s="2" t="s">
        <v>77</v>
      </c>
      <c r="L2060" s="2" t="s">
        <v>294</v>
      </c>
      <c r="M2060" s="2" t="s">
        <v>295</v>
      </c>
      <c r="N2060" s="2" t="s">
        <v>728</v>
      </c>
      <c r="O2060" s="2" t="s">
        <v>115</v>
      </c>
      <c r="P2060" s="2" t="str">
        <f>"2170656284                    "</f>
        <v xml:space="preserve">2170656284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4.29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1</v>
      </c>
      <c r="BJ2060" s="2">
        <v>0.2</v>
      </c>
      <c r="BK2060" s="2">
        <v>1</v>
      </c>
      <c r="BL2060" s="2">
        <v>41.73</v>
      </c>
      <c r="BM2060" s="2">
        <v>5.84</v>
      </c>
      <c r="BN2060" s="2">
        <v>47.57</v>
      </c>
      <c r="BO2060" s="2">
        <v>47.57</v>
      </c>
      <c r="BP2060" s="2"/>
      <c r="BQ2060" s="2" t="s">
        <v>729</v>
      </c>
      <c r="BR2060" s="2" t="s">
        <v>84</v>
      </c>
      <c r="BS2060" s="3">
        <v>42844</v>
      </c>
      <c r="BT2060" s="4">
        <v>0.39583333333333331</v>
      </c>
      <c r="BU2060" s="2" t="s">
        <v>2510</v>
      </c>
      <c r="BV2060" s="2" t="s">
        <v>111</v>
      </c>
      <c r="BW2060" s="2"/>
      <c r="BX2060" s="2"/>
      <c r="BY2060" s="2">
        <v>1200</v>
      </c>
      <c r="BZ2060" s="2"/>
      <c r="CA2060" s="2"/>
      <c r="CB2060" s="2"/>
      <c r="CC2060" s="2" t="s">
        <v>295</v>
      </c>
      <c r="CD2060" s="2">
        <v>3610</v>
      </c>
      <c r="CE2060" s="2" t="s">
        <v>118</v>
      </c>
      <c r="CF2060" s="5">
        <v>42845</v>
      </c>
      <c r="CG2060" s="2"/>
      <c r="CH2060" s="2"/>
      <c r="CI2060" s="2">
        <v>1</v>
      </c>
      <c r="CJ2060" s="2">
        <v>1</v>
      </c>
      <c r="CK2060" s="2">
        <v>21</v>
      </c>
      <c r="CL2060" s="2" t="s">
        <v>86</v>
      </c>
      <c r="CM2060" s="2"/>
    </row>
    <row r="2061" spans="1:91">
      <c r="A2061" s="2" t="s">
        <v>71</v>
      </c>
      <c r="B2061" s="2" t="s">
        <v>72</v>
      </c>
      <c r="C2061" s="2" t="s">
        <v>73</v>
      </c>
      <c r="D2061" s="2"/>
      <c r="E2061" s="2" t="str">
        <f>"FES1162543855"</f>
        <v>FES1162543855</v>
      </c>
      <c r="F2061" s="3">
        <v>42843</v>
      </c>
      <c r="G2061" s="2">
        <v>201710</v>
      </c>
      <c r="H2061" s="2" t="s">
        <v>74</v>
      </c>
      <c r="I2061" s="2" t="s">
        <v>75</v>
      </c>
      <c r="J2061" s="2" t="s">
        <v>76</v>
      </c>
      <c r="K2061" s="2" t="s">
        <v>77</v>
      </c>
      <c r="L2061" s="2" t="s">
        <v>99</v>
      </c>
      <c r="M2061" s="2" t="s">
        <v>100</v>
      </c>
      <c r="N2061" s="2" t="s">
        <v>1471</v>
      </c>
      <c r="O2061" s="2" t="s">
        <v>115</v>
      </c>
      <c r="P2061" s="2" t="str">
        <f>"2170560865                    "</f>
        <v xml:space="preserve">2170560865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4.29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0.5</v>
      </c>
      <c r="BJ2061" s="2">
        <v>0.2</v>
      </c>
      <c r="BK2061" s="2">
        <v>0.5</v>
      </c>
      <c r="BL2061" s="2">
        <v>41.73</v>
      </c>
      <c r="BM2061" s="2">
        <v>5.84</v>
      </c>
      <c r="BN2061" s="2">
        <v>47.57</v>
      </c>
      <c r="BO2061" s="2">
        <v>47.57</v>
      </c>
      <c r="BP2061" s="2"/>
      <c r="BQ2061" s="2" t="s">
        <v>1472</v>
      </c>
      <c r="BR2061" s="2" t="s">
        <v>84</v>
      </c>
      <c r="BS2061" s="3">
        <v>42844</v>
      </c>
      <c r="BT2061" s="4">
        <v>0.44722222222222219</v>
      </c>
      <c r="BU2061" s="2" t="s">
        <v>2301</v>
      </c>
      <c r="BV2061" s="2" t="s">
        <v>111</v>
      </c>
      <c r="BW2061" s="2"/>
      <c r="BX2061" s="2"/>
      <c r="BY2061" s="2">
        <v>1200</v>
      </c>
      <c r="BZ2061" s="2" t="s">
        <v>27</v>
      </c>
      <c r="CA2061" s="2" t="s">
        <v>106</v>
      </c>
      <c r="CB2061" s="2"/>
      <c r="CC2061" s="2" t="s">
        <v>100</v>
      </c>
      <c r="CD2061" s="2">
        <v>6001</v>
      </c>
      <c r="CE2061" s="2" t="s">
        <v>118</v>
      </c>
      <c r="CF2061" s="5">
        <v>42844</v>
      </c>
      <c r="CG2061" s="2"/>
      <c r="CH2061" s="2"/>
      <c r="CI2061" s="2">
        <v>1</v>
      </c>
      <c r="CJ2061" s="2">
        <v>1</v>
      </c>
      <c r="CK2061" s="2">
        <v>21</v>
      </c>
      <c r="CL2061" s="2" t="s">
        <v>86</v>
      </c>
      <c r="CM2061" s="2"/>
    </row>
    <row r="2062" spans="1:91">
      <c r="A2062" s="2" t="s">
        <v>71</v>
      </c>
      <c r="B2062" s="2" t="s">
        <v>72</v>
      </c>
      <c r="C2062" s="2" t="s">
        <v>73</v>
      </c>
      <c r="D2062" s="2"/>
      <c r="E2062" s="2" t="str">
        <f>"FES1162543973"</f>
        <v>FES1162543973</v>
      </c>
      <c r="F2062" s="3">
        <v>42843</v>
      </c>
      <c r="G2062" s="2">
        <v>201710</v>
      </c>
      <c r="H2062" s="2" t="s">
        <v>74</v>
      </c>
      <c r="I2062" s="2" t="s">
        <v>75</v>
      </c>
      <c r="J2062" s="2" t="s">
        <v>76</v>
      </c>
      <c r="K2062" s="2" t="s">
        <v>77</v>
      </c>
      <c r="L2062" s="2" t="s">
        <v>294</v>
      </c>
      <c r="M2062" s="2" t="s">
        <v>295</v>
      </c>
      <c r="N2062" s="2" t="s">
        <v>1200</v>
      </c>
      <c r="O2062" s="2" t="s">
        <v>115</v>
      </c>
      <c r="P2062" s="2" t="str">
        <f>"2170562568                    "</f>
        <v xml:space="preserve">2170562568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4.29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2</v>
      </c>
      <c r="BJ2062" s="2">
        <v>0.9</v>
      </c>
      <c r="BK2062" s="2">
        <v>2</v>
      </c>
      <c r="BL2062" s="2">
        <v>41.73</v>
      </c>
      <c r="BM2062" s="2">
        <v>5.84</v>
      </c>
      <c r="BN2062" s="2">
        <v>47.57</v>
      </c>
      <c r="BO2062" s="2">
        <v>47.57</v>
      </c>
      <c r="BP2062" s="2"/>
      <c r="BQ2062" s="2" t="s">
        <v>1201</v>
      </c>
      <c r="BR2062" s="2" t="s">
        <v>84</v>
      </c>
      <c r="BS2062" s="3">
        <v>42844</v>
      </c>
      <c r="BT2062" s="4">
        <v>0.39583333333333331</v>
      </c>
      <c r="BU2062" s="2" t="s">
        <v>2511</v>
      </c>
      <c r="BV2062" s="2" t="s">
        <v>111</v>
      </c>
      <c r="BW2062" s="2"/>
      <c r="BX2062" s="2"/>
      <c r="BY2062" s="2">
        <v>4594.59</v>
      </c>
      <c r="BZ2062" s="2"/>
      <c r="CA2062" s="2"/>
      <c r="CB2062" s="2"/>
      <c r="CC2062" s="2" t="s">
        <v>295</v>
      </c>
      <c r="CD2062" s="2">
        <v>3610</v>
      </c>
      <c r="CE2062" s="2" t="s">
        <v>89</v>
      </c>
      <c r="CF2062" s="5">
        <v>42845</v>
      </c>
      <c r="CG2062" s="2"/>
      <c r="CH2062" s="2"/>
      <c r="CI2062" s="2">
        <v>1</v>
      </c>
      <c r="CJ2062" s="2">
        <v>1</v>
      </c>
      <c r="CK2062" s="2">
        <v>21</v>
      </c>
      <c r="CL2062" s="2" t="s">
        <v>86</v>
      </c>
      <c r="CM2062" s="2"/>
    </row>
    <row r="2063" spans="1:91">
      <c r="A2063" s="2" t="s">
        <v>71</v>
      </c>
      <c r="B2063" s="2" t="s">
        <v>72</v>
      </c>
      <c r="C2063" s="2" t="s">
        <v>73</v>
      </c>
      <c r="D2063" s="2"/>
      <c r="E2063" s="2" t="str">
        <f>"FES1162543867"</f>
        <v>FES1162543867</v>
      </c>
      <c r="F2063" s="3">
        <v>42843</v>
      </c>
      <c r="G2063" s="2">
        <v>201710</v>
      </c>
      <c r="H2063" s="2" t="s">
        <v>74</v>
      </c>
      <c r="I2063" s="2" t="s">
        <v>75</v>
      </c>
      <c r="J2063" s="2" t="s">
        <v>76</v>
      </c>
      <c r="K2063" s="2" t="s">
        <v>77</v>
      </c>
      <c r="L2063" s="2" t="s">
        <v>99</v>
      </c>
      <c r="M2063" s="2" t="s">
        <v>100</v>
      </c>
      <c r="N2063" s="2" t="s">
        <v>583</v>
      </c>
      <c r="O2063" s="2" t="s">
        <v>115</v>
      </c>
      <c r="P2063" s="2" t="str">
        <f>"2170562456                    "</f>
        <v xml:space="preserve">2170562456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8.57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3.8</v>
      </c>
      <c r="BJ2063" s="2">
        <v>1.2</v>
      </c>
      <c r="BK2063" s="2">
        <v>4</v>
      </c>
      <c r="BL2063" s="2">
        <v>83.45</v>
      </c>
      <c r="BM2063" s="2">
        <v>11.68</v>
      </c>
      <c r="BN2063" s="2">
        <v>95.13</v>
      </c>
      <c r="BO2063" s="2">
        <v>95.13</v>
      </c>
      <c r="BP2063" s="2"/>
      <c r="BQ2063" s="2" t="s">
        <v>584</v>
      </c>
      <c r="BR2063" s="2" t="s">
        <v>84</v>
      </c>
      <c r="BS2063" s="3">
        <v>42844</v>
      </c>
      <c r="BT2063" s="4">
        <v>0.50902777777777775</v>
      </c>
      <c r="BU2063" s="2" t="s">
        <v>1080</v>
      </c>
      <c r="BV2063" s="2" t="s">
        <v>86</v>
      </c>
      <c r="BW2063" s="2"/>
      <c r="BX2063" s="2"/>
      <c r="BY2063" s="2">
        <v>6243.48</v>
      </c>
      <c r="BZ2063" s="2" t="s">
        <v>27</v>
      </c>
      <c r="CA2063" s="2" t="s">
        <v>154</v>
      </c>
      <c r="CB2063" s="2"/>
      <c r="CC2063" s="2" t="s">
        <v>100</v>
      </c>
      <c r="CD2063" s="2">
        <v>6001</v>
      </c>
      <c r="CE2063" s="2" t="s">
        <v>118</v>
      </c>
      <c r="CF2063" s="5">
        <v>42844</v>
      </c>
      <c r="CG2063" s="2"/>
      <c r="CH2063" s="2"/>
      <c r="CI2063" s="2">
        <v>1</v>
      </c>
      <c r="CJ2063" s="2">
        <v>1</v>
      </c>
      <c r="CK2063" s="2">
        <v>21</v>
      </c>
      <c r="CL2063" s="2" t="s">
        <v>86</v>
      </c>
      <c r="CM2063" s="2"/>
    </row>
    <row r="2064" spans="1:91">
      <c r="A2064" s="2" t="s">
        <v>71</v>
      </c>
      <c r="B2064" s="2" t="s">
        <v>72</v>
      </c>
      <c r="C2064" s="2" t="s">
        <v>73</v>
      </c>
      <c r="D2064" s="2"/>
      <c r="E2064" s="2" t="str">
        <f>"FES1162544034"</f>
        <v>FES1162544034</v>
      </c>
      <c r="F2064" s="3">
        <v>42843</v>
      </c>
      <c r="G2064" s="2">
        <v>201710</v>
      </c>
      <c r="H2064" s="2" t="s">
        <v>74</v>
      </c>
      <c r="I2064" s="2" t="s">
        <v>75</v>
      </c>
      <c r="J2064" s="2" t="s">
        <v>76</v>
      </c>
      <c r="K2064" s="2" t="s">
        <v>77</v>
      </c>
      <c r="L2064" s="2" t="s">
        <v>180</v>
      </c>
      <c r="M2064" s="2" t="s">
        <v>181</v>
      </c>
      <c r="N2064" s="2" t="s">
        <v>855</v>
      </c>
      <c r="O2064" s="2" t="s">
        <v>115</v>
      </c>
      <c r="P2064" s="2" t="str">
        <f>"2170562632                    "</f>
        <v xml:space="preserve">2170562632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4.29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1</v>
      </c>
      <c r="BJ2064" s="2">
        <v>0.2</v>
      </c>
      <c r="BK2064" s="2">
        <v>1</v>
      </c>
      <c r="BL2064" s="2">
        <v>41.73</v>
      </c>
      <c r="BM2064" s="2">
        <v>5.84</v>
      </c>
      <c r="BN2064" s="2">
        <v>47.57</v>
      </c>
      <c r="BO2064" s="2">
        <v>47.57</v>
      </c>
      <c r="BP2064" s="2"/>
      <c r="BQ2064" s="2" t="s">
        <v>122</v>
      </c>
      <c r="BR2064" s="2" t="s">
        <v>84</v>
      </c>
      <c r="BS2064" s="3">
        <v>42844</v>
      </c>
      <c r="BT2064" s="4">
        <v>0.28472222222222221</v>
      </c>
      <c r="BU2064" s="2" t="s">
        <v>2512</v>
      </c>
      <c r="BV2064" s="2" t="s">
        <v>111</v>
      </c>
      <c r="BW2064" s="2"/>
      <c r="BX2064" s="2"/>
      <c r="BY2064" s="2">
        <v>1200</v>
      </c>
      <c r="BZ2064" s="2"/>
      <c r="CA2064" s="2"/>
      <c r="CB2064" s="2"/>
      <c r="CC2064" s="2" t="s">
        <v>181</v>
      </c>
      <c r="CD2064" s="2">
        <v>4093</v>
      </c>
      <c r="CE2064" s="2" t="s">
        <v>118</v>
      </c>
      <c r="CF2064" s="5">
        <v>42845</v>
      </c>
      <c r="CG2064" s="2"/>
      <c r="CH2064" s="2"/>
      <c r="CI2064" s="2">
        <v>1</v>
      </c>
      <c r="CJ2064" s="2">
        <v>1</v>
      </c>
      <c r="CK2064" s="2">
        <v>21</v>
      </c>
      <c r="CL2064" s="2" t="s">
        <v>86</v>
      </c>
      <c r="CM2064" s="2"/>
    </row>
    <row r="2065" spans="1:91">
      <c r="A2065" s="2" t="s">
        <v>71</v>
      </c>
      <c r="B2065" s="2" t="s">
        <v>72</v>
      </c>
      <c r="C2065" s="2" t="s">
        <v>73</v>
      </c>
      <c r="D2065" s="2"/>
      <c r="E2065" s="2" t="str">
        <f>"FES1162543838"</f>
        <v>FES1162543838</v>
      </c>
      <c r="F2065" s="3">
        <v>42843</v>
      </c>
      <c r="G2065" s="2">
        <v>201710</v>
      </c>
      <c r="H2065" s="2" t="s">
        <v>74</v>
      </c>
      <c r="I2065" s="2" t="s">
        <v>75</v>
      </c>
      <c r="J2065" s="2" t="s">
        <v>76</v>
      </c>
      <c r="K2065" s="2" t="s">
        <v>77</v>
      </c>
      <c r="L2065" s="2" t="s">
        <v>160</v>
      </c>
      <c r="M2065" s="2" t="s">
        <v>161</v>
      </c>
      <c r="N2065" s="2" t="s">
        <v>623</v>
      </c>
      <c r="O2065" s="2" t="s">
        <v>115</v>
      </c>
      <c r="P2065" s="2" t="str">
        <f>"2170560461                    "</f>
        <v xml:space="preserve">2170560461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4.29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0.5</v>
      </c>
      <c r="BJ2065" s="2">
        <v>0.2</v>
      </c>
      <c r="BK2065" s="2">
        <v>0.5</v>
      </c>
      <c r="BL2065" s="2">
        <v>41.73</v>
      </c>
      <c r="BM2065" s="2">
        <v>5.84</v>
      </c>
      <c r="BN2065" s="2">
        <v>47.57</v>
      </c>
      <c r="BO2065" s="2">
        <v>47.57</v>
      </c>
      <c r="BP2065" s="2"/>
      <c r="BQ2065" s="2" t="s">
        <v>116</v>
      </c>
      <c r="BR2065" s="2" t="s">
        <v>84</v>
      </c>
      <c r="BS2065" s="3">
        <v>42844</v>
      </c>
      <c r="BT2065" s="4">
        <v>0.41666666666666669</v>
      </c>
      <c r="BU2065" s="2" t="s">
        <v>1879</v>
      </c>
      <c r="BV2065" s="2" t="s">
        <v>111</v>
      </c>
      <c r="BW2065" s="2"/>
      <c r="BX2065" s="2"/>
      <c r="BY2065" s="2">
        <v>1200</v>
      </c>
      <c r="BZ2065" s="2" t="s">
        <v>27</v>
      </c>
      <c r="CA2065" s="2"/>
      <c r="CB2065" s="2"/>
      <c r="CC2065" s="2" t="s">
        <v>161</v>
      </c>
      <c r="CD2065" s="2">
        <v>5201</v>
      </c>
      <c r="CE2065" s="2" t="s">
        <v>118</v>
      </c>
      <c r="CF2065" s="5">
        <v>42845</v>
      </c>
      <c r="CG2065" s="2"/>
      <c r="CH2065" s="2"/>
      <c r="CI2065" s="2">
        <v>1</v>
      </c>
      <c r="CJ2065" s="2">
        <v>1</v>
      </c>
      <c r="CK2065" s="2">
        <v>21</v>
      </c>
      <c r="CL2065" s="2" t="s">
        <v>86</v>
      </c>
      <c r="CM2065" s="2"/>
    </row>
    <row r="2066" spans="1:91">
      <c r="A2066" s="2" t="s">
        <v>71</v>
      </c>
      <c r="B2066" s="2" t="s">
        <v>72</v>
      </c>
      <c r="C2066" s="2" t="s">
        <v>73</v>
      </c>
      <c r="D2066" s="2"/>
      <c r="E2066" s="2" t="str">
        <f>"FES1162544040"</f>
        <v>FES1162544040</v>
      </c>
      <c r="F2066" s="3">
        <v>42843</v>
      </c>
      <c r="G2066" s="2">
        <v>201710</v>
      </c>
      <c r="H2066" s="2" t="s">
        <v>74</v>
      </c>
      <c r="I2066" s="2" t="s">
        <v>75</v>
      </c>
      <c r="J2066" s="2" t="s">
        <v>76</v>
      </c>
      <c r="K2066" s="2" t="s">
        <v>77</v>
      </c>
      <c r="L2066" s="2" t="s">
        <v>401</v>
      </c>
      <c r="M2066" s="2" t="s">
        <v>402</v>
      </c>
      <c r="N2066" s="2" t="s">
        <v>326</v>
      </c>
      <c r="O2066" s="2" t="s">
        <v>115</v>
      </c>
      <c r="P2066" s="2" t="str">
        <f>"2170562637                    "</f>
        <v xml:space="preserve">2170562637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4.29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1</v>
      </c>
      <c r="BJ2066" s="2">
        <v>0.2</v>
      </c>
      <c r="BK2066" s="2">
        <v>1</v>
      </c>
      <c r="BL2066" s="2">
        <v>41.73</v>
      </c>
      <c r="BM2066" s="2">
        <v>5.84</v>
      </c>
      <c r="BN2066" s="2">
        <v>47.57</v>
      </c>
      <c r="BO2066" s="2">
        <v>47.57</v>
      </c>
      <c r="BP2066" s="2"/>
      <c r="BQ2066" s="2" t="s">
        <v>1951</v>
      </c>
      <c r="BR2066" s="2" t="s">
        <v>84</v>
      </c>
      <c r="BS2066" s="3">
        <v>42844</v>
      </c>
      <c r="BT2066" s="4">
        <v>0.41666666666666669</v>
      </c>
      <c r="BU2066" s="2" t="s">
        <v>1952</v>
      </c>
      <c r="BV2066" s="2" t="s">
        <v>111</v>
      </c>
      <c r="BW2066" s="2"/>
      <c r="BX2066" s="2"/>
      <c r="BY2066" s="2">
        <v>1200</v>
      </c>
      <c r="BZ2066" s="2"/>
      <c r="CA2066" s="2"/>
      <c r="CB2066" s="2"/>
      <c r="CC2066" s="2" t="s">
        <v>402</v>
      </c>
      <c r="CD2066" s="2">
        <v>4133</v>
      </c>
      <c r="CE2066" s="2" t="s">
        <v>118</v>
      </c>
      <c r="CF2066" s="5">
        <v>42845</v>
      </c>
      <c r="CG2066" s="2"/>
      <c r="CH2066" s="2"/>
      <c r="CI2066" s="2">
        <v>1</v>
      </c>
      <c r="CJ2066" s="2">
        <v>1</v>
      </c>
      <c r="CK2066" s="2">
        <v>21</v>
      </c>
      <c r="CL2066" s="2" t="s">
        <v>86</v>
      </c>
      <c r="CM2066" s="2"/>
    </row>
    <row r="2067" spans="1:91">
      <c r="A2067" s="2" t="s">
        <v>71</v>
      </c>
      <c r="B2067" s="2" t="s">
        <v>72</v>
      </c>
      <c r="C2067" s="2" t="s">
        <v>73</v>
      </c>
      <c r="D2067" s="2"/>
      <c r="E2067" s="2" t="str">
        <f>"FES1162543835"</f>
        <v>FES1162543835</v>
      </c>
      <c r="F2067" s="3">
        <v>42843</v>
      </c>
      <c r="G2067" s="2">
        <v>201710</v>
      </c>
      <c r="H2067" s="2" t="s">
        <v>74</v>
      </c>
      <c r="I2067" s="2" t="s">
        <v>75</v>
      </c>
      <c r="J2067" s="2" t="s">
        <v>76</v>
      </c>
      <c r="K2067" s="2" t="s">
        <v>77</v>
      </c>
      <c r="L2067" s="2" t="s">
        <v>234</v>
      </c>
      <c r="M2067" s="2" t="s">
        <v>235</v>
      </c>
      <c r="N2067" s="2" t="s">
        <v>326</v>
      </c>
      <c r="O2067" s="2" t="s">
        <v>115</v>
      </c>
      <c r="P2067" s="2" t="str">
        <f>"2170560446                    "</f>
        <v xml:space="preserve">2170560446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4.29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1.9</v>
      </c>
      <c r="BJ2067" s="2">
        <v>1.6</v>
      </c>
      <c r="BK2067" s="2">
        <v>2</v>
      </c>
      <c r="BL2067" s="2">
        <v>41.73</v>
      </c>
      <c r="BM2067" s="2">
        <v>5.84</v>
      </c>
      <c r="BN2067" s="2">
        <v>47.57</v>
      </c>
      <c r="BO2067" s="2">
        <v>47.57</v>
      </c>
      <c r="BP2067" s="2"/>
      <c r="BQ2067" s="2" t="s">
        <v>442</v>
      </c>
      <c r="BR2067" s="2" t="s">
        <v>84</v>
      </c>
      <c r="BS2067" s="3">
        <v>42844</v>
      </c>
      <c r="BT2067" s="4">
        <v>0.47916666666666669</v>
      </c>
      <c r="BU2067" s="2" t="s">
        <v>2513</v>
      </c>
      <c r="BV2067" s="2" t="s">
        <v>86</v>
      </c>
      <c r="BW2067" s="2"/>
      <c r="BX2067" s="2"/>
      <c r="BY2067" s="2">
        <v>8182.51</v>
      </c>
      <c r="BZ2067" s="2" t="s">
        <v>27</v>
      </c>
      <c r="CA2067" s="2"/>
      <c r="CB2067" s="2"/>
      <c r="CC2067" s="2" t="s">
        <v>235</v>
      </c>
      <c r="CD2067" s="2">
        <v>6220</v>
      </c>
      <c r="CE2067" s="2" t="s">
        <v>118</v>
      </c>
      <c r="CF2067" s="5">
        <v>42845</v>
      </c>
      <c r="CG2067" s="2"/>
      <c r="CH2067" s="2"/>
      <c r="CI2067" s="2">
        <v>1</v>
      </c>
      <c r="CJ2067" s="2">
        <v>1</v>
      </c>
      <c r="CK2067" s="2">
        <v>21</v>
      </c>
      <c r="CL2067" s="2" t="s">
        <v>86</v>
      </c>
      <c r="CM2067" s="2"/>
    </row>
    <row r="2068" spans="1:91">
      <c r="A2068" s="2" t="s">
        <v>71</v>
      </c>
      <c r="B2068" s="2" t="s">
        <v>72</v>
      </c>
      <c r="C2068" s="2" t="s">
        <v>73</v>
      </c>
      <c r="D2068" s="2"/>
      <c r="E2068" s="2" t="str">
        <f>"FES1162544035"</f>
        <v>FES1162544035</v>
      </c>
      <c r="F2068" s="3">
        <v>42843</v>
      </c>
      <c r="G2068" s="2">
        <v>201710</v>
      </c>
      <c r="H2068" s="2" t="s">
        <v>74</v>
      </c>
      <c r="I2068" s="2" t="s">
        <v>75</v>
      </c>
      <c r="J2068" s="2" t="s">
        <v>76</v>
      </c>
      <c r="K2068" s="2" t="s">
        <v>77</v>
      </c>
      <c r="L2068" s="2" t="s">
        <v>474</v>
      </c>
      <c r="M2068" s="2" t="s">
        <v>475</v>
      </c>
      <c r="N2068" s="2" t="s">
        <v>1001</v>
      </c>
      <c r="O2068" s="2" t="s">
        <v>115</v>
      </c>
      <c r="P2068" s="2" t="str">
        <f>"2170562633                    "</f>
        <v xml:space="preserve">2170562633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4.29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1</v>
      </c>
      <c r="BJ2068" s="2">
        <v>0.2</v>
      </c>
      <c r="BK2068" s="2">
        <v>1</v>
      </c>
      <c r="BL2068" s="2">
        <v>41.73</v>
      </c>
      <c r="BM2068" s="2">
        <v>5.84</v>
      </c>
      <c r="BN2068" s="2">
        <v>47.57</v>
      </c>
      <c r="BO2068" s="2">
        <v>47.57</v>
      </c>
      <c r="BP2068" s="2"/>
      <c r="BQ2068" s="2" t="s">
        <v>472</v>
      </c>
      <c r="BR2068" s="2" t="s">
        <v>84</v>
      </c>
      <c r="BS2068" s="3">
        <v>42844</v>
      </c>
      <c r="BT2068" s="4">
        <v>0.40972222222222227</v>
      </c>
      <c r="BU2068" s="2" t="s">
        <v>2514</v>
      </c>
      <c r="BV2068" s="2" t="s">
        <v>111</v>
      </c>
      <c r="BW2068" s="2"/>
      <c r="BX2068" s="2"/>
      <c r="BY2068" s="2">
        <v>1200</v>
      </c>
      <c r="BZ2068" s="2"/>
      <c r="CA2068" s="2" t="s">
        <v>159</v>
      </c>
      <c r="CB2068" s="2"/>
      <c r="CC2068" s="2" t="s">
        <v>475</v>
      </c>
      <c r="CD2068" s="2">
        <v>3290</v>
      </c>
      <c r="CE2068" s="2" t="s">
        <v>118</v>
      </c>
      <c r="CF2068" s="5">
        <v>42845</v>
      </c>
      <c r="CG2068" s="2"/>
      <c r="CH2068" s="2"/>
      <c r="CI2068" s="2">
        <v>1</v>
      </c>
      <c r="CJ2068" s="2">
        <v>1</v>
      </c>
      <c r="CK2068" s="2">
        <v>21</v>
      </c>
      <c r="CL2068" s="2" t="s">
        <v>86</v>
      </c>
      <c r="CM2068" s="2"/>
    </row>
    <row r="2069" spans="1:91">
      <c r="A2069" s="2" t="s">
        <v>71</v>
      </c>
      <c r="B2069" s="2" t="s">
        <v>72</v>
      </c>
      <c r="C2069" s="2" t="s">
        <v>73</v>
      </c>
      <c r="D2069" s="2"/>
      <c r="E2069" s="2" t="str">
        <f>"FES1162544026"</f>
        <v>FES1162544026</v>
      </c>
      <c r="F2069" s="3">
        <v>42843</v>
      </c>
      <c r="G2069" s="2">
        <v>201710</v>
      </c>
      <c r="H2069" s="2" t="s">
        <v>74</v>
      </c>
      <c r="I2069" s="2" t="s">
        <v>75</v>
      </c>
      <c r="J2069" s="2" t="s">
        <v>76</v>
      </c>
      <c r="K2069" s="2" t="s">
        <v>77</v>
      </c>
      <c r="L2069" s="2" t="s">
        <v>549</v>
      </c>
      <c r="M2069" s="2" t="s">
        <v>550</v>
      </c>
      <c r="N2069" s="2" t="s">
        <v>1477</v>
      </c>
      <c r="O2069" s="2" t="s">
        <v>115</v>
      </c>
      <c r="P2069" s="2" t="str">
        <f>"2170562623                    "</f>
        <v xml:space="preserve">2170562623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4.29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1</v>
      </c>
      <c r="BJ2069" s="2">
        <v>0.2</v>
      </c>
      <c r="BK2069" s="2">
        <v>1</v>
      </c>
      <c r="BL2069" s="2">
        <v>41.73</v>
      </c>
      <c r="BM2069" s="2">
        <v>5.84</v>
      </c>
      <c r="BN2069" s="2">
        <v>47.57</v>
      </c>
      <c r="BO2069" s="2">
        <v>47.57</v>
      </c>
      <c r="BP2069" s="2"/>
      <c r="BQ2069" s="2"/>
      <c r="BR2069" s="2" t="s">
        <v>84</v>
      </c>
      <c r="BS2069" s="3">
        <v>42844</v>
      </c>
      <c r="BT2069" s="4">
        <v>0.4236111111111111</v>
      </c>
      <c r="BU2069" s="2" t="s">
        <v>2352</v>
      </c>
      <c r="BV2069" s="2" t="s">
        <v>111</v>
      </c>
      <c r="BW2069" s="2"/>
      <c r="BX2069" s="2"/>
      <c r="BY2069" s="2">
        <v>1200</v>
      </c>
      <c r="BZ2069" s="2"/>
      <c r="CA2069" s="2"/>
      <c r="CB2069" s="2"/>
      <c r="CC2069" s="2" t="s">
        <v>550</v>
      </c>
      <c r="CD2069" s="2">
        <v>3699</v>
      </c>
      <c r="CE2069" s="2" t="s">
        <v>118</v>
      </c>
      <c r="CF2069" s="5">
        <v>42845</v>
      </c>
      <c r="CG2069" s="2"/>
      <c r="CH2069" s="2"/>
      <c r="CI2069" s="2">
        <v>1</v>
      </c>
      <c r="CJ2069" s="2">
        <v>1</v>
      </c>
      <c r="CK2069" s="2">
        <v>21</v>
      </c>
      <c r="CL2069" s="2" t="s">
        <v>86</v>
      </c>
      <c r="CM2069" s="2"/>
    </row>
    <row r="2070" spans="1:91">
      <c r="A2070" s="2" t="s">
        <v>71</v>
      </c>
      <c r="B2070" s="2" t="s">
        <v>72</v>
      </c>
      <c r="C2070" s="2" t="s">
        <v>73</v>
      </c>
      <c r="D2070" s="2"/>
      <c r="E2070" s="2" t="str">
        <f>"FES1162543989"</f>
        <v>FES1162543989</v>
      </c>
      <c r="F2070" s="3">
        <v>42843</v>
      </c>
      <c r="G2070" s="2">
        <v>201710</v>
      </c>
      <c r="H2070" s="2" t="s">
        <v>74</v>
      </c>
      <c r="I2070" s="2" t="s">
        <v>75</v>
      </c>
      <c r="J2070" s="2" t="s">
        <v>76</v>
      </c>
      <c r="K2070" s="2" t="s">
        <v>77</v>
      </c>
      <c r="L2070" s="2" t="s">
        <v>131</v>
      </c>
      <c r="M2070" s="2" t="s">
        <v>132</v>
      </c>
      <c r="N2070" s="2" t="s">
        <v>155</v>
      </c>
      <c r="O2070" s="2" t="s">
        <v>115</v>
      </c>
      <c r="P2070" s="2" t="str">
        <f>"2170562579                    "</f>
        <v xml:space="preserve">2170562579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7.5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1</v>
      </c>
      <c r="BI2070" s="2">
        <v>2</v>
      </c>
      <c r="BJ2070" s="2">
        <v>3.3</v>
      </c>
      <c r="BK2070" s="2">
        <v>3.5</v>
      </c>
      <c r="BL2070" s="2">
        <v>73.02</v>
      </c>
      <c r="BM2070" s="2">
        <v>10.220000000000001</v>
      </c>
      <c r="BN2070" s="2">
        <v>83.24</v>
      </c>
      <c r="BO2070" s="2">
        <v>83.24</v>
      </c>
      <c r="BP2070" s="2"/>
      <c r="BQ2070" s="2" t="s">
        <v>116</v>
      </c>
      <c r="BR2070" s="2" t="s">
        <v>84</v>
      </c>
      <c r="BS2070" s="3">
        <v>42844</v>
      </c>
      <c r="BT2070" s="4">
        <v>0.41666666666666669</v>
      </c>
      <c r="BU2070" s="2" t="s">
        <v>2515</v>
      </c>
      <c r="BV2070" s="2" t="s">
        <v>111</v>
      </c>
      <c r="BW2070" s="2"/>
      <c r="BX2070" s="2"/>
      <c r="BY2070" s="2">
        <v>16530</v>
      </c>
      <c r="BZ2070" s="2"/>
      <c r="CA2070" s="2" t="s">
        <v>159</v>
      </c>
      <c r="CB2070" s="2"/>
      <c r="CC2070" s="2" t="s">
        <v>132</v>
      </c>
      <c r="CD2070" s="2">
        <v>7441</v>
      </c>
      <c r="CE2070" s="2" t="s">
        <v>89</v>
      </c>
      <c r="CF2070" s="5">
        <v>42845</v>
      </c>
      <c r="CG2070" s="2"/>
      <c r="CH2070" s="2"/>
      <c r="CI2070" s="2">
        <v>1</v>
      </c>
      <c r="CJ2070" s="2">
        <v>1</v>
      </c>
      <c r="CK2070" s="2">
        <v>21</v>
      </c>
      <c r="CL2070" s="2" t="s">
        <v>86</v>
      </c>
      <c r="CM2070" s="2"/>
    </row>
    <row r="2071" spans="1:91">
      <c r="A2071" s="2" t="s">
        <v>71</v>
      </c>
      <c r="B2071" s="2" t="s">
        <v>72</v>
      </c>
      <c r="C2071" s="2" t="s">
        <v>73</v>
      </c>
      <c r="D2071" s="2"/>
      <c r="E2071" s="2" t="str">
        <f>"FES1162543818"</f>
        <v>FES1162543818</v>
      </c>
      <c r="F2071" s="3">
        <v>42843</v>
      </c>
      <c r="G2071" s="2">
        <v>201710</v>
      </c>
      <c r="H2071" s="2" t="s">
        <v>74</v>
      </c>
      <c r="I2071" s="2" t="s">
        <v>75</v>
      </c>
      <c r="J2071" s="2" t="s">
        <v>76</v>
      </c>
      <c r="K2071" s="2" t="s">
        <v>77</v>
      </c>
      <c r="L2071" s="2" t="s">
        <v>160</v>
      </c>
      <c r="M2071" s="2" t="s">
        <v>161</v>
      </c>
      <c r="N2071" s="2" t="s">
        <v>741</v>
      </c>
      <c r="O2071" s="2" t="s">
        <v>115</v>
      </c>
      <c r="P2071" s="2" t="str">
        <f>"2170548301                    "</f>
        <v xml:space="preserve">2170548301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6.43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3</v>
      </c>
      <c r="BJ2071" s="2">
        <v>1.3</v>
      </c>
      <c r="BK2071" s="2">
        <v>3</v>
      </c>
      <c r="BL2071" s="2">
        <v>62.59</v>
      </c>
      <c r="BM2071" s="2">
        <v>8.76</v>
      </c>
      <c r="BN2071" s="2">
        <v>71.349999999999994</v>
      </c>
      <c r="BO2071" s="2">
        <v>71.349999999999994</v>
      </c>
      <c r="BP2071" s="2"/>
      <c r="BQ2071" s="2" t="s">
        <v>742</v>
      </c>
      <c r="BR2071" s="2" t="s">
        <v>84</v>
      </c>
      <c r="BS2071" s="3">
        <v>42844</v>
      </c>
      <c r="BT2071" s="4">
        <v>0.41666666666666669</v>
      </c>
      <c r="BU2071" s="2" t="s">
        <v>2509</v>
      </c>
      <c r="BV2071" s="2" t="s">
        <v>111</v>
      </c>
      <c r="BW2071" s="2"/>
      <c r="BX2071" s="2"/>
      <c r="BY2071" s="2">
        <v>6261.02</v>
      </c>
      <c r="BZ2071" s="2" t="s">
        <v>27</v>
      </c>
      <c r="CA2071" s="2" t="s">
        <v>159</v>
      </c>
      <c r="CB2071" s="2"/>
      <c r="CC2071" s="2" t="s">
        <v>161</v>
      </c>
      <c r="CD2071" s="2">
        <v>5201</v>
      </c>
      <c r="CE2071" s="2" t="s">
        <v>118</v>
      </c>
      <c r="CF2071" s="5">
        <v>42846</v>
      </c>
      <c r="CG2071" s="2"/>
      <c r="CH2071" s="2"/>
      <c r="CI2071" s="2">
        <v>1</v>
      </c>
      <c r="CJ2071" s="2">
        <v>1</v>
      </c>
      <c r="CK2071" s="2">
        <v>21</v>
      </c>
      <c r="CL2071" s="2" t="s">
        <v>86</v>
      </c>
      <c r="CM2071" s="2"/>
    </row>
    <row r="2072" spans="1:91">
      <c r="A2072" s="2" t="s">
        <v>71</v>
      </c>
      <c r="B2072" s="2" t="s">
        <v>72</v>
      </c>
      <c r="C2072" s="2" t="s">
        <v>73</v>
      </c>
      <c r="D2072" s="2"/>
      <c r="E2072" s="2" t="str">
        <f>"FES1162543939"</f>
        <v>FES1162543939</v>
      </c>
      <c r="F2072" s="3">
        <v>42843</v>
      </c>
      <c r="G2072" s="2">
        <v>201710</v>
      </c>
      <c r="H2072" s="2" t="s">
        <v>74</v>
      </c>
      <c r="I2072" s="2" t="s">
        <v>75</v>
      </c>
      <c r="J2072" s="2" t="s">
        <v>76</v>
      </c>
      <c r="K2072" s="2" t="s">
        <v>77</v>
      </c>
      <c r="L2072" s="2" t="s">
        <v>131</v>
      </c>
      <c r="M2072" s="2" t="s">
        <v>132</v>
      </c>
      <c r="N2072" s="2" t="s">
        <v>384</v>
      </c>
      <c r="O2072" s="2" t="s">
        <v>115</v>
      </c>
      <c r="P2072" s="2" t="str">
        <f>"2170562550                    "</f>
        <v xml:space="preserve">2170562550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4.29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1</v>
      </c>
      <c r="BJ2072" s="2">
        <v>0.2</v>
      </c>
      <c r="BK2072" s="2">
        <v>1</v>
      </c>
      <c r="BL2072" s="2">
        <v>41.73</v>
      </c>
      <c r="BM2072" s="2">
        <v>5.84</v>
      </c>
      <c r="BN2072" s="2">
        <v>47.57</v>
      </c>
      <c r="BO2072" s="2">
        <v>47.57</v>
      </c>
      <c r="BP2072" s="2"/>
      <c r="BQ2072" s="2" t="s">
        <v>468</v>
      </c>
      <c r="BR2072" s="2" t="s">
        <v>84</v>
      </c>
      <c r="BS2072" s="3">
        <v>42844</v>
      </c>
      <c r="BT2072" s="4">
        <v>0.41666666666666669</v>
      </c>
      <c r="BU2072" s="2" t="s">
        <v>130</v>
      </c>
      <c r="BV2072" s="2" t="s">
        <v>111</v>
      </c>
      <c r="BW2072" s="2"/>
      <c r="BX2072" s="2"/>
      <c r="BY2072" s="2">
        <v>1200</v>
      </c>
      <c r="BZ2072" s="2"/>
      <c r="CA2072" s="2"/>
      <c r="CB2072" s="2"/>
      <c r="CC2072" s="2" t="s">
        <v>132</v>
      </c>
      <c r="CD2072" s="2">
        <v>7405</v>
      </c>
      <c r="CE2072" s="2" t="s">
        <v>118</v>
      </c>
      <c r="CF2072" s="5">
        <v>42845</v>
      </c>
      <c r="CG2072" s="2"/>
      <c r="CH2072" s="2"/>
      <c r="CI2072" s="2">
        <v>1</v>
      </c>
      <c r="CJ2072" s="2">
        <v>1</v>
      </c>
      <c r="CK2072" s="2">
        <v>21</v>
      </c>
      <c r="CL2072" s="2" t="s">
        <v>86</v>
      </c>
      <c r="CM2072" s="2"/>
    </row>
    <row r="2073" spans="1:91">
      <c r="A2073" s="2" t="s">
        <v>71</v>
      </c>
      <c r="B2073" s="2" t="s">
        <v>72</v>
      </c>
      <c r="C2073" s="2" t="s">
        <v>73</v>
      </c>
      <c r="D2073" s="2"/>
      <c r="E2073" s="2" t="str">
        <f>"FES1162543827"</f>
        <v>FES1162543827</v>
      </c>
      <c r="F2073" s="3">
        <v>42843</v>
      </c>
      <c r="G2073" s="2">
        <v>201710</v>
      </c>
      <c r="H2073" s="2" t="s">
        <v>74</v>
      </c>
      <c r="I2073" s="2" t="s">
        <v>75</v>
      </c>
      <c r="J2073" s="2" t="s">
        <v>76</v>
      </c>
      <c r="K2073" s="2" t="s">
        <v>77</v>
      </c>
      <c r="L2073" s="2" t="s">
        <v>99</v>
      </c>
      <c r="M2073" s="2" t="s">
        <v>100</v>
      </c>
      <c r="N2073" s="2" t="s">
        <v>583</v>
      </c>
      <c r="O2073" s="2" t="s">
        <v>115</v>
      </c>
      <c r="P2073" s="2" t="str">
        <f>"2170560341                    "</f>
        <v xml:space="preserve">2170560341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5.36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1</v>
      </c>
      <c r="BI2073" s="2">
        <v>2.1</v>
      </c>
      <c r="BJ2073" s="2">
        <v>1.7</v>
      </c>
      <c r="BK2073" s="2">
        <v>2.5</v>
      </c>
      <c r="BL2073" s="2">
        <v>52.16</v>
      </c>
      <c r="BM2073" s="2">
        <v>7.3</v>
      </c>
      <c r="BN2073" s="2">
        <v>59.46</v>
      </c>
      <c r="BO2073" s="2">
        <v>59.46</v>
      </c>
      <c r="BP2073" s="2"/>
      <c r="BQ2073" s="2" t="s">
        <v>584</v>
      </c>
      <c r="BR2073" s="2" t="s">
        <v>84</v>
      </c>
      <c r="BS2073" s="3">
        <v>42844</v>
      </c>
      <c r="BT2073" s="4">
        <v>0.50902777777777775</v>
      </c>
      <c r="BU2073" s="2" t="s">
        <v>1080</v>
      </c>
      <c r="BV2073" s="2" t="s">
        <v>86</v>
      </c>
      <c r="BW2073" s="2"/>
      <c r="BX2073" s="2"/>
      <c r="BY2073" s="2">
        <v>8441.82</v>
      </c>
      <c r="BZ2073" s="2" t="s">
        <v>27</v>
      </c>
      <c r="CA2073" s="2" t="s">
        <v>154</v>
      </c>
      <c r="CB2073" s="2"/>
      <c r="CC2073" s="2" t="s">
        <v>100</v>
      </c>
      <c r="CD2073" s="2">
        <v>6001</v>
      </c>
      <c r="CE2073" s="2" t="s">
        <v>89</v>
      </c>
      <c r="CF2073" s="5">
        <v>42844</v>
      </c>
      <c r="CG2073" s="2"/>
      <c r="CH2073" s="2"/>
      <c r="CI2073" s="2">
        <v>1</v>
      </c>
      <c r="CJ2073" s="2">
        <v>1</v>
      </c>
      <c r="CK2073" s="2">
        <v>21</v>
      </c>
      <c r="CL2073" s="2" t="s">
        <v>86</v>
      </c>
      <c r="CM2073" s="2"/>
    </row>
    <row r="2074" spans="1:91">
      <c r="A2074" s="2" t="s">
        <v>71</v>
      </c>
      <c r="B2074" s="2" t="s">
        <v>72</v>
      </c>
      <c r="C2074" s="2" t="s">
        <v>73</v>
      </c>
      <c r="D2074" s="2"/>
      <c r="E2074" s="2" t="str">
        <f>"FES1162544059"</f>
        <v>FES1162544059</v>
      </c>
      <c r="F2074" s="3">
        <v>42843</v>
      </c>
      <c r="G2074" s="2">
        <v>201710</v>
      </c>
      <c r="H2074" s="2" t="s">
        <v>74</v>
      </c>
      <c r="I2074" s="2" t="s">
        <v>75</v>
      </c>
      <c r="J2074" s="2" t="s">
        <v>76</v>
      </c>
      <c r="K2074" s="2" t="s">
        <v>77</v>
      </c>
      <c r="L2074" s="2" t="s">
        <v>99</v>
      </c>
      <c r="M2074" s="2" t="s">
        <v>100</v>
      </c>
      <c r="N2074" s="2" t="s">
        <v>914</v>
      </c>
      <c r="O2074" s="2" t="s">
        <v>115</v>
      </c>
      <c r="P2074" s="2" t="str">
        <f>"2170562662                    "</f>
        <v xml:space="preserve">2170562662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16.079999999999998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5</v>
      </c>
      <c r="BJ2074" s="2">
        <v>7.1</v>
      </c>
      <c r="BK2074" s="2">
        <v>7.5</v>
      </c>
      <c r="BL2074" s="2">
        <v>156.47999999999999</v>
      </c>
      <c r="BM2074" s="2">
        <v>21.91</v>
      </c>
      <c r="BN2074" s="2">
        <v>178.39</v>
      </c>
      <c r="BO2074" s="2">
        <v>178.39</v>
      </c>
      <c r="BP2074" s="2"/>
      <c r="BQ2074" s="2" t="s">
        <v>915</v>
      </c>
      <c r="BR2074" s="2" t="s">
        <v>84</v>
      </c>
      <c r="BS2074" s="3">
        <v>42844</v>
      </c>
      <c r="BT2074" s="4">
        <v>0.50208333333333333</v>
      </c>
      <c r="BU2074" s="2" t="s">
        <v>2516</v>
      </c>
      <c r="BV2074" s="2" t="s">
        <v>86</v>
      </c>
      <c r="BW2074" s="2"/>
      <c r="BX2074" s="2"/>
      <c r="BY2074" s="2">
        <v>35344</v>
      </c>
      <c r="BZ2074" s="2"/>
      <c r="CA2074" s="2" t="s">
        <v>106</v>
      </c>
      <c r="CB2074" s="2"/>
      <c r="CC2074" s="2" t="s">
        <v>100</v>
      </c>
      <c r="CD2074" s="2">
        <v>6001</v>
      </c>
      <c r="CE2074" s="2" t="s">
        <v>89</v>
      </c>
      <c r="CF2074" s="5">
        <v>42844</v>
      </c>
      <c r="CG2074" s="2"/>
      <c r="CH2074" s="2"/>
      <c r="CI2074" s="2">
        <v>1</v>
      </c>
      <c r="CJ2074" s="2">
        <v>1</v>
      </c>
      <c r="CK2074" s="2">
        <v>21</v>
      </c>
      <c r="CL2074" s="2" t="s">
        <v>86</v>
      </c>
      <c r="CM2074" s="2"/>
    </row>
    <row r="2075" spans="1:91">
      <c r="A2075" s="2" t="s">
        <v>71</v>
      </c>
      <c r="B2075" s="2" t="s">
        <v>72</v>
      </c>
      <c r="C2075" s="2" t="s">
        <v>73</v>
      </c>
      <c r="D2075" s="2"/>
      <c r="E2075" s="2" t="str">
        <f>"FES1162543813"</f>
        <v>FES1162543813</v>
      </c>
      <c r="F2075" s="3">
        <v>42843</v>
      </c>
      <c r="G2075" s="2">
        <v>201710</v>
      </c>
      <c r="H2075" s="2" t="s">
        <v>74</v>
      </c>
      <c r="I2075" s="2" t="s">
        <v>75</v>
      </c>
      <c r="J2075" s="2" t="s">
        <v>76</v>
      </c>
      <c r="K2075" s="2" t="s">
        <v>77</v>
      </c>
      <c r="L2075" s="2" t="s">
        <v>99</v>
      </c>
      <c r="M2075" s="2" t="s">
        <v>100</v>
      </c>
      <c r="N2075" s="2" t="s">
        <v>1009</v>
      </c>
      <c r="O2075" s="2" t="s">
        <v>115</v>
      </c>
      <c r="P2075" s="2" t="str">
        <f>"2170562464                    "</f>
        <v xml:space="preserve">2170562464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6.43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2.8</v>
      </c>
      <c r="BJ2075" s="2">
        <v>1.8</v>
      </c>
      <c r="BK2075" s="2">
        <v>3</v>
      </c>
      <c r="BL2075" s="2">
        <v>62.59</v>
      </c>
      <c r="BM2075" s="2">
        <v>8.76</v>
      </c>
      <c r="BN2075" s="2">
        <v>71.349999999999994</v>
      </c>
      <c r="BO2075" s="2">
        <v>71.349999999999994</v>
      </c>
      <c r="BP2075" s="2"/>
      <c r="BQ2075" s="2" t="s">
        <v>1010</v>
      </c>
      <c r="BR2075" s="2" t="s">
        <v>84</v>
      </c>
      <c r="BS2075" s="3">
        <v>42844</v>
      </c>
      <c r="BT2075" s="4">
        <v>0.53888888888888886</v>
      </c>
      <c r="BU2075" s="2" t="s">
        <v>2517</v>
      </c>
      <c r="BV2075" s="2" t="s">
        <v>86</v>
      </c>
      <c r="BW2075" s="2" t="s">
        <v>484</v>
      </c>
      <c r="BX2075" s="2" t="s">
        <v>485</v>
      </c>
      <c r="BY2075" s="2">
        <v>8887.82</v>
      </c>
      <c r="BZ2075" s="2" t="s">
        <v>27</v>
      </c>
      <c r="CA2075" s="2" t="s">
        <v>154</v>
      </c>
      <c r="CB2075" s="2"/>
      <c r="CC2075" s="2" t="s">
        <v>100</v>
      </c>
      <c r="CD2075" s="2">
        <v>6001</v>
      </c>
      <c r="CE2075" s="2" t="s">
        <v>89</v>
      </c>
      <c r="CF2075" s="5">
        <v>42844</v>
      </c>
      <c r="CG2075" s="2"/>
      <c r="CH2075" s="2"/>
      <c r="CI2075" s="2">
        <v>1</v>
      </c>
      <c r="CJ2075" s="2">
        <v>1</v>
      </c>
      <c r="CK2075" s="2">
        <v>21</v>
      </c>
      <c r="CL2075" s="2" t="s">
        <v>86</v>
      </c>
      <c r="CM2075" s="2"/>
    </row>
    <row r="2076" spans="1:91">
      <c r="A2076" s="2" t="s">
        <v>71</v>
      </c>
      <c r="B2076" s="2" t="s">
        <v>72</v>
      </c>
      <c r="C2076" s="2" t="s">
        <v>73</v>
      </c>
      <c r="D2076" s="2"/>
      <c r="E2076" s="2" t="str">
        <f>"FES1162543949"</f>
        <v>FES1162543949</v>
      </c>
      <c r="F2076" s="3">
        <v>42843</v>
      </c>
      <c r="G2076" s="2">
        <v>201710</v>
      </c>
      <c r="H2076" s="2" t="s">
        <v>74</v>
      </c>
      <c r="I2076" s="2" t="s">
        <v>75</v>
      </c>
      <c r="J2076" s="2" t="s">
        <v>76</v>
      </c>
      <c r="K2076" s="2" t="s">
        <v>77</v>
      </c>
      <c r="L2076" s="2" t="s">
        <v>591</v>
      </c>
      <c r="M2076" s="2" t="s">
        <v>592</v>
      </c>
      <c r="N2076" s="2" t="s">
        <v>593</v>
      </c>
      <c r="O2076" s="2" t="s">
        <v>115</v>
      </c>
      <c r="P2076" s="2" t="str">
        <f>"2170558600                    "</f>
        <v xml:space="preserve">2170558600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30.01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6.9</v>
      </c>
      <c r="BJ2076" s="2">
        <v>13.7</v>
      </c>
      <c r="BK2076" s="2">
        <v>14</v>
      </c>
      <c r="BL2076" s="2">
        <v>292.08999999999997</v>
      </c>
      <c r="BM2076" s="2">
        <v>40.89</v>
      </c>
      <c r="BN2076" s="2">
        <v>332.98</v>
      </c>
      <c r="BO2076" s="2">
        <v>332.98</v>
      </c>
      <c r="BP2076" s="2"/>
      <c r="BQ2076" s="2" t="s">
        <v>594</v>
      </c>
      <c r="BR2076" s="2" t="s">
        <v>84</v>
      </c>
      <c r="BS2076" s="3">
        <v>42844</v>
      </c>
      <c r="BT2076" s="4">
        <v>0.35000000000000003</v>
      </c>
      <c r="BU2076" s="2" t="s">
        <v>2518</v>
      </c>
      <c r="BV2076" s="2" t="s">
        <v>111</v>
      </c>
      <c r="BW2076" s="2"/>
      <c r="BX2076" s="2"/>
      <c r="BY2076" s="2">
        <v>68458.559999999998</v>
      </c>
      <c r="BZ2076" s="2"/>
      <c r="CA2076" s="2"/>
      <c r="CB2076" s="2"/>
      <c r="CC2076" s="2" t="s">
        <v>592</v>
      </c>
      <c r="CD2076" s="2">
        <v>7599</v>
      </c>
      <c r="CE2076" s="2" t="s">
        <v>89</v>
      </c>
      <c r="CF2076" s="5">
        <v>42845</v>
      </c>
      <c r="CG2076" s="2"/>
      <c r="CH2076" s="2"/>
      <c r="CI2076" s="2">
        <v>1</v>
      </c>
      <c r="CJ2076" s="2">
        <v>1</v>
      </c>
      <c r="CK2076" s="2">
        <v>21</v>
      </c>
      <c r="CL2076" s="2" t="s">
        <v>86</v>
      </c>
      <c r="CM2076" s="2"/>
    </row>
    <row r="2077" spans="1:91">
      <c r="A2077" s="2" t="s">
        <v>71</v>
      </c>
      <c r="B2077" s="2" t="s">
        <v>72</v>
      </c>
      <c r="C2077" s="2" t="s">
        <v>73</v>
      </c>
      <c r="D2077" s="2"/>
      <c r="E2077" s="2" t="str">
        <f>"FES1162543819"</f>
        <v>FES1162543819</v>
      </c>
      <c r="F2077" s="3">
        <v>42843</v>
      </c>
      <c r="G2077" s="2">
        <v>201710</v>
      </c>
      <c r="H2077" s="2" t="s">
        <v>74</v>
      </c>
      <c r="I2077" s="2" t="s">
        <v>75</v>
      </c>
      <c r="J2077" s="2" t="s">
        <v>76</v>
      </c>
      <c r="K2077" s="2" t="s">
        <v>77</v>
      </c>
      <c r="L2077" s="2" t="s">
        <v>160</v>
      </c>
      <c r="M2077" s="2" t="s">
        <v>161</v>
      </c>
      <c r="N2077" s="2" t="s">
        <v>907</v>
      </c>
      <c r="O2077" s="2" t="s">
        <v>115</v>
      </c>
      <c r="P2077" s="2" t="str">
        <f>"2170555039                    "</f>
        <v xml:space="preserve">2170555039 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4.29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1.2</v>
      </c>
      <c r="BJ2077" s="2">
        <v>0.9</v>
      </c>
      <c r="BK2077" s="2">
        <v>1.5</v>
      </c>
      <c r="BL2077" s="2">
        <v>41.73</v>
      </c>
      <c r="BM2077" s="2">
        <v>5.84</v>
      </c>
      <c r="BN2077" s="2">
        <v>47.57</v>
      </c>
      <c r="BO2077" s="2">
        <v>47.57</v>
      </c>
      <c r="BP2077" s="2"/>
      <c r="BQ2077" s="2" t="s">
        <v>122</v>
      </c>
      <c r="BR2077" s="2" t="s">
        <v>84</v>
      </c>
      <c r="BS2077" s="3">
        <v>42844</v>
      </c>
      <c r="BT2077" s="4">
        <v>0.41666666666666669</v>
      </c>
      <c r="BU2077" s="2" t="s">
        <v>1658</v>
      </c>
      <c r="BV2077" s="2" t="s">
        <v>111</v>
      </c>
      <c r="BW2077" s="2"/>
      <c r="BX2077" s="2"/>
      <c r="BY2077" s="2">
        <v>4665.1899999999996</v>
      </c>
      <c r="BZ2077" s="2" t="s">
        <v>27</v>
      </c>
      <c r="CA2077" s="2"/>
      <c r="CB2077" s="2"/>
      <c r="CC2077" s="2" t="s">
        <v>161</v>
      </c>
      <c r="CD2077" s="2">
        <v>5201</v>
      </c>
      <c r="CE2077" s="2" t="s">
        <v>89</v>
      </c>
      <c r="CF2077" s="5">
        <v>42845</v>
      </c>
      <c r="CG2077" s="2"/>
      <c r="CH2077" s="2"/>
      <c r="CI2077" s="2">
        <v>1</v>
      </c>
      <c r="CJ2077" s="2">
        <v>1</v>
      </c>
      <c r="CK2077" s="2">
        <v>21</v>
      </c>
      <c r="CL2077" s="2" t="s">
        <v>86</v>
      </c>
      <c r="CM2077" s="2"/>
    </row>
    <row r="2078" spans="1:91">
      <c r="A2078" s="2" t="s">
        <v>71</v>
      </c>
      <c r="B2078" s="2" t="s">
        <v>72</v>
      </c>
      <c r="C2078" s="2" t="s">
        <v>73</v>
      </c>
      <c r="D2078" s="2"/>
      <c r="E2078" s="2" t="str">
        <f>"FES1162543857"</f>
        <v>FES1162543857</v>
      </c>
      <c r="F2078" s="3">
        <v>42843</v>
      </c>
      <c r="G2078" s="2">
        <v>201710</v>
      </c>
      <c r="H2078" s="2" t="s">
        <v>74</v>
      </c>
      <c r="I2078" s="2" t="s">
        <v>75</v>
      </c>
      <c r="J2078" s="2" t="s">
        <v>76</v>
      </c>
      <c r="K2078" s="2" t="s">
        <v>77</v>
      </c>
      <c r="L2078" s="2" t="s">
        <v>443</v>
      </c>
      <c r="M2078" s="2" t="s">
        <v>444</v>
      </c>
      <c r="N2078" s="2" t="s">
        <v>627</v>
      </c>
      <c r="O2078" s="2" t="s">
        <v>115</v>
      </c>
      <c r="P2078" s="2" t="str">
        <f>"2170560889                    "</f>
        <v xml:space="preserve">2170560889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27.86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13</v>
      </c>
      <c r="BJ2078" s="2">
        <v>9.1</v>
      </c>
      <c r="BK2078" s="2">
        <v>13</v>
      </c>
      <c r="BL2078" s="2">
        <v>271.22000000000003</v>
      </c>
      <c r="BM2078" s="2">
        <v>37.97</v>
      </c>
      <c r="BN2078" s="2">
        <v>309.19</v>
      </c>
      <c r="BO2078" s="2">
        <v>309.19</v>
      </c>
      <c r="BP2078" s="2"/>
      <c r="BQ2078" s="2" t="s">
        <v>628</v>
      </c>
      <c r="BR2078" s="2" t="s">
        <v>84</v>
      </c>
      <c r="BS2078" s="3">
        <v>42844</v>
      </c>
      <c r="BT2078" s="4">
        <v>0.41666666666666669</v>
      </c>
      <c r="BU2078" s="2" t="s">
        <v>245</v>
      </c>
      <c r="BV2078" s="2" t="s">
        <v>111</v>
      </c>
      <c r="BW2078" s="2"/>
      <c r="BX2078" s="2"/>
      <c r="BY2078" s="2">
        <v>45632</v>
      </c>
      <c r="BZ2078" s="2"/>
      <c r="CA2078" s="2"/>
      <c r="CB2078" s="2"/>
      <c r="CC2078" s="2" t="s">
        <v>444</v>
      </c>
      <c r="CD2078" s="2">
        <v>7130</v>
      </c>
      <c r="CE2078" s="2" t="s">
        <v>89</v>
      </c>
      <c r="CF2078" s="5">
        <v>42845</v>
      </c>
      <c r="CG2078" s="2"/>
      <c r="CH2078" s="2"/>
      <c r="CI2078" s="2">
        <v>1</v>
      </c>
      <c r="CJ2078" s="2">
        <v>1</v>
      </c>
      <c r="CK2078" s="2">
        <v>21</v>
      </c>
      <c r="CL2078" s="2" t="s">
        <v>86</v>
      </c>
      <c r="CM2078" s="2"/>
    </row>
    <row r="2079" spans="1:91">
      <c r="A2079" s="2" t="s">
        <v>71</v>
      </c>
      <c r="B2079" s="2" t="s">
        <v>72</v>
      </c>
      <c r="C2079" s="2" t="s">
        <v>73</v>
      </c>
      <c r="D2079" s="2"/>
      <c r="E2079" s="2" t="str">
        <f>"FES1162543870"</f>
        <v>FES1162543870</v>
      </c>
      <c r="F2079" s="3">
        <v>42843</v>
      </c>
      <c r="G2079" s="2">
        <v>201710</v>
      </c>
      <c r="H2079" s="2" t="s">
        <v>74</v>
      </c>
      <c r="I2079" s="2" t="s">
        <v>75</v>
      </c>
      <c r="J2079" s="2" t="s">
        <v>76</v>
      </c>
      <c r="K2079" s="2" t="s">
        <v>77</v>
      </c>
      <c r="L2079" s="2" t="s">
        <v>160</v>
      </c>
      <c r="M2079" s="2" t="s">
        <v>161</v>
      </c>
      <c r="N2079" s="2" t="s">
        <v>463</v>
      </c>
      <c r="O2079" s="2" t="s">
        <v>115</v>
      </c>
      <c r="P2079" s="2" t="str">
        <f>"2170562472                    "</f>
        <v xml:space="preserve">2170562472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8.57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2.6</v>
      </c>
      <c r="BJ2079" s="2">
        <v>3.9</v>
      </c>
      <c r="BK2079" s="2">
        <v>4</v>
      </c>
      <c r="BL2079" s="2">
        <v>83.45</v>
      </c>
      <c r="BM2079" s="2">
        <v>11.68</v>
      </c>
      <c r="BN2079" s="2">
        <v>95.13</v>
      </c>
      <c r="BO2079" s="2">
        <v>95.13</v>
      </c>
      <c r="BP2079" s="2"/>
      <c r="BQ2079" s="2" t="s">
        <v>129</v>
      </c>
      <c r="BR2079" s="2" t="s">
        <v>84</v>
      </c>
      <c r="BS2079" s="3">
        <v>42844</v>
      </c>
      <c r="BT2079" s="4">
        <v>0.41666666666666669</v>
      </c>
      <c r="BU2079" s="2" t="s">
        <v>2519</v>
      </c>
      <c r="BV2079" s="2" t="s">
        <v>111</v>
      </c>
      <c r="BW2079" s="2"/>
      <c r="BX2079" s="2"/>
      <c r="BY2079" s="2">
        <v>19637.18</v>
      </c>
      <c r="BZ2079" s="2" t="s">
        <v>27</v>
      </c>
      <c r="CA2079" s="2"/>
      <c r="CB2079" s="2"/>
      <c r="CC2079" s="2" t="s">
        <v>161</v>
      </c>
      <c r="CD2079" s="2">
        <v>5201</v>
      </c>
      <c r="CE2079" s="2" t="s">
        <v>118</v>
      </c>
      <c r="CF2079" s="5">
        <v>42845</v>
      </c>
      <c r="CG2079" s="2"/>
      <c r="CH2079" s="2"/>
      <c r="CI2079" s="2">
        <v>1</v>
      </c>
      <c r="CJ2079" s="2">
        <v>1</v>
      </c>
      <c r="CK2079" s="2">
        <v>21</v>
      </c>
      <c r="CL2079" s="2" t="s">
        <v>86</v>
      </c>
      <c r="CM2079" s="2"/>
    </row>
    <row r="2080" spans="1:91">
      <c r="A2080" s="2" t="s">
        <v>71</v>
      </c>
      <c r="B2080" s="2" t="s">
        <v>72</v>
      </c>
      <c r="C2080" s="2" t="s">
        <v>73</v>
      </c>
      <c r="D2080" s="2"/>
      <c r="E2080" s="2" t="str">
        <f>"FES1162543859"</f>
        <v>FES1162543859</v>
      </c>
      <c r="F2080" s="3">
        <v>42843</v>
      </c>
      <c r="G2080" s="2">
        <v>201710</v>
      </c>
      <c r="H2080" s="2" t="s">
        <v>74</v>
      </c>
      <c r="I2080" s="2" t="s">
        <v>75</v>
      </c>
      <c r="J2080" s="2" t="s">
        <v>76</v>
      </c>
      <c r="K2080" s="2" t="s">
        <v>77</v>
      </c>
      <c r="L2080" s="2" t="s">
        <v>74</v>
      </c>
      <c r="M2080" s="2" t="s">
        <v>75</v>
      </c>
      <c r="N2080" s="2" t="s">
        <v>2520</v>
      </c>
      <c r="O2080" s="2" t="s">
        <v>115</v>
      </c>
      <c r="P2080" s="2" t="str">
        <f>"2170561019                    "</f>
        <v xml:space="preserve">2170561019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3.35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1</v>
      </c>
      <c r="BJ2080" s="2">
        <v>0.2</v>
      </c>
      <c r="BK2080" s="2">
        <v>1</v>
      </c>
      <c r="BL2080" s="2">
        <v>32.6</v>
      </c>
      <c r="BM2080" s="2">
        <v>4.5599999999999996</v>
      </c>
      <c r="BN2080" s="2">
        <v>37.159999999999997</v>
      </c>
      <c r="BO2080" s="2">
        <v>37.159999999999997</v>
      </c>
      <c r="BP2080" s="2"/>
      <c r="BQ2080" s="2" t="s">
        <v>2521</v>
      </c>
      <c r="BR2080" s="2" t="s">
        <v>84</v>
      </c>
      <c r="BS2080" s="3">
        <v>42844</v>
      </c>
      <c r="BT2080" s="4">
        <v>0.40763888888888888</v>
      </c>
      <c r="BU2080" s="2" t="s">
        <v>2522</v>
      </c>
      <c r="BV2080" s="2" t="s">
        <v>111</v>
      </c>
      <c r="BW2080" s="2"/>
      <c r="BX2080" s="2"/>
      <c r="BY2080" s="2">
        <v>1200</v>
      </c>
      <c r="BZ2080" s="2"/>
      <c r="CA2080" s="2" t="s">
        <v>2495</v>
      </c>
      <c r="CB2080" s="2"/>
      <c r="CC2080" s="2" t="s">
        <v>75</v>
      </c>
      <c r="CD2080" s="2">
        <v>1600</v>
      </c>
      <c r="CE2080" s="2" t="s">
        <v>118</v>
      </c>
      <c r="CF2080" s="5">
        <v>42845</v>
      </c>
      <c r="CG2080" s="2"/>
      <c r="CH2080" s="2"/>
      <c r="CI2080" s="2">
        <v>1</v>
      </c>
      <c r="CJ2080" s="2">
        <v>1</v>
      </c>
      <c r="CK2080" s="2">
        <v>22</v>
      </c>
      <c r="CL2080" s="2" t="s">
        <v>86</v>
      </c>
      <c r="CM2080" s="2"/>
    </row>
    <row r="2081" spans="1:91">
      <c r="A2081" s="2" t="s">
        <v>71</v>
      </c>
      <c r="B2081" s="2" t="s">
        <v>72</v>
      </c>
      <c r="C2081" s="2" t="s">
        <v>73</v>
      </c>
      <c r="D2081" s="2"/>
      <c r="E2081" s="2" t="str">
        <f>"FES1162543920"</f>
        <v>FES1162543920</v>
      </c>
      <c r="F2081" s="3">
        <v>42843</v>
      </c>
      <c r="G2081" s="2">
        <v>201710</v>
      </c>
      <c r="H2081" s="2" t="s">
        <v>74</v>
      </c>
      <c r="I2081" s="2" t="s">
        <v>75</v>
      </c>
      <c r="J2081" s="2" t="s">
        <v>76</v>
      </c>
      <c r="K2081" s="2" t="s">
        <v>77</v>
      </c>
      <c r="L2081" s="2" t="s">
        <v>112</v>
      </c>
      <c r="M2081" s="2" t="s">
        <v>113</v>
      </c>
      <c r="N2081" s="2" t="s">
        <v>2217</v>
      </c>
      <c r="O2081" s="2" t="s">
        <v>115</v>
      </c>
      <c r="P2081" s="2" t="str">
        <f>"2170562531                    "</f>
        <v xml:space="preserve">2170562531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5.36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2.2000000000000002</v>
      </c>
      <c r="BJ2081" s="2">
        <v>1.2</v>
      </c>
      <c r="BK2081" s="2">
        <v>2.5</v>
      </c>
      <c r="BL2081" s="2">
        <v>52.16</v>
      </c>
      <c r="BM2081" s="2">
        <v>7.3</v>
      </c>
      <c r="BN2081" s="2">
        <v>59.46</v>
      </c>
      <c r="BO2081" s="2">
        <v>59.46</v>
      </c>
      <c r="BP2081" s="2"/>
      <c r="BQ2081" s="2" t="s">
        <v>458</v>
      </c>
      <c r="BR2081" s="2" t="s">
        <v>84</v>
      </c>
      <c r="BS2081" s="3">
        <v>42844</v>
      </c>
      <c r="BT2081" s="4">
        <v>0.39930555555555558</v>
      </c>
      <c r="BU2081" s="2" t="s">
        <v>2218</v>
      </c>
      <c r="BV2081" s="2" t="s">
        <v>111</v>
      </c>
      <c r="BW2081" s="2"/>
      <c r="BX2081" s="2"/>
      <c r="BY2081" s="2">
        <v>6113.25</v>
      </c>
      <c r="BZ2081" s="2" t="s">
        <v>27</v>
      </c>
      <c r="CA2081" s="2"/>
      <c r="CB2081" s="2"/>
      <c r="CC2081" s="2" t="s">
        <v>113</v>
      </c>
      <c r="CD2081" s="2">
        <v>3201</v>
      </c>
      <c r="CE2081" s="2" t="s">
        <v>118</v>
      </c>
      <c r="CF2081" s="5">
        <v>42845</v>
      </c>
      <c r="CG2081" s="2"/>
      <c r="CH2081" s="2"/>
      <c r="CI2081" s="2">
        <v>1</v>
      </c>
      <c r="CJ2081" s="2">
        <v>1</v>
      </c>
      <c r="CK2081" s="2">
        <v>21</v>
      </c>
      <c r="CL2081" s="2" t="s">
        <v>86</v>
      </c>
      <c r="CM2081" s="2"/>
    </row>
    <row r="2082" spans="1:91">
      <c r="A2082" s="2" t="s">
        <v>71</v>
      </c>
      <c r="B2082" s="2" t="s">
        <v>72</v>
      </c>
      <c r="C2082" s="2" t="s">
        <v>73</v>
      </c>
      <c r="D2082" s="2"/>
      <c r="E2082" s="2" t="str">
        <f>"FES1162544091"</f>
        <v>FES1162544091</v>
      </c>
      <c r="F2082" s="3">
        <v>42843</v>
      </c>
      <c r="G2082" s="2">
        <v>201710</v>
      </c>
      <c r="H2082" s="2" t="s">
        <v>74</v>
      </c>
      <c r="I2082" s="2" t="s">
        <v>75</v>
      </c>
      <c r="J2082" s="2" t="s">
        <v>76</v>
      </c>
      <c r="K2082" s="2" t="s">
        <v>77</v>
      </c>
      <c r="L2082" s="2" t="s">
        <v>112</v>
      </c>
      <c r="M2082" s="2" t="s">
        <v>113</v>
      </c>
      <c r="N2082" s="2" t="s">
        <v>208</v>
      </c>
      <c r="O2082" s="2" t="s">
        <v>115</v>
      </c>
      <c r="P2082" s="2" t="str">
        <f>"2170562689                    "</f>
        <v xml:space="preserve">2170562689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4.29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41.73</v>
      </c>
      <c r="BM2082" s="2">
        <v>5.84</v>
      </c>
      <c r="BN2082" s="2">
        <v>47.57</v>
      </c>
      <c r="BO2082" s="2">
        <v>47.57</v>
      </c>
      <c r="BP2082" s="2"/>
      <c r="BQ2082" s="2" t="s">
        <v>122</v>
      </c>
      <c r="BR2082" s="2" t="s">
        <v>84</v>
      </c>
      <c r="BS2082" s="3">
        <v>42844</v>
      </c>
      <c r="BT2082" s="4">
        <v>0.40763888888888888</v>
      </c>
      <c r="BU2082" s="2" t="s">
        <v>2499</v>
      </c>
      <c r="BV2082" s="2" t="s">
        <v>111</v>
      </c>
      <c r="BW2082" s="2"/>
      <c r="BX2082" s="2"/>
      <c r="BY2082" s="2">
        <v>1200</v>
      </c>
      <c r="BZ2082" s="2"/>
      <c r="CA2082" s="2"/>
      <c r="CB2082" s="2"/>
      <c r="CC2082" s="2" t="s">
        <v>113</v>
      </c>
      <c r="CD2082" s="2">
        <v>3201</v>
      </c>
      <c r="CE2082" s="2" t="s">
        <v>118</v>
      </c>
      <c r="CF2082" s="5">
        <v>42845</v>
      </c>
      <c r="CG2082" s="2"/>
      <c r="CH2082" s="2"/>
      <c r="CI2082" s="2">
        <v>1</v>
      </c>
      <c r="CJ2082" s="2">
        <v>1</v>
      </c>
      <c r="CK2082" s="2">
        <v>21</v>
      </c>
      <c r="CL2082" s="2" t="s">
        <v>86</v>
      </c>
      <c r="CM2082" s="2"/>
    </row>
    <row r="2083" spans="1:91">
      <c r="A2083" s="2" t="s">
        <v>71</v>
      </c>
      <c r="B2083" s="2" t="s">
        <v>72</v>
      </c>
      <c r="C2083" s="2" t="s">
        <v>73</v>
      </c>
      <c r="D2083" s="2"/>
      <c r="E2083" s="2" t="str">
        <f>"FES1162543816"</f>
        <v>FES1162543816</v>
      </c>
      <c r="F2083" s="3">
        <v>42843</v>
      </c>
      <c r="G2083" s="2">
        <v>201710</v>
      </c>
      <c r="H2083" s="2" t="s">
        <v>74</v>
      </c>
      <c r="I2083" s="2" t="s">
        <v>75</v>
      </c>
      <c r="J2083" s="2" t="s">
        <v>76</v>
      </c>
      <c r="K2083" s="2" t="s">
        <v>77</v>
      </c>
      <c r="L2083" s="2" t="s">
        <v>180</v>
      </c>
      <c r="M2083" s="2" t="s">
        <v>181</v>
      </c>
      <c r="N2083" s="2" t="s">
        <v>855</v>
      </c>
      <c r="O2083" s="2" t="s">
        <v>115</v>
      </c>
      <c r="P2083" s="2" t="str">
        <f>"2170562467                    "</f>
        <v xml:space="preserve">2170562467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7.5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2.9</v>
      </c>
      <c r="BJ2083" s="2">
        <v>3.3</v>
      </c>
      <c r="BK2083" s="2">
        <v>3.5</v>
      </c>
      <c r="BL2083" s="2">
        <v>73.02</v>
      </c>
      <c r="BM2083" s="2">
        <v>10.220000000000001</v>
      </c>
      <c r="BN2083" s="2">
        <v>83.24</v>
      </c>
      <c r="BO2083" s="2">
        <v>83.24</v>
      </c>
      <c r="BP2083" s="2"/>
      <c r="BQ2083" s="2" t="s">
        <v>122</v>
      </c>
      <c r="BR2083" s="2" t="s">
        <v>84</v>
      </c>
      <c r="BS2083" s="3">
        <v>42844</v>
      </c>
      <c r="BT2083" s="4">
        <v>0.28472222222222221</v>
      </c>
      <c r="BU2083" s="2" t="s">
        <v>2512</v>
      </c>
      <c r="BV2083" s="2" t="s">
        <v>111</v>
      </c>
      <c r="BW2083" s="2"/>
      <c r="BX2083" s="2"/>
      <c r="BY2083" s="2">
        <v>16430.7</v>
      </c>
      <c r="BZ2083" s="2" t="s">
        <v>27</v>
      </c>
      <c r="CA2083" s="2"/>
      <c r="CB2083" s="2"/>
      <c r="CC2083" s="2" t="s">
        <v>181</v>
      </c>
      <c r="CD2083" s="2">
        <v>4093</v>
      </c>
      <c r="CE2083" s="2" t="s">
        <v>89</v>
      </c>
      <c r="CF2083" s="5">
        <v>42845</v>
      </c>
      <c r="CG2083" s="2"/>
      <c r="CH2083" s="2"/>
      <c r="CI2083" s="2">
        <v>1</v>
      </c>
      <c r="CJ2083" s="2">
        <v>1</v>
      </c>
      <c r="CK2083" s="2">
        <v>21</v>
      </c>
      <c r="CL2083" s="2" t="s">
        <v>86</v>
      </c>
      <c r="CM2083" s="2"/>
    </row>
    <row r="2084" spans="1:91">
      <c r="A2084" s="2" t="s">
        <v>71</v>
      </c>
      <c r="B2084" s="2" t="s">
        <v>72</v>
      </c>
      <c r="C2084" s="2" t="s">
        <v>73</v>
      </c>
      <c r="D2084" s="2"/>
      <c r="E2084" s="2" t="str">
        <f>"FES1162544062"</f>
        <v>FES1162544062</v>
      </c>
      <c r="F2084" s="3">
        <v>42843</v>
      </c>
      <c r="G2084" s="2">
        <v>201710</v>
      </c>
      <c r="H2084" s="2" t="s">
        <v>74</v>
      </c>
      <c r="I2084" s="2" t="s">
        <v>75</v>
      </c>
      <c r="J2084" s="2" t="s">
        <v>76</v>
      </c>
      <c r="K2084" s="2" t="s">
        <v>77</v>
      </c>
      <c r="L2084" s="2" t="s">
        <v>180</v>
      </c>
      <c r="M2084" s="2" t="s">
        <v>181</v>
      </c>
      <c r="N2084" s="2" t="s">
        <v>320</v>
      </c>
      <c r="O2084" s="2" t="s">
        <v>115</v>
      </c>
      <c r="P2084" s="2" t="str">
        <f>"2170559559                    "</f>
        <v xml:space="preserve">2170559559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4.29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1</v>
      </c>
      <c r="BJ2084" s="2">
        <v>0.2</v>
      </c>
      <c r="BK2084" s="2">
        <v>1</v>
      </c>
      <c r="BL2084" s="2">
        <v>41.73</v>
      </c>
      <c r="BM2084" s="2">
        <v>5.84</v>
      </c>
      <c r="BN2084" s="2">
        <v>47.57</v>
      </c>
      <c r="BO2084" s="2">
        <v>47.57</v>
      </c>
      <c r="BP2084" s="2"/>
      <c r="BQ2084" s="2" t="s">
        <v>129</v>
      </c>
      <c r="BR2084" s="2" t="s">
        <v>84</v>
      </c>
      <c r="BS2084" s="3">
        <v>42844</v>
      </c>
      <c r="BT2084" s="4">
        <v>0.43055555555555558</v>
      </c>
      <c r="BU2084" s="2" t="s">
        <v>2024</v>
      </c>
      <c r="BV2084" s="2" t="s">
        <v>111</v>
      </c>
      <c r="BW2084" s="2"/>
      <c r="BX2084" s="2"/>
      <c r="BY2084" s="2">
        <v>1200</v>
      </c>
      <c r="BZ2084" s="2"/>
      <c r="CA2084" s="2"/>
      <c r="CB2084" s="2"/>
      <c r="CC2084" s="2" t="s">
        <v>181</v>
      </c>
      <c r="CD2084" s="2">
        <v>4051</v>
      </c>
      <c r="CE2084" s="2" t="s">
        <v>118</v>
      </c>
      <c r="CF2084" s="5">
        <v>42845</v>
      </c>
      <c r="CG2084" s="2"/>
      <c r="CH2084" s="2"/>
      <c r="CI2084" s="2">
        <v>1</v>
      </c>
      <c r="CJ2084" s="2">
        <v>1</v>
      </c>
      <c r="CK2084" s="2">
        <v>21</v>
      </c>
      <c r="CL2084" s="2" t="s">
        <v>86</v>
      </c>
      <c r="CM2084" s="2"/>
    </row>
    <row r="2085" spans="1:91">
      <c r="A2085" s="2" t="s">
        <v>71</v>
      </c>
      <c r="B2085" s="2" t="s">
        <v>72</v>
      </c>
      <c r="C2085" s="2" t="s">
        <v>73</v>
      </c>
      <c r="D2085" s="2"/>
      <c r="E2085" s="2" t="str">
        <f>"FES1162544009"</f>
        <v>FES1162544009</v>
      </c>
      <c r="F2085" s="3">
        <v>42843</v>
      </c>
      <c r="G2085" s="2">
        <v>201710</v>
      </c>
      <c r="H2085" s="2" t="s">
        <v>74</v>
      </c>
      <c r="I2085" s="2" t="s">
        <v>75</v>
      </c>
      <c r="J2085" s="2" t="s">
        <v>76</v>
      </c>
      <c r="K2085" s="2" t="s">
        <v>77</v>
      </c>
      <c r="L2085" s="2" t="s">
        <v>99</v>
      </c>
      <c r="M2085" s="2" t="s">
        <v>100</v>
      </c>
      <c r="N2085" s="2" t="s">
        <v>2120</v>
      </c>
      <c r="O2085" s="2" t="s">
        <v>115</v>
      </c>
      <c r="P2085" s="2" t="str">
        <f>"2170562605                    "</f>
        <v xml:space="preserve">2170562605  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4.29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2</v>
      </c>
      <c r="BJ2085" s="2">
        <v>1</v>
      </c>
      <c r="BK2085" s="2">
        <v>2</v>
      </c>
      <c r="BL2085" s="2">
        <v>41.73</v>
      </c>
      <c r="BM2085" s="2">
        <v>5.84</v>
      </c>
      <c r="BN2085" s="2">
        <v>47.57</v>
      </c>
      <c r="BO2085" s="2">
        <v>47.57</v>
      </c>
      <c r="BP2085" s="2"/>
      <c r="BQ2085" s="2" t="s">
        <v>2121</v>
      </c>
      <c r="BR2085" s="2" t="s">
        <v>84</v>
      </c>
      <c r="BS2085" s="3">
        <v>42844</v>
      </c>
      <c r="BT2085" s="4">
        <v>0.52083333333333337</v>
      </c>
      <c r="BU2085" s="2" t="s">
        <v>2523</v>
      </c>
      <c r="BV2085" s="2" t="s">
        <v>86</v>
      </c>
      <c r="BW2085" s="2"/>
      <c r="BX2085" s="2"/>
      <c r="BY2085" s="2">
        <v>5040.7</v>
      </c>
      <c r="BZ2085" s="2" t="s">
        <v>27</v>
      </c>
      <c r="CA2085" s="2"/>
      <c r="CB2085" s="2"/>
      <c r="CC2085" s="2" t="s">
        <v>100</v>
      </c>
      <c r="CD2085" s="2">
        <v>6001</v>
      </c>
      <c r="CE2085" s="2" t="s">
        <v>118</v>
      </c>
      <c r="CF2085" s="5">
        <v>42845</v>
      </c>
      <c r="CG2085" s="2"/>
      <c r="CH2085" s="2"/>
      <c r="CI2085" s="2">
        <v>1</v>
      </c>
      <c r="CJ2085" s="2">
        <v>1</v>
      </c>
      <c r="CK2085" s="2">
        <v>21</v>
      </c>
      <c r="CL2085" s="2" t="s">
        <v>86</v>
      </c>
      <c r="CM2085" s="2"/>
    </row>
    <row r="2086" spans="1:91">
      <c r="A2086" s="2" t="s">
        <v>71</v>
      </c>
      <c r="B2086" s="2" t="s">
        <v>72</v>
      </c>
      <c r="C2086" s="2" t="s">
        <v>73</v>
      </c>
      <c r="D2086" s="2"/>
      <c r="E2086" s="2" t="str">
        <f>"FES1162544088"</f>
        <v>FES1162544088</v>
      </c>
      <c r="F2086" s="3">
        <v>42843</v>
      </c>
      <c r="G2086" s="2">
        <v>201710</v>
      </c>
      <c r="H2086" s="2" t="s">
        <v>74</v>
      </c>
      <c r="I2086" s="2" t="s">
        <v>75</v>
      </c>
      <c r="J2086" s="2" t="s">
        <v>76</v>
      </c>
      <c r="K2086" s="2" t="s">
        <v>77</v>
      </c>
      <c r="L2086" s="2" t="s">
        <v>112</v>
      </c>
      <c r="M2086" s="2" t="s">
        <v>113</v>
      </c>
      <c r="N2086" s="2" t="s">
        <v>114</v>
      </c>
      <c r="O2086" s="2" t="s">
        <v>115</v>
      </c>
      <c r="P2086" s="2" t="str">
        <f>"2170562685                    "</f>
        <v xml:space="preserve">2170562685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10.72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5</v>
      </c>
      <c r="BJ2086" s="2">
        <v>2</v>
      </c>
      <c r="BK2086" s="2">
        <v>5</v>
      </c>
      <c r="BL2086" s="2">
        <v>104.32</v>
      </c>
      <c r="BM2086" s="2">
        <v>14.6</v>
      </c>
      <c r="BN2086" s="2">
        <v>118.92</v>
      </c>
      <c r="BO2086" s="2">
        <v>118.92</v>
      </c>
      <c r="BP2086" s="2"/>
      <c r="BQ2086" s="2" t="s">
        <v>116</v>
      </c>
      <c r="BR2086" s="2" t="s">
        <v>84</v>
      </c>
      <c r="BS2086" s="3">
        <v>42844</v>
      </c>
      <c r="BT2086" s="4">
        <v>0.40833333333333338</v>
      </c>
      <c r="BU2086" s="2" t="s">
        <v>2471</v>
      </c>
      <c r="BV2086" s="2" t="s">
        <v>111</v>
      </c>
      <c r="BW2086" s="2"/>
      <c r="BX2086" s="2"/>
      <c r="BY2086" s="2">
        <v>9900</v>
      </c>
      <c r="BZ2086" s="2"/>
      <c r="CA2086" s="2"/>
      <c r="CB2086" s="2"/>
      <c r="CC2086" s="2" t="s">
        <v>113</v>
      </c>
      <c r="CD2086" s="2">
        <v>3201</v>
      </c>
      <c r="CE2086" s="2" t="s">
        <v>89</v>
      </c>
      <c r="CF2086" s="5">
        <v>42845</v>
      </c>
      <c r="CG2086" s="2"/>
      <c r="CH2086" s="2"/>
      <c r="CI2086" s="2">
        <v>1</v>
      </c>
      <c r="CJ2086" s="2">
        <v>1</v>
      </c>
      <c r="CK2086" s="2">
        <v>21</v>
      </c>
      <c r="CL2086" s="2" t="s">
        <v>86</v>
      </c>
      <c r="CM2086" s="2"/>
    </row>
    <row r="2087" spans="1:91">
      <c r="A2087" s="2" t="s">
        <v>71</v>
      </c>
      <c r="B2087" s="2" t="s">
        <v>72</v>
      </c>
      <c r="C2087" s="2" t="s">
        <v>73</v>
      </c>
      <c r="D2087" s="2"/>
      <c r="E2087" s="2" t="str">
        <f>"FES1162544000"</f>
        <v>FES1162544000</v>
      </c>
      <c r="F2087" s="3">
        <v>42843</v>
      </c>
      <c r="G2087" s="2">
        <v>201710</v>
      </c>
      <c r="H2087" s="2" t="s">
        <v>74</v>
      </c>
      <c r="I2087" s="2" t="s">
        <v>75</v>
      </c>
      <c r="J2087" s="2" t="s">
        <v>76</v>
      </c>
      <c r="K2087" s="2" t="s">
        <v>77</v>
      </c>
      <c r="L2087" s="2" t="s">
        <v>180</v>
      </c>
      <c r="M2087" s="2" t="s">
        <v>181</v>
      </c>
      <c r="N2087" s="2" t="s">
        <v>931</v>
      </c>
      <c r="O2087" s="2" t="s">
        <v>115</v>
      </c>
      <c r="P2087" s="2" t="str">
        <f>"2170562582                    "</f>
        <v xml:space="preserve">2170562582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4.29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1.6</v>
      </c>
      <c r="BJ2087" s="2">
        <v>1</v>
      </c>
      <c r="BK2087" s="2">
        <v>2</v>
      </c>
      <c r="BL2087" s="2">
        <v>41.73</v>
      </c>
      <c r="BM2087" s="2">
        <v>5.84</v>
      </c>
      <c r="BN2087" s="2">
        <v>47.57</v>
      </c>
      <c r="BO2087" s="2">
        <v>47.57</v>
      </c>
      <c r="BP2087" s="2"/>
      <c r="BQ2087" s="2" t="s">
        <v>2524</v>
      </c>
      <c r="BR2087" s="2" t="s">
        <v>84</v>
      </c>
      <c r="BS2087" s="3">
        <v>42844</v>
      </c>
      <c r="BT2087" s="4">
        <v>0.37222222222222223</v>
      </c>
      <c r="BU2087" s="2" t="s">
        <v>2475</v>
      </c>
      <c r="BV2087" s="2" t="s">
        <v>111</v>
      </c>
      <c r="BW2087" s="2"/>
      <c r="BX2087" s="2"/>
      <c r="BY2087" s="2">
        <v>5152.47</v>
      </c>
      <c r="BZ2087" s="2" t="s">
        <v>27</v>
      </c>
      <c r="CA2087" s="2"/>
      <c r="CB2087" s="2"/>
      <c r="CC2087" s="2" t="s">
        <v>181</v>
      </c>
      <c r="CD2087" s="2">
        <v>4051</v>
      </c>
      <c r="CE2087" s="2" t="s">
        <v>118</v>
      </c>
      <c r="CF2087" s="5">
        <v>42845</v>
      </c>
      <c r="CG2087" s="2"/>
      <c r="CH2087" s="2"/>
      <c r="CI2087" s="2">
        <v>1</v>
      </c>
      <c r="CJ2087" s="2">
        <v>1</v>
      </c>
      <c r="CK2087" s="2">
        <v>21</v>
      </c>
      <c r="CL2087" s="2" t="s">
        <v>86</v>
      </c>
      <c r="CM2087" s="2"/>
    </row>
    <row r="2088" spans="1:91">
      <c r="A2088" s="2" t="s">
        <v>71</v>
      </c>
      <c r="B2088" s="2" t="s">
        <v>72</v>
      </c>
      <c r="C2088" s="2" t="s">
        <v>73</v>
      </c>
      <c r="D2088" s="2"/>
      <c r="E2088" s="2" t="str">
        <f>"FES1162543916"</f>
        <v>FES1162543916</v>
      </c>
      <c r="F2088" s="3">
        <v>42843</v>
      </c>
      <c r="G2088" s="2">
        <v>201710</v>
      </c>
      <c r="H2088" s="2" t="s">
        <v>74</v>
      </c>
      <c r="I2088" s="2" t="s">
        <v>75</v>
      </c>
      <c r="J2088" s="2" t="s">
        <v>76</v>
      </c>
      <c r="K2088" s="2" t="s">
        <v>77</v>
      </c>
      <c r="L2088" s="2" t="s">
        <v>187</v>
      </c>
      <c r="M2088" s="2" t="s">
        <v>146</v>
      </c>
      <c r="N2088" s="2" t="s">
        <v>1306</v>
      </c>
      <c r="O2088" s="2" t="s">
        <v>115</v>
      </c>
      <c r="P2088" s="2" t="str">
        <f>"2170562524                    "</f>
        <v xml:space="preserve">2170562524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6.43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2.1</v>
      </c>
      <c r="BJ2088" s="2">
        <v>2.6</v>
      </c>
      <c r="BK2088" s="2">
        <v>3</v>
      </c>
      <c r="BL2088" s="2">
        <v>62.59</v>
      </c>
      <c r="BM2088" s="2">
        <v>8.76</v>
      </c>
      <c r="BN2088" s="2">
        <v>71.349999999999994</v>
      </c>
      <c r="BO2088" s="2">
        <v>71.349999999999994</v>
      </c>
      <c r="BP2088" s="2"/>
      <c r="BQ2088" s="2" t="s">
        <v>1307</v>
      </c>
      <c r="BR2088" s="2" t="s">
        <v>84</v>
      </c>
      <c r="BS2088" s="3">
        <v>42844</v>
      </c>
      <c r="BT2088" s="4">
        <v>0.4368055555555555</v>
      </c>
      <c r="BU2088" s="2" t="s">
        <v>2525</v>
      </c>
      <c r="BV2088" s="2" t="s">
        <v>111</v>
      </c>
      <c r="BW2088" s="2"/>
      <c r="BX2088" s="2"/>
      <c r="BY2088" s="2">
        <v>12897.64</v>
      </c>
      <c r="BZ2088" s="2" t="s">
        <v>27</v>
      </c>
      <c r="CA2088" s="2"/>
      <c r="CB2088" s="2"/>
      <c r="CC2088" s="2" t="s">
        <v>146</v>
      </c>
      <c r="CD2088" s="2">
        <v>117</v>
      </c>
      <c r="CE2088" s="2" t="s">
        <v>118</v>
      </c>
      <c r="CF2088" s="5">
        <v>42846</v>
      </c>
      <c r="CG2088" s="2"/>
      <c r="CH2088" s="2"/>
      <c r="CI2088" s="2">
        <v>0</v>
      </c>
      <c r="CJ2088" s="2">
        <v>0</v>
      </c>
      <c r="CK2088" s="2">
        <v>21</v>
      </c>
      <c r="CL2088" s="2" t="s">
        <v>86</v>
      </c>
      <c r="CM2088" s="2"/>
    </row>
    <row r="2089" spans="1:91">
      <c r="A2089" s="2" t="s">
        <v>71</v>
      </c>
      <c r="B2089" s="2" t="s">
        <v>72</v>
      </c>
      <c r="C2089" s="2" t="s">
        <v>73</v>
      </c>
      <c r="D2089" s="2"/>
      <c r="E2089" s="2" t="str">
        <f>"FES1162543910"</f>
        <v>FES1162543910</v>
      </c>
      <c r="F2089" s="3">
        <v>42843</v>
      </c>
      <c r="G2089" s="2">
        <v>201710</v>
      </c>
      <c r="H2089" s="2" t="s">
        <v>74</v>
      </c>
      <c r="I2089" s="2" t="s">
        <v>75</v>
      </c>
      <c r="J2089" s="2" t="s">
        <v>76</v>
      </c>
      <c r="K2089" s="2" t="s">
        <v>77</v>
      </c>
      <c r="L2089" s="2" t="s">
        <v>187</v>
      </c>
      <c r="M2089" s="2" t="s">
        <v>146</v>
      </c>
      <c r="N2089" s="2" t="s">
        <v>2382</v>
      </c>
      <c r="O2089" s="2" t="s">
        <v>115</v>
      </c>
      <c r="P2089" s="2" t="str">
        <f>"2170562241                    "</f>
        <v xml:space="preserve">2170562241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6.43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2.9</v>
      </c>
      <c r="BJ2089" s="2">
        <v>3</v>
      </c>
      <c r="BK2089" s="2">
        <v>3</v>
      </c>
      <c r="BL2089" s="2">
        <v>62.59</v>
      </c>
      <c r="BM2089" s="2">
        <v>8.76</v>
      </c>
      <c r="BN2089" s="2">
        <v>71.349999999999994</v>
      </c>
      <c r="BO2089" s="2">
        <v>71.349999999999994</v>
      </c>
      <c r="BP2089" s="2"/>
      <c r="BQ2089" s="2" t="s">
        <v>2383</v>
      </c>
      <c r="BR2089" s="2" t="s">
        <v>84</v>
      </c>
      <c r="BS2089" s="3">
        <v>42844</v>
      </c>
      <c r="BT2089" s="4">
        <v>0.33333333333333331</v>
      </c>
      <c r="BU2089" s="2" t="s">
        <v>2526</v>
      </c>
      <c r="BV2089" s="2" t="s">
        <v>111</v>
      </c>
      <c r="BW2089" s="2"/>
      <c r="BX2089" s="2"/>
      <c r="BY2089" s="2">
        <v>14858.42</v>
      </c>
      <c r="BZ2089" s="2"/>
      <c r="CA2089" s="2" t="s">
        <v>159</v>
      </c>
      <c r="CB2089" s="2"/>
      <c r="CC2089" s="2" t="s">
        <v>146</v>
      </c>
      <c r="CD2089" s="2">
        <v>184</v>
      </c>
      <c r="CE2089" s="2" t="s">
        <v>89</v>
      </c>
      <c r="CF2089" s="5">
        <v>42846</v>
      </c>
      <c r="CG2089" s="2"/>
      <c r="CH2089" s="2"/>
      <c r="CI2089" s="2">
        <v>0</v>
      </c>
      <c r="CJ2089" s="2">
        <v>0</v>
      </c>
      <c r="CK2089" s="2">
        <v>21</v>
      </c>
      <c r="CL2089" s="2" t="s">
        <v>86</v>
      </c>
      <c r="CM2089" s="2"/>
    </row>
    <row r="2090" spans="1:91">
      <c r="A2090" s="2" t="s">
        <v>71</v>
      </c>
      <c r="B2090" s="2" t="s">
        <v>72</v>
      </c>
      <c r="C2090" s="2" t="s">
        <v>73</v>
      </c>
      <c r="D2090" s="2"/>
      <c r="E2090" s="2" t="str">
        <f>"FES1162543937"</f>
        <v>FES1162543937</v>
      </c>
      <c r="F2090" s="3">
        <v>42843</v>
      </c>
      <c r="G2090" s="2">
        <v>201710</v>
      </c>
      <c r="H2090" s="2" t="s">
        <v>74</v>
      </c>
      <c r="I2090" s="2" t="s">
        <v>75</v>
      </c>
      <c r="J2090" s="2" t="s">
        <v>76</v>
      </c>
      <c r="K2090" s="2" t="s">
        <v>77</v>
      </c>
      <c r="L2090" s="2" t="s">
        <v>112</v>
      </c>
      <c r="M2090" s="2" t="s">
        <v>113</v>
      </c>
      <c r="N2090" s="2" t="s">
        <v>1313</v>
      </c>
      <c r="O2090" s="2" t="s">
        <v>115</v>
      </c>
      <c r="P2090" s="2" t="str">
        <f>"2170562548                    "</f>
        <v xml:space="preserve">2170562548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4.29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1</v>
      </c>
      <c r="BJ2090" s="2">
        <v>0.2</v>
      </c>
      <c r="BK2090" s="2">
        <v>1</v>
      </c>
      <c r="BL2090" s="2">
        <v>41.73</v>
      </c>
      <c r="BM2090" s="2">
        <v>5.84</v>
      </c>
      <c r="BN2090" s="2">
        <v>47.57</v>
      </c>
      <c r="BO2090" s="2">
        <v>47.57</v>
      </c>
      <c r="BP2090" s="2"/>
      <c r="BQ2090" s="2" t="s">
        <v>116</v>
      </c>
      <c r="BR2090" s="2" t="s">
        <v>84</v>
      </c>
      <c r="BS2090" s="3">
        <v>42844</v>
      </c>
      <c r="BT2090" s="4">
        <v>0.375</v>
      </c>
      <c r="BU2090" s="2" t="s">
        <v>1314</v>
      </c>
      <c r="BV2090" s="2" t="s">
        <v>111</v>
      </c>
      <c r="BW2090" s="2"/>
      <c r="BX2090" s="2"/>
      <c r="BY2090" s="2">
        <v>1200</v>
      </c>
      <c r="BZ2090" s="2" t="s">
        <v>27</v>
      </c>
      <c r="CA2090" s="2"/>
      <c r="CB2090" s="2"/>
      <c r="CC2090" s="2" t="s">
        <v>113</v>
      </c>
      <c r="CD2090" s="2">
        <v>3680</v>
      </c>
      <c r="CE2090" s="2" t="s">
        <v>118</v>
      </c>
      <c r="CF2090" s="5">
        <v>42845</v>
      </c>
      <c r="CG2090" s="2"/>
      <c r="CH2090" s="2"/>
      <c r="CI2090" s="2">
        <v>1</v>
      </c>
      <c r="CJ2090" s="2">
        <v>1</v>
      </c>
      <c r="CK2090" s="2">
        <v>21</v>
      </c>
      <c r="CL2090" s="2" t="s">
        <v>86</v>
      </c>
      <c r="CM2090" s="2"/>
    </row>
    <row r="2091" spans="1:91">
      <c r="A2091" s="2" t="s">
        <v>71</v>
      </c>
      <c r="B2091" s="2" t="s">
        <v>72</v>
      </c>
      <c r="C2091" s="2" t="s">
        <v>73</v>
      </c>
      <c r="D2091" s="2"/>
      <c r="E2091" s="2" t="str">
        <f>"FES1162543815"</f>
        <v>FES1162543815</v>
      </c>
      <c r="F2091" s="3">
        <v>42843</v>
      </c>
      <c r="G2091" s="2">
        <v>201710</v>
      </c>
      <c r="H2091" s="2" t="s">
        <v>74</v>
      </c>
      <c r="I2091" s="2" t="s">
        <v>75</v>
      </c>
      <c r="J2091" s="2" t="s">
        <v>76</v>
      </c>
      <c r="K2091" s="2" t="s">
        <v>77</v>
      </c>
      <c r="L2091" s="2" t="s">
        <v>74</v>
      </c>
      <c r="M2091" s="2" t="s">
        <v>75</v>
      </c>
      <c r="N2091" s="2" t="s">
        <v>1383</v>
      </c>
      <c r="O2091" s="2" t="s">
        <v>115</v>
      </c>
      <c r="P2091" s="2" t="str">
        <f>"2170562466                    "</f>
        <v xml:space="preserve">2170562466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3.35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1</v>
      </c>
      <c r="BJ2091" s="2">
        <v>0.2</v>
      </c>
      <c r="BK2091" s="2">
        <v>1</v>
      </c>
      <c r="BL2091" s="2">
        <v>32.6</v>
      </c>
      <c r="BM2091" s="2">
        <v>4.5599999999999996</v>
      </c>
      <c r="BN2091" s="2">
        <v>37.159999999999997</v>
      </c>
      <c r="BO2091" s="2">
        <v>37.159999999999997</v>
      </c>
      <c r="BP2091" s="2"/>
      <c r="BQ2091" s="2" t="s">
        <v>1384</v>
      </c>
      <c r="BR2091" s="2" t="s">
        <v>84</v>
      </c>
      <c r="BS2091" s="3">
        <v>42844</v>
      </c>
      <c r="BT2091" s="4">
        <v>0.3743055555555555</v>
      </c>
      <c r="BU2091" s="2" t="s">
        <v>2527</v>
      </c>
      <c r="BV2091" s="2" t="s">
        <v>111</v>
      </c>
      <c r="BW2091" s="2"/>
      <c r="BX2091" s="2"/>
      <c r="BY2091" s="2">
        <v>1200</v>
      </c>
      <c r="BZ2091" s="2"/>
      <c r="CA2091" s="2" t="s">
        <v>2495</v>
      </c>
      <c r="CB2091" s="2"/>
      <c r="CC2091" s="2" t="s">
        <v>75</v>
      </c>
      <c r="CD2091" s="2">
        <v>1600</v>
      </c>
      <c r="CE2091" s="2" t="s">
        <v>118</v>
      </c>
      <c r="CF2091" s="5">
        <v>42844</v>
      </c>
      <c r="CG2091" s="2"/>
      <c r="CH2091" s="2"/>
      <c r="CI2091" s="2">
        <v>1</v>
      </c>
      <c r="CJ2091" s="2">
        <v>1</v>
      </c>
      <c r="CK2091" s="2">
        <v>22</v>
      </c>
      <c r="CL2091" s="2" t="s">
        <v>86</v>
      </c>
      <c r="CM2091" s="2"/>
    </row>
    <row r="2092" spans="1:91">
      <c r="A2092" s="2" t="s">
        <v>71</v>
      </c>
      <c r="B2092" s="2" t="s">
        <v>72</v>
      </c>
      <c r="C2092" s="2" t="s">
        <v>73</v>
      </c>
      <c r="D2092" s="2"/>
      <c r="E2092" s="2" t="str">
        <f>"FES1162543841"</f>
        <v>FES1162543841</v>
      </c>
      <c r="F2092" s="3">
        <v>42843</v>
      </c>
      <c r="G2092" s="2">
        <v>201710</v>
      </c>
      <c r="H2092" s="2" t="s">
        <v>74</v>
      </c>
      <c r="I2092" s="2" t="s">
        <v>75</v>
      </c>
      <c r="J2092" s="2" t="s">
        <v>76</v>
      </c>
      <c r="K2092" s="2" t="s">
        <v>77</v>
      </c>
      <c r="L2092" s="2" t="s">
        <v>180</v>
      </c>
      <c r="M2092" s="2" t="s">
        <v>181</v>
      </c>
      <c r="N2092" s="2" t="s">
        <v>605</v>
      </c>
      <c r="O2092" s="2" t="s">
        <v>115</v>
      </c>
      <c r="P2092" s="2" t="str">
        <f>"2170560522                    "</f>
        <v xml:space="preserve">2170560522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4.29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0.5</v>
      </c>
      <c r="BJ2092" s="2">
        <v>0.2</v>
      </c>
      <c r="BK2092" s="2">
        <v>0.5</v>
      </c>
      <c r="BL2092" s="2">
        <v>41.73</v>
      </c>
      <c r="BM2092" s="2">
        <v>5.84</v>
      </c>
      <c r="BN2092" s="2">
        <v>47.57</v>
      </c>
      <c r="BO2092" s="2">
        <v>47.57</v>
      </c>
      <c r="BP2092" s="2"/>
      <c r="BQ2092" s="2" t="s">
        <v>606</v>
      </c>
      <c r="BR2092" s="2" t="s">
        <v>84</v>
      </c>
      <c r="BS2092" s="3">
        <v>42844</v>
      </c>
      <c r="BT2092" s="4">
        <v>0.36249999999999999</v>
      </c>
      <c r="BU2092" s="2" t="s">
        <v>2528</v>
      </c>
      <c r="BV2092" s="2" t="s">
        <v>111</v>
      </c>
      <c r="BW2092" s="2"/>
      <c r="BX2092" s="2"/>
      <c r="BY2092" s="2">
        <v>1200</v>
      </c>
      <c r="BZ2092" s="2" t="s">
        <v>27</v>
      </c>
      <c r="CA2092" s="2"/>
      <c r="CB2092" s="2"/>
      <c r="CC2092" s="2" t="s">
        <v>181</v>
      </c>
      <c r="CD2092" s="2">
        <v>4001</v>
      </c>
      <c r="CE2092" s="2" t="s">
        <v>118</v>
      </c>
      <c r="CF2092" s="5">
        <v>42845</v>
      </c>
      <c r="CG2092" s="2"/>
      <c r="CH2092" s="2"/>
      <c r="CI2092" s="2">
        <v>1</v>
      </c>
      <c r="CJ2092" s="2">
        <v>1</v>
      </c>
      <c r="CK2092" s="2">
        <v>21</v>
      </c>
      <c r="CL2092" s="2" t="s">
        <v>86</v>
      </c>
      <c r="CM2092" s="2"/>
    </row>
    <row r="2093" spans="1:91">
      <c r="A2093" s="2" t="s">
        <v>71</v>
      </c>
      <c r="B2093" s="2" t="s">
        <v>72</v>
      </c>
      <c r="C2093" s="2" t="s">
        <v>73</v>
      </c>
      <c r="D2093" s="2"/>
      <c r="E2093" s="2" t="str">
        <f>"FES1162543972"</f>
        <v>FES1162543972</v>
      </c>
      <c r="F2093" s="3">
        <v>42843</v>
      </c>
      <c r="G2093" s="2">
        <v>201710</v>
      </c>
      <c r="H2093" s="2" t="s">
        <v>74</v>
      </c>
      <c r="I2093" s="2" t="s">
        <v>75</v>
      </c>
      <c r="J2093" s="2" t="s">
        <v>76</v>
      </c>
      <c r="K2093" s="2" t="s">
        <v>77</v>
      </c>
      <c r="L2093" s="2" t="s">
        <v>260</v>
      </c>
      <c r="M2093" s="2" t="s">
        <v>261</v>
      </c>
      <c r="N2093" s="2" t="s">
        <v>326</v>
      </c>
      <c r="O2093" s="2" t="s">
        <v>115</v>
      </c>
      <c r="P2093" s="2" t="str">
        <f>"2170562566                    "</f>
        <v xml:space="preserve">2170562566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3.35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1</v>
      </c>
      <c r="BJ2093" s="2">
        <v>0.2</v>
      </c>
      <c r="BK2093" s="2">
        <v>1</v>
      </c>
      <c r="BL2093" s="2">
        <v>32.6</v>
      </c>
      <c r="BM2093" s="2">
        <v>4.5599999999999996</v>
      </c>
      <c r="BN2093" s="2">
        <v>37.159999999999997</v>
      </c>
      <c r="BO2093" s="2">
        <v>37.159999999999997</v>
      </c>
      <c r="BP2093" s="2"/>
      <c r="BQ2093" s="2"/>
      <c r="BR2093" s="2" t="s">
        <v>84</v>
      </c>
      <c r="BS2093" s="3">
        <v>42844</v>
      </c>
      <c r="BT2093" s="4">
        <v>0.31944444444444448</v>
      </c>
      <c r="BU2093" s="2" t="s">
        <v>2501</v>
      </c>
      <c r="BV2093" s="2" t="s">
        <v>111</v>
      </c>
      <c r="BW2093" s="2"/>
      <c r="BX2093" s="2"/>
      <c r="BY2093" s="2">
        <v>1200</v>
      </c>
      <c r="BZ2093" s="2"/>
      <c r="CA2093" s="2"/>
      <c r="CB2093" s="2"/>
      <c r="CC2093" s="2" t="s">
        <v>261</v>
      </c>
      <c r="CD2093" s="2">
        <v>1451</v>
      </c>
      <c r="CE2093" s="2" t="s">
        <v>118</v>
      </c>
      <c r="CF2093" s="5">
        <v>42845</v>
      </c>
      <c r="CG2093" s="2"/>
      <c r="CH2093" s="2"/>
      <c r="CI2093" s="2">
        <v>1</v>
      </c>
      <c r="CJ2093" s="2">
        <v>1</v>
      </c>
      <c r="CK2093" s="2">
        <v>22</v>
      </c>
      <c r="CL2093" s="2" t="s">
        <v>86</v>
      </c>
      <c r="CM2093" s="2"/>
    </row>
    <row r="2094" spans="1:91">
      <c r="A2094" s="2" t="s">
        <v>71</v>
      </c>
      <c r="B2094" s="2" t="s">
        <v>72</v>
      </c>
      <c r="C2094" s="2" t="s">
        <v>73</v>
      </c>
      <c r="D2094" s="2"/>
      <c r="E2094" s="2" t="str">
        <f>"FES1162543900"</f>
        <v>FES1162543900</v>
      </c>
      <c r="F2094" s="3">
        <v>42843</v>
      </c>
      <c r="G2094" s="2">
        <v>201710</v>
      </c>
      <c r="H2094" s="2" t="s">
        <v>74</v>
      </c>
      <c r="I2094" s="2" t="s">
        <v>75</v>
      </c>
      <c r="J2094" s="2" t="s">
        <v>76</v>
      </c>
      <c r="K2094" s="2" t="s">
        <v>77</v>
      </c>
      <c r="L2094" s="2" t="s">
        <v>187</v>
      </c>
      <c r="M2094" s="2" t="s">
        <v>146</v>
      </c>
      <c r="N2094" s="2" t="s">
        <v>2529</v>
      </c>
      <c r="O2094" s="2" t="s">
        <v>115</v>
      </c>
      <c r="P2094" s="2" t="str">
        <f>"2170562504                    "</f>
        <v xml:space="preserve">2170562504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4.29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0.5</v>
      </c>
      <c r="BJ2094" s="2">
        <v>0.2</v>
      </c>
      <c r="BK2094" s="2">
        <v>0.5</v>
      </c>
      <c r="BL2094" s="2">
        <v>41.73</v>
      </c>
      <c r="BM2094" s="2">
        <v>5.84</v>
      </c>
      <c r="BN2094" s="2">
        <v>47.57</v>
      </c>
      <c r="BO2094" s="2">
        <v>47.57</v>
      </c>
      <c r="BP2094" s="2"/>
      <c r="BQ2094" s="2" t="s">
        <v>2530</v>
      </c>
      <c r="BR2094" s="2" t="s">
        <v>84</v>
      </c>
      <c r="BS2094" s="3">
        <v>42844</v>
      </c>
      <c r="BT2094" s="4">
        <v>0.51111111111111118</v>
      </c>
      <c r="BU2094" s="2" t="s">
        <v>2531</v>
      </c>
      <c r="BV2094" s="2" t="s">
        <v>111</v>
      </c>
      <c r="BW2094" s="2"/>
      <c r="BX2094" s="2"/>
      <c r="BY2094" s="2">
        <v>1200</v>
      </c>
      <c r="BZ2094" s="2" t="s">
        <v>27</v>
      </c>
      <c r="CA2094" s="2"/>
      <c r="CB2094" s="2"/>
      <c r="CC2094" s="2" t="s">
        <v>146</v>
      </c>
      <c r="CD2094" s="2">
        <v>183</v>
      </c>
      <c r="CE2094" s="2" t="s">
        <v>118</v>
      </c>
      <c r="CF2094" s="5">
        <v>42846</v>
      </c>
      <c r="CG2094" s="2"/>
      <c r="CH2094" s="2"/>
      <c r="CI2094" s="2">
        <v>0</v>
      </c>
      <c r="CJ2094" s="2">
        <v>0</v>
      </c>
      <c r="CK2094" s="2">
        <v>21</v>
      </c>
      <c r="CL2094" s="2" t="s">
        <v>86</v>
      </c>
      <c r="CM2094" s="2"/>
    </row>
    <row r="2095" spans="1:91">
      <c r="A2095" s="2" t="s">
        <v>71</v>
      </c>
      <c r="B2095" s="2" t="s">
        <v>72</v>
      </c>
      <c r="C2095" s="2" t="s">
        <v>73</v>
      </c>
      <c r="D2095" s="2"/>
      <c r="E2095" s="2" t="str">
        <f>"FES1162543932"</f>
        <v>FES1162543932</v>
      </c>
      <c r="F2095" s="3">
        <v>42843</v>
      </c>
      <c r="G2095" s="2">
        <v>201710</v>
      </c>
      <c r="H2095" s="2" t="s">
        <v>74</v>
      </c>
      <c r="I2095" s="2" t="s">
        <v>75</v>
      </c>
      <c r="J2095" s="2" t="s">
        <v>76</v>
      </c>
      <c r="K2095" s="2" t="s">
        <v>77</v>
      </c>
      <c r="L2095" s="2" t="s">
        <v>180</v>
      </c>
      <c r="M2095" s="2" t="s">
        <v>181</v>
      </c>
      <c r="N2095" s="2" t="s">
        <v>1090</v>
      </c>
      <c r="O2095" s="2" t="s">
        <v>115</v>
      </c>
      <c r="P2095" s="2" t="str">
        <f>"2170562543                    "</f>
        <v xml:space="preserve">2170562543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5.36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2.4</v>
      </c>
      <c r="BJ2095" s="2">
        <v>0.2</v>
      </c>
      <c r="BK2095" s="2">
        <v>2.5</v>
      </c>
      <c r="BL2095" s="2">
        <v>52.16</v>
      </c>
      <c r="BM2095" s="2">
        <v>7.3</v>
      </c>
      <c r="BN2095" s="2">
        <v>59.46</v>
      </c>
      <c r="BO2095" s="2">
        <v>59.46</v>
      </c>
      <c r="BP2095" s="2"/>
      <c r="BQ2095" s="2" t="s">
        <v>129</v>
      </c>
      <c r="BR2095" s="2" t="s">
        <v>84</v>
      </c>
      <c r="BS2095" s="3">
        <v>42844</v>
      </c>
      <c r="BT2095" s="4">
        <v>0.30208333333333331</v>
      </c>
      <c r="BU2095" s="2" t="s">
        <v>2532</v>
      </c>
      <c r="BV2095" s="2" t="s">
        <v>111</v>
      </c>
      <c r="BW2095" s="2"/>
      <c r="BX2095" s="2"/>
      <c r="BY2095" s="2">
        <v>1200</v>
      </c>
      <c r="BZ2095" s="2" t="s">
        <v>27</v>
      </c>
      <c r="CA2095" s="2" t="s">
        <v>159</v>
      </c>
      <c r="CB2095" s="2"/>
      <c r="CC2095" s="2" t="s">
        <v>181</v>
      </c>
      <c r="CD2095" s="2">
        <v>4052</v>
      </c>
      <c r="CE2095" s="2" t="s">
        <v>118</v>
      </c>
      <c r="CF2095" s="5">
        <v>42845</v>
      </c>
      <c r="CG2095" s="2"/>
      <c r="CH2095" s="2"/>
      <c r="CI2095" s="2">
        <v>1</v>
      </c>
      <c r="CJ2095" s="2">
        <v>1</v>
      </c>
      <c r="CK2095" s="2">
        <v>21</v>
      </c>
      <c r="CL2095" s="2" t="s">
        <v>86</v>
      </c>
      <c r="CM2095" s="2"/>
    </row>
    <row r="2096" spans="1:91">
      <c r="A2096" s="2" t="s">
        <v>71</v>
      </c>
      <c r="B2096" s="2" t="s">
        <v>72</v>
      </c>
      <c r="C2096" s="2" t="s">
        <v>73</v>
      </c>
      <c r="D2096" s="2"/>
      <c r="E2096" s="2" t="str">
        <f>"FES1162543958"</f>
        <v>FES1162543958</v>
      </c>
      <c r="F2096" s="3">
        <v>42843</v>
      </c>
      <c r="G2096" s="2">
        <v>201710</v>
      </c>
      <c r="H2096" s="2" t="s">
        <v>74</v>
      </c>
      <c r="I2096" s="2" t="s">
        <v>75</v>
      </c>
      <c r="J2096" s="2" t="s">
        <v>76</v>
      </c>
      <c r="K2096" s="2" t="s">
        <v>77</v>
      </c>
      <c r="L2096" s="2" t="s">
        <v>131</v>
      </c>
      <c r="M2096" s="2" t="s">
        <v>132</v>
      </c>
      <c r="N2096" s="2" t="s">
        <v>2533</v>
      </c>
      <c r="O2096" s="2" t="s">
        <v>115</v>
      </c>
      <c r="P2096" s="2" t="str">
        <f>"2170560532                    "</f>
        <v xml:space="preserve">2170560532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4.29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1</v>
      </c>
      <c r="BJ2096" s="2">
        <v>0.2</v>
      </c>
      <c r="BK2096" s="2">
        <v>1</v>
      </c>
      <c r="BL2096" s="2">
        <v>41.73</v>
      </c>
      <c r="BM2096" s="2">
        <v>5.84</v>
      </c>
      <c r="BN2096" s="2">
        <v>47.57</v>
      </c>
      <c r="BO2096" s="2">
        <v>47.57</v>
      </c>
      <c r="BP2096" s="2"/>
      <c r="BQ2096" s="2" t="s">
        <v>2534</v>
      </c>
      <c r="BR2096" s="2" t="s">
        <v>84</v>
      </c>
      <c r="BS2096" s="3">
        <v>42844</v>
      </c>
      <c r="BT2096" s="4">
        <v>0.41666666666666669</v>
      </c>
      <c r="BU2096" s="2" t="s">
        <v>2535</v>
      </c>
      <c r="BV2096" s="2" t="s">
        <v>111</v>
      </c>
      <c r="BW2096" s="2"/>
      <c r="BX2096" s="2"/>
      <c r="BY2096" s="2">
        <v>1200</v>
      </c>
      <c r="BZ2096" s="2"/>
      <c r="CA2096" s="2" t="s">
        <v>159</v>
      </c>
      <c r="CB2096" s="2"/>
      <c r="CC2096" s="2" t="s">
        <v>132</v>
      </c>
      <c r="CD2096" s="2">
        <v>7441</v>
      </c>
      <c r="CE2096" s="2" t="s">
        <v>118</v>
      </c>
      <c r="CF2096" s="2"/>
      <c r="CG2096" s="2"/>
      <c r="CH2096" s="2"/>
      <c r="CI2096" s="2">
        <v>1</v>
      </c>
      <c r="CJ2096" s="2">
        <v>1</v>
      </c>
      <c r="CK2096" s="2">
        <v>21</v>
      </c>
      <c r="CL2096" s="2" t="s">
        <v>86</v>
      </c>
      <c r="CM2096" s="2"/>
    </row>
    <row r="2097" spans="1:91">
      <c r="A2097" s="2" t="s">
        <v>71</v>
      </c>
      <c r="B2097" s="2" t="s">
        <v>72</v>
      </c>
      <c r="C2097" s="2" t="s">
        <v>73</v>
      </c>
      <c r="D2097" s="2"/>
      <c r="E2097" s="2" t="str">
        <f>"FES1162543962"</f>
        <v>FES1162543962</v>
      </c>
      <c r="F2097" s="3">
        <v>42843</v>
      </c>
      <c r="G2097" s="2">
        <v>201710</v>
      </c>
      <c r="H2097" s="2" t="s">
        <v>74</v>
      </c>
      <c r="I2097" s="2" t="s">
        <v>75</v>
      </c>
      <c r="J2097" s="2" t="s">
        <v>76</v>
      </c>
      <c r="K2097" s="2" t="s">
        <v>77</v>
      </c>
      <c r="L2097" s="2" t="s">
        <v>474</v>
      </c>
      <c r="M2097" s="2" t="s">
        <v>475</v>
      </c>
      <c r="N2097" s="2" t="s">
        <v>2536</v>
      </c>
      <c r="O2097" s="2" t="s">
        <v>115</v>
      </c>
      <c r="P2097" s="2" t="str">
        <f>"2170561756                    "</f>
        <v xml:space="preserve">2170561756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4.29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0.5</v>
      </c>
      <c r="BJ2097" s="2">
        <v>0.2</v>
      </c>
      <c r="BK2097" s="2">
        <v>0.5</v>
      </c>
      <c r="BL2097" s="2">
        <v>41.73</v>
      </c>
      <c r="BM2097" s="2">
        <v>5.84</v>
      </c>
      <c r="BN2097" s="2">
        <v>47.57</v>
      </c>
      <c r="BO2097" s="2">
        <v>47.57</v>
      </c>
      <c r="BP2097" s="2"/>
      <c r="BQ2097" s="2"/>
      <c r="BR2097" s="2" t="s">
        <v>84</v>
      </c>
      <c r="BS2097" s="3">
        <v>42844</v>
      </c>
      <c r="BT2097" s="4">
        <v>0.4375</v>
      </c>
      <c r="BU2097" s="2" t="s">
        <v>2537</v>
      </c>
      <c r="BV2097" s="2" t="s">
        <v>111</v>
      </c>
      <c r="BW2097" s="2"/>
      <c r="BX2097" s="2"/>
      <c r="BY2097" s="2">
        <v>1200</v>
      </c>
      <c r="BZ2097" s="2" t="s">
        <v>27</v>
      </c>
      <c r="CA2097" s="2" t="s">
        <v>159</v>
      </c>
      <c r="CB2097" s="2"/>
      <c r="CC2097" s="2" t="s">
        <v>475</v>
      </c>
      <c r="CD2097" s="2">
        <v>3280</v>
      </c>
      <c r="CE2097" s="2" t="s">
        <v>118</v>
      </c>
      <c r="CF2097" s="5">
        <v>42845</v>
      </c>
      <c r="CG2097" s="2"/>
      <c r="CH2097" s="2"/>
      <c r="CI2097" s="2">
        <v>1</v>
      </c>
      <c r="CJ2097" s="2">
        <v>1</v>
      </c>
      <c r="CK2097" s="2">
        <v>21</v>
      </c>
      <c r="CL2097" s="2" t="s">
        <v>86</v>
      </c>
      <c r="CM2097" s="2"/>
    </row>
    <row r="2098" spans="1:91">
      <c r="A2098" s="2" t="s">
        <v>71</v>
      </c>
      <c r="B2098" s="2" t="s">
        <v>72</v>
      </c>
      <c r="C2098" s="2" t="s">
        <v>73</v>
      </c>
      <c r="D2098" s="2"/>
      <c r="E2098" s="2" t="str">
        <f>"FES1162544082"</f>
        <v>FES1162544082</v>
      </c>
      <c r="F2098" s="3">
        <v>42843</v>
      </c>
      <c r="G2098" s="2">
        <v>201710</v>
      </c>
      <c r="H2098" s="2" t="s">
        <v>74</v>
      </c>
      <c r="I2098" s="2" t="s">
        <v>75</v>
      </c>
      <c r="J2098" s="2" t="s">
        <v>76</v>
      </c>
      <c r="K2098" s="2" t="s">
        <v>77</v>
      </c>
      <c r="L2098" s="2" t="s">
        <v>234</v>
      </c>
      <c r="M2098" s="2" t="s">
        <v>235</v>
      </c>
      <c r="N2098" s="2" t="s">
        <v>236</v>
      </c>
      <c r="O2098" s="2" t="s">
        <v>115</v>
      </c>
      <c r="P2098" s="2" t="str">
        <f>"2170562225                    "</f>
        <v xml:space="preserve">2170562225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4.29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1.5</v>
      </c>
      <c r="BJ2098" s="2">
        <v>0.2</v>
      </c>
      <c r="BK2098" s="2">
        <v>1.5</v>
      </c>
      <c r="BL2098" s="2">
        <v>41.73</v>
      </c>
      <c r="BM2098" s="2">
        <v>5.84</v>
      </c>
      <c r="BN2098" s="2">
        <v>47.57</v>
      </c>
      <c r="BO2098" s="2">
        <v>47.57</v>
      </c>
      <c r="BP2098" s="2"/>
      <c r="BQ2098" s="2" t="s">
        <v>285</v>
      </c>
      <c r="BR2098" s="2" t="s">
        <v>84</v>
      </c>
      <c r="BS2098" s="3">
        <v>42844</v>
      </c>
      <c r="BT2098" s="4">
        <v>0.45833333333333331</v>
      </c>
      <c r="BU2098" s="2" t="s">
        <v>245</v>
      </c>
      <c r="BV2098" s="2" t="s">
        <v>86</v>
      </c>
      <c r="BW2098" s="2"/>
      <c r="BX2098" s="2"/>
      <c r="BY2098" s="2">
        <v>1200</v>
      </c>
      <c r="BZ2098" s="2"/>
      <c r="CA2098" s="2"/>
      <c r="CB2098" s="2"/>
      <c r="CC2098" s="2" t="s">
        <v>235</v>
      </c>
      <c r="CD2098" s="2">
        <v>6220</v>
      </c>
      <c r="CE2098" s="2" t="s">
        <v>118</v>
      </c>
      <c r="CF2098" s="5">
        <v>42845</v>
      </c>
      <c r="CG2098" s="2"/>
      <c r="CH2098" s="2"/>
      <c r="CI2098" s="2">
        <v>1</v>
      </c>
      <c r="CJ2098" s="2">
        <v>1</v>
      </c>
      <c r="CK2098" s="2">
        <v>21</v>
      </c>
      <c r="CL2098" s="2" t="s">
        <v>86</v>
      </c>
      <c r="CM2098" s="2"/>
    </row>
    <row r="2099" spans="1:91">
      <c r="A2099" s="2" t="s">
        <v>71</v>
      </c>
      <c r="B2099" s="2" t="s">
        <v>72</v>
      </c>
      <c r="C2099" s="2" t="s">
        <v>73</v>
      </c>
      <c r="D2099" s="2"/>
      <c r="E2099" s="2" t="str">
        <f>"FES1162543918"</f>
        <v>FES1162543918</v>
      </c>
      <c r="F2099" s="3">
        <v>42843</v>
      </c>
      <c r="G2099" s="2">
        <v>201710</v>
      </c>
      <c r="H2099" s="2" t="s">
        <v>74</v>
      </c>
      <c r="I2099" s="2" t="s">
        <v>75</v>
      </c>
      <c r="J2099" s="2" t="s">
        <v>76</v>
      </c>
      <c r="K2099" s="2" t="s">
        <v>77</v>
      </c>
      <c r="L2099" s="2" t="s">
        <v>139</v>
      </c>
      <c r="M2099" s="2" t="s">
        <v>140</v>
      </c>
      <c r="N2099" s="2" t="s">
        <v>2538</v>
      </c>
      <c r="O2099" s="2" t="s">
        <v>115</v>
      </c>
      <c r="P2099" s="2" t="str">
        <f>"2170562527                    "</f>
        <v xml:space="preserve">2170562527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4.29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</v>
      </c>
      <c r="BJ2099" s="2">
        <v>0.2</v>
      </c>
      <c r="BK2099" s="2">
        <v>1</v>
      </c>
      <c r="BL2099" s="2">
        <v>41.73</v>
      </c>
      <c r="BM2099" s="2">
        <v>5.84</v>
      </c>
      <c r="BN2099" s="2">
        <v>47.57</v>
      </c>
      <c r="BO2099" s="2">
        <v>47.57</v>
      </c>
      <c r="BP2099" s="2"/>
      <c r="BQ2099" s="2" t="s">
        <v>2539</v>
      </c>
      <c r="BR2099" s="2" t="s">
        <v>84</v>
      </c>
      <c r="BS2099" s="3">
        <v>42844</v>
      </c>
      <c r="BT2099" s="4">
        <v>0.42708333333333331</v>
      </c>
      <c r="BU2099" s="2" t="s">
        <v>2539</v>
      </c>
      <c r="BV2099" s="2" t="s">
        <v>111</v>
      </c>
      <c r="BW2099" s="2"/>
      <c r="BX2099" s="2"/>
      <c r="BY2099" s="2">
        <v>1200</v>
      </c>
      <c r="BZ2099" s="2" t="s">
        <v>27</v>
      </c>
      <c r="CA2099" s="2"/>
      <c r="CB2099" s="2"/>
      <c r="CC2099" s="2" t="s">
        <v>140</v>
      </c>
      <c r="CD2099" s="2">
        <v>157</v>
      </c>
      <c r="CE2099" s="2" t="s">
        <v>118</v>
      </c>
      <c r="CF2099" s="5">
        <v>42846</v>
      </c>
      <c r="CG2099" s="2"/>
      <c r="CH2099" s="2"/>
      <c r="CI2099" s="2">
        <v>0</v>
      </c>
      <c r="CJ2099" s="2">
        <v>0</v>
      </c>
      <c r="CK2099" s="2">
        <v>21</v>
      </c>
      <c r="CL2099" s="2" t="s">
        <v>86</v>
      </c>
      <c r="CM2099" s="2"/>
    </row>
    <row r="2100" spans="1:91">
      <c r="A2100" s="2" t="s">
        <v>71</v>
      </c>
      <c r="B2100" s="2" t="s">
        <v>72</v>
      </c>
      <c r="C2100" s="2" t="s">
        <v>73</v>
      </c>
      <c r="D2100" s="2"/>
      <c r="E2100" s="2" t="str">
        <f>"FES1162544028"</f>
        <v>FES1162544028</v>
      </c>
      <c r="F2100" s="3">
        <v>42843</v>
      </c>
      <c r="G2100" s="2">
        <v>201710</v>
      </c>
      <c r="H2100" s="2" t="s">
        <v>74</v>
      </c>
      <c r="I2100" s="2" t="s">
        <v>75</v>
      </c>
      <c r="J2100" s="2" t="s">
        <v>76</v>
      </c>
      <c r="K2100" s="2" t="s">
        <v>77</v>
      </c>
      <c r="L2100" s="2" t="s">
        <v>234</v>
      </c>
      <c r="M2100" s="2" t="s">
        <v>235</v>
      </c>
      <c r="N2100" s="2" t="s">
        <v>236</v>
      </c>
      <c r="O2100" s="2" t="s">
        <v>115</v>
      </c>
      <c r="P2100" s="2" t="str">
        <f>"2170562455                    "</f>
        <v xml:space="preserve">2170562455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40.729999999999997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19</v>
      </c>
      <c r="BJ2100" s="2">
        <v>17.600000000000001</v>
      </c>
      <c r="BK2100" s="2">
        <v>19</v>
      </c>
      <c r="BL2100" s="2">
        <v>396.41</v>
      </c>
      <c r="BM2100" s="2">
        <v>55.5</v>
      </c>
      <c r="BN2100" s="2">
        <v>451.91</v>
      </c>
      <c r="BO2100" s="2">
        <v>451.91</v>
      </c>
      <c r="BP2100" s="2"/>
      <c r="BQ2100" s="2" t="s">
        <v>285</v>
      </c>
      <c r="BR2100" s="2" t="s">
        <v>84</v>
      </c>
      <c r="BS2100" s="3">
        <v>42844</v>
      </c>
      <c r="BT2100" s="4">
        <v>0.45833333333333331</v>
      </c>
      <c r="BU2100" s="2" t="s">
        <v>245</v>
      </c>
      <c r="BV2100" s="2" t="s">
        <v>86</v>
      </c>
      <c r="BW2100" s="2"/>
      <c r="BX2100" s="2"/>
      <c r="BY2100" s="2">
        <v>88181.38</v>
      </c>
      <c r="BZ2100" s="2"/>
      <c r="CA2100" s="2"/>
      <c r="CB2100" s="2"/>
      <c r="CC2100" s="2" t="s">
        <v>235</v>
      </c>
      <c r="CD2100" s="2">
        <v>6220</v>
      </c>
      <c r="CE2100" s="2" t="s">
        <v>89</v>
      </c>
      <c r="CF2100" s="5">
        <v>42845</v>
      </c>
      <c r="CG2100" s="2"/>
      <c r="CH2100" s="2"/>
      <c r="CI2100" s="2">
        <v>1</v>
      </c>
      <c r="CJ2100" s="2">
        <v>1</v>
      </c>
      <c r="CK2100" s="2">
        <v>21</v>
      </c>
      <c r="CL2100" s="2" t="s">
        <v>86</v>
      </c>
      <c r="CM2100" s="2"/>
    </row>
    <row r="2101" spans="1:91">
      <c r="A2101" s="2" t="s">
        <v>71</v>
      </c>
      <c r="B2101" s="2" t="s">
        <v>72</v>
      </c>
      <c r="C2101" s="2" t="s">
        <v>73</v>
      </c>
      <c r="D2101" s="2"/>
      <c r="E2101" s="2" t="str">
        <f>"FES1162543970"</f>
        <v>FES1162543970</v>
      </c>
      <c r="F2101" s="3">
        <v>42843</v>
      </c>
      <c r="G2101" s="2">
        <v>201710</v>
      </c>
      <c r="H2101" s="2" t="s">
        <v>74</v>
      </c>
      <c r="I2101" s="2" t="s">
        <v>75</v>
      </c>
      <c r="J2101" s="2" t="s">
        <v>76</v>
      </c>
      <c r="K2101" s="2" t="s">
        <v>77</v>
      </c>
      <c r="L2101" s="2" t="s">
        <v>187</v>
      </c>
      <c r="M2101" s="2" t="s">
        <v>146</v>
      </c>
      <c r="N2101" s="2" t="s">
        <v>2529</v>
      </c>
      <c r="O2101" s="2" t="s">
        <v>115</v>
      </c>
      <c r="P2101" s="2" t="str">
        <f>"2170562564                    "</f>
        <v xml:space="preserve">2170562564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4.29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0.5</v>
      </c>
      <c r="BJ2101" s="2">
        <v>0.2</v>
      </c>
      <c r="BK2101" s="2">
        <v>0.5</v>
      </c>
      <c r="BL2101" s="2">
        <v>41.73</v>
      </c>
      <c r="BM2101" s="2">
        <v>5.84</v>
      </c>
      <c r="BN2101" s="2">
        <v>47.57</v>
      </c>
      <c r="BO2101" s="2">
        <v>47.57</v>
      </c>
      <c r="BP2101" s="2"/>
      <c r="BQ2101" s="2" t="s">
        <v>2530</v>
      </c>
      <c r="BR2101" s="2" t="s">
        <v>84</v>
      </c>
      <c r="BS2101" s="3">
        <v>42844</v>
      </c>
      <c r="BT2101" s="4">
        <v>0.50694444444444442</v>
      </c>
      <c r="BU2101" s="2" t="s">
        <v>2531</v>
      </c>
      <c r="BV2101" s="2" t="s">
        <v>111</v>
      </c>
      <c r="BW2101" s="2"/>
      <c r="BX2101" s="2"/>
      <c r="BY2101" s="2">
        <v>1200</v>
      </c>
      <c r="BZ2101" s="2" t="s">
        <v>27</v>
      </c>
      <c r="CA2101" s="2"/>
      <c r="CB2101" s="2"/>
      <c r="CC2101" s="2" t="s">
        <v>146</v>
      </c>
      <c r="CD2101" s="2">
        <v>183</v>
      </c>
      <c r="CE2101" s="2" t="s">
        <v>118</v>
      </c>
      <c r="CF2101" s="5">
        <v>42846</v>
      </c>
      <c r="CG2101" s="2"/>
      <c r="CH2101" s="2"/>
      <c r="CI2101" s="2">
        <v>0</v>
      </c>
      <c r="CJ2101" s="2">
        <v>0</v>
      </c>
      <c r="CK2101" s="2">
        <v>21</v>
      </c>
      <c r="CL2101" s="2" t="s">
        <v>86</v>
      </c>
      <c r="CM2101" s="2"/>
    </row>
    <row r="2102" spans="1:91">
      <c r="A2102" s="2" t="s">
        <v>71</v>
      </c>
      <c r="B2102" s="2" t="s">
        <v>72</v>
      </c>
      <c r="C2102" s="2" t="s">
        <v>73</v>
      </c>
      <c r="D2102" s="2"/>
      <c r="E2102" s="2" t="str">
        <f>"FES1162544067"</f>
        <v>FES1162544067</v>
      </c>
      <c r="F2102" s="3">
        <v>42843</v>
      </c>
      <c r="G2102" s="2">
        <v>201710</v>
      </c>
      <c r="H2102" s="2" t="s">
        <v>74</v>
      </c>
      <c r="I2102" s="2" t="s">
        <v>75</v>
      </c>
      <c r="J2102" s="2" t="s">
        <v>76</v>
      </c>
      <c r="K2102" s="2" t="s">
        <v>77</v>
      </c>
      <c r="L2102" s="2" t="s">
        <v>396</v>
      </c>
      <c r="M2102" s="2" t="s">
        <v>397</v>
      </c>
      <c r="N2102" s="2" t="s">
        <v>398</v>
      </c>
      <c r="O2102" s="2" t="s">
        <v>115</v>
      </c>
      <c r="P2102" s="2" t="str">
        <f>"2170562663                    "</f>
        <v xml:space="preserve">2170562663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6.43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2</v>
      </c>
      <c r="BJ2102" s="2">
        <v>3</v>
      </c>
      <c r="BK2102" s="2">
        <v>3</v>
      </c>
      <c r="BL2102" s="2">
        <v>62.59</v>
      </c>
      <c r="BM2102" s="2">
        <v>8.76</v>
      </c>
      <c r="BN2102" s="2">
        <v>71.349999999999994</v>
      </c>
      <c r="BO2102" s="2">
        <v>71.349999999999994</v>
      </c>
      <c r="BP2102" s="2"/>
      <c r="BQ2102" s="2" t="s">
        <v>399</v>
      </c>
      <c r="BR2102" s="2" t="s">
        <v>84</v>
      </c>
      <c r="BS2102" s="3">
        <v>42844</v>
      </c>
      <c r="BT2102" s="4">
        <v>0.41666666666666669</v>
      </c>
      <c r="BU2102" s="2" t="s">
        <v>2474</v>
      </c>
      <c r="BV2102" s="2" t="s">
        <v>111</v>
      </c>
      <c r="BW2102" s="2"/>
      <c r="BX2102" s="2"/>
      <c r="BY2102" s="2">
        <v>15246</v>
      </c>
      <c r="BZ2102" s="2"/>
      <c r="CA2102" s="2"/>
      <c r="CB2102" s="2"/>
      <c r="CC2102" s="2" t="s">
        <v>397</v>
      </c>
      <c r="CD2102" s="2">
        <v>4300</v>
      </c>
      <c r="CE2102" s="2" t="s">
        <v>89</v>
      </c>
      <c r="CF2102" s="5">
        <v>42845</v>
      </c>
      <c r="CG2102" s="2"/>
      <c r="CH2102" s="2"/>
      <c r="CI2102" s="2">
        <v>1</v>
      </c>
      <c r="CJ2102" s="2">
        <v>1</v>
      </c>
      <c r="CK2102" s="2">
        <v>21</v>
      </c>
      <c r="CL2102" s="2" t="s">
        <v>86</v>
      </c>
      <c r="CM2102" s="2"/>
    </row>
    <row r="2103" spans="1:91">
      <c r="A2103" s="2" t="s">
        <v>71</v>
      </c>
      <c r="B2103" s="2" t="s">
        <v>72</v>
      </c>
      <c r="C2103" s="2" t="s">
        <v>73</v>
      </c>
      <c r="D2103" s="2"/>
      <c r="E2103" s="2" t="str">
        <f>"FES1162543993"</f>
        <v>FES1162543993</v>
      </c>
      <c r="F2103" s="3">
        <v>42843</v>
      </c>
      <c r="G2103" s="2">
        <v>201710</v>
      </c>
      <c r="H2103" s="2" t="s">
        <v>74</v>
      </c>
      <c r="I2103" s="2" t="s">
        <v>75</v>
      </c>
      <c r="J2103" s="2" t="s">
        <v>76</v>
      </c>
      <c r="K2103" s="2" t="s">
        <v>77</v>
      </c>
      <c r="L2103" s="2" t="s">
        <v>139</v>
      </c>
      <c r="M2103" s="2" t="s">
        <v>140</v>
      </c>
      <c r="N2103" s="2" t="s">
        <v>826</v>
      </c>
      <c r="O2103" s="2" t="s">
        <v>115</v>
      </c>
      <c r="P2103" s="2" t="str">
        <f>"2170560315                    "</f>
        <v xml:space="preserve">2170560315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4.29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0.5</v>
      </c>
      <c r="BJ2103" s="2">
        <v>0.2</v>
      </c>
      <c r="BK2103" s="2">
        <v>0.5</v>
      </c>
      <c r="BL2103" s="2">
        <v>41.73</v>
      </c>
      <c r="BM2103" s="2">
        <v>5.84</v>
      </c>
      <c r="BN2103" s="2">
        <v>47.57</v>
      </c>
      <c r="BO2103" s="2">
        <v>47.57</v>
      </c>
      <c r="BP2103" s="2"/>
      <c r="BQ2103" s="2" t="s">
        <v>827</v>
      </c>
      <c r="BR2103" s="2" t="s">
        <v>84</v>
      </c>
      <c r="BS2103" s="3">
        <v>42844</v>
      </c>
      <c r="BT2103" s="4">
        <v>0.36249999999999999</v>
      </c>
      <c r="BU2103" s="2" t="s">
        <v>2540</v>
      </c>
      <c r="BV2103" s="2" t="s">
        <v>111</v>
      </c>
      <c r="BW2103" s="2"/>
      <c r="BX2103" s="2"/>
      <c r="BY2103" s="2">
        <v>1200</v>
      </c>
      <c r="BZ2103" s="2" t="s">
        <v>27</v>
      </c>
      <c r="CA2103" s="2"/>
      <c r="CB2103" s="2"/>
      <c r="CC2103" s="2" t="s">
        <v>140</v>
      </c>
      <c r="CD2103" s="2">
        <v>157</v>
      </c>
      <c r="CE2103" s="2" t="s">
        <v>118</v>
      </c>
      <c r="CF2103" s="5">
        <v>42846</v>
      </c>
      <c r="CG2103" s="2"/>
      <c r="CH2103" s="2"/>
      <c r="CI2103" s="2">
        <v>0</v>
      </c>
      <c r="CJ2103" s="2">
        <v>0</v>
      </c>
      <c r="CK2103" s="2">
        <v>21</v>
      </c>
      <c r="CL2103" s="2" t="s">
        <v>86</v>
      </c>
      <c r="CM2103" s="2"/>
    </row>
    <row r="2104" spans="1:91">
      <c r="A2104" s="2" t="s">
        <v>71</v>
      </c>
      <c r="B2104" s="2" t="s">
        <v>72</v>
      </c>
      <c r="C2104" s="2" t="s">
        <v>73</v>
      </c>
      <c r="D2104" s="2"/>
      <c r="E2104" s="2" t="str">
        <f>"FES1162544022"</f>
        <v>FES1162544022</v>
      </c>
      <c r="F2104" s="3">
        <v>42843</v>
      </c>
      <c r="G2104" s="2">
        <v>201710</v>
      </c>
      <c r="H2104" s="2" t="s">
        <v>74</v>
      </c>
      <c r="I2104" s="2" t="s">
        <v>75</v>
      </c>
      <c r="J2104" s="2" t="s">
        <v>76</v>
      </c>
      <c r="K2104" s="2" t="s">
        <v>77</v>
      </c>
      <c r="L2104" s="2" t="s">
        <v>934</v>
      </c>
      <c r="M2104" s="2" t="s">
        <v>935</v>
      </c>
      <c r="N2104" s="2" t="s">
        <v>2466</v>
      </c>
      <c r="O2104" s="2" t="s">
        <v>115</v>
      </c>
      <c r="P2104" s="2" t="str">
        <f>"2170562614                    "</f>
        <v xml:space="preserve">2170562614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4.29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1</v>
      </c>
      <c r="BJ2104" s="2">
        <v>0.2</v>
      </c>
      <c r="BK2104" s="2">
        <v>1</v>
      </c>
      <c r="BL2104" s="2">
        <v>41.73</v>
      </c>
      <c r="BM2104" s="2">
        <v>5.84</v>
      </c>
      <c r="BN2104" s="2">
        <v>47.57</v>
      </c>
      <c r="BO2104" s="2">
        <v>47.57</v>
      </c>
      <c r="BP2104" s="2"/>
      <c r="BQ2104" s="2" t="s">
        <v>2467</v>
      </c>
      <c r="BR2104" s="2" t="s">
        <v>84</v>
      </c>
      <c r="BS2104" s="3">
        <v>42845</v>
      </c>
      <c r="BT2104" s="4">
        <v>0.41666666666666669</v>
      </c>
      <c r="BU2104" s="2" t="s">
        <v>2468</v>
      </c>
      <c r="BV2104" s="2" t="s">
        <v>86</v>
      </c>
      <c r="BW2104" s="2" t="s">
        <v>96</v>
      </c>
      <c r="BX2104" s="2" t="s">
        <v>97</v>
      </c>
      <c r="BY2104" s="2">
        <v>1200</v>
      </c>
      <c r="BZ2104" s="2"/>
      <c r="CA2104" s="2"/>
      <c r="CB2104" s="2"/>
      <c r="CC2104" s="2" t="s">
        <v>935</v>
      </c>
      <c r="CD2104" s="2">
        <v>1934</v>
      </c>
      <c r="CE2104" s="2" t="s">
        <v>118</v>
      </c>
      <c r="CF2104" s="5">
        <v>42846</v>
      </c>
      <c r="CG2104" s="2"/>
      <c r="CH2104" s="2"/>
      <c r="CI2104" s="2">
        <v>1</v>
      </c>
      <c r="CJ2104" s="2">
        <v>2</v>
      </c>
      <c r="CK2104" s="2">
        <v>21</v>
      </c>
      <c r="CL2104" s="2" t="s">
        <v>86</v>
      </c>
      <c r="CM2104" s="2"/>
    </row>
    <row r="2105" spans="1:91">
      <c r="A2105" s="2" t="s">
        <v>71</v>
      </c>
      <c r="B2105" s="2" t="s">
        <v>72</v>
      </c>
      <c r="C2105" s="2" t="s">
        <v>73</v>
      </c>
      <c r="D2105" s="2"/>
      <c r="E2105" s="2" t="str">
        <f>"FES1162543925"</f>
        <v>FES1162543925</v>
      </c>
      <c r="F2105" s="3">
        <v>42843</v>
      </c>
      <c r="G2105" s="2">
        <v>201710</v>
      </c>
      <c r="H2105" s="2" t="s">
        <v>74</v>
      </c>
      <c r="I2105" s="2" t="s">
        <v>75</v>
      </c>
      <c r="J2105" s="2" t="s">
        <v>76</v>
      </c>
      <c r="K2105" s="2" t="s">
        <v>77</v>
      </c>
      <c r="L2105" s="2" t="s">
        <v>180</v>
      </c>
      <c r="M2105" s="2" t="s">
        <v>181</v>
      </c>
      <c r="N2105" s="2" t="s">
        <v>1247</v>
      </c>
      <c r="O2105" s="2" t="s">
        <v>115</v>
      </c>
      <c r="P2105" s="2" t="str">
        <f>"2170562536                    "</f>
        <v xml:space="preserve">2170562536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4.29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1</v>
      </c>
      <c r="BI2105" s="2">
        <v>0.5</v>
      </c>
      <c r="BJ2105" s="2">
        <v>0.2</v>
      </c>
      <c r="BK2105" s="2">
        <v>0.5</v>
      </c>
      <c r="BL2105" s="2">
        <v>41.73</v>
      </c>
      <c r="BM2105" s="2">
        <v>5.84</v>
      </c>
      <c r="BN2105" s="2">
        <v>47.57</v>
      </c>
      <c r="BO2105" s="2">
        <v>47.57</v>
      </c>
      <c r="BP2105" s="2"/>
      <c r="BQ2105" s="2" t="s">
        <v>129</v>
      </c>
      <c r="BR2105" s="2" t="s">
        <v>84</v>
      </c>
      <c r="BS2105" s="3">
        <v>42844</v>
      </c>
      <c r="BT2105" s="4">
        <v>0.33333333333333331</v>
      </c>
      <c r="BU2105" s="2" t="s">
        <v>2541</v>
      </c>
      <c r="BV2105" s="2" t="s">
        <v>111</v>
      </c>
      <c r="BW2105" s="2"/>
      <c r="BX2105" s="2"/>
      <c r="BY2105" s="2">
        <v>1200</v>
      </c>
      <c r="BZ2105" s="2" t="s">
        <v>27</v>
      </c>
      <c r="CA2105" s="2"/>
      <c r="CB2105" s="2"/>
      <c r="CC2105" s="2" t="s">
        <v>181</v>
      </c>
      <c r="CD2105" s="2">
        <v>4001</v>
      </c>
      <c r="CE2105" s="2" t="s">
        <v>118</v>
      </c>
      <c r="CF2105" s="5">
        <v>42845</v>
      </c>
      <c r="CG2105" s="2"/>
      <c r="CH2105" s="2"/>
      <c r="CI2105" s="2">
        <v>1</v>
      </c>
      <c r="CJ2105" s="2">
        <v>1</v>
      </c>
      <c r="CK2105" s="2">
        <v>21</v>
      </c>
      <c r="CL2105" s="2" t="s">
        <v>86</v>
      </c>
      <c r="CM2105" s="2"/>
    </row>
    <row r="2106" spans="1:91">
      <c r="A2106" s="2" t="s">
        <v>71</v>
      </c>
      <c r="B2106" s="2" t="s">
        <v>72</v>
      </c>
      <c r="C2106" s="2" t="s">
        <v>73</v>
      </c>
      <c r="D2106" s="2"/>
      <c r="E2106" s="2" t="str">
        <f>"FES1162544085"</f>
        <v>FES1162544085</v>
      </c>
      <c r="F2106" s="3">
        <v>42843</v>
      </c>
      <c r="G2106" s="2">
        <v>201710</v>
      </c>
      <c r="H2106" s="2" t="s">
        <v>74</v>
      </c>
      <c r="I2106" s="2" t="s">
        <v>75</v>
      </c>
      <c r="J2106" s="2" t="s">
        <v>76</v>
      </c>
      <c r="K2106" s="2" t="s">
        <v>77</v>
      </c>
      <c r="L2106" s="2" t="s">
        <v>396</v>
      </c>
      <c r="M2106" s="2" t="s">
        <v>397</v>
      </c>
      <c r="N2106" s="2" t="s">
        <v>1572</v>
      </c>
      <c r="O2106" s="2" t="s">
        <v>115</v>
      </c>
      <c r="P2106" s="2" t="str">
        <f>"2170560645                    "</f>
        <v xml:space="preserve">2170560645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4.29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1</v>
      </c>
      <c r="BJ2106" s="2">
        <v>0.2</v>
      </c>
      <c r="BK2106" s="2">
        <v>1</v>
      </c>
      <c r="BL2106" s="2">
        <v>41.73</v>
      </c>
      <c r="BM2106" s="2">
        <v>5.84</v>
      </c>
      <c r="BN2106" s="2">
        <v>47.57</v>
      </c>
      <c r="BO2106" s="2">
        <v>47.57</v>
      </c>
      <c r="BP2106" s="2"/>
      <c r="BQ2106" s="2" t="s">
        <v>1573</v>
      </c>
      <c r="BR2106" s="2" t="s">
        <v>84</v>
      </c>
      <c r="BS2106" s="3">
        <v>42844</v>
      </c>
      <c r="BT2106" s="4">
        <v>0.4375</v>
      </c>
      <c r="BU2106" s="2" t="s">
        <v>266</v>
      </c>
      <c r="BV2106" s="2" t="s">
        <v>111</v>
      </c>
      <c r="BW2106" s="2"/>
      <c r="BX2106" s="2"/>
      <c r="BY2106" s="2">
        <v>1200</v>
      </c>
      <c r="BZ2106" s="2"/>
      <c r="CA2106" s="2"/>
      <c r="CB2106" s="2"/>
      <c r="CC2106" s="2" t="s">
        <v>397</v>
      </c>
      <c r="CD2106" s="2">
        <v>4300</v>
      </c>
      <c r="CE2106" s="2" t="s">
        <v>118</v>
      </c>
      <c r="CF2106" s="5">
        <v>42845</v>
      </c>
      <c r="CG2106" s="2"/>
      <c r="CH2106" s="2"/>
      <c r="CI2106" s="2">
        <v>1</v>
      </c>
      <c r="CJ2106" s="2">
        <v>1</v>
      </c>
      <c r="CK2106" s="2">
        <v>21</v>
      </c>
      <c r="CL2106" s="2" t="s">
        <v>86</v>
      </c>
      <c r="CM2106" s="2"/>
    </row>
    <row r="2107" spans="1:91">
      <c r="A2107" s="2" t="s">
        <v>71</v>
      </c>
      <c r="B2107" s="2" t="s">
        <v>72</v>
      </c>
      <c r="C2107" s="2" t="s">
        <v>73</v>
      </c>
      <c r="D2107" s="2"/>
      <c r="E2107" s="2" t="str">
        <f>"FES1162543825"</f>
        <v>FES1162543825</v>
      </c>
      <c r="F2107" s="3">
        <v>42843</v>
      </c>
      <c r="G2107" s="2">
        <v>201710</v>
      </c>
      <c r="H2107" s="2" t="s">
        <v>74</v>
      </c>
      <c r="I2107" s="2" t="s">
        <v>75</v>
      </c>
      <c r="J2107" s="2" t="s">
        <v>76</v>
      </c>
      <c r="K2107" s="2" t="s">
        <v>77</v>
      </c>
      <c r="L2107" s="2" t="s">
        <v>166</v>
      </c>
      <c r="M2107" s="2" t="s">
        <v>167</v>
      </c>
      <c r="N2107" s="2" t="s">
        <v>168</v>
      </c>
      <c r="O2107" s="2" t="s">
        <v>115</v>
      </c>
      <c r="P2107" s="2" t="str">
        <f>"2170560329                    "</f>
        <v xml:space="preserve">2170560329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3.35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2</v>
      </c>
      <c r="BJ2107" s="2">
        <v>1.8</v>
      </c>
      <c r="BK2107" s="2">
        <v>2</v>
      </c>
      <c r="BL2107" s="2">
        <v>32.6</v>
      </c>
      <c r="BM2107" s="2">
        <v>4.5599999999999996</v>
      </c>
      <c r="BN2107" s="2">
        <v>37.159999999999997</v>
      </c>
      <c r="BO2107" s="2">
        <v>37.159999999999997</v>
      </c>
      <c r="BP2107" s="2"/>
      <c r="BQ2107" s="2" t="s">
        <v>169</v>
      </c>
      <c r="BR2107" s="2" t="s">
        <v>84</v>
      </c>
      <c r="BS2107" s="3">
        <v>42844</v>
      </c>
      <c r="BT2107" s="4">
        <v>0.3611111111111111</v>
      </c>
      <c r="BU2107" s="2" t="s">
        <v>2542</v>
      </c>
      <c r="BV2107" s="2" t="s">
        <v>111</v>
      </c>
      <c r="BW2107" s="2"/>
      <c r="BX2107" s="2"/>
      <c r="BY2107" s="2">
        <v>9120</v>
      </c>
      <c r="BZ2107" s="2" t="s">
        <v>27</v>
      </c>
      <c r="CA2107" s="2" t="s">
        <v>2312</v>
      </c>
      <c r="CB2107" s="2"/>
      <c r="CC2107" s="2" t="s">
        <v>167</v>
      </c>
      <c r="CD2107" s="2">
        <v>2094</v>
      </c>
      <c r="CE2107" s="2" t="s">
        <v>89</v>
      </c>
      <c r="CF2107" s="5">
        <v>42844</v>
      </c>
      <c r="CG2107" s="2"/>
      <c r="CH2107" s="2"/>
      <c r="CI2107" s="2">
        <v>1</v>
      </c>
      <c r="CJ2107" s="2">
        <v>1</v>
      </c>
      <c r="CK2107" s="2">
        <v>22</v>
      </c>
      <c r="CL2107" s="2" t="s">
        <v>86</v>
      </c>
      <c r="CM2107" s="2"/>
    </row>
    <row r="2108" spans="1:91">
      <c r="A2108" s="2" t="s">
        <v>71</v>
      </c>
      <c r="B2108" s="2" t="s">
        <v>72</v>
      </c>
      <c r="C2108" s="2" t="s">
        <v>73</v>
      </c>
      <c r="D2108" s="2"/>
      <c r="E2108" s="2" t="str">
        <f>"FES1162544038"</f>
        <v>FES1162544038</v>
      </c>
      <c r="F2108" s="3">
        <v>42843</v>
      </c>
      <c r="G2108" s="2">
        <v>201710</v>
      </c>
      <c r="H2108" s="2" t="s">
        <v>74</v>
      </c>
      <c r="I2108" s="2" t="s">
        <v>75</v>
      </c>
      <c r="J2108" s="2" t="s">
        <v>76</v>
      </c>
      <c r="K2108" s="2" t="s">
        <v>77</v>
      </c>
      <c r="L2108" s="2" t="s">
        <v>176</v>
      </c>
      <c r="M2108" s="2" t="s">
        <v>176</v>
      </c>
      <c r="N2108" s="2" t="s">
        <v>177</v>
      </c>
      <c r="O2108" s="2" t="s">
        <v>115</v>
      </c>
      <c r="P2108" s="2" t="str">
        <f>"2170562634                    "</f>
        <v xml:space="preserve">2170562634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4.29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</v>
      </c>
      <c r="BJ2108" s="2">
        <v>0.2</v>
      </c>
      <c r="BK2108" s="2">
        <v>1</v>
      </c>
      <c r="BL2108" s="2">
        <v>41.73</v>
      </c>
      <c r="BM2108" s="2">
        <v>5.84</v>
      </c>
      <c r="BN2108" s="2">
        <v>47.57</v>
      </c>
      <c r="BO2108" s="2">
        <v>47.57</v>
      </c>
      <c r="BP2108" s="2"/>
      <c r="BQ2108" s="2" t="s">
        <v>178</v>
      </c>
      <c r="BR2108" s="2" t="s">
        <v>84</v>
      </c>
      <c r="BS2108" s="3">
        <v>42844</v>
      </c>
      <c r="BT2108" s="4">
        <v>0.53125</v>
      </c>
      <c r="BU2108" s="2" t="s">
        <v>1487</v>
      </c>
      <c r="BV2108" s="2" t="s">
        <v>111</v>
      </c>
      <c r="BW2108" s="2"/>
      <c r="BX2108" s="2"/>
      <c r="BY2108" s="2">
        <v>1200</v>
      </c>
      <c r="BZ2108" s="2"/>
      <c r="CA2108" s="2"/>
      <c r="CB2108" s="2"/>
      <c r="CC2108" s="2" t="s">
        <v>176</v>
      </c>
      <c r="CD2108" s="2">
        <v>7646</v>
      </c>
      <c r="CE2108" s="2" t="s">
        <v>118</v>
      </c>
      <c r="CF2108" s="5">
        <v>42845</v>
      </c>
      <c r="CG2108" s="2"/>
      <c r="CH2108" s="2"/>
      <c r="CI2108" s="2">
        <v>1</v>
      </c>
      <c r="CJ2108" s="2">
        <v>1</v>
      </c>
      <c r="CK2108" s="2">
        <v>21</v>
      </c>
      <c r="CL2108" s="2" t="s">
        <v>86</v>
      </c>
      <c r="CM2108" s="2"/>
    </row>
    <row r="2109" spans="1:91">
      <c r="A2109" s="2" t="s">
        <v>71</v>
      </c>
      <c r="B2109" s="2" t="s">
        <v>72</v>
      </c>
      <c r="C2109" s="2" t="s">
        <v>73</v>
      </c>
      <c r="D2109" s="2"/>
      <c r="E2109" s="2" t="str">
        <f>"FES1162544046"</f>
        <v>FES1162544046</v>
      </c>
      <c r="F2109" s="3">
        <v>42843</v>
      </c>
      <c r="G2109" s="2">
        <v>201710</v>
      </c>
      <c r="H2109" s="2" t="s">
        <v>74</v>
      </c>
      <c r="I2109" s="2" t="s">
        <v>75</v>
      </c>
      <c r="J2109" s="2" t="s">
        <v>76</v>
      </c>
      <c r="K2109" s="2" t="s">
        <v>77</v>
      </c>
      <c r="L2109" s="2" t="s">
        <v>176</v>
      </c>
      <c r="M2109" s="2" t="s">
        <v>176</v>
      </c>
      <c r="N2109" s="2" t="s">
        <v>1413</v>
      </c>
      <c r="O2109" s="2" t="s">
        <v>115</v>
      </c>
      <c r="P2109" s="2" t="str">
        <f>"2170562642                    "</f>
        <v xml:space="preserve">2170562642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4.29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1</v>
      </c>
      <c r="BJ2109" s="2">
        <v>0.2</v>
      </c>
      <c r="BK2109" s="2">
        <v>1</v>
      </c>
      <c r="BL2109" s="2">
        <v>41.73</v>
      </c>
      <c r="BM2109" s="2">
        <v>5.84</v>
      </c>
      <c r="BN2109" s="2">
        <v>47.57</v>
      </c>
      <c r="BO2109" s="2">
        <v>47.57</v>
      </c>
      <c r="BP2109" s="2"/>
      <c r="BQ2109" s="2" t="s">
        <v>83</v>
      </c>
      <c r="BR2109" s="2" t="s">
        <v>84</v>
      </c>
      <c r="BS2109" s="3">
        <v>42844</v>
      </c>
      <c r="BT2109" s="4">
        <v>0.54861111111111105</v>
      </c>
      <c r="BU2109" s="2" t="s">
        <v>1531</v>
      </c>
      <c r="BV2109" s="2" t="s">
        <v>111</v>
      </c>
      <c r="BW2109" s="2"/>
      <c r="BX2109" s="2"/>
      <c r="BY2109" s="2">
        <v>1200</v>
      </c>
      <c r="BZ2109" s="2"/>
      <c r="CA2109" s="2"/>
      <c r="CB2109" s="2"/>
      <c r="CC2109" s="2" t="s">
        <v>176</v>
      </c>
      <c r="CD2109" s="2">
        <v>7620</v>
      </c>
      <c r="CE2109" s="2" t="s">
        <v>118</v>
      </c>
      <c r="CF2109" s="5">
        <v>42845</v>
      </c>
      <c r="CG2109" s="2"/>
      <c r="CH2109" s="2"/>
      <c r="CI2109" s="2">
        <v>1</v>
      </c>
      <c r="CJ2109" s="2">
        <v>1</v>
      </c>
      <c r="CK2109" s="2">
        <v>21</v>
      </c>
      <c r="CL2109" s="2" t="s">
        <v>86</v>
      </c>
      <c r="CM2109" s="2"/>
    </row>
    <row r="2110" spans="1:91">
      <c r="A2110" s="2" t="s">
        <v>71</v>
      </c>
      <c r="B2110" s="2" t="s">
        <v>72</v>
      </c>
      <c r="C2110" s="2" t="s">
        <v>73</v>
      </c>
      <c r="D2110" s="2"/>
      <c r="E2110" s="2" t="str">
        <f>"FES1162543956"</f>
        <v>FES1162543956</v>
      </c>
      <c r="F2110" s="3">
        <v>42843</v>
      </c>
      <c r="G2110" s="2">
        <v>201710</v>
      </c>
      <c r="H2110" s="2" t="s">
        <v>74</v>
      </c>
      <c r="I2110" s="2" t="s">
        <v>75</v>
      </c>
      <c r="J2110" s="2" t="s">
        <v>76</v>
      </c>
      <c r="K2110" s="2" t="s">
        <v>77</v>
      </c>
      <c r="L2110" s="2" t="s">
        <v>160</v>
      </c>
      <c r="M2110" s="2" t="s">
        <v>161</v>
      </c>
      <c r="N2110" s="2" t="s">
        <v>623</v>
      </c>
      <c r="O2110" s="2" t="s">
        <v>115</v>
      </c>
      <c r="P2110" s="2" t="str">
        <f>"2170560461                    "</f>
        <v xml:space="preserve">2170560461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4.29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1</v>
      </c>
      <c r="BJ2110" s="2">
        <v>0.2</v>
      </c>
      <c r="BK2110" s="2">
        <v>1</v>
      </c>
      <c r="BL2110" s="2">
        <v>41.73</v>
      </c>
      <c r="BM2110" s="2">
        <v>5.84</v>
      </c>
      <c r="BN2110" s="2">
        <v>47.57</v>
      </c>
      <c r="BO2110" s="2">
        <v>47.57</v>
      </c>
      <c r="BP2110" s="2"/>
      <c r="BQ2110" s="2" t="s">
        <v>116</v>
      </c>
      <c r="BR2110" s="2" t="s">
        <v>84</v>
      </c>
      <c r="BS2110" s="3">
        <v>42844</v>
      </c>
      <c r="BT2110" s="4">
        <v>0.41666666666666669</v>
      </c>
      <c r="BU2110" s="2" t="s">
        <v>1879</v>
      </c>
      <c r="BV2110" s="2" t="s">
        <v>111</v>
      </c>
      <c r="BW2110" s="2"/>
      <c r="BX2110" s="2"/>
      <c r="BY2110" s="2">
        <v>1200</v>
      </c>
      <c r="BZ2110" s="2" t="s">
        <v>27</v>
      </c>
      <c r="CA2110" s="2"/>
      <c r="CB2110" s="2"/>
      <c r="CC2110" s="2" t="s">
        <v>161</v>
      </c>
      <c r="CD2110" s="2">
        <v>5201</v>
      </c>
      <c r="CE2110" s="2" t="s">
        <v>118</v>
      </c>
      <c r="CF2110" s="5">
        <v>42845</v>
      </c>
      <c r="CG2110" s="2"/>
      <c r="CH2110" s="2"/>
      <c r="CI2110" s="2">
        <v>1</v>
      </c>
      <c r="CJ2110" s="2">
        <v>1</v>
      </c>
      <c r="CK2110" s="2">
        <v>21</v>
      </c>
      <c r="CL2110" s="2" t="s">
        <v>86</v>
      </c>
      <c r="CM2110" s="2"/>
    </row>
    <row r="2111" spans="1:91">
      <c r="A2111" s="2" t="s">
        <v>71</v>
      </c>
      <c r="B2111" s="2" t="s">
        <v>72</v>
      </c>
      <c r="C2111" s="2" t="s">
        <v>73</v>
      </c>
      <c r="D2111" s="2"/>
      <c r="E2111" s="2" t="str">
        <f>"FES1162543839"</f>
        <v>FES1162543839</v>
      </c>
      <c r="F2111" s="3">
        <v>42843</v>
      </c>
      <c r="G2111" s="2">
        <v>201710</v>
      </c>
      <c r="H2111" s="2" t="s">
        <v>74</v>
      </c>
      <c r="I2111" s="2" t="s">
        <v>75</v>
      </c>
      <c r="J2111" s="2" t="s">
        <v>76</v>
      </c>
      <c r="K2111" s="2" t="s">
        <v>77</v>
      </c>
      <c r="L2111" s="2" t="s">
        <v>591</v>
      </c>
      <c r="M2111" s="2" t="s">
        <v>592</v>
      </c>
      <c r="N2111" s="2" t="s">
        <v>675</v>
      </c>
      <c r="O2111" s="2" t="s">
        <v>115</v>
      </c>
      <c r="P2111" s="2" t="str">
        <f>"2170560487                    "</f>
        <v xml:space="preserve">2170560487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4.29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1</v>
      </c>
      <c r="BJ2111" s="2">
        <v>0.2</v>
      </c>
      <c r="BK2111" s="2">
        <v>1</v>
      </c>
      <c r="BL2111" s="2">
        <v>41.73</v>
      </c>
      <c r="BM2111" s="2">
        <v>5.84</v>
      </c>
      <c r="BN2111" s="2">
        <v>47.57</v>
      </c>
      <c r="BO2111" s="2">
        <v>47.57</v>
      </c>
      <c r="BP2111" s="2"/>
      <c r="BQ2111" s="2" t="s">
        <v>129</v>
      </c>
      <c r="BR2111" s="2" t="s">
        <v>84</v>
      </c>
      <c r="BS2111" s="3">
        <v>42844</v>
      </c>
      <c r="BT2111" s="4">
        <v>0.33680555555555558</v>
      </c>
      <c r="BU2111" s="2" t="s">
        <v>2014</v>
      </c>
      <c r="BV2111" s="2" t="s">
        <v>111</v>
      </c>
      <c r="BW2111" s="2"/>
      <c r="BX2111" s="2"/>
      <c r="BY2111" s="2">
        <v>1200</v>
      </c>
      <c r="BZ2111" s="2"/>
      <c r="CA2111" s="2"/>
      <c r="CB2111" s="2"/>
      <c r="CC2111" s="2" t="s">
        <v>592</v>
      </c>
      <c r="CD2111" s="2">
        <v>7600</v>
      </c>
      <c r="CE2111" s="2" t="s">
        <v>118</v>
      </c>
      <c r="CF2111" s="5">
        <v>42845</v>
      </c>
      <c r="CG2111" s="2"/>
      <c r="CH2111" s="2"/>
      <c r="CI2111" s="2">
        <v>1</v>
      </c>
      <c r="CJ2111" s="2">
        <v>1</v>
      </c>
      <c r="CK2111" s="2">
        <v>21</v>
      </c>
      <c r="CL2111" s="2" t="s">
        <v>86</v>
      </c>
      <c r="CM2111" s="2"/>
    </row>
    <row r="2112" spans="1:91">
      <c r="A2112" s="2" t="s">
        <v>71</v>
      </c>
      <c r="B2112" s="2" t="s">
        <v>72</v>
      </c>
      <c r="C2112" s="2" t="s">
        <v>73</v>
      </c>
      <c r="D2112" s="2"/>
      <c r="E2112" s="2" t="str">
        <f>"FES1162543876"</f>
        <v>FES1162543876</v>
      </c>
      <c r="F2112" s="3">
        <v>42843</v>
      </c>
      <c r="G2112" s="2">
        <v>201710</v>
      </c>
      <c r="H2112" s="2" t="s">
        <v>74</v>
      </c>
      <c r="I2112" s="2" t="s">
        <v>75</v>
      </c>
      <c r="J2112" s="2" t="s">
        <v>76</v>
      </c>
      <c r="K2112" s="2" t="s">
        <v>77</v>
      </c>
      <c r="L2112" s="2" t="s">
        <v>180</v>
      </c>
      <c r="M2112" s="2" t="s">
        <v>181</v>
      </c>
      <c r="N2112" s="2" t="s">
        <v>447</v>
      </c>
      <c r="O2112" s="2" t="s">
        <v>115</v>
      </c>
      <c r="P2112" s="2" t="str">
        <f>"2170562480                    "</f>
        <v xml:space="preserve">2170562480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6.43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2.7</v>
      </c>
      <c r="BJ2112" s="2">
        <v>1.7</v>
      </c>
      <c r="BK2112" s="2">
        <v>3</v>
      </c>
      <c r="BL2112" s="2">
        <v>62.59</v>
      </c>
      <c r="BM2112" s="2">
        <v>8.76</v>
      </c>
      <c r="BN2112" s="2">
        <v>71.349999999999994</v>
      </c>
      <c r="BO2112" s="2">
        <v>71.349999999999994</v>
      </c>
      <c r="BP2112" s="2"/>
      <c r="BQ2112" s="2" t="s">
        <v>2395</v>
      </c>
      <c r="BR2112" s="2" t="s">
        <v>84</v>
      </c>
      <c r="BS2112" s="3">
        <v>42844</v>
      </c>
      <c r="BT2112" s="4">
        <v>0.35069444444444442</v>
      </c>
      <c r="BU2112" s="2" t="s">
        <v>2543</v>
      </c>
      <c r="BV2112" s="2" t="s">
        <v>111</v>
      </c>
      <c r="BW2112" s="2"/>
      <c r="BX2112" s="2"/>
      <c r="BY2112" s="2">
        <v>8690.2199999999993</v>
      </c>
      <c r="BZ2112" s="2" t="s">
        <v>27</v>
      </c>
      <c r="CA2112" s="2"/>
      <c r="CB2112" s="2"/>
      <c r="CC2112" s="2" t="s">
        <v>181</v>
      </c>
      <c r="CD2112" s="2">
        <v>4052</v>
      </c>
      <c r="CE2112" s="2" t="s">
        <v>118</v>
      </c>
      <c r="CF2112" s="5">
        <v>42845</v>
      </c>
      <c r="CG2112" s="2"/>
      <c r="CH2112" s="2"/>
      <c r="CI2112" s="2">
        <v>1</v>
      </c>
      <c r="CJ2112" s="2">
        <v>1</v>
      </c>
      <c r="CK2112" s="2">
        <v>21</v>
      </c>
      <c r="CL2112" s="2" t="s">
        <v>86</v>
      </c>
      <c r="CM2112" s="2"/>
    </row>
    <row r="2113" spans="1:91">
      <c r="A2113" s="2" t="s">
        <v>71</v>
      </c>
      <c r="B2113" s="2" t="s">
        <v>72</v>
      </c>
      <c r="C2113" s="2" t="s">
        <v>73</v>
      </c>
      <c r="D2113" s="2"/>
      <c r="E2113" s="2" t="str">
        <f>"FES1162543935"</f>
        <v>FES1162543935</v>
      </c>
      <c r="F2113" s="3">
        <v>42843</v>
      </c>
      <c r="G2113" s="2">
        <v>201710</v>
      </c>
      <c r="H2113" s="2" t="s">
        <v>74</v>
      </c>
      <c r="I2113" s="2" t="s">
        <v>75</v>
      </c>
      <c r="J2113" s="2" t="s">
        <v>76</v>
      </c>
      <c r="K2113" s="2" t="s">
        <v>77</v>
      </c>
      <c r="L2113" s="2" t="s">
        <v>74</v>
      </c>
      <c r="M2113" s="2" t="s">
        <v>75</v>
      </c>
      <c r="N2113" s="2" t="s">
        <v>1710</v>
      </c>
      <c r="O2113" s="2" t="s">
        <v>115</v>
      </c>
      <c r="P2113" s="2" t="str">
        <f>"2170562546                    "</f>
        <v xml:space="preserve">2170562546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3.35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1</v>
      </c>
      <c r="BJ2113" s="2">
        <v>0.2</v>
      </c>
      <c r="BK2113" s="2">
        <v>1</v>
      </c>
      <c r="BL2113" s="2">
        <v>32.6</v>
      </c>
      <c r="BM2113" s="2">
        <v>4.5599999999999996</v>
      </c>
      <c r="BN2113" s="2">
        <v>37.159999999999997</v>
      </c>
      <c r="BO2113" s="2">
        <v>37.159999999999997</v>
      </c>
      <c r="BP2113" s="2"/>
      <c r="BQ2113" s="2" t="s">
        <v>1711</v>
      </c>
      <c r="BR2113" s="2" t="s">
        <v>84</v>
      </c>
      <c r="BS2113" s="3">
        <v>42844</v>
      </c>
      <c r="BT2113" s="4">
        <v>0.41319444444444442</v>
      </c>
      <c r="BU2113" s="2" t="s">
        <v>2544</v>
      </c>
      <c r="BV2113" s="2" t="s">
        <v>111</v>
      </c>
      <c r="BW2113" s="2"/>
      <c r="BX2113" s="2"/>
      <c r="BY2113" s="2">
        <v>1200</v>
      </c>
      <c r="BZ2113" s="2"/>
      <c r="CA2113" s="2"/>
      <c r="CB2113" s="2"/>
      <c r="CC2113" s="2" t="s">
        <v>75</v>
      </c>
      <c r="CD2113" s="2">
        <v>1609</v>
      </c>
      <c r="CE2113" s="2" t="s">
        <v>118</v>
      </c>
      <c r="CF2113" s="5">
        <v>42845</v>
      </c>
      <c r="CG2113" s="2"/>
      <c r="CH2113" s="2"/>
      <c r="CI2113" s="2">
        <v>1</v>
      </c>
      <c r="CJ2113" s="2">
        <v>1</v>
      </c>
      <c r="CK2113" s="2">
        <v>22</v>
      </c>
      <c r="CL2113" s="2" t="s">
        <v>86</v>
      </c>
      <c r="CM2113" s="2"/>
    </row>
    <row r="2114" spans="1:91">
      <c r="A2114" s="2" t="s">
        <v>71</v>
      </c>
      <c r="B2114" s="2" t="s">
        <v>72</v>
      </c>
      <c r="C2114" s="2" t="s">
        <v>73</v>
      </c>
      <c r="D2114" s="2"/>
      <c r="E2114" s="2" t="str">
        <f>"FES1162543866"</f>
        <v>FES1162543866</v>
      </c>
      <c r="F2114" s="3">
        <v>42843</v>
      </c>
      <c r="G2114" s="2">
        <v>201710</v>
      </c>
      <c r="H2114" s="2" t="s">
        <v>74</v>
      </c>
      <c r="I2114" s="2" t="s">
        <v>75</v>
      </c>
      <c r="J2114" s="2" t="s">
        <v>76</v>
      </c>
      <c r="K2114" s="2" t="s">
        <v>77</v>
      </c>
      <c r="L2114" s="2" t="s">
        <v>549</v>
      </c>
      <c r="M2114" s="2" t="s">
        <v>550</v>
      </c>
      <c r="N2114" s="2" t="s">
        <v>689</v>
      </c>
      <c r="O2114" s="2" t="s">
        <v>115</v>
      </c>
      <c r="P2114" s="2" t="str">
        <f>"2170562445                    "</f>
        <v xml:space="preserve">2170562445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4.29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0.5</v>
      </c>
      <c r="BJ2114" s="2">
        <v>0.2</v>
      </c>
      <c r="BK2114" s="2">
        <v>0.5</v>
      </c>
      <c r="BL2114" s="2">
        <v>41.73</v>
      </c>
      <c r="BM2114" s="2">
        <v>5.84</v>
      </c>
      <c r="BN2114" s="2">
        <v>47.57</v>
      </c>
      <c r="BO2114" s="2">
        <v>47.57</v>
      </c>
      <c r="BP2114" s="2"/>
      <c r="BQ2114" s="2" t="s">
        <v>690</v>
      </c>
      <c r="BR2114" s="2" t="s">
        <v>84</v>
      </c>
      <c r="BS2114" s="3">
        <v>42844</v>
      </c>
      <c r="BT2114" s="4">
        <v>0.41666666666666669</v>
      </c>
      <c r="BU2114" s="2" t="s">
        <v>1650</v>
      </c>
      <c r="BV2114" s="2" t="s">
        <v>111</v>
      </c>
      <c r="BW2114" s="2"/>
      <c r="BX2114" s="2"/>
      <c r="BY2114" s="2">
        <v>1200</v>
      </c>
      <c r="BZ2114" s="2" t="s">
        <v>27</v>
      </c>
      <c r="CA2114" s="2"/>
      <c r="CB2114" s="2"/>
      <c r="CC2114" s="2" t="s">
        <v>550</v>
      </c>
      <c r="CD2114" s="2">
        <v>3699</v>
      </c>
      <c r="CE2114" s="2" t="s">
        <v>118</v>
      </c>
      <c r="CF2114" s="5">
        <v>42845</v>
      </c>
      <c r="CG2114" s="2"/>
      <c r="CH2114" s="2"/>
      <c r="CI2114" s="2">
        <v>1</v>
      </c>
      <c r="CJ2114" s="2">
        <v>1</v>
      </c>
      <c r="CK2114" s="2">
        <v>21</v>
      </c>
      <c r="CL2114" s="2" t="s">
        <v>86</v>
      </c>
      <c r="CM2114" s="2"/>
    </row>
    <row r="2115" spans="1:91">
      <c r="A2115" s="2" t="s">
        <v>71</v>
      </c>
      <c r="B2115" s="2" t="s">
        <v>72</v>
      </c>
      <c r="C2115" s="2" t="s">
        <v>73</v>
      </c>
      <c r="D2115" s="2"/>
      <c r="E2115" s="2" t="str">
        <f>"FES1162543957"</f>
        <v>FES1162543957</v>
      </c>
      <c r="F2115" s="3">
        <v>42843</v>
      </c>
      <c r="G2115" s="2">
        <v>201710</v>
      </c>
      <c r="H2115" s="2" t="s">
        <v>74</v>
      </c>
      <c r="I2115" s="2" t="s">
        <v>75</v>
      </c>
      <c r="J2115" s="2" t="s">
        <v>76</v>
      </c>
      <c r="K2115" s="2" t="s">
        <v>77</v>
      </c>
      <c r="L2115" s="2" t="s">
        <v>131</v>
      </c>
      <c r="M2115" s="2" t="s">
        <v>132</v>
      </c>
      <c r="N2115" s="2" t="s">
        <v>1197</v>
      </c>
      <c r="O2115" s="2" t="s">
        <v>115</v>
      </c>
      <c r="P2115" s="2" t="str">
        <f>"2170560512                    "</f>
        <v xml:space="preserve">2170560512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17.149999999999999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7.8</v>
      </c>
      <c r="BJ2115" s="2">
        <v>4.8</v>
      </c>
      <c r="BK2115" s="2">
        <v>8</v>
      </c>
      <c r="BL2115" s="2">
        <v>166.91</v>
      </c>
      <c r="BM2115" s="2">
        <v>23.37</v>
      </c>
      <c r="BN2115" s="2">
        <v>190.28</v>
      </c>
      <c r="BO2115" s="2">
        <v>190.28</v>
      </c>
      <c r="BP2115" s="2"/>
      <c r="BQ2115" s="2" t="s">
        <v>1198</v>
      </c>
      <c r="BR2115" s="2" t="s">
        <v>84</v>
      </c>
      <c r="BS2115" s="3">
        <v>42844</v>
      </c>
      <c r="BT2115" s="4">
        <v>0.41666666666666669</v>
      </c>
      <c r="BU2115" s="2" t="s">
        <v>2545</v>
      </c>
      <c r="BV2115" s="2" t="s">
        <v>111</v>
      </c>
      <c r="BW2115" s="2"/>
      <c r="BX2115" s="2"/>
      <c r="BY2115" s="2">
        <v>23901.42</v>
      </c>
      <c r="BZ2115" s="2"/>
      <c r="CA2115" s="2" t="s">
        <v>159</v>
      </c>
      <c r="CB2115" s="2"/>
      <c r="CC2115" s="2" t="s">
        <v>132</v>
      </c>
      <c r="CD2115" s="2">
        <v>7441</v>
      </c>
      <c r="CE2115" s="2" t="s">
        <v>89</v>
      </c>
      <c r="CF2115" s="5">
        <v>42845</v>
      </c>
      <c r="CG2115" s="2"/>
      <c r="CH2115" s="2"/>
      <c r="CI2115" s="2">
        <v>1</v>
      </c>
      <c r="CJ2115" s="2">
        <v>1</v>
      </c>
      <c r="CK2115" s="2">
        <v>21</v>
      </c>
      <c r="CL2115" s="2" t="s">
        <v>86</v>
      </c>
      <c r="CM2115" s="2"/>
    </row>
    <row r="2116" spans="1:91">
      <c r="A2116" s="2" t="s">
        <v>71</v>
      </c>
      <c r="B2116" s="2" t="s">
        <v>72</v>
      </c>
      <c r="C2116" s="2" t="s">
        <v>73</v>
      </c>
      <c r="D2116" s="2"/>
      <c r="E2116" s="2" t="str">
        <f>"FES1162543826"</f>
        <v>FES1162543826</v>
      </c>
      <c r="F2116" s="3">
        <v>42843</v>
      </c>
      <c r="G2116" s="2">
        <v>201710</v>
      </c>
      <c r="H2116" s="2" t="s">
        <v>74</v>
      </c>
      <c r="I2116" s="2" t="s">
        <v>75</v>
      </c>
      <c r="J2116" s="2" t="s">
        <v>76</v>
      </c>
      <c r="K2116" s="2" t="s">
        <v>77</v>
      </c>
      <c r="L2116" s="2" t="s">
        <v>598</v>
      </c>
      <c r="M2116" s="2" t="s">
        <v>599</v>
      </c>
      <c r="N2116" s="2" t="s">
        <v>600</v>
      </c>
      <c r="O2116" s="2" t="s">
        <v>115</v>
      </c>
      <c r="P2116" s="2" t="str">
        <f>"2170560330                    "</f>
        <v xml:space="preserve">2170560330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13.93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3.2</v>
      </c>
      <c r="BJ2116" s="2">
        <v>3.3</v>
      </c>
      <c r="BK2116" s="2">
        <v>3.5</v>
      </c>
      <c r="BL2116" s="2">
        <v>135.61000000000001</v>
      </c>
      <c r="BM2116" s="2">
        <v>18.989999999999998</v>
      </c>
      <c r="BN2116" s="2">
        <v>154.6</v>
      </c>
      <c r="BO2116" s="2">
        <v>154.6</v>
      </c>
      <c r="BP2116" s="2"/>
      <c r="BQ2116" s="2" t="s">
        <v>601</v>
      </c>
      <c r="BR2116" s="2" t="s">
        <v>84</v>
      </c>
      <c r="BS2116" s="3">
        <v>42844</v>
      </c>
      <c r="BT2116" s="4">
        <v>0.48749999999999999</v>
      </c>
      <c r="BU2116" s="2" t="s">
        <v>2546</v>
      </c>
      <c r="BV2116" s="2" t="s">
        <v>111</v>
      </c>
      <c r="BW2116" s="2"/>
      <c r="BX2116" s="2"/>
      <c r="BY2116" s="2">
        <v>16264.1</v>
      </c>
      <c r="BZ2116" s="2" t="s">
        <v>27</v>
      </c>
      <c r="CA2116" s="2" t="s">
        <v>159</v>
      </c>
      <c r="CB2116" s="2"/>
      <c r="CC2116" s="2" t="s">
        <v>599</v>
      </c>
      <c r="CD2116" s="2">
        <v>3370</v>
      </c>
      <c r="CE2116" s="2" t="s">
        <v>89</v>
      </c>
      <c r="CF2116" s="5">
        <v>42846</v>
      </c>
      <c r="CG2116" s="2"/>
      <c r="CH2116" s="2"/>
      <c r="CI2116" s="2">
        <v>3</v>
      </c>
      <c r="CJ2116" s="2">
        <v>1</v>
      </c>
      <c r="CK2116" s="2">
        <v>23</v>
      </c>
      <c r="CL2116" s="2" t="s">
        <v>86</v>
      </c>
      <c r="CM2116" s="2"/>
    </row>
    <row r="2117" spans="1:91">
      <c r="A2117" s="2" t="s">
        <v>71</v>
      </c>
      <c r="B2117" s="2" t="s">
        <v>72</v>
      </c>
      <c r="C2117" s="2" t="s">
        <v>73</v>
      </c>
      <c r="D2117" s="2"/>
      <c r="E2117" s="2" t="str">
        <f>"FES1162544056"</f>
        <v>FES1162544056</v>
      </c>
      <c r="F2117" s="3">
        <v>42843</v>
      </c>
      <c r="G2117" s="2">
        <v>201710</v>
      </c>
      <c r="H2117" s="2" t="s">
        <v>74</v>
      </c>
      <c r="I2117" s="2" t="s">
        <v>75</v>
      </c>
      <c r="J2117" s="2" t="s">
        <v>76</v>
      </c>
      <c r="K2117" s="2" t="s">
        <v>77</v>
      </c>
      <c r="L2117" s="2" t="s">
        <v>525</v>
      </c>
      <c r="M2117" s="2" t="s">
        <v>526</v>
      </c>
      <c r="N2117" s="2" t="s">
        <v>527</v>
      </c>
      <c r="O2117" s="2" t="s">
        <v>115</v>
      </c>
      <c r="P2117" s="2" t="str">
        <f>"2170562655                    "</f>
        <v xml:space="preserve">2170562655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6.03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1</v>
      </c>
      <c r="BJ2117" s="2">
        <v>0.2</v>
      </c>
      <c r="BK2117" s="2">
        <v>1</v>
      </c>
      <c r="BL2117" s="2">
        <v>58.68</v>
      </c>
      <c r="BM2117" s="2">
        <v>8.2200000000000006</v>
      </c>
      <c r="BN2117" s="2">
        <v>66.900000000000006</v>
      </c>
      <c r="BO2117" s="2">
        <v>66.900000000000006</v>
      </c>
      <c r="BP2117" s="2"/>
      <c r="BQ2117" s="2" t="s">
        <v>528</v>
      </c>
      <c r="BR2117" s="2" t="s">
        <v>84</v>
      </c>
      <c r="BS2117" s="3">
        <v>42844</v>
      </c>
      <c r="BT2117" s="4">
        <v>0.65833333333333333</v>
      </c>
      <c r="BU2117" s="2" t="s">
        <v>2547</v>
      </c>
      <c r="BV2117" s="2" t="s">
        <v>111</v>
      </c>
      <c r="BW2117" s="2"/>
      <c r="BX2117" s="2"/>
      <c r="BY2117" s="2">
        <v>1200</v>
      </c>
      <c r="BZ2117" s="2"/>
      <c r="CA2117" s="2" t="s">
        <v>159</v>
      </c>
      <c r="CB2117" s="2"/>
      <c r="CC2117" s="2" t="s">
        <v>526</v>
      </c>
      <c r="CD2117" s="2">
        <v>2210</v>
      </c>
      <c r="CE2117" s="2" t="s">
        <v>118</v>
      </c>
      <c r="CF2117" s="5">
        <v>42845</v>
      </c>
      <c r="CG2117" s="2"/>
      <c r="CH2117" s="2"/>
      <c r="CI2117" s="2">
        <v>1</v>
      </c>
      <c r="CJ2117" s="2">
        <v>1</v>
      </c>
      <c r="CK2117" s="2">
        <v>24</v>
      </c>
      <c r="CL2117" s="2" t="s">
        <v>86</v>
      </c>
      <c r="CM2117" s="2"/>
    </row>
    <row r="2118" spans="1:91">
      <c r="A2118" s="2" t="s">
        <v>71</v>
      </c>
      <c r="B2118" s="2" t="s">
        <v>72</v>
      </c>
      <c r="C2118" s="2" t="s">
        <v>73</v>
      </c>
      <c r="D2118" s="2"/>
      <c r="E2118" s="2" t="str">
        <f>"FES1162543850"</f>
        <v>FES1162543850</v>
      </c>
      <c r="F2118" s="3">
        <v>42843</v>
      </c>
      <c r="G2118" s="2">
        <v>201710</v>
      </c>
      <c r="H2118" s="2" t="s">
        <v>74</v>
      </c>
      <c r="I2118" s="2" t="s">
        <v>75</v>
      </c>
      <c r="J2118" s="2" t="s">
        <v>76</v>
      </c>
      <c r="K2118" s="2" t="s">
        <v>77</v>
      </c>
      <c r="L2118" s="2" t="s">
        <v>180</v>
      </c>
      <c r="M2118" s="2" t="s">
        <v>181</v>
      </c>
      <c r="N2118" s="2" t="s">
        <v>348</v>
      </c>
      <c r="O2118" s="2" t="s">
        <v>115</v>
      </c>
      <c r="P2118" s="2" t="str">
        <f>"2170560610                    "</f>
        <v xml:space="preserve">2170560610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6.43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1.8</v>
      </c>
      <c r="BJ2118" s="2">
        <v>2.6</v>
      </c>
      <c r="BK2118" s="2">
        <v>3</v>
      </c>
      <c r="BL2118" s="2">
        <v>62.59</v>
      </c>
      <c r="BM2118" s="2">
        <v>8.76</v>
      </c>
      <c r="BN2118" s="2">
        <v>71.349999999999994</v>
      </c>
      <c r="BO2118" s="2">
        <v>71.349999999999994</v>
      </c>
      <c r="BP2118" s="2"/>
      <c r="BQ2118" s="2" t="s">
        <v>349</v>
      </c>
      <c r="BR2118" s="2" t="s">
        <v>84</v>
      </c>
      <c r="BS2118" s="3">
        <v>42844</v>
      </c>
      <c r="BT2118" s="4">
        <v>0.34166666666666662</v>
      </c>
      <c r="BU2118" s="2" t="s">
        <v>1691</v>
      </c>
      <c r="BV2118" s="2" t="s">
        <v>111</v>
      </c>
      <c r="BW2118" s="2"/>
      <c r="BX2118" s="2"/>
      <c r="BY2118" s="2">
        <v>12836.6</v>
      </c>
      <c r="BZ2118" s="2" t="s">
        <v>27</v>
      </c>
      <c r="CA2118" s="2"/>
      <c r="CB2118" s="2"/>
      <c r="CC2118" s="2" t="s">
        <v>181</v>
      </c>
      <c r="CD2118" s="2">
        <v>4001</v>
      </c>
      <c r="CE2118" s="2" t="s">
        <v>118</v>
      </c>
      <c r="CF2118" s="5">
        <v>42845</v>
      </c>
      <c r="CG2118" s="2"/>
      <c r="CH2118" s="2"/>
      <c r="CI2118" s="2">
        <v>1</v>
      </c>
      <c r="CJ2118" s="2">
        <v>1</v>
      </c>
      <c r="CK2118" s="2">
        <v>21</v>
      </c>
      <c r="CL2118" s="2" t="s">
        <v>86</v>
      </c>
      <c r="CM2118" s="2"/>
    </row>
    <row r="2119" spans="1:91">
      <c r="A2119" s="2" t="s">
        <v>71</v>
      </c>
      <c r="B2119" s="2" t="s">
        <v>72</v>
      </c>
      <c r="C2119" s="2" t="s">
        <v>73</v>
      </c>
      <c r="D2119" s="2"/>
      <c r="E2119" s="2" t="str">
        <f>"FES1162543943"</f>
        <v>FES1162543943</v>
      </c>
      <c r="F2119" s="3">
        <v>42843</v>
      </c>
      <c r="G2119" s="2">
        <v>201710</v>
      </c>
      <c r="H2119" s="2" t="s">
        <v>74</v>
      </c>
      <c r="I2119" s="2" t="s">
        <v>75</v>
      </c>
      <c r="J2119" s="2" t="s">
        <v>76</v>
      </c>
      <c r="K2119" s="2" t="s">
        <v>77</v>
      </c>
      <c r="L2119" s="2" t="s">
        <v>91</v>
      </c>
      <c r="M2119" s="2" t="s">
        <v>92</v>
      </c>
      <c r="N2119" s="2" t="s">
        <v>1411</v>
      </c>
      <c r="O2119" s="2" t="s">
        <v>115</v>
      </c>
      <c r="P2119" s="2" t="str">
        <f>"2170562553                    "</f>
        <v xml:space="preserve">2170562553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3.35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1</v>
      </c>
      <c r="BJ2119" s="2">
        <v>0.2</v>
      </c>
      <c r="BK2119" s="2">
        <v>1</v>
      </c>
      <c r="BL2119" s="2">
        <v>32.6</v>
      </c>
      <c r="BM2119" s="2">
        <v>4.5599999999999996</v>
      </c>
      <c r="BN2119" s="2">
        <v>37.159999999999997</v>
      </c>
      <c r="BO2119" s="2">
        <v>37.159999999999997</v>
      </c>
      <c r="BP2119" s="2"/>
      <c r="BQ2119" s="2" t="s">
        <v>1412</v>
      </c>
      <c r="BR2119" s="2" t="s">
        <v>84</v>
      </c>
      <c r="BS2119" s="3">
        <v>42844</v>
      </c>
      <c r="BT2119" s="4">
        <v>0.41666666666666669</v>
      </c>
      <c r="BU2119" s="2" t="s">
        <v>2548</v>
      </c>
      <c r="BV2119" s="2" t="s">
        <v>111</v>
      </c>
      <c r="BW2119" s="2"/>
      <c r="BX2119" s="2"/>
      <c r="BY2119" s="2">
        <v>1200</v>
      </c>
      <c r="BZ2119" s="2"/>
      <c r="CA2119" s="2"/>
      <c r="CB2119" s="2"/>
      <c r="CC2119" s="2" t="s">
        <v>92</v>
      </c>
      <c r="CD2119" s="2">
        <v>1422</v>
      </c>
      <c r="CE2119" s="2" t="s">
        <v>118</v>
      </c>
      <c r="CF2119" s="5">
        <v>42845</v>
      </c>
      <c r="CG2119" s="2"/>
      <c r="CH2119" s="2"/>
      <c r="CI2119" s="2">
        <v>1</v>
      </c>
      <c r="CJ2119" s="2">
        <v>1</v>
      </c>
      <c r="CK2119" s="2">
        <v>22</v>
      </c>
      <c r="CL2119" s="2" t="s">
        <v>86</v>
      </c>
      <c r="CM2119" s="2"/>
    </row>
    <row r="2120" spans="1:91">
      <c r="A2120" s="2" t="s">
        <v>71</v>
      </c>
      <c r="B2120" s="2" t="s">
        <v>72</v>
      </c>
      <c r="C2120" s="2" t="s">
        <v>73</v>
      </c>
      <c r="D2120" s="2"/>
      <c r="E2120" s="2" t="str">
        <f>"FES1162543981"</f>
        <v>FES1162543981</v>
      </c>
      <c r="F2120" s="3">
        <v>42843</v>
      </c>
      <c r="G2120" s="2">
        <v>201710</v>
      </c>
      <c r="H2120" s="2" t="s">
        <v>74</v>
      </c>
      <c r="I2120" s="2" t="s">
        <v>75</v>
      </c>
      <c r="J2120" s="2" t="s">
        <v>76</v>
      </c>
      <c r="K2120" s="2" t="s">
        <v>77</v>
      </c>
      <c r="L2120" s="2" t="s">
        <v>99</v>
      </c>
      <c r="M2120" s="2" t="s">
        <v>100</v>
      </c>
      <c r="N2120" s="2" t="s">
        <v>108</v>
      </c>
      <c r="O2120" s="2" t="s">
        <v>115</v>
      </c>
      <c r="P2120" s="2" t="str">
        <f>"2170561475                    "</f>
        <v xml:space="preserve">2170561475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4.29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0.5</v>
      </c>
      <c r="BJ2120" s="2">
        <v>0.2</v>
      </c>
      <c r="BK2120" s="2">
        <v>0.5</v>
      </c>
      <c r="BL2120" s="2">
        <v>41.73</v>
      </c>
      <c r="BM2120" s="2">
        <v>5.84</v>
      </c>
      <c r="BN2120" s="2">
        <v>47.57</v>
      </c>
      <c r="BO2120" s="2">
        <v>47.57</v>
      </c>
      <c r="BP2120" s="2"/>
      <c r="BQ2120" s="2" t="s">
        <v>109</v>
      </c>
      <c r="BR2120" s="2" t="s">
        <v>84</v>
      </c>
      <c r="BS2120" s="3">
        <v>42844</v>
      </c>
      <c r="BT2120" s="4">
        <v>0.55555555555555558</v>
      </c>
      <c r="BU2120" s="2" t="s">
        <v>2549</v>
      </c>
      <c r="BV2120" s="2" t="s">
        <v>86</v>
      </c>
      <c r="BW2120" s="2" t="s">
        <v>484</v>
      </c>
      <c r="BX2120" s="2" t="s">
        <v>485</v>
      </c>
      <c r="BY2120" s="2">
        <v>1200</v>
      </c>
      <c r="BZ2120" s="2" t="s">
        <v>27</v>
      </c>
      <c r="CA2120" s="2" t="s">
        <v>106</v>
      </c>
      <c r="CB2120" s="2"/>
      <c r="CC2120" s="2" t="s">
        <v>100</v>
      </c>
      <c r="CD2120" s="2">
        <v>6001</v>
      </c>
      <c r="CE2120" s="2" t="s">
        <v>118</v>
      </c>
      <c r="CF2120" s="5">
        <v>42844</v>
      </c>
      <c r="CG2120" s="2"/>
      <c r="CH2120" s="2"/>
      <c r="CI2120" s="2">
        <v>1</v>
      </c>
      <c r="CJ2120" s="2">
        <v>1</v>
      </c>
      <c r="CK2120" s="2">
        <v>21</v>
      </c>
      <c r="CL2120" s="2" t="s">
        <v>86</v>
      </c>
      <c r="CM2120" s="2"/>
    </row>
    <row r="2121" spans="1:91">
      <c r="A2121" s="2" t="s">
        <v>71</v>
      </c>
      <c r="B2121" s="2" t="s">
        <v>72</v>
      </c>
      <c r="C2121" s="2" t="s">
        <v>73</v>
      </c>
      <c r="D2121" s="2"/>
      <c r="E2121" s="2" t="str">
        <f>"FES1162543938"</f>
        <v>FES1162543938</v>
      </c>
      <c r="F2121" s="3">
        <v>42843</v>
      </c>
      <c r="G2121" s="2">
        <v>201710</v>
      </c>
      <c r="H2121" s="2" t="s">
        <v>74</v>
      </c>
      <c r="I2121" s="2" t="s">
        <v>75</v>
      </c>
      <c r="J2121" s="2" t="s">
        <v>76</v>
      </c>
      <c r="K2121" s="2" t="s">
        <v>77</v>
      </c>
      <c r="L2121" s="2" t="s">
        <v>131</v>
      </c>
      <c r="M2121" s="2" t="s">
        <v>132</v>
      </c>
      <c r="N2121" s="2" t="s">
        <v>384</v>
      </c>
      <c r="O2121" s="2" t="s">
        <v>115</v>
      </c>
      <c r="P2121" s="2" t="str">
        <f>"2170562549                    "</f>
        <v xml:space="preserve">2170562549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10.72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4.9000000000000004</v>
      </c>
      <c r="BJ2121" s="2">
        <v>1.7</v>
      </c>
      <c r="BK2121" s="2">
        <v>5</v>
      </c>
      <c r="BL2121" s="2">
        <v>104.32</v>
      </c>
      <c r="BM2121" s="2">
        <v>14.6</v>
      </c>
      <c r="BN2121" s="2">
        <v>118.92</v>
      </c>
      <c r="BO2121" s="2">
        <v>118.92</v>
      </c>
      <c r="BP2121" s="2"/>
      <c r="BQ2121" s="2" t="s">
        <v>468</v>
      </c>
      <c r="BR2121" s="2" t="s">
        <v>84</v>
      </c>
      <c r="BS2121" s="3">
        <v>42844</v>
      </c>
      <c r="BT2121" s="4">
        <v>0.41666666666666669</v>
      </c>
      <c r="BU2121" s="2" t="s">
        <v>130</v>
      </c>
      <c r="BV2121" s="2" t="s">
        <v>111</v>
      </c>
      <c r="BW2121" s="2"/>
      <c r="BX2121" s="2"/>
      <c r="BY2121" s="2">
        <v>8636.26</v>
      </c>
      <c r="BZ2121" s="2"/>
      <c r="CA2121" s="2"/>
      <c r="CB2121" s="2"/>
      <c r="CC2121" s="2" t="s">
        <v>132</v>
      </c>
      <c r="CD2121" s="2">
        <v>7405</v>
      </c>
      <c r="CE2121" s="2" t="s">
        <v>89</v>
      </c>
      <c r="CF2121" s="5">
        <v>42845</v>
      </c>
      <c r="CG2121" s="2"/>
      <c r="CH2121" s="2"/>
      <c r="CI2121" s="2">
        <v>1</v>
      </c>
      <c r="CJ2121" s="2">
        <v>1</v>
      </c>
      <c r="CK2121" s="2">
        <v>21</v>
      </c>
      <c r="CL2121" s="2" t="s">
        <v>86</v>
      </c>
      <c r="CM2121" s="2"/>
    </row>
    <row r="2122" spans="1:91">
      <c r="A2122" s="2" t="s">
        <v>71</v>
      </c>
      <c r="B2122" s="2" t="s">
        <v>72</v>
      </c>
      <c r="C2122" s="2" t="s">
        <v>73</v>
      </c>
      <c r="D2122" s="2"/>
      <c r="E2122" s="2" t="str">
        <f>"FES1162543849"</f>
        <v>FES1162543849</v>
      </c>
      <c r="F2122" s="3">
        <v>42843</v>
      </c>
      <c r="G2122" s="2">
        <v>201710</v>
      </c>
      <c r="H2122" s="2" t="s">
        <v>74</v>
      </c>
      <c r="I2122" s="2" t="s">
        <v>75</v>
      </c>
      <c r="J2122" s="2" t="s">
        <v>76</v>
      </c>
      <c r="K2122" s="2" t="s">
        <v>77</v>
      </c>
      <c r="L2122" s="2" t="s">
        <v>180</v>
      </c>
      <c r="M2122" s="2" t="s">
        <v>181</v>
      </c>
      <c r="N2122" s="2" t="s">
        <v>320</v>
      </c>
      <c r="O2122" s="2" t="s">
        <v>115</v>
      </c>
      <c r="P2122" s="2" t="str">
        <f>"2170560609                    "</f>
        <v xml:space="preserve">2170560609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7.5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3.3</v>
      </c>
      <c r="BJ2122" s="2">
        <v>3.3</v>
      </c>
      <c r="BK2122" s="2">
        <v>3.5</v>
      </c>
      <c r="BL2122" s="2">
        <v>73.02</v>
      </c>
      <c r="BM2122" s="2">
        <v>10.220000000000001</v>
      </c>
      <c r="BN2122" s="2">
        <v>83.24</v>
      </c>
      <c r="BO2122" s="2">
        <v>83.24</v>
      </c>
      <c r="BP2122" s="2"/>
      <c r="BQ2122" s="2" t="s">
        <v>129</v>
      </c>
      <c r="BR2122" s="2" t="s">
        <v>84</v>
      </c>
      <c r="BS2122" s="3">
        <v>42844</v>
      </c>
      <c r="BT2122" s="4">
        <v>0.43055555555555558</v>
      </c>
      <c r="BU2122" s="2" t="s">
        <v>2024</v>
      </c>
      <c r="BV2122" s="2" t="s">
        <v>111</v>
      </c>
      <c r="BW2122" s="2"/>
      <c r="BX2122" s="2"/>
      <c r="BY2122" s="2">
        <v>16623.36</v>
      </c>
      <c r="BZ2122" s="2" t="s">
        <v>27</v>
      </c>
      <c r="CA2122" s="2"/>
      <c r="CB2122" s="2"/>
      <c r="CC2122" s="2" t="s">
        <v>181</v>
      </c>
      <c r="CD2122" s="2">
        <v>4051</v>
      </c>
      <c r="CE2122" s="2" t="s">
        <v>89</v>
      </c>
      <c r="CF2122" s="5">
        <v>42845</v>
      </c>
      <c r="CG2122" s="2"/>
      <c r="CH2122" s="2"/>
      <c r="CI2122" s="2">
        <v>1</v>
      </c>
      <c r="CJ2122" s="2">
        <v>1</v>
      </c>
      <c r="CK2122" s="2">
        <v>21</v>
      </c>
      <c r="CL2122" s="2" t="s">
        <v>86</v>
      </c>
      <c r="CM2122" s="2"/>
    </row>
    <row r="2123" spans="1:91">
      <c r="A2123" s="2" t="s">
        <v>71</v>
      </c>
      <c r="B2123" s="2" t="s">
        <v>72</v>
      </c>
      <c r="C2123" s="2" t="s">
        <v>73</v>
      </c>
      <c r="D2123" s="2"/>
      <c r="E2123" s="2" t="str">
        <f>"FES1162544032"</f>
        <v>FES1162544032</v>
      </c>
      <c r="F2123" s="3">
        <v>42843</v>
      </c>
      <c r="G2123" s="2">
        <v>201710</v>
      </c>
      <c r="H2123" s="2" t="s">
        <v>74</v>
      </c>
      <c r="I2123" s="2" t="s">
        <v>75</v>
      </c>
      <c r="J2123" s="2" t="s">
        <v>76</v>
      </c>
      <c r="K2123" s="2" t="s">
        <v>77</v>
      </c>
      <c r="L2123" s="2" t="s">
        <v>131</v>
      </c>
      <c r="M2123" s="2" t="s">
        <v>132</v>
      </c>
      <c r="N2123" s="2" t="s">
        <v>1255</v>
      </c>
      <c r="O2123" s="2" t="s">
        <v>115</v>
      </c>
      <c r="P2123" s="2" t="str">
        <f>"2170562630                    "</f>
        <v xml:space="preserve">2170562630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4.29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1</v>
      </c>
      <c r="BJ2123" s="2">
        <v>0.2</v>
      </c>
      <c r="BK2123" s="2">
        <v>1</v>
      </c>
      <c r="BL2123" s="2">
        <v>41.73</v>
      </c>
      <c r="BM2123" s="2">
        <v>5.84</v>
      </c>
      <c r="BN2123" s="2">
        <v>47.57</v>
      </c>
      <c r="BO2123" s="2">
        <v>47.57</v>
      </c>
      <c r="BP2123" s="2"/>
      <c r="BQ2123" s="2" t="s">
        <v>1256</v>
      </c>
      <c r="BR2123" s="2" t="s">
        <v>84</v>
      </c>
      <c r="BS2123" s="3">
        <v>42844</v>
      </c>
      <c r="BT2123" s="4">
        <v>0.3743055555555555</v>
      </c>
      <c r="BU2123" s="2" t="s">
        <v>2550</v>
      </c>
      <c r="BV2123" s="2" t="s">
        <v>111</v>
      </c>
      <c r="BW2123" s="2"/>
      <c r="BX2123" s="2"/>
      <c r="BY2123" s="2">
        <v>1200</v>
      </c>
      <c r="BZ2123" s="2"/>
      <c r="CA2123" s="2"/>
      <c r="CB2123" s="2"/>
      <c r="CC2123" s="2" t="s">
        <v>132</v>
      </c>
      <c r="CD2123" s="2">
        <v>7493</v>
      </c>
      <c r="CE2123" s="2" t="s">
        <v>118</v>
      </c>
      <c r="CF2123" s="5">
        <v>42845</v>
      </c>
      <c r="CG2123" s="2"/>
      <c r="CH2123" s="2"/>
      <c r="CI2123" s="2">
        <v>1</v>
      </c>
      <c r="CJ2123" s="2">
        <v>1</v>
      </c>
      <c r="CK2123" s="2">
        <v>21</v>
      </c>
      <c r="CL2123" s="2" t="s">
        <v>86</v>
      </c>
      <c r="CM2123" s="2"/>
    </row>
    <row r="2124" spans="1:91">
      <c r="A2124" s="2" t="s">
        <v>71</v>
      </c>
      <c r="B2124" s="2" t="s">
        <v>72</v>
      </c>
      <c r="C2124" s="2" t="s">
        <v>73</v>
      </c>
      <c r="D2124" s="2"/>
      <c r="E2124" s="2" t="str">
        <f>"FES1162543842"</f>
        <v>FES1162543842</v>
      </c>
      <c r="F2124" s="3">
        <v>42843</v>
      </c>
      <c r="G2124" s="2">
        <v>201710</v>
      </c>
      <c r="H2124" s="2" t="s">
        <v>74</v>
      </c>
      <c r="I2124" s="2" t="s">
        <v>75</v>
      </c>
      <c r="J2124" s="2" t="s">
        <v>76</v>
      </c>
      <c r="K2124" s="2" t="s">
        <v>77</v>
      </c>
      <c r="L2124" s="2" t="s">
        <v>396</v>
      </c>
      <c r="M2124" s="2" t="s">
        <v>397</v>
      </c>
      <c r="N2124" s="2" t="s">
        <v>500</v>
      </c>
      <c r="O2124" s="2" t="s">
        <v>115</v>
      </c>
      <c r="P2124" s="2" t="str">
        <f>"2170560537                    "</f>
        <v xml:space="preserve">2170560537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4.29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1.2</v>
      </c>
      <c r="BJ2124" s="2">
        <v>0.9</v>
      </c>
      <c r="BK2124" s="2">
        <v>1.5</v>
      </c>
      <c r="BL2124" s="2">
        <v>41.73</v>
      </c>
      <c r="BM2124" s="2">
        <v>5.84</v>
      </c>
      <c r="BN2124" s="2">
        <v>47.57</v>
      </c>
      <c r="BO2124" s="2">
        <v>47.57</v>
      </c>
      <c r="BP2124" s="2"/>
      <c r="BQ2124" s="2" t="s">
        <v>501</v>
      </c>
      <c r="BR2124" s="2" t="s">
        <v>84</v>
      </c>
      <c r="BS2124" s="3">
        <v>42844</v>
      </c>
      <c r="BT2124" s="4">
        <v>0.4375</v>
      </c>
      <c r="BU2124" s="2" t="s">
        <v>1128</v>
      </c>
      <c r="BV2124" s="2" t="s">
        <v>111</v>
      </c>
      <c r="BW2124" s="2"/>
      <c r="BX2124" s="2"/>
      <c r="BY2124" s="2">
        <v>4422.62</v>
      </c>
      <c r="BZ2124" s="2" t="s">
        <v>27</v>
      </c>
      <c r="CA2124" s="2"/>
      <c r="CB2124" s="2"/>
      <c r="CC2124" s="2" t="s">
        <v>397</v>
      </c>
      <c r="CD2124" s="2">
        <v>4302</v>
      </c>
      <c r="CE2124" s="2" t="s">
        <v>172</v>
      </c>
      <c r="CF2124" s="5">
        <v>42845</v>
      </c>
      <c r="CG2124" s="2"/>
      <c r="CH2124" s="2"/>
      <c r="CI2124" s="2">
        <v>1</v>
      </c>
      <c r="CJ2124" s="2">
        <v>1</v>
      </c>
      <c r="CK2124" s="2">
        <v>21</v>
      </c>
      <c r="CL2124" s="2" t="s">
        <v>86</v>
      </c>
      <c r="CM2124" s="2"/>
    </row>
    <row r="2125" spans="1:91">
      <c r="A2125" s="2" t="s">
        <v>71</v>
      </c>
      <c r="B2125" s="2" t="s">
        <v>72</v>
      </c>
      <c r="C2125" s="2" t="s">
        <v>73</v>
      </c>
      <c r="D2125" s="2"/>
      <c r="E2125" s="2" t="str">
        <f>"FES1162543824"</f>
        <v>FES1162543824</v>
      </c>
      <c r="F2125" s="3">
        <v>42843</v>
      </c>
      <c r="G2125" s="2">
        <v>201710</v>
      </c>
      <c r="H2125" s="2" t="s">
        <v>74</v>
      </c>
      <c r="I2125" s="2" t="s">
        <v>75</v>
      </c>
      <c r="J2125" s="2" t="s">
        <v>76</v>
      </c>
      <c r="K2125" s="2" t="s">
        <v>77</v>
      </c>
      <c r="L2125" s="2" t="s">
        <v>139</v>
      </c>
      <c r="M2125" s="2" t="s">
        <v>140</v>
      </c>
      <c r="N2125" s="2" t="s">
        <v>530</v>
      </c>
      <c r="O2125" s="2" t="s">
        <v>115</v>
      </c>
      <c r="P2125" s="2" t="str">
        <f>"2170560309                    "</f>
        <v xml:space="preserve">2170560309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4.29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1</v>
      </c>
      <c r="BJ2125" s="2">
        <v>0.2</v>
      </c>
      <c r="BK2125" s="2">
        <v>1</v>
      </c>
      <c r="BL2125" s="2">
        <v>41.73</v>
      </c>
      <c r="BM2125" s="2">
        <v>5.84</v>
      </c>
      <c r="BN2125" s="2">
        <v>47.57</v>
      </c>
      <c r="BO2125" s="2">
        <v>47.57</v>
      </c>
      <c r="BP2125" s="2"/>
      <c r="BQ2125" s="2" t="s">
        <v>531</v>
      </c>
      <c r="BR2125" s="2" t="s">
        <v>84</v>
      </c>
      <c r="BS2125" s="3">
        <v>42844</v>
      </c>
      <c r="BT2125" s="4">
        <v>0.36041666666666666</v>
      </c>
      <c r="BU2125" s="2" t="s">
        <v>1588</v>
      </c>
      <c r="BV2125" s="2" t="s">
        <v>111</v>
      </c>
      <c r="BW2125" s="2"/>
      <c r="BX2125" s="2"/>
      <c r="BY2125" s="2">
        <v>1200</v>
      </c>
      <c r="BZ2125" s="2"/>
      <c r="CA2125" s="2"/>
      <c r="CB2125" s="2"/>
      <c r="CC2125" s="2" t="s">
        <v>140</v>
      </c>
      <c r="CD2125" s="2">
        <v>157</v>
      </c>
      <c r="CE2125" s="2" t="s">
        <v>118</v>
      </c>
      <c r="CF2125" s="5">
        <v>42846</v>
      </c>
      <c r="CG2125" s="2"/>
      <c r="CH2125" s="2"/>
      <c r="CI2125" s="2">
        <v>0</v>
      </c>
      <c r="CJ2125" s="2">
        <v>0</v>
      </c>
      <c r="CK2125" s="2">
        <v>21</v>
      </c>
      <c r="CL2125" s="2" t="s">
        <v>86</v>
      </c>
      <c r="CM2125" s="2"/>
    </row>
    <row r="2126" spans="1:91">
      <c r="A2126" s="2" t="s">
        <v>71</v>
      </c>
      <c r="B2126" s="2" t="s">
        <v>72</v>
      </c>
      <c r="C2126" s="2" t="s">
        <v>73</v>
      </c>
      <c r="D2126" s="2"/>
      <c r="E2126" s="2" t="str">
        <f>"FES1162543977"</f>
        <v>FES1162543977</v>
      </c>
      <c r="F2126" s="3">
        <v>42843</v>
      </c>
      <c r="G2126" s="2">
        <v>201710</v>
      </c>
      <c r="H2126" s="2" t="s">
        <v>74</v>
      </c>
      <c r="I2126" s="2" t="s">
        <v>75</v>
      </c>
      <c r="J2126" s="2" t="s">
        <v>76</v>
      </c>
      <c r="K2126" s="2" t="s">
        <v>77</v>
      </c>
      <c r="L2126" s="2" t="s">
        <v>99</v>
      </c>
      <c r="M2126" s="2" t="s">
        <v>100</v>
      </c>
      <c r="N2126" s="2" t="s">
        <v>671</v>
      </c>
      <c r="O2126" s="2" t="s">
        <v>115</v>
      </c>
      <c r="P2126" s="2" t="str">
        <f>"2170562154                    "</f>
        <v xml:space="preserve">2170562154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12.86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2.6</v>
      </c>
      <c r="BJ2126" s="2">
        <v>5.7</v>
      </c>
      <c r="BK2126" s="2">
        <v>6</v>
      </c>
      <c r="BL2126" s="2">
        <v>125.18</v>
      </c>
      <c r="BM2126" s="2">
        <v>17.53</v>
      </c>
      <c r="BN2126" s="2">
        <v>142.71</v>
      </c>
      <c r="BO2126" s="2">
        <v>142.71</v>
      </c>
      <c r="BP2126" s="2"/>
      <c r="BQ2126" s="2" t="s">
        <v>672</v>
      </c>
      <c r="BR2126" s="2" t="s">
        <v>84</v>
      </c>
      <c r="BS2126" s="3">
        <v>42844</v>
      </c>
      <c r="BT2126" s="4">
        <v>0.54166666666666663</v>
      </c>
      <c r="BU2126" s="2" t="s">
        <v>2551</v>
      </c>
      <c r="BV2126" s="2" t="s">
        <v>86</v>
      </c>
      <c r="BW2126" s="2"/>
      <c r="BX2126" s="2"/>
      <c r="BY2126" s="2">
        <v>28733.279999999999</v>
      </c>
      <c r="BZ2126" s="2" t="s">
        <v>27</v>
      </c>
      <c r="CA2126" s="2" t="s">
        <v>106</v>
      </c>
      <c r="CB2126" s="2"/>
      <c r="CC2126" s="2" t="s">
        <v>100</v>
      </c>
      <c r="CD2126" s="2">
        <v>6001</v>
      </c>
      <c r="CE2126" s="2" t="s">
        <v>172</v>
      </c>
      <c r="CF2126" s="5">
        <v>42844</v>
      </c>
      <c r="CG2126" s="2"/>
      <c r="CH2126" s="2"/>
      <c r="CI2126" s="2">
        <v>1</v>
      </c>
      <c r="CJ2126" s="2">
        <v>1</v>
      </c>
      <c r="CK2126" s="2">
        <v>21</v>
      </c>
      <c r="CL2126" s="2" t="s">
        <v>86</v>
      </c>
      <c r="CM2126" s="2"/>
    </row>
    <row r="2127" spans="1:91">
      <c r="A2127" s="2" t="s">
        <v>71</v>
      </c>
      <c r="B2127" s="2" t="s">
        <v>72</v>
      </c>
      <c r="C2127" s="2" t="s">
        <v>73</v>
      </c>
      <c r="D2127" s="2"/>
      <c r="E2127" s="2" t="str">
        <f>"FES1162544024"</f>
        <v>FES1162544024</v>
      </c>
      <c r="F2127" s="3">
        <v>42843</v>
      </c>
      <c r="G2127" s="2">
        <v>201710</v>
      </c>
      <c r="H2127" s="2" t="s">
        <v>74</v>
      </c>
      <c r="I2127" s="2" t="s">
        <v>75</v>
      </c>
      <c r="J2127" s="2" t="s">
        <v>76</v>
      </c>
      <c r="K2127" s="2" t="s">
        <v>77</v>
      </c>
      <c r="L2127" s="2" t="s">
        <v>131</v>
      </c>
      <c r="M2127" s="2" t="s">
        <v>132</v>
      </c>
      <c r="N2127" s="2" t="s">
        <v>731</v>
      </c>
      <c r="O2127" s="2" t="s">
        <v>115</v>
      </c>
      <c r="P2127" s="2" t="str">
        <f>"2170562620                    "</f>
        <v xml:space="preserve">2170562620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4.29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1.2</v>
      </c>
      <c r="BJ2127" s="2">
        <v>0.2</v>
      </c>
      <c r="BK2127" s="2">
        <v>1.5</v>
      </c>
      <c r="BL2127" s="2">
        <v>41.73</v>
      </c>
      <c r="BM2127" s="2">
        <v>5.84</v>
      </c>
      <c r="BN2127" s="2">
        <v>47.57</v>
      </c>
      <c r="BO2127" s="2">
        <v>47.57</v>
      </c>
      <c r="BP2127" s="2"/>
      <c r="BQ2127" s="2" t="s">
        <v>732</v>
      </c>
      <c r="BR2127" s="2" t="s">
        <v>84</v>
      </c>
      <c r="BS2127" s="3">
        <v>42844</v>
      </c>
      <c r="BT2127" s="4">
        <v>0.49305555555555558</v>
      </c>
      <c r="BU2127" s="2" t="s">
        <v>1418</v>
      </c>
      <c r="BV2127" s="2" t="s">
        <v>111</v>
      </c>
      <c r="BW2127" s="2"/>
      <c r="BX2127" s="2"/>
      <c r="BY2127" s="2">
        <v>1200</v>
      </c>
      <c r="BZ2127" s="2"/>
      <c r="CA2127" s="2"/>
      <c r="CB2127" s="2"/>
      <c r="CC2127" s="2" t="s">
        <v>132</v>
      </c>
      <c r="CD2127" s="2">
        <v>7945</v>
      </c>
      <c r="CE2127" s="2" t="s">
        <v>118</v>
      </c>
      <c r="CF2127" s="5">
        <v>42845</v>
      </c>
      <c r="CG2127" s="2"/>
      <c r="CH2127" s="2"/>
      <c r="CI2127" s="2">
        <v>1</v>
      </c>
      <c r="CJ2127" s="2">
        <v>1</v>
      </c>
      <c r="CK2127" s="2">
        <v>21</v>
      </c>
      <c r="CL2127" s="2" t="s">
        <v>86</v>
      </c>
      <c r="CM2127" s="2"/>
    </row>
    <row r="2128" spans="1:91">
      <c r="A2128" s="2" t="s">
        <v>71</v>
      </c>
      <c r="B2128" s="2" t="s">
        <v>72</v>
      </c>
      <c r="C2128" s="2" t="s">
        <v>73</v>
      </c>
      <c r="D2128" s="2"/>
      <c r="E2128" s="2" t="str">
        <f>"FES1162543952"</f>
        <v>FES1162543952</v>
      </c>
      <c r="F2128" s="3">
        <v>42843</v>
      </c>
      <c r="G2128" s="2">
        <v>201710</v>
      </c>
      <c r="H2128" s="2" t="s">
        <v>74</v>
      </c>
      <c r="I2128" s="2" t="s">
        <v>75</v>
      </c>
      <c r="J2128" s="2" t="s">
        <v>76</v>
      </c>
      <c r="K2128" s="2" t="s">
        <v>77</v>
      </c>
      <c r="L2128" s="2" t="s">
        <v>99</v>
      </c>
      <c r="M2128" s="2" t="s">
        <v>100</v>
      </c>
      <c r="N2128" s="2" t="s">
        <v>848</v>
      </c>
      <c r="O2128" s="2" t="s">
        <v>115</v>
      </c>
      <c r="P2128" s="2" t="str">
        <f>"2170560287                    "</f>
        <v xml:space="preserve">2170560287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4.29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2</v>
      </c>
      <c r="BJ2128" s="2">
        <v>1</v>
      </c>
      <c r="BK2128" s="2">
        <v>2</v>
      </c>
      <c r="BL2128" s="2">
        <v>41.73</v>
      </c>
      <c r="BM2128" s="2">
        <v>5.84</v>
      </c>
      <c r="BN2128" s="2">
        <v>47.57</v>
      </c>
      <c r="BO2128" s="2">
        <v>47.57</v>
      </c>
      <c r="BP2128" s="2"/>
      <c r="BQ2128" s="2" t="s">
        <v>849</v>
      </c>
      <c r="BR2128" s="2" t="s">
        <v>84</v>
      </c>
      <c r="BS2128" s="3">
        <v>42844</v>
      </c>
      <c r="BT2128" s="4">
        <v>0.44513888888888892</v>
      </c>
      <c r="BU2128" s="2" t="s">
        <v>2552</v>
      </c>
      <c r="BV2128" s="2" t="s">
        <v>111</v>
      </c>
      <c r="BW2128" s="2"/>
      <c r="BX2128" s="2"/>
      <c r="BY2128" s="2">
        <v>4750.2</v>
      </c>
      <c r="BZ2128" s="2" t="s">
        <v>27</v>
      </c>
      <c r="CA2128" s="2" t="s">
        <v>106</v>
      </c>
      <c r="CB2128" s="2"/>
      <c r="CC2128" s="2" t="s">
        <v>100</v>
      </c>
      <c r="CD2128" s="2">
        <v>6012</v>
      </c>
      <c r="CE2128" s="2" t="s">
        <v>118</v>
      </c>
      <c r="CF2128" s="5">
        <v>42844</v>
      </c>
      <c r="CG2128" s="2"/>
      <c r="CH2128" s="2"/>
      <c r="CI2128" s="2">
        <v>1</v>
      </c>
      <c r="CJ2128" s="2">
        <v>1</v>
      </c>
      <c r="CK2128" s="2">
        <v>21</v>
      </c>
      <c r="CL2128" s="2" t="s">
        <v>86</v>
      </c>
      <c r="CM2128" s="2"/>
    </row>
    <row r="2129" spans="1:91">
      <c r="A2129" s="2" t="s">
        <v>71</v>
      </c>
      <c r="B2129" s="2" t="s">
        <v>72</v>
      </c>
      <c r="C2129" s="2" t="s">
        <v>73</v>
      </c>
      <c r="D2129" s="2"/>
      <c r="E2129" s="2" t="str">
        <f>"FES1162544052"</f>
        <v>FES1162544052</v>
      </c>
      <c r="F2129" s="3">
        <v>42843</v>
      </c>
      <c r="G2129" s="2">
        <v>201710</v>
      </c>
      <c r="H2129" s="2" t="s">
        <v>74</v>
      </c>
      <c r="I2129" s="2" t="s">
        <v>75</v>
      </c>
      <c r="J2129" s="2" t="s">
        <v>76</v>
      </c>
      <c r="K2129" s="2" t="s">
        <v>77</v>
      </c>
      <c r="L2129" s="2" t="s">
        <v>99</v>
      </c>
      <c r="M2129" s="2" t="s">
        <v>100</v>
      </c>
      <c r="N2129" s="2" t="s">
        <v>671</v>
      </c>
      <c r="O2129" s="2" t="s">
        <v>115</v>
      </c>
      <c r="P2129" s="2" t="str">
        <f>"2170562652                    "</f>
        <v xml:space="preserve">2170562652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4.29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</v>
      </c>
      <c r="BJ2129" s="2">
        <v>0.2</v>
      </c>
      <c r="BK2129" s="2">
        <v>1</v>
      </c>
      <c r="BL2129" s="2">
        <v>41.73</v>
      </c>
      <c r="BM2129" s="2">
        <v>5.84</v>
      </c>
      <c r="BN2129" s="2">
        <v>47.57</v>
      </c>
      <c r="BO2129" s="2">
        <v>47.57</v>
      </c>
      <c r="BP2129" s="2"/>
      <c r="BQ2129" s="2" t="s">
        <v>672</v>
      </c>
      <c r="BR2129" s="2" t="s">
        <v>84</v>
      </c>
      <c r="BS2129" s="3">
        <v>42844</v>
      </c>
      <c r="BT2129" s="4">
        <v>0.54166666666666663</v>
      </c>
      <c r="BU2129" s="2" t="s">
        <v>2551</v>
      </c>
      <c r="BV2129" s="2" t="s">
        <v>86</v>
      </c>
      <c r="BW2129" s="2"/>
      <c r="BX2129" s="2"/>
      <c r="BY2129" s="2">
        <v>1200</v>
      </c>
      <c r="BZ2129" s="2"/>
      <c r="CA2129" s="2" t="s">
        <v>106</v>
      </c>
      <c r="CB2129" s="2"/>
      <c r="CC2129" s="2" t="s">
        <v>100</v>
      </c>
      <c r="CD2129" s="2">
        <v>6001</v>
      </c>
      <c r="CE2129" s="2" t="s">
        <v>118</v>
      </c>
      <c r="CF2129" s="5">
        <v>42844</v>
      </c>
      <c r="CG2129" s="2"/>
      <c r="CH2129" s="2"/>
      <c r="CI2129" s="2">
        <v>1</v>
      </c>
      <c r="CJ2129" s="2">
        <v>1</v>
      </c>
      <c r="CK2129" s="2">
        <v>21</v>
      </c>
      <c r="CL2129" s="2" t="s">
        <v>86</v>
      </c>
      <c r="CM2129" s="2"/>
    </row>
    <row r="2130" spans="1:91">
      <c r="A2130" s="2" t="s">
        <v>71</v>
      </c>
      <c r="B2130" s="2" t="s">
        <v>72</v>
      </c>
      <c r="C2130" s="2" t="s">
        <v>73</v>
      </c>
      <c r="D2130" s="2"/>
      <c r="E2130" s="2" t="str">
        <f>"FES1162543996"</f>
        <v>FES1162543996</v>
      </c>
      <c r="F2130" s="3">
        <v>42843</v>
      </c>
      <c r="G2130" s="2">
        <v>201710</v>
      </c>
      <c r="H2130" s="2" t="s">
        <v>74</v>
      </c>
      <c r="I2130" s="2" t="s">
        <v>75</v>
      </c>
      <c r="J2130" s="2" t="s">
        <v>76</v>
      </c>
      <c r="K2130" s="2" t="s">
        <v>77</v>
      </c>
      <c r="L2130" s="2" t="s">
        <v>160</v>
      </c>
      <c r="M2130" s="2" t="s">
        <v>161</v>
      </c>
      <c r="N2130" s="2" t="s">
        <v>463</v>
      </c>
      <c r="O2130" s="2" t="s">
        <v>115</v>
      </c>
      <c r="P2130" s="2" t="str">
        <f>"2170560109                    "</f>
        <v xml:space="preserve">2170560109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7.5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2.4</v>
      </c>
      <c r="BJ2130" s="2">
        <v>3.5</v>
      </c>
      <c r="BK2130" s="2">
        <v>3.5</v>
      </c>
      <c r="BL2130" s="2">
        <v>73.02</v>
      </c>
      <c r="BM2130" s="2">
        <v>10.220000000000001</v>
      </c>
      <c r="BN2130" s="2">
        <v>83.24</v>
      </c>
      <c r="BO2130" s="2">
        <v>83.24</v>
      </c>
      <c r="BP2130" s="2"/>
      <c r="BQ2130" s="2" t="s">
        <v>129</v>
      </c>
      <c r="BR2130" s="2" t="s">
        <v>84</v>
      </c>
      <c r="BS2130" s="3">
        <v>42844</v>
      </c>
      <c r="BT2130" s="4">
        <v>0.41666666666666669</v>
      </c>
      <c r="BU2130" s="2" t="s">
        <v>2519</v>
      </c>
      <c r="BV2130" s="2" t="s">
        <v>111</v>
      </c>
      <c r="BW2130" s="2"/>
      <c r="BX2130" s="2"/>
      <c r="BY2130" s="2">
        <v>17682.64</v>
      </c>
      <c r="BZ2130" s="2" t="s">
        <v>27</v>
      </c>
      <c r="CA2130" s="2"/>
      <c r="CB2130" s="2"/>
      <c r="CC2130" s="2" t="s">
        <v>161</v>
      </c>
      <c r="CD2130" s="2">
        <v>5201</v>
      </c>
      <c r="CE2130" s="2" t="s">
        <v>118</v>
      </c>
      <c r="CF2130" s="5">
        <v>42845</v>
      </c>
      <c r="CG2130" s="2"/>
      <c r="CH2130" s="2"/>
      <c r="CI2130" s="2">
        <v>1</v>
      </c>
      <c r="CJ2130" s="2">
        <v>1</v>
      </c>
      <c r="CK2130" s="2">
        <v>21</v>
      </c>
      <c r="CL2130" s="2" t="s">
        <v>86</v>
      </c>
      <c r="CM2130" s="2"/>
    </row>
    <row r="2131" spans="1:91">
      <c r="A2131" s="2" t="s">
        <v>71</v>
      </c>
      <c r="B2131" s="2" t="s">
        <v>72</v>
      </c>
      <c r="C2131" s="2" t="s">
        <v>73</v>
      </c>
      <c r="D2131" s="2"/>
      <c r="E2131" s="2" t="str">
        <f>"FES1162543862"</f>
        <v>FES1162543862</v>
      </c>
      <c r="F2131" s="3">
        <v>42843</v>
      </c>
      <c r="G2131" s="2">
        <v>201710</v>
      </c>
      <c r="H2131" s="2" t="s">
        <v>74</v>
      </c>
      <c r="I2131" s="2" t="s">
        <v>75</v>
      </c>
      <c r="J2131" s="2" t="s">
        <v>76</v>
      </c>
      <c r="K2131" s="2" t="s">
        <v>77</v>
      </c>
      <c r="L2131" s="2" t="s">
        <v>91</v>
      </c>
      <c r="M2131" s="2" t="s">
        <v>92</v>
      </c>
      <c r="N2131" s="2" t="s">
        <v>616</v>
      </c>
      <c r="O2131" s="2" t="s">
        <v>115</v>
      </c>
      <c r="P2131" s="2" t="str">
        <f>"2170561665                    "</f>
        <v xml:space="preserve">2170561665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3.35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3.5</v>
      </c>
      <c r="BJ2131" s="2">
        <v>0.8</v>
      </c>
      <c r="BK2131" s="2">
        <v>4</v>
      </c>
      <c r="BL2131" s="2">
        <v>32.6</v>
      </c>
      <c r="BM2131" s="2">
        <v>4.5599999999999996</v>
      </c>
      <c r="BN2131" s="2">
        <v>37.159999999999997</v>
      </c>
      <c r="BO2131" s="2">
        <v>37.159999999999997</v>
      </c>
      <c r="BP2131" s="2"/>
      <c r="BQ2131" s="2" t="s">
        <v>617</v>
      </c>
      <c r="BR2131" s="2" t="s">
        <v>84</v>
      </c>
      <c r="BS2131" s="3">
        <v>42844</v>
      </c>
      <c r="BT2131" s="4">
        <v>0.41805555555555557</v>
      </c>
      <c r="BU2131" s="2" t="s">
        <v>2553</v>
      </c>
      <c r="BV2131" s="2" t="s">
        <v>111</v>
      </c>
      <c r="BW2131" s="2"/>
      <c r="BX2131" s="2"/>
      <c r="BY2131" s="2">
        <v>4030.99</v>
      </c>
      <c r="BZ2131" s="2"/>
      <c r="CA2131" s="2"/>
      <c r="CB2131" s="2"/>
      <c r="CC2131" s="2" t="s">
        <v>92</v>
      </c>
      <c r="CD2131" s="2">
        <v>1401</v>
      </c>
      <c r="CE2131" s="2" t="s">
        <v>172</v>
      </c>
      <c r="CF2131" s="5">
        <v>42845</v>
      </c>
      <c r="CG2131" s="2"/>
      <c r="CH2131" s="2"/>
      <c r="CI2131" s="2">
        <v>1</v>
      </c>
      <c r="CJ2131" s="2">
        <v>1</v>
      </c>
      <c r="CK2131" s="2">
        <v>22</v>
      </c>
      <c r="CL2131" s="2" t="s">
        <v>86</v>
      </c>
      <c r="CM2131" s="2"/>
    </row>
    <row r="2132" spans="1:91">
      <c r="A2132" s="2" t="s">
        <v>71</v>
      </c>
      <c r="B2132" s="2" t="s">
        <v>72</v>
      </c>
      <c r="C2132" s="2" t="s">
        <v>73</v>
      </c>
      <c r="D2132" s="2"/>
      <c r="E2132" s="2" t="str">
        <f>"FES1162543822"</f>
        <v>FES1162543822</v>
      </c>
      <c r="F2132" s="3">
        <v>42843</v>
      </c>
      <c r="G2132" s="2">
        <v>201710</v>
      </c>
      <c r="H2132" s="2" t="s">
        <v>74</v>
      </c>
      <c r="I2132" s="2" t="s">
        <v>75</v>
      </c>
      <c r="J2132" s="2" t="s">
        <v>76</v>
      </c>
      <c r="K2132" s="2" t="s">
        <v>77</v>
      </c>
      <c r="L2132" s="2" t="s">
        <v>166</v>
      </c>
      <c r="M2132" s="2" t="s">
        <v>167</v>
      </c>
      <c r="N2132" s="2" t="s">
        <v>2207</v>
      </c>
      <c r="O2132" s="2" t="s">
        <v>115</v>
      </c>
      <c r="P2132" s="2" t="str">
        <f>"2170559835                    "</f>
        <v xml:space="preserve">2170559835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3.35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0.5</v>
      </c>
      <c r="BJ2132" s="2">
        <v>0.2</v>
      </c>
      <c r="BK2132" s="2">
        <v>1</v>
      </c>
      <c r="BL2132" s="2">
        <v>32.6</v>
      </c>
      <c r="BM2132" s="2">
        <v>4.5599999999999996</v>
      </c>
      <c r="BN2132" s="2">
        <v>37.159999999999997</v>
      </c>
      <c r="BO2132" s="2">
        <v>37.159999999999997</v>
      </c>
      <c r="BP2132" s="2"/>
      <c r="BQ2132" s="2" t="s">
        <v>238</v>
      </c>
      <c r="BR2132" s="2" t="s">
        <v>84</v>
      </c>
      <c r="BS2132" s="3">
        <v>42844</v>
      </c>
      <c r="BT2132" s="4">
        <v>0.41666666666666669</v>
      </c>
      <c r="BU2132" s="2" t="s">
        <v>2208</v>
      </c>
      <c r="BV2132" s="2" t="s">
        <v>111</v>
      </c>
      <c r="BW2132" s="2"/>
      <c r="BX2132" s="2"/>
      <c r="BY2132" s="2">
        <v>1200</v>
      </c>
      <c r="BZ2132" s="2" t="s">
        <v>27</v>
      </c>
      <c r="CA2132" s="2"/>
      <c r="CB2132" s="2"/>
      <c r="CC2132" s="2" t="s">
        <v>167</v>
      </c>
      <c r="CD2132" s="2">
        <v>2196</v>
      </c>
      <c r="CE2132" s="2" t="s">
        <v>118</v>
      </c>
      <c r="CF2132" s="5">
        <v>42845</v>
      </c>
      <c r="CG2132" s="2"/>
      <c r="CH2132" s="2"/>
      <c r="CI2132" s="2">
        <v>1</v>
      </c>
      <c r="CJ2132" s="2">
        <v>1</v>
      </c>
      <c r="CK2132" s="2">
        <v>22</v>
      </c>
      <c r="CL2132" s="2" t="s">
        <v>86</v>
      </c>
      <c r="CM2132" s="2"/>
    </row>
    <row r="2133" spans="1:91">
      <c r="A2133" s="2" t="s">
        <v>71</v>
      </c>
      <c r="B2133" s="2" t="s">
        <v>72</v>
      </c>
      <c r="C2133" s="2" t="s">
        <v>73</v>
      </c>
      <c r="D2133" s="2"/>
      <c r="E2133" s="2" t="str">
        <f>"FES1162543860"</f>
        <v>FES1162543860</v>
      </c>
      <c r="F2133" s="3">
        <v>42843</v>
      </c>
      <c r="G2133" s="2">
        <v>201710</v>
      </c>
      <c r="H2133" s="2" t="s">
        <v>74</v>
      </c>
      <c r="I2133" s="2" t="s">
        <v>75</v>
      </c>
      <c r="J2133" s="2" t="s">
        <v>76</v>
      </c>
      <c r="K2133" s="2" t="s">
        <v>77</v>
      </c>
      <c r="L2133" s="2" t="s">
        <v>74</v>
      </c>
      <c r="M2133" s="2" t="s">
        <v>75</v>
      </c>
      <c r="N2133" s="2" t="s">
        <v>1855</v>
      </c>
      <c r="O2133" s="2" t="s">
        <v>115</v>
      </c>
      <c r="P2133" s="2" t="str">
        <f>"2170561119                    "</f>
        <v xml:space="preserve">2170561119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3.35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3.8</v>
      </c>
      <c r="BJ2133" s="2">
        <v>0.8</v>
      </c>
      <c r="BK2133" s="2">
        <v>4</v>
      </c>
      <c r="BL2133" s="2">
        <v>32.6</v>
      </c>
      <c r="BM2133" s="2">
        <v>4.5599999999999996</v>
      </c>
      <c r="BN2133" s="2">
        <v>37.159999999999997</v>
      </c>
      <c r="BO2133" s="2">
        <v>37.159999999999997</v>
      </c>
      <c r="BP2133" s="2"/>
      <c r="BQ2133" s="2" t="s">
        <v>1856</v>
      </c>
      <c r="BR2133" s="2" t="s">
        <v>84</v>
      </c>
      <c r="BS2133" s="3">
        <v>42844</v>
      </c>
      <c r="BT2133" s="4">
        <v>0.3611111111111111</v>
      </c>
      <c r="BU2133" s="2" t="s">
        <v>2554</v>
      </c>
      <c r="BV2133" s="2" t="s">
        <v>111</v>
      </c>
      <c r="BW2133" s="2"/>
      <c r="BX2133" s="2"/>
      <c r="BY2133" s="2">
        <v>4205.3999999999996</v>
      </c>
      <c r="BZ2133" s="2"/>
      <c r="CA2133" s="2" t="s">
        <v>2461</v>
      </c>
      <c r="CB2133" s="2"/>
      <c r="CC2133" s="2" t="s">
        <v>75</v>
      </c>
      <c r="CD2133" s="2">
        <v>1601</v>
      </c>
      <c r="CE2133" s="2" t="s">
        <v>172</v>
      </c>
      <c r="CF2133" s="5">
        <v>42844</v>
      </c>
      <c r="CG2133" s="2"/>
      <c r="CH2133" s="2"/>
      <c r="CI2133" s="2">
        <v>1</v>
      </c>
      <c r="CJ2133" s="2">
        <v>1</v>
      </c>
      <c r="CK2133" s="2">
        <v>22</v>
      </c>
      <c r="CL2133" s="2" t="s">
        <v>86</v>
      </c>
      <c r="CM2133" s="2"/>
    </row>
    <row r="2134" spans="1:91">
      <c r="A2134" s="2" t="s">
        <v>71</v>
      </c>
      <c r="B2134" s="2" t="s">
        <v>72</v>
      </c>
      <c r="C2134" s="2" t="s">
        <v>73</v>
      </c>
      <c r="D2134" s="2"/>
      <c r="E2134" s="2" t="str">
        <f>"FES1162543837"</f>
        <v>FES1162543837</v>
      </c>
      <c r="F2134" s="3">
        <v>42843</v>
      </c>
      <c r="G2134" s="2">
        <v>201710</v>
      </c>
      <c r="H2134" s="2" t="s">
        <v>74</v>
      </c>
      <c r="I2134" s="2" t="s">
        <v>75</v>
      </c>
      <c r="J2134" s="2" t="s">
        <v>76</v>
      </c>
      <c r="K2134" s="2" t="s">
        <v>77</v>
      </c>
      <c r="L2134" s="2" t="s">
        <v>516</v>
      </c>
      <c r="M2134" s="2" t="s">
        <v>517</v>
      </c>
      <c r="N2134" s="2" t="s">
        <v>758</v>
      </c>
      <c r="O2134" s="2" t="s">
        <v>115</v>
      </c>
      <c r="P2134" s="2" t="str">
        <f>"217060456                     "</f>
        <v xml:space="preserve">217060456 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3.35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1.8</v>
      </c>
      <c r="BJ2134" s="2">
        <v>0.4</v>
      </c>
      <c r="BK2134" s="2">
        <v>2</v>
      </c>
      <c r="BL2134" s="2">
        <v>32.6</v>
      </c>
      <c r="BM2134" s="2">
        <v>4.5599999999999996</v>
      </c>
      <c r="BN2134" s="2">
        <v>37.159999999999997</v>
      </c>
      <c r="BO2134" s="2">
        <v>37.159999999999997</v>
      </c>
      <c r="BP2134" s="2"/>
      <c r="BQ2134" s="2" t="s">
        <v>759</v>
      </c>
      <c r="BR2134" s="2" t="s">
        <v>84</v>
      </c>
      <c r="BS2134" s="3">
        <v>42844</v>
      </c>
      <c r="BT2134" s="4">
        <v>0.31527777777777777</v>
      </c>
      <c r="BU2134" s="2" t="s">
        <v>1159</v>
      </c>
      <c r="BV2134" s="2" t="s">
        <v>111</v>
      </c>
      <c r="BW2134" s="2"/>
      <c r="BX2134" s="2"/>
      <c r="BY2134" s="2">
        <v>2134.13</v>
      </c>
      <c r="BZ2134" s="2" t="s">
        <v>27</v>
      </c>
      <c r="CA2134" s="2" t="s">
        <v>2320</v>
      </c>
      <c r="CB2134" s="2"/>
      <c r="CC2134" s="2" t="s">
        <v>517</v>
      </c>
      <c r="CD2134" s="2">
        <v>1459</v>
      </c>
      <c r="CE2134" s="2" t="s">
        <v>118</v>
      </c>
      <c r="CF2134" s="5">
        <v>42844</v>
      </c>
      <c r="CG2134" s="2"/>
      <c r="CH2134" s="2"/>
      <c r="CI2134" s="2">
        <v>1</v>
      </c>
      <c r="CJ2134" s="2">
        <v>1</v>
      </c>
      <c r="CK2134" s="2">
        <v>22</v>
      </c>
      <c r="CL2134" s="2" t="s">
        <v>86</v>
      </c>
      <c r="CM2134" s="2"/>
    </row>
    <row r="2135" spans="1:91">
      <c r="A2135" s="2" t="s">
        <v>71</v>
      </c>
      <c r="B2135" s="2" t="s">
        <v>72</v>
      </c>
      <c r="C2135" s="2" t="s">
        <v>73</v>
      </c>
      <c r="D2135" s="2"/>
      <c r="E2135" s="2" t="str">
        <f>"FES1162543811"</f>
        <v>FES1162543811</v>
      </c>
      <c r="F2135" s="3">
        <v>42843</v>
      </c>
      <c r="G2135" s="2">
        <v>201710</v>
      </c>
      <c r="H2135" s="2" t="s">
        <v>74</v>
      </c>
      <c r="I2135" s="2" t="s">
        <v>75</v>
      </c>
      <c r="J2135" s="2" t="s">
        <v>76</v>
      </c>
      <c r="K2135" s="2" t="s">
        <v>77</v>
      </c>
      <c r="L2135" s="2" t="s">
        <v>119</v>
      </c>
      <c r="M2135" s="2" t="s">
        <v>120</v>
      </c>
      <c r="N2135" s="2" t="s">
        <v>2252</v>
      </c>
      <c r="O2135" s="2" t="s">
        <v>115</v>
      </c>
      <c r="P2135" s="2" t="str">
        <f>"2170560260                    "</f>
        <v xml:space="preserve">2170560260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3.35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0.5</v>
      </c>
      <c r="BJ2135" s="2">
        <v>0.2</v>
      </c>
      <c r="BK2135" s="2">
        <v>1</v>
      </c>
      <c r="BL2135" s="2">
        <v>32.6</v>
      </c>
      <c r="BM2135" s="2">
        <v>4.5599999999999996</v>
      </c>
      <c r="BN2135" s="2">
        <v>37.159999999999997</v>
      </c>
      <c r="BO2135" s="2">
        <v>37.159999999999997</v>
      </c>
      <c r="BP2135" s="2"/>
      <c r="BQ2135" s="2" t="s">
        <v>2253</v>
      </c>
      <c r="BR2135" s="2" t="s">
        <v>84</v>
      </c>
      <c r="BS2135" s="3">
        <v>42844</v>
      </c>
      <c r="BT2135" s="4">
        <v>0.3923611111111111</v>
      </c>
      <c r="BU2135" s="2" t="s">
        <v>2555</v>
      </c>
      <c r="BV2135" s="2" t="s">
        <v>111</v>
      </c>
      <c r="BW2135" s="2"/>
      <c r="BX2135" s="2"/>
      <c r="BY2135" s="2">
        <v>1200</v>
      </c>
      <c r="BZ2135" s="2" t="s">
        <v>27</v>
      </c>
      <c r="CA2135" s="2" t="s">
        <v>395</v>
      </c>
      <c r="CB2135" s="2"/>
      <c r="CC2135" s="2" t="s">
        <v>120</v>
      </c>
      <c r="CD2135" s="2">
        <v>2163</v>
      </c>
      <c r="CE2135" s="2" t="s">
        <v>118</v>
      </c>
      <c r="CF2135" s="5">
        <v>42845</v>
      </c>
      <c r="CG2135" s="2"/>
      <c r="CH2135" s="2"/>
      <c r="CI2135" s="2">
        <v>1</v>
      </c>
      <c r="CJ2135" s="2">
        <v>1</v>
      </c>
      <c r="CK2135" s="2">
        <v>22</v>
      </c>
      <c r="CL2135" s="2" t="s">
        <v>86</v>
      </c>
      <c r="CM2135" s="2"/>
    </row>
    <row r="2136" spans="1:91">
      <c r="A2136" s="2" t="s">
        <v>71</v>
      </c>
      <c r="B2136" s="2" t="s">
        <v>72</v>
      </c>
      <c r="C2136" s="2" t="s">
        <v>73</v>
      </c>
      <c r="D2136" s="2"/>
      <c r="E2136" s="2" t="str">
        <f>"FES1162544096"</f>
        <v>FES1162544096</v>
      </c>
      <c r="F2136" s="3">
        <v>42843</v>
      </c>
      <c r="G2136" s="2">
        <v>201710</v>
      </c>
      <c r="H2136" s="2" t="s">
        <v>74</v>
      </c>
      <c r="I2136" s="2" t="s">
        <v>75</v>
      </c>
      <c r="J2136" s="2" t="s">
        <v>76</v>
      </c>
      <c r="K2136" s="2" t="s">
        <v>77</v>
      </c>
      <c r="L2136" s="2" t="s">
        <v>900</v>
      </c>
      <c r="M2136" s="2" t="s">
        <v>901</v>
      </c>
      <c r="N2136" s="2" t="s">
        <v>1428</v>
      </c>
      <c r="O2136" s="2" t="s">
        <v>115</v>
      </c>
      <c r="P2136" s="2" t="str">
        <f>"2170562708                    "</f>
        <v xml:space="preserve">2170562708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4.29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1</v>
      </c>
      <c r="BJ2136" s="2">
        <v>2</v>
      </c>
      <c r="BK2136" s="2">
        <v>2</v>
      </c>
      <c r="BL2136" s="2">
        <v>41.73</v>
      </c>
      <c r="BM2136" s="2">
        <v>5.84</v>
      </c>
      <c r="BN2136" s="2">
        <v>47.57</v>
      </c>
      <c r="BO2136" s="2">
        <v>47.57</v>
      </c>
      <c r="BP2136" s="2"/>
      <c r="BQ2136" s="2" t="s">
        <v>1429</v>
      </c>
      <c r="BR2136" s="2" t="s">
        <v>84</v>
      </c>
      <c r="BS2136" s="3">
        <v>42844</v>
      </c>
      <c r="BT2136" s="4">
        <v>0.36527777777777781</v>
      </c>
      <c r="BU2136" s="2" t="s">
        <v>2556</v>
      </c>
      <c r="BV2136" s="2" t="s">
        <v>111</v>
      </c>
      <c r="BW2136" s="2"/>
      <c r="BX2136" s="2"/>
      <c r="BY2136" s="2">
        <v>9900</v>
      </c>
      <c r="BZ2136" s="2"/>
      <c r="CA2136" s="2" t="s">
        <v>159</v>
      </c>
      <c r="CB2136" s="2"/>
      <c r="CC2136" s="2" t="s">
        <v>901</v>
      </c>
      <c r="CD2136" s="2">
        <v>4026</v>
      </c>
      <c r="CE2136" s="2" t="s">
        <v>89</v>
      </c>
      <c r="CF2136" s="5">
        <v>42845</v>
      </c>
      <c r="CG2136" s="2"/>
      <c r="CH2136" s="2"/>
      <c r="CI2136" s="2">
        <v>1</v>
      </c>
      <c r="CJ2136" s="2">
        <v>1</v>
      </c>
      <c r="CK2136" s="2">
        <v>21</v>
      </c>
      <c r="CL2136" s="2" t="s">
        <v>86</v>
      </c>
      <c r="CM2136" s="2"/>
    </row>
    <row r="2137" spans="1:91">
      <c r="A2137" s="2" t="s">
        <v>71</v>
      </c>
      <c r="B2137" s="2" t="s">
        <v>72</v>
      </c>
      <c r="C2137" s="2" t="s">
        <v>73</v>
      </c>
      <c r="D2137" s="2"/>
      <c r="E2137" s="2" t="str">
        <f>"FES1162543854"</f>
        <v>FES1162543854</v>
      </c>
      <c r="F2137" s="3">
        <v>42843</v>
      </c>
      <c r="G2137" s="2">
        <v>201710</v>
      </c>
      <c r="H2137" s="2" t="s">
        <v>74</v>
      </c>
      <c r="I2137" s="2" t="s">
        <v>75</v>
      </c>
      <c r="J2137" s="2" t="s">
        <v>76</v>
      </c>
      <c r="K2137" s="2" t="s">
        <v>77</v>
      </c>
      <c r="L2137" s="2" t="s">
        <v>166</v>
      </c>
      <c r="M2137" s="2" t="s">
        <v>167</v>
      </c>
      <c r="N2137" s="2" t="s">
        <v>168</v>
      </c>
      <c r="O2137" s="2" t="s">
        <v>115</v>
      </c>
      <c r="P2137" s="2" t="str">
        <f>"2170560858                    "</f>
        <v xml:space="preserve">2170560858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3.35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0.5</v>
      </c>
      <c r="BJ2137" s="2">
        <v>0.2</v>
      </c>
      <c r="BK2137" s="2">
        <v>1</v>
      </c>
      <c r="BL2137" s="2">
        <v>32.6</v>
      </c>
      <c r="BM2137" s="2">
        <v>4.5599999999999996</v>
      </c>
      <c r="BN2137" s="2">
        <v>37.159999999999997</v>
      </c>
      <c r="BO2137" s="2">
        <v>37.159999999999997</v>
      </c>
      <c r="BP2137" s="2"/>
      <c r="BQ2137" s="2" t="s">
        <v>169</v>
      </c>
      <c r="BR2137" s="2" t="s">
        <v>84</v>
      </c>
      <c r="BS2137" s="3">
        <v>42844</v>
      </c>
      <c r="BT2137" s="4">
        <v>0.3611111111111111</v>
      </c>
      <c r="BU2137" s="2" t="s">
        <v>2542</v>
      </c>
      <c r="BV2137" s="2" t="s">
        <v>111</v>
      </c>
      <c r="BW2137" s="2"/>
      <c r="BX2137" s="2"/>
      <c r="BY2137" s="2">
        <v>1200</v>
      </c>
      <c r="BZ2137" s="2" t="s">
        <v>27</v>
      </c>
      <c r="CA2137" s="2" t="s">
        <v>2312</v>
      </c>
      <c r="CB2137" s="2"/>
      <c r="CC2137" s="2" t="s">
        <v>167</v>
      </c>
      <c r="CD2137" s="2">
        <v>2094</v>
      </c>
      <c r="CE2137" s="2" t="s">
        <v>118</v>
      </c>
      <c r="CF2137" s="5">
        <v>42844</v>
      </c>
      <c r="CG2137" s="2"/>
      <c r="CH2137" s="2"/>
      <c r="CI2137" s="2">
        <v>1</v>
      </c>
      <c r="CJ2137" s="2">
        <v>1</v>
      </c>
      <c r="CK2137" s="2">
        <v>22</v>
      </c>
      <c r="CL2137" s="2" t="s">
        <v>86</v>
      </c>
      <c r="CM2137" s="2"/>
    </row>
    <row r="2138" spans="1:91">
      <c r="A2138" s="2" t="s">
        <v>71</v>
      </c>
      <c r="B2138" s="2" t="s">
        <v>72</v>
      </c>
      <c r="C2138" s="2" t="s">
        <v>73</v>
      </c>
      <c r="D2138" s="2"/>
      <c r="E2138" s="2" t="str">
        <f>"FES1162544049"</f>
        <v>FES1162544049</v>
      </c>
      <c r="F2138" s="3">
        <v>42843</v>
      </c>
      <c r="G2138" s="2">
        <v>201710</v>
      </c>
      <c r="H2138" s="2" t="s">
        <v>74</v>
      </c>
      <c r="I2138" s="2" t="s">
        <v>75</v>
      </c>
      <c r="J2138" s="2" t="s">
        <v>76</v>
      </c>
      <c r="K2138" s="2" t="s">
        <v>77</v>
      </c>
      <c r="L2138" s="2" t="s">
        <v>131</v>
      </c>
      <c r="M2138" s="2" t="s">
        <v>132</v>
      </c>
      <c r="N2138" s="2" t="s">
        <v>2557</v>
      </c>
      <c r="O2138" s="2" t="s">
        <v>115</v>
      </c>
      <c r="P2138" s="2" t="str">
        <f>"2170562646                    "</f>
        <v xml:space="preserve">2170562646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12.86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4.7</v>
      </c>
      <c r="BJ2138" s="2">
        <v>5.6</v>
      </c>
      <c r="BK2138" s="2">
        <v>6</v>
      </c>
      <c r="BL2138" s="2">
        <v>125.18</v>
      </c>
      <c r="BM2138" s="2">
        <v>17.53</v>
      </c>
      <c r="BN2138" s="2">
        <v>142.71</v>
      </c>
      <c r="BO2138" s="2">
        <v>142.71</v>
      </c>
      <c r="BP2138" s="2"/>
      <c r="BQ2138" s="2" t="s">
        <v>2558</v>
      </c>
      <c r="BR2138" s="2" t="s">
        <v>84</v>
      </c>
      <c r="BS2138" s="3">
        <v>42844</v>
      </c>
      <c r="BT2138" s="4">
        <v>0.3888888888888889</v>
      </c>
      <c r="BU2138" s="2" t="s">
        <v>2559</v>
      </c>
      <c r="BV2138" s="2" t="s">
        <v>111</v>
      </c>
      <c r="BW2138" s="2"/>
      <c r="BX2138" s="2"/>
      <c r="BY2138" s="2">
        <v>27939.3</v>
      </c>
      <c r="BZ2138" s="2"/>
      <c r="CA2138" s="2"/>
      <c r="CB2138" s="2"/>
      <c r="CC2138" s="2" t="s">
        <v>132</v>
      </c>
      <c r="CD2138" s="2">
        <v>7530</v>
      </c>
      <c r="CE2138" s="2" t="s">
        <v>89</v>
      </c>
      <c r="CF2138" s="5">
        <v>42845</v>
      </c>
      <c r="CG2138" s="2"/>
      <c r="CH2138" s="2"/>
      <c r="CI2138" s="2">
        <v>1</v>
      </c>
      <c r="CJ2138" s="2">
        <v>1</v>
      </c>
      <c r="CK2138" s="2">
        <v>21</v>
      </c>
      <c r="CL2138" s="2" t="s">
        <v>86</v>
      </c>
      <c r="CM2138" s="2"/>
    </row>
    <row r="2139" spans="1:91">
      <c r="A2139" s="2" t="s">
        <v>71</v>
      </c>
      <c r="B2139" s="2" t="s">
        <v>72</v>
      </c>
      <c r="C2139" s="2" t="s">
        <v>73</v>
      </c>
      <c r="D2139" s="2"/>
      <c r="E2139" s="2" t="str">
        <f>"FES1162543965"</f>
        <v>FES1162543965</v>
      </c>
      <c r="F2139" s="3">
        <v>42843</v>
      </c>
      <c r="G2139" s="2">
        <v>201710</v>
      </c>
      <c r="H2139" s="2" t="s">
        <v>74</v>
      </c>
      <c r="I2139" s="2" t="s">
        <v>75</v>
      </c>
      <c r="J2139" s="2" t="s">
        <v>76</v>
      </c>
      <c r="K2139" s="2" t="s">
        <v>77</v>
      </c>
      <c r="L2139" s="2" t="s">
        <v>176</v>
      </c>
      <c r="M2139" s="2" t="s">
        <v>176</v>
      </c>
      <c r="N2139" s="2" t="s">
        <v>177</v>
      </c>
      <c r="O2139" s="2" t="s">
        <v>115</v>
      </c>
      <c r="P2139" s="2" t="str">
        <f>"2170562558                    "</f>
        <v xml:space="preserve">2170562558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4.29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1</v>
      </c>
      <c r="BJ2139" s="2">
        <v>0.2</v>
      </c>
      <c r="BK2139" s="2">
        <v>1</v>
      </c>
      <c r="BL2139" s="2">
        <v>41.73</v>
      </c>
      <c r="BM2139" s="2">
        <v>5.84</v>
      </c>
      <c r="BN2139" s="2">
        <v>47.57</v>
      </c>
      <c r="BO2139" s="2">
        <v>47.57</v>
      </c>
      <c r="BP2139" s="2"/>
      <c r="BQ2139" s="2" t="s">
        <v>178</v>
      </c>
      <c r="BR2139" s="2" t="s">
        <v>84</v>
      </c>
      <c r="BS2139" s="3">
        <v>42844</v>
      </c>
      <c r="BT2139" s="4">
        <v>0.53125</v>
      </c>
      <c r="BU2139" s="2" t="s">
        <v>1487</v>
      </c>
      <c r="BV2139" s="2" t="s">
        <v>111</v>
      </c>
      <c r="BW2139" s="2"/>
      <c r="BX2139" s="2"/>
      <c r="BY2139" s="2">
        <v>1200</v>
      </c>
      <c r="BZ2139" s="2"/>
      <c r="CA2139" s="2"/>
      <c r="CB2139" s="2"/>
      <c r="CC2139" s="2" t="s">
        <v>176</v>
      </c>
      <c r="CD2139" s="2">
        <v>7646</v>
      </c>
      <c r="CE2139" s="2" t="s">
        <v>118</v>
      </c>
      <c r="CF2139" s="5">
        <v>42845</v>
      </c>
      <c r="CG2139" s="2"/>
      <c r="CH2139" s="2"/>
      <c r="CI2139" s="2">
        <v>1</v>
      </c>
      <c r="CJ2139" s="2">
        <v>1</v>
      </c>
      <c r="CK2139" s="2">
        <v>21</v>
      </c>
      <c r="CL2139" s="2" t="s">
        <v>86</v>
      </c>
      <c r="CM2139" s="2"/>
    </row>
    <row r="2140" spans="1:91">
      <c r="A2140" s="2" t="s">
        <v>71</v>
      </c>
      <c r="B2140" s="2" t="s">
        <v>72</v>
      </c>
      <c r="C2140" s="2" t="s">
        <v>73</v>
      </c>
      <c r="D2140" s="2"/>
      <c r="E2140" s="2" t="str">
        <f>"FES1162543899"</f>
        <v>FES1162543899</v>
      </c>
      <c r="F2140" s="3">
        <v>42843</v>
      </c>
      <c r="G2140" s="2">
        <v>201710</v>
      </c>
      <c r="H2140" s="2" t="s">
        <v>74</v>
      </c>
      <c r="I2140" s="2" t="s">
        <v>75</v>
      </c>
      <c r="J2140" s="2" t="s">
        <v>76</v>
      </c>
      <c r="K2140" s="2" t="s">
        <v>77</v>
      </c>
      <c r="L2140" s="2" t="s">
        <v>443</v>
      </c>
      <c r="M2140" s="2" t="s">
        <v>444</v>
      </c>
      <c r="N2140" s="2" t="s">
        <v>445</v>
      </c>
      <c r="O2140" s="2" t="s">
        <v>115</v>
      </c>
      <c r="P2140" s="2" t="str">
        <f>"2170562503                    "</f>
        <v xml:space="preserve">2170562503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22.51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5</v>
      </c>
      <c r="BJ2140" s="2">
        <v>10.3</v>
      </c>
      <c r="BK2140" s="2">
        <v>10.5</v>
      </c>
      <c r="BL2140" s="2">
        <v>219.07</v>
      </c>
      <c r="BM2140" s="2">
        <v>30.67</v>
      </c>
      <c r="BN2140" s="2">
        <v>249.74</v>
      </c>
      <c r="BO2140" s="2">
        <v>249.74</v>
      </c>
      <c r="BP2140" s="2"/>
      <c r="BQ2140" s="2" t="s">
        <v>129</v>
      </c>
      <c r="BR2140" s="2" t="s">
        <v>84</v>
      </c>
      <c r="BS2140" s="3">
        <v>42844</v>
      </c>
      <c r="BT2140" s="4">
        <v>0.41666666666666669</v>
      </c>
      <c r="BU2140" s="2" t="s">
        <v>2560</v>
      </c>
      <c r="BV2140" s="2" t="s">
        <v>111</v>
      </c>
      <c r="BW2140" s="2"/>
      <c r="BX2140" s="2"/>
      <c r="BY2140" s="2">
        <v>51408</v>
      </c>
      <c r="BZ2140" s="2"/>
      <c r="CA2140" s="2"/>
      <c r="CB2140" s="2"/>
      <c r="CC2140" s="2" t="s">
        <v>444</v>
      </c>
      <c r="CD2140" s="2">
        <v>7130</v>
      </c>
      <c r="CE2140" s="2" t="s">
        <v>89</v>
      </c>
      <c r="CF2140" s="5">
        <v>42845</v>
      </c>
      <c r="CG2140" s="2"/>
      <c r="CH2140" s="2"/>
      <c r="CI2140" s="2">
        <v>1</v>
      </c>
      <c r="CJ2140" s="2">
        <v>1</v>
      </c>
      <c r="CK2140" s="2">
        <v>21</v>
      </c>
      <c r="CL2140" s="2" t="s">
        <v>86</v>
      </c>
      <c r="CM2140" s="2"/>
    </row>
    <row r="2141" spans="1:91">
      <c r="A2141" s="2" t="s">
        <v>71</v>
      </c>
      <c r="B2141" s="2" t="s">
        <v>72</v>
      </c>
      <c r="C2141" s="2" t="s">
        <v>73</v>
      </c>
      <c r="D2141" s="2"/>
      <c r="E2141" s="2" t="str">
        <f>"FES1162543964"</f>
        <v>FES1162543964</v>
      </c>
      <c r="F2141" s="3">
        <v>42843</v>
      </c>
      <c r="G2141" s="2">
        <v>201710</v>
      </c>
      <c r="H2141" s="2" t="s">
        <v>74</v>
      </c>
      <c r="I2141" s="2" t="s">
        <v>75</v>
      </c>
      <c r="J2141" s="2" t="s">
        <v>76</v>
      </c>
      <c r="K2141" s="2" t="s">
        <v>77</v>
      </c>
      <c r="L2141" s="2" t="s">
        <v>220</v>
      </c>
      <c r="M2141" s="2" t="s">
        <v>221</v>
      </c>
      <c r="N2141" s="2" t="s">
        <v>222</v>
      </c>
      <c r="O2141" s="2" t="s">
        <v>115</v>
      </c>
      <c r="P2141" s="2" t="str">
        <f>"2170562198                    "</f>
        <v xml:space="preserve">2170562198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4.29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1</v>
      </c>
      <c r="BJ2141" s="2">
        <v>0.2</v>
      </c>
      <c r="BK2141" s="2">
        <v>1</v>
      </c>
      <c r="BL2141" s="2">
        <v>41.73</v>
      </c>
      <c r="BM2141" s="2">
        <v>5.84</v>
      </c>
      <c r="BN2141" s="2">
        <v>47.57</v>
      </c>
      <c r="BO2141" s="2">
        <v>47.57</v>
      </c>
      <c r="BP2141" s="2"/>
      <c r="BQ2141" s="2" t="s">
        <v>223</v>
      </c>
      <c r="BR2141" s="2" t="s">
        <v>84</v>
      </c>
      <c r="BS2141" s="3">
        <v>42844</v>
      </c>
      <c r="BT2141" s="4">
        <v>0.36736111111111108</v>
      </c>
      <c r="BU2141" s="2" t="s">
        <v>2561</v>
      </c>
      <c r="BV2141" s="2" t="s">
        <v>111</v>
      </c>
      <c r="BW2141" s="2"/>
      <c r="BX2141" s="2"/>
      <c r="BY2141" s="2">
        <v>1200</v>
      </c>
      <c r="BZ2141" s="2"/>
      <c r="CA2141" s="2" t="s">
        <v>159</v>
      </c>
      <c r="CB2141" s="2"/>
      <c r="CC2141" s="2" t="s">
        <v>221</v>
      </c>
      <c r="CD2141" s="2">
        <v>6536</v>
      </c>
      <c r="CE2141" s="2" t="s">
        <v>118</v>
      </c>
      <c r="CF2141" s="5">
        <v>42846</v>
      </c>
      <c r="CG2141" s="2"/>
      <c r="CH2141" s="2"/>
      <c r="CI2141" s="2">
        <v>1</v>
      </c>
      <c r="CJ2141" s="2">
        <v>1</v>
      </c>
      <c r="CK2141" s="2">
        <v>21</v>
      </c>
      <c r="CL2141" s="2" t="s">
        <v>86</v>
      </c>
      <c r="CM2141" s="2"/>
    </row>
    <row r="2142" spans="1:91">
      <c r="A2142" s="2" t="s">
        <v>71</v>
      </c>
      <c r="B2142" s="2" t="s">
        <v>72</v>
      </c>
      <c r="C2142" s="2" t="s">
        <v>73</v>
      </c>
      <c r="D2142" s="2"/>
      <c r="E2142" s="2" t="str">
        <f>"FES1162543961"</f>
        <v>FES1162543961</v>
      </c>
      <c r="F2142" s="3">
        <v>42843</v>
      </c>
      <c r="G2142" s="2">
        <v>201710</v>
      </c>
      <c r="H2142" s="2" t="s">
        <v>74</v>
      </c>
      <c r="I2142" s="2" t="s">
        <v>75</v>
      </c>
      <c r="J2142" s="2" t="s">
        <v>76</v>
      </c>
      <c r="K2142" s="2" t="s">
        <v>77</v>
      </c>
      <c r="L2142" s="2" t="s">
        <v>131</v>
      </c>
      <c r="M2142" s="2" t="s">
        <v>132</v>
      </c>
      <c r="N2142" s="2" t="s">
        <v>1497</v>
      </c>
      <c r="O2142" s="2" t="s">
        <v>115</v>
      </c>
      <c r="P2142" s="2" t="str">
        <f>"2170561169                    "</f>
        <v xml:space="preserve">2170561169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4.29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1</v>
      </c>
      <c r="BJ2142" s="2">
        <v>0.2</v>
      </c>
      <c r="BK2142" s="2">
        <v>1</v>
      </c>
      <c r="BL2142" s="2">
        <v>41.73</v>
      </c>
      <c r="BM2142" s="2">
        <v>5.84</v>
      </c>
      <c r="BN2142" s="2">
        <v>47.57</v>
      </c>
      <c r="BO2142" s="2">
        <v>47.57</v>
      </c>
      <c r="BP2142" s="2"/>
      <c r="BQ2142" s="2" t="s">
        <v>1498</v>
      </c>
      <c r="BR2142" s="2" t="s">
        <v>84</v>
      </c>
      <c r="BS2142" s="3">
        <v>42844</v>
      </c>
      <c r="BT2142" s="4">
        <v>0.41666666666666669</v>
      </c>
      <c r="BU2142" s="2" t="s">
        <v>2562</v>
      </c>
      <c r="BV2142" s="2" t="s">
        <v>111</v>
      </c>
      <c r="BW2142" s="2"/>
      <c r="BX2142" s="2"/>
      <c r="BY2142" s="2">
        <v>1200</v>
      </c>
      <c r="BZ2142" s="2"/>
      <c r="CA2142" s="2" t="s">
        <v>159</v>
      </c>
      <c r="CB2142" s="2"/>
      <c r="CC2142" s="2" t="s">
        <v>132</v>
      </c>
      <c r="CD2142" s="2">
        <v>7441</v>
      </c>
      <c r="CE2142" s="2" t="s">
        <v>118</v>
      </c>
      <c r="CF2142" s="5">
        <v>42845</v>
      </c>
      <c r="CG2142" s="2"/>
      <c r="CH2142" s="2"/>
      <c r="CI2142" s="2">
        <v>1</v>
      </c>
      <c r="CJ2142" s="2">
        <v>1</v>
      </c>
      <c r="CK2142" s="2">
        <v>21</v>
      </c>
      <c r="CL2142" s="2" t="s">
        <v>86</v>
      </c>
      <c r="CM2142" s="2"/>
    </row>
    <row r="2143" spans="1:91">
      <c r="A2143" s="2" t="s">
        <v>71</v>
      </c>
      <c r="B2143" s="2" t="s">
        <v>72</v>
      </c>
      <c r="C2143" s="2" t="s">
        <v>73</v>
      </c>
      <c r="D2143" s="2"/>
      <c r="E2143" s="2" t="str">
        <f>"FES1162543890"</f>
        <v>FES1162543890</v>
      </c>
      <c r="F2143" s="3">
        <v>42843</v>
      </c>
      <c r="G2143" s="2">
        <v>201710</v>
      </c>
      <c r="H2143" s="2" t="s">
        <v>74</v>
      </c>
      <c r="I2143" s="2" t="s">
        <v>75</v>
      </c>
      <c r="J2143" s="2" t="s">
        <v>76</v>
      </c>
      <c r="K2143" s="2" t="s">
        <v>77</v>
      </c>
      <c r="L2143" s="2" t="s">
        <v>131</v>
      </c>
      <c r="M2143" s="2" t="s">
        <v>132</v>
      </c>
      <c r="N2143" s="2" t="s">
        <v>2563</v>
      </c>
      <c r="O2143" s="2" t="s">
        <v>115</v>
      </c>
      <c r="P2143" s="2" t="str">
        <f>"2170562493                    "</f>
        <v xml:space="preserve">2170562493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4.29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1</v>
      </c>
      <c r="BJ2143" s="2">
        <v>0.2</v>
      </c>
      <c r="BK2143" s="2">
        <v>1</v>
      </c>
      <c r="BL2143" s="2">
        <v>41.73</v>
      </c>
      <c r="BM2143" s="2">
        <v>5.84</v>
      </c>
      <c r="BN2143" s="2">
        <v>47.57</v>
      </c>
      <c r="BO2143" s="2">
        <v>47.57</v>
      </c>
      <c r="BP2143" s="2"/>
      <c r="BQ2143" s="2" t="s">
        <v>241</v>
      </c>
      <c r="BR2143" s="2" t="s">
        <v>84</v>
      </c>
      <c r="BS2143" s="3">
        <v>42844</v>
      </c>
      <c r="BT2143" s="4">
        <v>0.3576388888888889</v>
      </c>
      <c r="BU2143" s="2" t="s">
        <v>2564</v>
      </c>
      <c r="BV2143" s="2" t="s">
        <v>111</v>
      </c>
      <c r="BW2143" s="2"/>
      <c r="BX2143" s="2"/>
      <c r="BY2143" s="2">
        <v>1200</v>
      </c>
      <c r="BZ2143" s="2"/>
      <c r="CA2143" s="2" t="s">
        <v>159</v>
      </c>
      <c r="CB2143" s="2"/>
      <c r="CC2143" s="2" t="s">
        <v>132</v>
      </c>
      <c r="CD2143" s="2">
        <v>7530</v>
      </c>
      <c r="CE2143" s="2" t="s">
        <v>118</v>
      </c>
      <c r="CF2143" s="5">
        <v>42845</v>
      </c>
      <c r="CG2143" s="2"/>
      <c r="CH2143" s="2"/>
      <c r="CI2143" s="2">
        <v>1</v>
      </c>
      <c r="CJ2143" s="2">
        <v>1</v>
      </c>
      <c r="CK2143" s="2">
        <v>21</v>
      </c>
      <c r="CL2143" s="2" t="s">
        <v>86</v>
      </c>
      <c r="CM2143" s="2"/>
    </row>
    <row r="2144" spans="1:91">
      <c r="A2144" s="2" t="s">
        <v>71</v>
      </c>
      <c r="B2144" s="2" t="s">
        <v>72</v>
      </c>
      <c r="C2144" s="2" t="s">
        <v>73</v>
      </c>
      <c r="D2144" s="2"/>
      <c r="E2144" s="2" t="str">
        <f>"FES1162544042"</f>
        <v>FES1162544042</v>
      </c>
      <c r="F2144" s="3">
        <v>42843</v>
      </c>
      <c r="G2144" s="2">
        <v>201710</v>
      </c>
      <c r="H2144" s="2" t="s">
        <v>74</v>
      </c>
      <c r="I2144" s="2" t="s">
        <v>75</v>
      </c>
      <c r="J2144" s="2" t="s">
        <v>76</v>
      </c>
      <c r="K2144" s="2" t="s">
        <v>77</v>
      </c>
      <c r="L2144" s="2" t="s">
        <v>99</v>
      </c>
      <c r="M2144" s="2" t="s">
        <v>100</v>
      </c>
      <c r="N2144" s="2" t="s">
        <v>101</v>
      </c>
      <c r="O2144" s="2" t="s">
        <v>115</v>
      </c>
      <c r="P2144" s="2" t="str">
        <f>"2170562641                    "</f>
        <v xml:space="preserve">2170562641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4.29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1</v>
      </c>
      <c r="BJ2144" s="2">
        <v>0.2</v>
      </c>
      <c r="BK2144" s="2">
        <v>1</v>
      </c>
      <c r="BL2144" s="2">
        <v>41.73</v>
      </c>
      <c r="BM2144" s="2">
        <v>5.84</v>
      </c>
      <c r="BN2144" s="2">
        <v>47.57</v>
      </c>
      <c r="BO2144" s="2">
        <v>47.57</v>
      </c>
      <c r="BP2144" s="2"/>
      <c r="BQ2144" s="2" t="s">
        <v>102</v>
      </c>
      <c r="BR2144" s="2" t="s">
        <v>84</v>
      </c>
      <c r="BS2144" s="3">
        <v>42844</v>
      </c>
      <c r="BT2144" s="4">
        <v>0.45069444444444445</v>
      </c>
      <c r="BU2144" s="2" t="s">
        <v>103</v>
      </c>
      <c r="BV2144" s="2" t="s">
        <v>111</v>
      </c>
      <c r="BW2144" s="2"/>
      <c r="BX2144" s="2"/>
      <c r="BY2144" s="2">
        <v>1200</v>
      </c>
      <c r="BZ2144" s="2"/>
      <c r="CA2144" s="2" t="s">
        <v>106</v>
      </c>
      <c r="CB2144" s="2"/>
      <c r="CC2144" s="2" t="s">
        <v>100</v>
      </c>
      <c r="CD2144" s="2">
        <v>6012</v>
      </c>
      <c r="CE2144" s="2" t="s">
        <v>118</v>
      </c>
      <c r="CF2144" s="5">
        <v>42844</v>
      </c>
      <c r="CG2144" s="2"/>
      <c r="CH2144" s="2"/>
      <c r="CI2144" s="2">
        <v>1</v>
      </c>
      <c r="CJ2144" s="2">
        <v>1</v>
      </c>
      <c r="CK2144" s="2">
        <v>21</v>
      </c>
      <c r="CL2144" s="2" t="s">
        <v>86</v>
      </c>
      <c r="CM2144" s="2"/>
    </row>
    <row r="2145" spans="1:91">
      <c r="A2145" s="2" t="s">
        <v>71</v>
      </c>
      <c r="B2145" s="2" t="s">
        <v>72</v>
      </c>
      <c r="C2145" s="2" t="s">
        <v>73</v>
      </c>
      <c r="D2145" s="2"/>
      <c r="E2145" s="2" t="str">
        <f>"FES1162543953"</f>
        <v>FES1162543953</v>
      </c>
      <c r="F2145" s="3">
        <v>42843</v>
      </c>
      <c r="G2145" s="2">
        <v>201710</v>
      </c>
      <c r="H2145" s="2" t="s">
        <v>74</v>
      </c>
      <c r="I2145" s="2" t="s">
        <v>75</v>
      </c>
      <c r="J2145" s="2" t="s">
        <v>76</v>
      </c>
      <c r="K2145" s="2" t="s">
        <v>77</v>
      </c>
      <c r="L2145" s="2" t="s">
        <v>166</v>
      </c>
      <c r="M2145" s="2" t="s">
        <v>167</v>
      </c>
      <c r="N2145" s="2" t="s">
        <v>168</v>
      </c>
      <c r="O2145" s="2" t="s">
        <v>115</v>
      </c>
      <c r="P2145" s="2" t="str">
        <f>"2170560329                    "</f>
        <v xml:space="preserve">2170560329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3.35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1.3</v>
      </c>
      <c r="BJ2145" s="2">
        <v>2.2999999999999998</v>
      </c>
      <c r="BK2145" s="2">
        <v>3</v>
      </c>
      <c r="BL2145" s="2">
        <v>32.6</v>
      </c>
      <c r="BM2145" s="2">
        <v>4.5599999999999996</v>
      </c>
      <c r="BN2145" s="2">
        <v>37.159999999999997</v>
      </c>
      <c r="BO2145" s="2">
        <v>37.159999999999997</v>
      </c>
      <c r="BP2145" s="2"/>
      <c r="BQ2145" s="2" t="s">
        <v>169</v>
      </c>
      <c r="BR2145" s="2" t="s">
        <v>84</v>
      </c>
      <c r="BS2145" s="3">
        <v>42844</v>
      </c>
      <c r="BT2145" s="4">
        <v>0.3611111111111111</v>
      </c>
      <c r="BU2145" s="2" t="s">
        <v>2542</v>
      </c>
      <c r="BV2145" s="2" t="s">
        <v>111</v>
      </c>
      <c r="BW2145" s="2"/>
      <c r="BX2145" s="2"/>
      <c r="BY2145" s="2">
        <v>11575.67</v>
      </c>
      <c r="BZ2145" s="2"/>
      <c r="CA2145" s="2" t="s">
        <v>2312</v>
      </c>
      <c r="CB2145" s="2"/>
      <c r="CC2145" s="2" t="s">
        <v>167</v>
      </c>
      <c r="CD2145" s="2">
        <v>2094</v>
      </c>
      <c r="CE2145" s="2" t="s">
        <v>118</v>
      </c>
      <c r="CF2145" s="5">
        <v>42844</v>
      </c>
      <c r="CG2145" s="2"/>
      <c r="CH2145" s="2"/>
      <c r="CI2145" s="2">
        <v>1</v>
      </c>
      <c r="CJ2145" s="2">
        <v>1</v>
      </c>
      <c r="CK2145" s="2">
        <v>22</v>
      </c>
      <c r="CL2145" s="2" t="s">
        <v>86</v>
      </c>
      <c r="CM2145" s="2"/>
    </row>
    <row r="2146" spans="1:91">
      <c r="A2146" s="2" t="s">
        <v>71</v>
      </c>
      <c r="B2146" s="2" t="s">
        <v>72</v>
      </c>
      <c r="C2146" s="2" t="s">
        <v>73</v>
      </c>
      <c r="D2146" s="2"/>
      <c r="E2146" s="2" t="str">
        <f>"FES1162543893"</f>
        <v>FES1162543893</v>
      </c>
      <c r="F2146" s="3">
        <v>42843</v>
      </c>
      <c r="G2146" s="2">
        <v>201710</v>
      </c>
      <c r="H2146" s="2" t="s">
        <v>74</v>
      </c>
      <c r="I2146" s="2" t="s">
        <v>75</v>
      </c>
      <c r="J2146" s="2" t="s">
        <v>76</v>
      </c>
      <c r="K2146" s="2" t="s">
        <v>77</v>
      </c>
      <c r="L2146" s="2" t="s">
        <v>91</v>
      </c>
      <c r="M2146" s="2" t="s">
        <v>92</v>
      </c>
      <c r="N2146" s="2" t="s">
        <v>379</v>
      </c>
      <c r="O2146" s="2" t="s">
        <v>115</v>
      </c>
      <c r="P2146" s="2" t="str">
        <f>"2170562496                    "</f>
        <v xml:space="preserve">2170562496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3.35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32.6</v>
      </c>
      <c r="BM2146" s="2">
        <v>4.5599999999999996</v>
      </c>
      <c r="BN2146" s="2">
        <v>37.159999999999997</v>
      </c>
      <c r="BO2146" s="2">
        <v>37.159999999999997</v>
      </c>
      <c r="BP2146" s="2"/>
      <c r="BQ2146" s="2" t="s">
        <v>2565</v>
      </c>
      <c r="BR2146" s="2" t="s">
        <v>84</v>
      </c>
      <c r="BS2146" s="3">
        <v>42844</v>
      </c>
      <c r="BT2146" s="4">
        <v>0.41666666666666669</v>
      </c>
      <c r="BU2146" s="2" t="s">
        <v>338</v>
      </c>
      <c r="BV2146" s="2" t="s">
        <v>111</v>
      </c>
      <c r="BW2146" s="2"/>
      <c r="BX2146" s="2"/>
      <c r="BY2146" s="2">
        <v>1200</v>
      </c>
      <c r="BZ2146" s="2"/>
      <c r="CA2146" s="2"/>
      <c r="CB2146" s="2"/>
      <c r="CC2146" s="2" t="s">
        <v>92</v>
      </c>
      <c r="CD2146" s="2">
        <v>1428</v>
      </c>
      <c r="CE2146" s="2" t="s">
        <v>118</v>
      </c>
      <c r="CF2146" s="5">
        <v>42845</v>
      </c>
      <c r="CG2146" s="2"/>
      <c r="CH2146" s="2"/>
      <c r="CI2146" s="2">
        <v>1</v>
      </c>
      <c r="CJ2146" s="2">
        <v>1</v>
      </c>
      <c r="CK2146" s="2">
        <v>22</v>
      </c>
      <c r="CL2146" s="2" t="s">
        <v>86</v>
      </c>
      <c r="CM2146" s="2"/>
    </row>
    <row r="2147" spans="1:91">
      <c r="A2147" s="2" t="s">
        <v>71</v>
      </c>
      <c r="B2147" s="2" t="s">
        <v>72</v>
      </c>
      <c r="C2147" s="2" t="s">
        <v>73</v>
      </c>
      <c r="D2147" s="2"/>
      <c r="E2147" s="2" t="str">
        <f>"FES1162543909"</f>
        <v>FES1162543909</v>
      </c>
      <c r="F2147" s="3">
        <v>42843</v>
      </c>
      <c r="G2147" s="2">
        <v>201710</v>
      </c>
      <c r="H2147" s="2" t="s">
        <v>74</v>
      </c>
      <c r="I2147" s="2" t="s">
        <v>75</v>
      </c>
      <c r="J2147" s="2" t="s">
        <v>76</v>
      </c>
      <c r="K2147" s="2" t="s">
        <v>77</v>
      </c>
      <c r="L2147" s="2" t="s">
        <v>99</v>
      </c>
      <c r="M2147" s="2" t="s">
        <v>100</v>
      </c>
      <c r="N2147" s="2" t="s">
        <v>419</v>
      </c>
      <c r="O2147" s="2" t="s">
        <v>115</v>
      </c>
      <c r="P2147" s="2" t="str">
        <f>"2170562520                    "</f>
        <v xml:space="preserve">2170562520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4.29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1</v>
      </c>
      <c r="BJ2147" s="2">
        <v>0.2</v>
      </c>
      <c r="BK2147" s="2">
        <v>1</v>
      </c>
      <c r="BL2147" s="2">
        <v>41.73</v>
      </c>
      <c r="BM2147" s="2">
        <v>5.84</v>
      </c>
      <c r="BN2147" s="2">
        <v>47.57</v>
      </c>
      <c r="BO2147" s="2">
        <v>47.57</v>
      </c>
      <c r="BP2147" s="2"/>
      <c r="BQ2147" s="2" t="s">
        <v>138</v>
      </c>
      <c r="BR2147" s="2" t="s">
        <v>84</v>
      </c>
      <c r="BS2147" s="3">
        <v>42844</v>
      </c>
      <c r="BT2147" s="4">
        <v>0.52430555555555558</v>
      </c>
      <c r="BU2147" s="2" t="s">
        <v>986</v>
      </c>
      <c r="BV2147" s="2" t="s">
        <v>86</v>
      </c>
      <c r="BW2147" s="2"/>
      <c r="BX2147" s="2"/>
      <c r="BY2147" s="2">
        <v>1200</v>
      </c>
      <c r="BZ2147" s="2"/>
      <c r="CA2147" s="2" t="s">
        <v>154</v>
      </c>
      <c r="CB2147" s="2"/>
      <c r="CC2147" s="2" t="s">
        <v>100</v>
      </c>
      <c r="CD2147" s="2">
        <v>6001</v>
      </c>
      <c r="CE2147" s="2" t="s">
        <v>118</v>
      </c>
      <c r="CF2147" s="5">
        <v>42844</v>
      </c>
      <c r="CG2147" s="2"/>
      <c r="CH2147" s="2"/>
      <c r="CI2147" s="2">
        <v>1</v>
      </c>
      <c r="CJ2147" s="2">
        <v>1</v>
      </c>
      <c r="CK2147" s="2">
        <v>21</v>
      </c>
      <c r="CL2147" s="2" t="s">
        <v>86</v>
      </c>
      <c r="CM2147" s="2"/>
    </row>
    <row r="2148" spans="1:91">
      <c r="A2148" s="2" t="s">
        <v>71</v>
      </c>
      <c r="B2148" s="2" t="s">
        <v>72</v>
      </c>
      <c r="C2148" s="2" t="s">
        <v>73</v>
      </c>
      <c r="D2148" s="2"/>
      <c r="E2148" s="2" t="str">
        <f>"FES1162543983"</f>
        <v>FES1162543983</v>
      </c>
      <c r="F2148" s="3">
        <v>42843</v>
      </c>
      <c r="G2148" s="2">
        <v>201710</v>
      </c>
      <c r="H2148" s="2" t="s">
        <v>74</v>
      </c>
      <c r="I2148" s="2" t="s">
        <v>75</v>
      </c>
      <c r="J2148" s="2" t="s">
        <v>76</v>
      </c>
      <c r="K2148" s="2" t="s">
        <v>77</v>
      </c>
      <c r="L2148" s="2" t="s">
        <v>609</v>
      </c>
      <c r="M2148" s="2" t="s">
        <v>610</v>
      </c>
      <c r="N2148" s="2" t="s">
        <v>982</v>
      </c>
      <c r="O2148" s="2" t="s">
        <v>115</v>
      </c>
      <c r="P2148" s="2" t="str">
        <f>"2170562224                    "</f>
        <v xml:space="preserve">2170562224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4.29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0.7</v>
      </c>
      <c r="BK2148" s="2">
        <v>1</v>
      </c>
      <c r="BL2148" s="2">
        <v>41.73</v>
      </c>
      <c r="BM2148" s="2">
        <v>5.84</v>
      </c>
      <c r="BN2148" s="2">
        <v>47.57</v>
      </c>
      <c r="BO2148" s="2">
        <v>47.57</v>
      </c>
      <c r="BP2148" s="2"/>
      <c r="BQ2148" s="2" t="s">
        <v>129</v>
      </c>
      <c r="BR2148" s="2" t="s">
        <v>84</v>
      </c>
      <c r="BS2148" s="3">
        <v>42844</v>
      </c>
      <c r="BT2148" s="4">
        <v>0.41666666666666669</v>
      </c>
      <c r="BU2148" s="2" t="s">
        <v>2566</v>
      </c>
      <c r="BV2148" s="2" t="s">
        <v>111</v>
      </c>
      <c r="BW2148" s="2"/>
      <c r="BX2148" s="2"/>
      <c r="BY2148" s="2">
        <v>3600</v>
      </c>
      <c r="BZ2148" s="2"/>
      <c r="CA2148" s="2"/>
      <c r="CB2148" s="2"/>
      <c r="CC2148" s="2" t="s">
        <v>610</v>
      </c>
      <c r="CD2148" s="2">
        <v>1911</v>
      </c>
      <c r="CE2148" s="2" t="s">
        <v>118</v>
      </c>
      <c r="CF2148" s="5">
        <v>42846</v>
      </c>
      <c r="CG2148" s="2"/>
      <c r="CH2148" s="2"/>
      <c r="CI2148" s="2">
        <v>1</v>
      </c>
      <c r="CJ2148" s="2">
        <v>1</v>
      </c>
      <c r="CK2148" s="2">
        <v>21</v>
      </c>
      <c r="CL2148" s="2" t="s">
        <v>86</v>
      </c>
      <c r="CM2148" s="2"/>
    </row>
    <row r="2149" spans="1:91">
      <c r="A2149" s="2" t="s">
        <v>71</v>
      </c>
      <c r="B2149" s="2" t="s">
        <v>72</v>
      </c>
      <c r="C2149" s="2" t="s">
        <v>73</v>
      </c>
      <c r="D2149" s="2"/>
      <c r="E2149" s="2" t="str">
        <f>"FES1162543833"</f>
        <v>FES1162543833</v>
      </c>
      <c r="F2149" s="3">
        <v>42843</v>
      </c>
      <c r="G2149" s="2">
        <v>201710</v>
      </c>
      <c r="H2149" s="2" t="s">
        <v>74</v>
      </c>
      <c r="I2149" s="2" t="s">
        <v>75</v>
      </c>
      <c r="J2149" s="2" t="s">
        <v>76</v>
      </c>
      <c r="K2149" s="2" t="s">
        <v>77</v>
      </c>
      <c r="L2149" s="2" t="s">
        <v>119</v>
      </c>
      <c r="M2149" s="2" t="s">
        <v>120</v>
      </c>
      <c r="N2149" s="2" t="s">
        <v>725</v>
      </c>
      <c r="O2149" s="2" t="s">
        <v>115</v>
      </c>
      <c r="P2149" s="2" t="str">
        <f>"2170560432                    "</f>
        <v xml:space="preserve">2170560432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3.35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1.7</v>
      </c>
      <c r="BJ2149" s="2">
        <v>1.7</v>
      </c>
      <c r="BK2149" s="2">
        <v>2</v>
      </c>
      <c r="BL2149" s="2">
        <v>32.6</v>
      </c>
      <c r="BM2149" s="2">
        <v>4.5599999999999996</v>
      </c>
      <c r="BN2149" s="2">
        <v>37.159999999999997</v>
      </c>
      <c r="BO2149" s="2">
        <v>37.159999999999997</v>
      </c>
      <c r="BP2149" s="2"/>
      <c r="BQ2149" s="2" t="s">
        <v>726</v>
      </c>
      <c r="BR2149" s="2" t="s">
        <v>84</v>
      </c>
      <c r="BS2149" s="3">
        <v>42844</v>
      </c>
      <c r="BT2149" s="4">
        <v>0.38194444444444442</v>
      </c>
      <c r="BU2149" s="2" t="s">
        <v>842</v>
      </c>
      <c r="BV2149" s="2" t="s">
        <v>111</v>
      </c>
      <c r="BW2149" s="2"/>
      <c r="BX2149" s="2"/>
      <c r="BY2149" s="2">
        <v>8422.7000000000007</v>
      </c>
      <c r="BZ2149" s="2"/>
      <c r="CA2149" s="2" t="s">
        <v>395</v>
      </c>
      <c r="CB2149" s="2"/>
      <c r="CC2149" s="2" t="s">
        <v>120</v>
      </c>
      <c r="CD2149" s="2">
        <v>2162</v>
      </c>
      <c r="CE2149" s="2" t="s">
        <v>89</v>
      </c>
      <c r="CF2149" s="5">
        <v>42845</v>
      </c>
      <c r="CG2149" s="2"/>
      <c r="CH2149" s="2"/>
      <c r="CI2149" s="2">
        <v>1</v>
      </c>
      <c r="CJ2149" s="2">
        <v>1</v>
      </c>
      <c r="CK2149" s="2">
        <v>22</v>
      </c>
      <c r="CL2149" s="2" t="s">
        <v>86</v>
      </c>
      <c r="CM2149" s="2"/>
    </row>
    <row r="2150" spans="1:91">
      <c r="A2150" s="2" t="s">
        <v>71</v>
      </c>
      <c r="B2150" s="2" t="s">
        <v>72</v>
      </c>
      <c r="C2150" s="2" t="s">
        <v>73</v>
      </c>
      <c r="D2150" s="2"/>
      <c r="E2150" s="2" t="str">
        <f>"FES1162543926"</f>
        <v>FES1162543926</v>
      </c>
      <c r="F2150" s="3">
        <v>42843</v>
      </c>
      <c r="G2150" s="2">
        <v>201710</v>
      </c>
      <c r="H2150" s="2" t="s">
        <v>74</v>
      </c>
      <c r="I2150" s="2" t="s">
        <v>75</v>
      </c>
      <c r="J2150" s="2" t="s">
        <v>76</v>
      </c>
      <c r="K2150" s="2" t="s">
        <v>77</v>
      </c>
      <c r="L2150" s="2" t="s">
        <v>131</v>
      </c>
      <c r="M2150" s="2" t="s">
        <v>132</v>
      </c>
      <c r="N2150" s="2" t="s">
        <v>1255</v>
      </c>
      <c r="O2150" s="2" t="s">
        <v>115</v>
      </c>
      <c r="P2150" s="2" t="str">
        <f>"2170562537                    "</f>
        <v xml:space="preserve">2170562537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4.29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1</v>
      </c>
      <c r="BJ2150" s="2">
        <v>0.2</v>
      </c>
      <c r="BK2150" s="2">
        <v>1</v>
      </c>
      <c r="BL2150" s="2">
        <v>41.73</v>
      </c>
      <c r="BM2150" s="2">
        <v>5.84</v>
      </c>
      <c r="BN2150" s="2">
        <v>47.57</v>
      </c>
      <c r="BO2150" s="2">
        <v>47.57</v>
      </c>
      <c r="BP2150" s="2"/>
      <c r="BQ2150" s="2" t="s">
        <v>1256</v>
      </c>
      <c r="BR2150" s="2" t="s">
        <v>84</v>
      </c>
      <c r="BS2150" s="3">
        <v>42844</v>
      </c>
      <c r="BT2150" s="4">
        <v>0.37222222222222223</v>
      </c>
      <c r="BU2150" s="2" t="s">
        <v>2550</v>
      </c>
      <c r="BV2150" s="2" t="s">
        <v>111</v>
      </c>
      <c r="BW2150" s="2"/>
      <c r="BX2150" s="2"/>
      <c r="BY2150" s="2">
        <v>1200</v>
      </c>
      <c r="BZ2150" s="2"/>
      <c r="CA2150" s="2"/>
      <c r="CB2150" s="2"/>
      <c r="CC2150" s="2" t="s">
        <v>132</v>
      </c>
      <c r="CD2150" s="2">
        <v>7493</v>
      </c>
      <c r="CE2150" s="2" t="s">
        <v>118</v>
      </c>
      <c r="CF2150" s="5">
        <v>42845</v>
      </c>
      <c r="CG2150" s="2"/>
      <c r="CH2150" s="2"/>
      <c r="CI2150" s="2">
        <v>1</v>
      </c>
      <c r="CJ2150" s="2">
        <v>1</v>
      </c>
      <c r="CK2150" s="2">
        <v>21</v>
      </c>
      <c r="CL2150" s="2" t="s">
        <v>86</v>
      </c>
      <c r="CM2150" s="2"/>
    </row>
    <row r="2151" spans="1:91">
      <c r="A2151" s="2" t="s">
        <v>71</v>
      </c>
      <c r="B2151" s="2" t="s">
        <v>72</v>
      </c>
      <c r="C2151" s="2" t="s">
        <v>73</v>
      </c>
      <c r="D2151" s="2"/>
      <c r="E2151" s="2" t="str">
        <f>"FES1162543858"</f>
        <v>FES1162543858</v>
      </c>
      <c r="F2151" s="3">
        <v>42843</v>
      </c>
      <c r="G2151" s="2">
        <v>201710</v>
      </c>
      <c r="H2151" s="2" t="s">
        <v>74</v>
      </c>
      <c r="I2151" s="2" t="s">
        <v>75</v>
      </c>
      <c r="J2151" s="2" t="s">
        <v>76</v>
      </c>
      <c r="K2151" s="2" t="s">
        <v>77</v>
      </c>
      <c r="L2151" s="2" t="s">
        <v>119</v>
      </c>
      <c r="M2151" s="2" t="s">
        <v>120</v>
      </c>
      <c r="N2151" s="2" t="s">
        <v>121</v>
      </c>
      <c r="O2151" s="2" t="s">
        <v>115</v>
      </c>
      <c r="P2151" s="2" t="str">
        <f>"2170560973                    "</f>
        <v xml:space="preserve">2170560973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3.35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3.8</v>
      </c>
      <c r="BJ2151" s="2">
        <v>0.9</v>
      </c>
      <c r="BK2151" s="2">
        <v>4</v>
      </c>
      <c r="BL2151" s="2">
        <v>32.6</v>
      </c>
      <c r="BM2151" s="2">
        <v>4.5599999999999996</v>
      </c>
      <c r="BN2151" s="2">
        <v>37.159999999999997</v>
      </c>
      <c r="BO2151" s="2">
        <v>37.159999999999997</v>
      </c>
      <c r="BP2151" s="2"/>
      <c r="BQ2151" s="2" t="s">
        <v>122</v>
      </c>
      <c r="BR2151" s="2" t="s">
        <v>84</v>
      </c>
      <c r="BS2151" s="3">
        <v>42844</v>
      </c>
      <c r="BT2151" s="4">
        <v>0.41319444444444442</v>
      </c>
      <c r="BU2151" s="2" t="s">
        <v>394</v>
      </c>
      <c r="BV2151" s="2" t="s">
        <v>111</v>
      </c>
      <c r="BW2151" s="2"/>
      <c r="BX2151" s="2"/>
      <c r="BY2151" s="2">
        <v>4352.18</v>
      </c>
      <c r="BZ2151" s="2"/>
      <c r="CA2151" s="2" t="s">
        <v>395</v>
      </c>
      <c r="CB2151" s="2"/>
      <c r="CC2151" s="2" t="s">
        <v>120</v>
      </c>
      <c r="CD2151" s="2">
        <v>2163</v>
      </c>
      <c r="CE2151" s="2" t="s">
        <v>172</v>
      </c>
      <c r="CF2151" s="5">
        <v>42845</v>
      </c>
      <c r="CG2151" s="2"/>
      <c r="CH2151" s="2"/>
      <c r="CI2151" s="2">
        <v>1</v>
      </c>
      <c r="CJ2151" s="2">
        <v>1</v>
      </c>
      <c r="CK2151" s="2">
        <v>22</v>
      </c>
      <c r="CL2151" s="2" t="s">
        <v>86</v>
      </c>
      <c r="CM2151" s="2"/>
    </row>
    <row r="2152" spans="1:91">
      <c r="A2152" s="2" t="s">
        <v>71</v>
      </c>
      <c r="B2152" s="2" t="s">
        <v>72</v>
      </c>
      <c r="C2152" s="2" t="s">
        <v>73</v>
      </c>
      <c r="D2152" s="2"/>
      <c r="E2152" s="2" t="str">
        <f>"FES1162543845"</f>
        <v>FES1162543845</v>
      </c>
      <c r="F2152" s="3">
        <v>42843</v>
      </c>
      <c r="G2152" s="2">
        <v>201710</v>
      </c>
      <c r="H2152" s="2" t="s">
        <v>74</v>
      </c>
      <c r="I2152" s="2" t="s">
        <v>75</v>
      </c>
      <c r="J2152" s="2" t="s">
        <v>76</v>
      </c>
      <c r="K2152" s="2" t="s">
        <v>77</v>
      </c>
      <c r="L2152" s="2" t="s">
        <v>119</v>
      </c>
      <c r="M2152" s="2" t="s">
        <v>120</v>
      </c>
      <c r="N2152" s="2" t="s">
        <v>121</v>
      </c>
      <c r="O2152" s="2" t="s">
        <v>115</v>
      </c>
      <c r="P2152" s="2" t="str">
        <f>"2170560590                    "</f>
        <v xml:space="preserve">2170560590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3.35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3.8</v>
      </c>
      <c r="BJ2152" s="2">
        <v>0.8</v>
      </c>
      <c r="BK2152" s="2">
        <v>4</v>
      </c>
      <c r="BL2152" s="2">
        <v>32.6</v>
      </c>
      <c r="BM2152" s="2">
        <v>4.5599999999999996</v>
      </c>
      <c r="BN2152" s="2">
        <v>37.159999999999997</v>
      </c>
      <c r="BO2152" s="2">
        <v>37.159999999999997</v>
      </c>
      <c r="BP2152" s="2"/>
      <c r="BQ2152" s="2" t="s">
        <v>122</v>
      </c>
      <c r="BR2152" s="2" t="s">
        <v>84</v>
      </c>
      <c r="BS2152" s="3">
        <v>42844</v>
      </c>
      <c r="BT2152" s="4">
        <v>0.41319444444444442</v>
      </c>
      <c r="BU2152" s="2" t="s">
        <v>394</v>
      </c>
      <c r="BV2152" s="2" t="s">
        <v>111</v>
      </c>
      <c r="BW2152" s="2"/>
      <c r="BX2152" s="2"/>
      <c r="BY2152" s="2">
        <v>4126.1099999999997</v>
      </c>
      <c r="BZ2152" s="2"/>
      <c r="CA2152" s="2" t="s">
        <v>395</v>
      </c>
      <c r="CB2152" s="2"/>
      <c r="CC2152" s="2" t="s">
        <v>120</v>
      </c>
      <c r="CD2152" s="2">
        <v>2163</v>
      </c>
      <c r="CE2152" s="2" t="s">
        <v>172</v>
      </c>
      <c r="CF2152" s="5">
        <v>42845</v>
      </c>
      <c r="CG2152" s="2"/>
      <c r="CH2152" s="2"/>
      <c r="CI2152" s="2">
        <v>1</v>
      </c>
      <c r="CJ2152" s="2">
        <v>1</v>
      </c>
      <c r="CK2152" s="2">
        <v>22</v>
      </c>
      <c r="CL2152" s="2" t="s">
        <v>86</v>
      </c>
      <c r="CM2152" s="2"/>
    </row>
    <row r="2153" spans="1:91">
      <c r="A2153" s="2" t="s">
        <v>71</v>
      </c>
      <c r="B2153" s="2" t="s">
        <v>72</v>
      </c>
      <c r="C2153" s="2" t="s">
        <v>73</v>
      </c>
      <c r="D2153" s="2"/>
      <c r="E2153" s="2" t="str">
        <f>"FES1162543868"</f>
        <v>FES1162543868</v>
      </c>
      <c r="F2153" s="3">
        <v>42843</v>
      </c>
      <c r="G2153" s="2">
        <v>201710</v>
      </c>
      <c r="H2153" s="2" t="s">
        <v>74</v>
      </c>
      <c r="I2153" s="2" t="s">
        <v>75</v>
      </c>
      <c r="J2153" s="2" t="s">
        <v>76</v>
      </c>
      <c r="K2153" s="2" t="s">
        <v>77</v>
      </c>
      <c r="L2153" s="2" t="s">
        <v>131</v>
      </c>
      <c r="M2153" s="2" t="s">
        <v>132</v>
      </c>
      <c r="N2153" s="2" t="s">
        <v>1097</v>
      </c>
      <c r="O2153" s="2" t="s">
        <v>115</v>
      </c>
      <c r="P2153" s="2" t="str">
        <f>"2170562469                    "</f>
        <v xml:space="preserve">2170562469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4.29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</v>
      </c>
      <c r="BJ2153" s="2">
        <v>0.2</v>
      </c>
      <c r="BK2153" s="2">
        <v>1</v>
      </c>
      <c r="BL2153" s="2">
        <v>41.73</v>
      </c>
      <c r="BM2153" s="2">
        <v>5.84</v>
      </c>
      <c r="BN2153" s="2">
        <v>47.57</v>
      </c>
      <c r="BO2153" s="2">
        <v>47.57</v>
      </c>
      <c r="BP2153" s="2"/>
      <c r="BQ2153" s="2" t="s">
        <v>1098</v>
      </c>
      <c r="BR2153" s="2" t="s">
        <v>84</v>
      </c>
      <c r="BS2153" s="3">
        <v>42844</v>
      </c>
      <c r="BT2153" s="4">
        <v>0.38263888888888892</v>
      </c>
      <c r="BU2153" s="2" t="s">
        <v>2434</v>
      </c>
      <c r="BV2153" s="2" t="s">
        <v>111</v>
      </c>
      <c r="BW2153" s="2"/>
      <c r="BX2153" s="2"/>
      <c r="BY2153" s="2">
        <v>1200</v>
      </c>
      <c r="BZ2153" s="2"/>
      <c r="CA2153" s="2"/>
      <c r="CB2153" s="2"/>
      <c r="CC2153" s="2" t="s">
        <v>132</v>
      </c>
      <c r="CD2153" s="2">
        <v>7925</v>
      </c>
      <c r="CE2153" s="2" t="s">
        <v>118</v>
      </c>
      <c r="CF2153" s="5">
        <v>42845</v>
      </c>
      <c r="CG2153" s="2"/>
      <c r="CH2153" s="2"/>
      <c r="CI2153" s="2">
        <v>1</v>
      </c>
      <c r="CJ2153" s="2">
        <v>1</v>
      </c>
      <c r="CK2153" s="2">
        <v>21</v>
      </c>
      <c r="CL2153" s="2" t="s">
        <v>86</v>
      </c>
      <c r="CM2153" s="2"/>
    </row>
    <row r="2154" spans="1:91">
      <c r="A2154" s="2" t="s">
        <v>71</v>
      </c>
      <c r="B2154" s="2" t="s">
        <v>72</v>
      </c>
      <c r="C2154" s="2" t="s">
        <v>73</v>
      </c>
      <c r="D2154" s="2"/>
      <c r="E2154" s="2" t="str">
        <f>"FES1162543863"</f>
        <v>FES1162543863</v>
      </c>
      <c r="F2154" s="3">
        <v>42843</v>
      </c>
      <c r="G2154" s="2">
        <v>201710</v>
      </c>
      <c r="H2154" s="2" t="s">
        <v>74</v>
      </c>
      <c r="I2154" s="2" t="s">
        <v>75</v>
      </c>
      <c r="J2154" s="2" t="s">
        <v>76</v>
      </c>
      <c r="K2154" s="2" t="s">
        <v>77</v>
      </c>
      <c r="L2154" s="2" t="s">
        <v>131</v>
      </c>
      <c r="M2154" s="2" t="s">
        <v>132</v>
      </c>
      <c r="N2154" s="2" t="s">
        <v>1507</v>
      </c>
      <c r="O2154" s="2" t="s">
        <v>115</v>
      </c>
      <c r="P2154" s="2" t="str">
        <f>"2170561958                    "</f>
        <v xml:space="preserve">2170561958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4.29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2</v>
      </c>
      <c r="BJ2154" s="2">
        <v>0.2</v>
      </c>
      <c r="BK2154" s="2">
        <v>2</v>
      </c>
      <c r="BL2154" s="2">
        <v>41.73</v>
      </c>
      <c r="BM2154" s="2">
        <v>5.84</v>
      </c>
      <c r="BN2154" s="2">
        <v>47.57</v>
      </c>
      <c r="BO2154" s="2">
        <v>47.57</v>
      </c>
      <c r="BP2154" s="2"/>
      <c r="BQ2154" s="2" t="s">
        <v>116</v>
      </c>
      <c r="BR2154" s="2" t="s">
        <v>84</v>
      </c>
      <c r="BS2154" s="3">
        <v>42844</v>
      </c>
      <c r="BT2154" s="4">
        <v>0.38194444444444442</v>
      </c>
      <c r="BU2154" s="2" t="s">
        <v>434</v>
      </c>
      <c r="BV2154" s="2" t="s">
        <v>111</v>
      </c>
      <c r="BW2154" s="2"/>
      <c r="BX2154" s="2"/>
      <c r="BY2154" s="2">
        <v>1200</v>
      </c>
      <c r="BZ2154" s="2"/>
      <c r="CA2154" s="2"/>
      <c r="CB2154" s="2"/>
      <c r="CC2154" s="2" t="s">
        <v>132</v>
      </c>
      <c r="CD2154" s="2">
        <v>7490</v>
      </c>
      <c r="CE2154" s="2" t="s">
        <v>118</v>
      </c>
      <c r="CF2154" s="5">
        <v>42845</v>
      </c>
      <c r="CG2154" s="2"/>
      <c r="CH2154" s="2"/>
      <c r="CI2154" s="2">
        <v>1</v>
      </c>
      <c r="CJ2154" s="2">
        <v>1</v>
      </c>
      <c r="CK2154" s="2">
        <v>21</v>
      </c>
      <c r="CL2154" s="2" t="s">
        <v>86</v>
      </c>
      <c r="CM2154" s="2"/>
    </row>
    <row r="2155" spans="1:91">
      <c r="A2155" s="2" t="s">
        <v>71</v>
      </c>
      <c r="B2155" s="2" t="s">
        <v>72</v>
      </c>
      <c r="C2155" s="2" t="s">
        <v>73</v>
      </c>
      <c r="D2155" s="2"/>
      <c r="E2155" s="2" t="str">
        <f>"FES1162543915"</f>
        <v>FES1162543915</v>
      </c>
      <c r="F2155" s="3">
        <v>42843</v>
      </c>
      <c r="G2155" s="2">
        <v>201710</v>
      </c>
      <c r="H2155" s="2" t="s">
        <v>74</v>
      </c>
      <c r="I2155" s="2" t="s">
        <v>75</v>
      </c>
      <c r="J2155" s="2" t="s">
        <v>76</v>
      </c>
      <c r="K2155" s="2" t="s">
        <v>77</v>
      </c>
      <c r="L2155" s="2" t="s">
        <v>131</v>
      </c>
      <c r="M2155" s="2" t="s">
        <v>132</v>
      </c>
      <c r="N2155" s="2" t="s">
        <v>1553</v>
      </c>
      <c r="O2155" s="2" t="s">
        <v>115</v>
      </c>
      <c r="P2155" s="2" t="str">
        <f>"2170562521                    "</f>
        <v xml:space="preserve">2170562521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4.29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</v>
      </c>
      <c r="BJ2155" s="2">
        <v>0.2</v>
      </c>
      <c r="BK2155" s="2">
        <v>1</v>
      </c>
      <c r="BL2155" s="2">
        <v>41.73</v>
      </c>
      <c r="BM2155" s="2">
        <v>5.84</v>
      </c>
      <c r="BN2155" s="2">
        <v>47.57</v>
      </c>
      <c r="BO2155" s="2">
        <v>47.57</v>
      </c>
      <c r="BP2155" s="2"/>
      <c r="BQ2155" s="2" t="s">
        <v>2414</v>
      </c>
      <c r="BR2155" s="2" t="s">
        <v>84</v>
      </c>
      <c r="BS2155" s="3">
        <v>42844</v>
      </c>
      <c r="BT2155" s="4">
        <v>0.4152777777777778</v>
      </c>
      <c r="BU2155" s="2" t="s">
        <v>2535</v>
      </c>
      <c r="BV2155" s="2" t="s">
        <v>111</v>
      </c>
      <c r="BW2155" s="2"/>
      <c r="BX2155" s="2"/>
      <c r="BY2155" s="2">
        <v>1200</v>
      </c>
      <c r="BZ2155" s="2"/>
      <c r="CA2155" s="2" t="s">
        <v>159</v>
      </c>
      <c r="CB2155" s="2"/>
      <c r="CC2155" s="2" t="s">
        <v>132</v>
      </c>
      <c r="CD2155" s="2">
        <v>7560</v>
      </c>
      <c r="CE2155" s="2" t="s">
        <v>118</v>
      </c>
      <c r="CF2155" s="5">
        <v>42845</v>
      </c>
      <c r="CG2155" s="2"/>
      <c r="CH2155" s="2"/>
      <c r="CI2155" s="2">
        <v>1</v>
      </c>
      <c r="CJ2155" s="2">
        <v>1</v>
      </c>
      <c r="CK2155" s="2">
        <v>21</v>
      </c>
      <c r="CL2155" s="2" t="s">
        <v>86</v>
      </c>
      <c r="CM2155" s="2"/>
    </row>
    <row r="2156" spans="1:91">
      <c r="A2156" s="2" t="s">
        <v>71</v>
      </c>
      <c r="B2156" s="2" t="s">
        <v>72</v>
      </c>
      <c r="C2156" s="2" t="s">
        <v>73</v>
      </c>
      <c r="D2156" s="2"/>
      <c r="E2156" s="2" t="str">
        <f>"FES1162543814"</f>
        <v>FES1162543814</v>
      </c>
      <c r="F2156" s="3">
        <v>42843</v>
      </c>
      <c r="G2156" s="2">
        <v>201710</v>
      </c>
      <c r="H2156" s="2" t="s">
        <v>74</v>
      </c>
      <c r="I2156" s="2" t="s">
        <v>75</v>
      </c>
      <c r="J2156" s="2" t="s">
        <v>76</v>
      </c>
      <c r="K2156" s="2" t="s">
        <v>77</v>
      </c>
      <c r="L2156" s="2" t="s">
        <v>91</v>
      </c>
      <c r="M2156" s="2" t="s">
        <v>92</v>
      </c>
      <c r="N2156" s="2" t="s">
        <v>1445</v>
      </c>
      <c r="O2156" s="2" t="s">
        <v>115</v>
      </c>
      <c r="P2156" s="2" t="str">
        <f>"2170562465                    "</f>
        <v xml:space="preserve">2170562465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3.35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6.2</v>
      </c>
      <c r="BJ2156" s="2">
        <v>2.1</v>
      </c>
      <c r="BK2156" s="2">
        <v>7</v>
      </c>
      <c r="BL2156" s="2">
        <v>32.6</v>
      </c>
      <c r="BM2156" s="2">
        <v>4.5599999999999996</v>
      </c>
      <c r="BN2156" s="2">
        <v>37.159999999999997</v>
      </c>
      <c r="BO2156" s="2">
        <v>37.159999999999997</v>
      </c>
      <c r="BP2156" s="2"/>
      <c r="BQ2156" s="2" t="s">
        <v>1446</v>
      </c>
      <c r="BR2156" s="2" t="s">
        <v>84</v>
      </c>
      <c r="BS2156" s="3">
        <v>42844</v>
      </c>
      <c r="BT2156" s="4">
        <v>0.41388888888888892</v>
      </c>
      <c r="BU2156" s="2" t="s">
        <v>2567</v>
      </c>
      <c r="BV2156" s="2" t="s">
        <v>111</v>
      </c>
      <c r="BW2156" s="2"/>
      <c r="BX2156" s="2"/>
      <c r="BY2156" s="2">
        <v>10725.12</v>
      </c>
      <c r="BZ2156" s="2"/>
      <c r="CA2156" s="2" t="s">
        <v>1687</v>
      </c>
      <c r="CB2156" s="2"/>
      <c r="CC2156" s="2" t="s">
        <v>92</v>
      </c>
      <c r="CD2156" s="2">
        <v>1406</v>
      </c>
      <c r="CE2156" s="2" t="s">
        <v>89</v>
      </c>
      <c r="CF2156" s="5">
        <v>42844</v>
      </c>
      <c r="CG2156" s="2"/>
      <c r="CH2156" s="2"/>
      <c r="CI2156" s="2">
        <v>1</v>
      </c>
      <c r="CJ2156" s="2">
        <v>1</v>
      </c>
      <c r="CK2156" s="2">
        <v>22</v>
      </c>
      <c r="CL2156" s="2" t="s">
        <v>86</v>
      </c>
      <c r="CM2156" s="2"/>
    </row>
    <row r="2157" spans="1:91">
      <c r="A2157" s="2" t="s">
        <v>71</v>
      </c>
      <c r="B2157" s="2" t="s">
        <v>72</v>
      </c>
      <c r="C2157" s="2" t="s">
        <v>73</v>
      </c>
      <c r="D2157" s="2"/>
      <c r="E2157" s="2" t="str">
        <f>"FES1162544003"</f>
        <v>FES1162544003</v>
      </c>
      <c r="F2157" s="3">
        <v>42843</v>
      </c>
      <c r="G2157" s="2">
        <v>201710</v>
      </c>
      <c r="H2157" s="2" t="s">
        <v>74</v>
      </c>
      <c r="I2157" s="2" t="s">
        <v>75</v>
      </c>
      <c r="J2157" s="2" t="s">
        <v>76</v>
      </c>
      <c r="K2157" s="2" t="s">
        <v>77</v>
      </c>
      <c r="L2157" s="2" t="s">
        <v>443</v>
      </c>
      <c r="M2157" s="2" t="s">
        <v>444</v>
      </c>
      <c r="N2157" s="2" t="s">
        <v>445</v>
      </c>
      <c r="O2157" s="2" t="s">
        <v>115</v>
      </c>
      <c r="P2157" s="2" t="str">
        <f>"2170562588                    "</f>
        <v xml:space="preserve">2170562588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4.29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1</v>
      </c>
      <c r="BJ2157" s="2">
        <v>0.2</v>
      </c>
      <c r="BK2157" s="2">
        <v>1</v>
      </c>
      <c r="BL2157" s="2">
        <v>41.73</v>
      </c>
      <c r="BM2157" s="2">
        <v>5.84</v>
      </c>
      <c r="BN2157" s="2">
        <v>47.57</v>
      </c>
      <c r="BO2157" s="2">
        <v>47.57</v>
      </c>
      <c r="BP2157" s="2"/>
      <c r="BQ2157" s="2" t="s">
        <v>129</v>
      </c>
      <c r="BR2157" s="2" t="s">
        <v>84</v>
      </c>
      <c r="BS2157" s="3">
        <v>42844</v>
      </c>
      <c r="BT2157" s="4">
        <v>0</v>
      </c>
      <c r="BU2157" s="2" t="s">
        <v>2560</v>
      </c>
      <c r="BV2157" s="2" t="s">
        <v>111</v>
      </c>
      <c r="BW2157" s="2"/>
      <c r="BX2157" s="2"/>
      <c r="BY2157" s="2">
        <v>1200</v>
      </c>
      <c r="BZ2157" s="2"/>
      <c r="CA2157" s="2"/>
      <c r="CB2157" s="2"/>
      <c r="CC2157" s="2" t="s">
        <v>444</v>
      </c>
      <c r="CD2157" s="2">
        <v>7130</v>
      </c>
      <c r="CE2157" s="2" t="s">
        <v>118</v>
      </c>
      <c r="CF2157" s="5">
        <v>42845</v>
      </c>
      <c r="CG2157" s="2"/>
      <c r="CH2157" s="2"/>
      <c r="CI2157" s="2">
        <v>1</v>
      </c>
      <c r="CJ2157" s="2">
        <v>1</v>
      </c>
      <c r="CK2157" s="2">
        <v>21</v>
      </c>
      <c r="CL2157" s="2" t="s">
        <v>86</v>
      </c>
      <c r="CM2157" s="2"/>
    </row>
    <row r="2158" spans="1:91">
      <c r="A2158" s="2" t="s">
        <v>71</v>
      </c>
      <c r="B2158" s="2" t="s">
        <v>72</v>
      </c>
      <c r="C2158" s="2" t="s">
        <v>73</v>
      </c>
      <c r="D2158" s="2"/>
      <c r="E2158" s="2" t="str">
        <f>"FES1162543998"</f>
        <v>FES1162543998</v>
      </c>
      <c r="F2158" s="3">
        <v>42843</v>
      </c>
      <c r="G2158" s="2">
        <v>201710</v>
      </c>
      <c r="H2158" s="2" t="s">
        <v>74</v>
      </c>
      <c r="I2158" s="2" t="s">
        <v>75</v>
      </c>
      <c r="J2158" s="2" t="s">
        <v>76</v>
      </c>
      <c r="K2158" s="2" t="s">
        <v>77</v>
      </c>
      <c r="L2158" s="2" t="s">
        <v>176</v>
      </c>
      <c r="M2158" s="2" t="s">
        <v>176</v>
      </c>
      <c r="N2158" s="2" t="s">
        <v>1775</v>
      </c>
      <c r="O2158" s="2" t="s">
        <v>115</v>
      </c>
      <c r="P2158" s="2" t="str">
        <f>"2170561931                    "</f>
        <v xml:space="preserve">2170561931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4.29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</v>
      </c>
      <c r="BJ2158" s="2">
        <v>0.2</v>
      </c>
      <c r="BK2158" s="2">
        <v>1</v>
      </c>
      <c r="BL2158" s="2">
        <v>41.73</v>
      </c>
      <c r="BM2158" s="2">
        <v>5.84</v>
      </c>
      <c r="BN2158" s="2">
        <v>47.57</v>
      </c>
      <c r="BO2158" s="2">
        <v>47.57</v>
      </c>
      <c r="BP2158" s="2"/>
      <c r="BQ2158" s="2" t="s">
        <v>122</v>
      </c>
      <c r="BR2158" s="2" t="s">
        <v>84</v>
      </c>
      <c r="BS2158" s="3">
        <v>42844</v>
      </c>
      <c r="BT2158" s="4">
        <v>0.55902777777777779</v>
      </c>
      <c r="BU2158" s="2" t="s">
        <v>2568</v>
      </c>
      <c r="BV2158" s="2" t="s">
        <v>111</v>
      </c>
      <c r="BW2158" s="2"/>
      <c r="BX2158" s="2"/>
      <c r="BY2158" s="2">
        <v>1200</v>
      </c>
      <c r="BZ2158" s="2"/>
      <c r="CA2158" s="2"/>
      <c r="CB2158" s="2"/>
      <c r="CC2158" s="2" t="s">
        <v>176</v>
      </c>
      <c r="CD2158" s="2">
        <v>7646</v>
      </c>
      <c r="CE2158" s="2" t="s">
        <v>118</v>
      </c>
      <c r="CF2158" s="5">
        <v>42845</v>
      </c>
      <c r="CG2158" s="2"/>
      <c r="CH2158" s="2"/>
      <c r="CI2158" s="2">
        <v>1</v>
      </c>
      <c r="CJ2158" s="2">
        <v>1</v>
      </c>
      <c r="CK2158" s="2">
        <v>21</v>
      </c>
      <c r="CL2158" s="2" t="s">
        <v>86</v>
      </c>
      <c r="CM2158" s="2"/>
    </row>
    <row r="2159" spans="1:91">
      <c r="A2159" s="2" t="s">
        <v>71</v>
      </c>
      <c r="B2159" s="2" t="s">
        <v>72</v>
      </c>
      <c r="C2159" s="2" t="s">
        <v>73</v>
      </c>
      <c r="D2159" s="2"/>
      <c r="E2159" s="2" t="str">
        <f>"FES1162544001"</f>
        <v>FES1162544001</v>
      </c>
      <c r="F2159" s="3">
        <v>42843</v>
      </c>
      <c r="G2159" s="2">
        <v>201710</v>
      </c>
      <c r="H2159" s="2" t="s">
        <v>74</v>
      </c>
      <c r="I2159" s="2" t="s">
        <v>75</v>
      </c>
      <c r="J2159" s="2" t="s">
        <v>76</v>
      </c>
      <c r="K2159" s="2" t="s">
        <v>77</v>
      </c>
      <c r="L2159" s="2" t="s">
        <v>492</v>
      </c>
      <c r="M2159" s="2" t="s">
        <v>493</v>
      </c>
      <c r="N2159" s="2" t="s">
        <v>878</v>
      </c>
      <c r="O2159" s="2" t="s">
        <v>115</v>
      </c>
      <c r="P2159" s="2" t="str">
        <f>"2170562584                    "</f>
        <v xml:space="preserve">2170562584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4.29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0.2</v>
      </c>
      <c r="BK2159" s="2">
        <v>1</v>
      </c>
      <c r="BL2159" s="2">
        <v>41.73</v>
      </c>
      <c r="BM2159" s="2">
        <v>5.84</v>
      </c>
      <c r="BN2159" s="2">
        <v>47.57</v>
      </c>
      <c r="BO2159" s="2">
        <v>47.57</v>
      </c>
      <c r="BP2159" s="2"/>
      <c r="BQ2159" s="2" t="s">
        <v>116</v>
      </c>
      <c r="BR2159" s="2" t="s">
        <v>84</v>
      </c>
      <c r="BS2159" s="3">
        <v>42844</v>
      </c>
      <c r="BT2159" s="4">
        <v>0.43055555555555558</v>
      </c>
      <c r="BU2159" s="2" t="s">
        <v>2569</v>
      </c>
      <c r="BV2159" s="2" t="s">
        <v>111</v>
      </c>
      <c r="BW2159" s="2"/>
      <c r="BX2159" s="2"/>
      <c r="BY2159" s="2">
        <v>1200</v>
      </c>
      <c r="BZ2159" s="2"/>
      <c r="CA2159" s="2"/>
      <c r="CB2159" s="2"/>
      <c r="CC2159" s="2" t="s">
        <v>493</v>
      </c>
      <c r="CD2159" s="2">
        <v>7140</v>
      </c>
      <c r="CE2159" s="2" t="s">
        <v>118</v>
      </c>
      <c r="CF2159" s="5">
        <v>42845</v>
      </c>
      <c r="CG2159" s="2"/>
      <c r="CH2159" s="2"/>
      <c r="CI2159" s="2">
        <v>1</v>
      </c>
      <c r="CJ2159" s="2">
        <v>1</v>
      </c>
      <c r="CK2159" s="2">
        <v>21</v>
      </c>
      <c r="CL2159" s="2" t="s">
        <v>86</v>
      </c>
      <c r="CM2159" s="2"/>
    </row>
    <row r="2160" spans="1:91">
      <c r="A2160" s="2" t="s">
        <v>71</v>
      </c>
      <c r="B2160" s="2" t="s">
        <v>72</v>
      </c>
      <c r="C2160" s="2" t="s">
        <v>73</v>
      </c>
      <c r="D2160" s="2"/>
      <c r="E2160" s="2" t="str">
        <f>"FES1162543861"</f>
        <v>FES1162543861</v>
      </c>
      <c r="F2160" s="3">
        <v>42843</v>
      </c>
      <c r="G2160" s="2">
        <v>201710</v>
      </c>
      <c r="H2160" s="2" t="s">
        <v>74</v>
      </c>
      <c r="I2160" s="2" t="s">
        <v>75</v>
      </c>
      <c r="J2160" s="2" t="s">
        <v>76</v>
      </c>
      <c r="K2160" s="2" t="s">
        <v>77</v>
      </c>
      <c r="L2160" s="2" t="s">
        <v>591</v>
      </c>
      <c r="M2160" s="2" t="s">
        <v>592</v>
      </c>
      <c r="N2160" s="2" t="s">
        <v>675</v>
      </c>
      <c r="O2160" s="2" t="s">
        <v>115</v>
      </c>
      <c r="P2160" s="2" t="str">
        <f>"2170561326                    "</f>
        <v xml:space="preserve">2170561326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4.29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1</v>
      </c>
      <c r="BJ2160" s="2">
        <v>0.2</v>
      </c>
      <c r="BK2160" s="2">
        <v>1</v>
      </c>
      <c r="BL2160" s="2">
        <v>41.73</v>
      </c>
      <c r="BM2160" s="2">
        <v>5.84</v>
      </c>
      <c r="BN2160" s="2">
        <v>47.57</v>
      </c>
      <c r="BO2160" s="2">
        <v>47.57</v>
      </c>
      <c r="BP2160" s="2"/>
      <c r="BQ2160" s="2" t="s">
        <v>129</v>
      </c>
      <c r="BR2160" s="2" t="s">
        <v>84</v>
      </c>
      <c r="BS2160" s="3">
        <v>42844</v>
      </c>
      <c r="BT2160" s="4">
        <v>0.33680555555555558</v>
      </c>
      <c r="BU2160" s="2" t="s">
        <v>2014</v>
      </c>
      <c r="BV2160" s="2" t="s">
        <v>111</v>
      </c>
      <c r="BW2160" s="2"/>
      <c r="BX2160" s="2"/>
      <c r="BY2160" s="2">
        <v>1200</v>
      </c>
      <c r="BZ2160" s="2"/>
      <c r="CA2160" s="2"/>
      <c r="CB2160" s="2"/>
      <c r="CC2160" s="2" t="s">
        <v>592</v>
      </c>
      <c r="CD2160" s="2">
        <v>7600</v>
      </c>
      <c r="CE2160" s="2" t="s">
        <v>118</v>
      </c>
      <c r="CF2160" s="5">
        <v>42845</v>
      </c>
      <c r="CG2160" s="2"/>
      <c r="CH2160" s="2"/>
      <c r="CI2160" s="2">
        <v>1</v>
      </c>
      <c r="CJ2160" s="2">
        <v>1</v>
      </c>
      <c r="CK2160" s="2">
        <v>21</v>
      </c>
      <c r="CL2160" s="2" t="s">
        <v>86</v>
      </c>
      <c r="CM2160" s="2"/>
    </row>
    <row r="2161" spans="1:91">
      <c r="A2161" s="2" t="s">
        <v>71</v>
      </c>
      <c r="B2161" s="2" t="s">
        <v>72</v>
      </c>
      <c r="C2161" s="2" t="s">
        <v>73</v>
      </c>
      <c r="D2161" s="2"/>
      <c r="E2161" s="2" t="str">
        <f>"FES1162543872"</f>
        <v>FES1162543872</v>
      </c>
      <c r="F2161" s="3">
        <v>42843</v>
      </c>
      <c r="G2161" s="2">
        <v>201710</v>
      </c>
      <c r="H2161" s="2" t="s">
        <v>74</v>
      </c>
      <c r="I2161" s="2" t="s">
        <v>75</v>
      </c>
      <c r="J2161" s="2" t="s">
        <v>76</v>
      </c>
      <c r="K2161" s="2" t="s">
        <v>77</v>
      </c>
      <c r="L2161" s="2" t="s">
        <v>131</v>
      </c>
      <c r="M2161" s="2" t="s">
        <v>132</v>
      </c>
      <c r="N2161" s="2" t="s">
        <v>744</v>
      </c>
      <c r="O2161" s="2" t="s">
        <v>115</v>
      </c>
      <c r="P2161" s="2" t="str">
        <f>"2170562476                    "</f>
        <v xml:space="preserve">2170562476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4.29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1</v>
      </c>
      <c r="BJ2161" s="2">
        <v>0.2</v>
      </c>
      <c r="BK2161" s="2">
        <v>1</v>
      </c>
      <c r="BL2161" s="2">
        <v>41.73</v>
      </c>
      <c r="BM2161" s="2">
        <v>5.84</v>
      </c>
      <c r="BN2161" s="2">
        <v>47.57</v>
      </c>
      <c r="BO2161" s="2">
        <v>47.57</v>
      </c>
      <c r="BP2161" s="2"/>
      <c r="BQ2161" s="2" t="s">
        <v>138</v>
      </c>
      <c r="BR2161" s="2" t="s">
        <v>84</v>
      </c>
      <c r="BS2161" s="3">
        <v>42844</v>
      </c>
      <c r="BT2161" s="4">
        <v>0.41666666666666669</v>
      </c>
      <c r="BU2161" s="2" t="s">
        <v>130</v>
      </c>
      <c r="BV2161" s="2" t="s">
        <v>111</v>
      </c>
      <c r="BW2161" s="2"/>
      <c r="BX2161" s="2"/>
      <c r="BY2161" s="2">
        <v>1200</v>
      </c>
      <c r="BZ2161" s="2"/>
      <c r="CA2161" s="2"/>
      <c r="CB2161" s="2"/>
      <c r="CC2161" s="2" t="s">
        <v>132</v>
      </c>
      <c r="CD2161" s="2">
        <v>7405</v>
      </c>
      <c r="CE2161" s="2" t="s">
        <v>118</v>
      </c>
      <c r="CF2161" s="5">
        <v>42845</v>
      </c>
      <c r="CG2161" s="2"/>
      <c r="CH2161" s="2"/>
      <c r="CI2161" s="2">
        <v>1</v>
      </c>
      <c r="CJ2161" s="2">
        <v>1</v>
      </c>
      <c r="CK2161" s="2">
        <v>21</v>
      </c>
      <c r="CL2161" s="2" t="s">
        <v>86</v>
      </c>
      <c r="CM2161" s="2"/>
    </row>
    <row r="2162" spans="1:91">
      <c r="A2162" s="2" t="s">
        <v>71</v>
      </c>
      <c r="B2162" s="2" t="s">
        <v>72</v>
      </c>
      <c r="C2162" s="2" t="s">
        <v>73</v>
      </c>
      <c r="D2162" s="2"/>
      <c r="E2162" s="2" t="str">
        <f>"FES1162544047"</f>
        <v>FES1162544047</v>
      </c>
      <c r="F2162" s="3">
        <v>42843</v>
      </c>
      <c r="G2162" s="2">
        <v>201710</v>
      </c>
      <c r="H2162" s="2" t="s">
        <v>74</v>
      </c>
      <c r="I2162" s="2" t="s">
        <v>75</v>
      </c>
      <c r="J2162" s="2" t="s">
        <v>76</v>
      </c>
      <c r="K2162" s="2" t="s">
        <v>77</v>
      </c>
      <c r="L2162" s="2" t="s">
        <v>131</v>
      </c>
      <c r="M2162" s="2" t="s">
        <v>132</v>
      </c>
      <c r="N2162" s="2" t="s">
        <v>649</v>
      </c>
      <c r="O2162" s="2" t="s">
        <v>115</v>
      </c>
      <c r="P2162" s="2" t="str">
        <f>"2170562644                    "</f>
        <v xml:space="preserve">2170562644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52.51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2</v>
      </c>
      <c r="BI2162" s="2">
        <v>24.3</v>
      </c>
      <c r="BJ2162" s="2">
        <v>18.100000000000001</v>
      </c>
      <c r="BK2162" s="2">
        <v>24.5</v>
      </c>
      <c r="BL2162" s="2">
        <v>511.15</v>
      </c>
      <c r="BM2162" s="2">
        <v>71.56</v>
      </c>
      <c r="BN2162" s="2">
        <v>582.71</v>
      </c>
      <c r="BO2162" s="2">
        <v>582.71</v>
      </c>
      <c r="BP2162" s="2" t="s">
        <v>2570</v>
      </c>
      <c r="BQ2162" s="2" t="s">
        <v>650</v>
      </c>
      <c r="BR2162" s="2" t="s">
        <v>84</v>
      </c>
      <c r="BS2162" s="3">
        <v>42844</v>
      </c>
      <c r="BT2162" s="4">
        <v>0.41666666666666669</v>
      </c>
      <c r="BU2162" s="2" t="s">
        <v>1569</v>
      </c>
      <c r="BV2162" s="2" t="s">
        <v>111</v>
      </c>
      <c r="BW2162" s="2"/>
      <c r="BX2162" s="2"/>
      <c r="BY2162" s="2">
        <v>90486.55</v>
      </c>
      <c r="BZ2162" s="2"/>
      <c r="CA2162" s="2"/>
      <c r="CB2162" s="2"/>
      <c r="CC2162" s="2" t="s">
        <v>132</v>
      </c>
      <c r="CD2162" s="2">
        <v>7405</v>
      </c>
      <c r="CE2162" s="2" t="s">
        <v>89</v>
      </c>
      <c r="CF2162" s="5">
        <v>42845</v>
      </c>
      <c r="CG2162" s="2"/>
      <c r="CH2162" s="2"/>
      <c r="CI2162" s="2">
        <v>1</v>
      </c>
      <c r="CJ2162" s="2">
        <v>1</v>
      </c>
      <c r="CK2162" s="2">
        <v>21</v>
      </c>
      <c r="CL2162" s="2" t="s">
        <v>86</v>
      </c>
      <c r="CM2162" s="2"/>
    </row>
    <row r="2163" spans="1:91">
      <c r="A2163" s="2" t="s">
        <v>71</v>
      </c>
      <c r="B2163" s="2" t="s">
        <v>72</v>
      </c>
      <c r="C2163" s="2" t="s">
        <v>73</v>
      </c>
      <c r="D2163" s="2"/>
      <c r="E2163" s="2" t="str">
        <f>"FES1162543875"</f>
        <v>FES1162543875</v>
      </c>
      <c r="F2163" s="3">
        <v>42843</v>
      </c>
      <c r="G2163" s="2">
        <v>201710</v>
      </c>
      <c r="H2163" s="2" t="s">
        <v>74</v>
      </c>
      <c r="I2163" s="2" t="s">
        <v>75</v>
      </c>
      <c r="J2163" s="2" t="s">
        <v>76</v>
      </c>
      <c r="K2163" s="2" t="s">
        <v>77</v>
      </c>
      <c r="L2163" s="2" t="s">
        <v>131</v>
      </c>
      <c r="M2163" s="2" t="s">
        <v>132</v>
      </c>
      <c r="N2163" s="2" t="s">
        <v>1197</v>
      </c>
      <c r="O2163" s="2" t="s">
        <v>115</v>
      </c>
      <c r="P2163" s="2" t="str">
        <f>"2170562479                    "</f>
        <v xml:space="preserve">2170562479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4.29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1</v>
      </c>
      <c r="BJ2163" s="2">
        <v>0.2</v>
      </c>
      <c r="BK2163" s="2">
        <v>1</v>
      </c>
      <c r="BL2163" s="2">
        <v>41.73</v>
      </c>
      <c r="BM2163" s="2">
        <v>5.84</v>
      </c>
      <c r="BN2163" s="2">
        <v>47.57</v>
      </c>
      <c r="BO2163" s="2">
        <v>47.57</v>
      </c>
      <c r="BP2163" s="2"/>
      <c r="BQ2163" s="2" t="s">
        <v>1198</v>
      </c>
      <c r="BR2163" s="2" t="s">
        <v>84</v>
      </c>
      <c r="BS2163" s="3">
        <v>42844</v>
      </c>
      <c r="BT2163" s="4">
        <v>0.41666666666666669</v>
      </c>
      <c r="BU2163" s="2" t="s">
        <v>2545</v>
      </c>
      <c r="BV2163" s="2" t="s">
        <v>111</v>
      </c>
      <c r="BW2163" s="2"/>
      <c r="BX2163" s="2"/>
      <c r="BY2163" s="2">
        <v>1200</v>
      </c>
      <c r="BZ2163" s="2"/>
      <c r="CA2163" s="2" t="s">
        <v>159</v>
      </c>
      <c r="CB2163" s="2"/>
      <c r="CC2163" s="2" t="s">
        <v>132</v>
      </c>
      <c r="CD2163" s="2">
        <v>7441</v>
      </c>
      <c r="CE2163" s="2" t="s">
        <v>118</v>
      </c>
      <c r="CF2163" s="2"/>
      <c r="CG2163" s="2"/>
      <c r="CH2163" s="2"/>
      <c r="CI2163" s="2">
        <v>1</v>
      </c>
      <c r="CJ2163" s="2">
        <v>1</v>
      </c>
      <c r="CK2163" s="2">
        <v>21</v>
      </c>
      <c r="CL2163" s="2" t="s">
        <v>86</v>
      </c>
      <c r="CM2163" s="2"/>
    </row>
    <row r="2164" spans="1:91">
      <c r="A2164" s="2" t="s">
        <v>71</v>
      </c>
      <c r="B2164" s="2" t="s">
        <v>72</v>
      </c>
      <c r="C2164" s="2" t="s">
        <v>73</v>
      </c>
      <c r="D2164" s="2"/>
      <c r="E2164" s="2" t="str">
        <f>"FES1162543829"</f>
        <v>FES1162543829</v>
      </c>
      <c r="F2164" s="3">
        <v>42843</v>
      </c>
      <c r="G2164" s="2">
        <v>201710</v>
      </c>
      <c r="H2164" s="2" t="s">
        <v>74</v>
      </c>
      <c r="I2164" s="2" t="s">
        <v>75</v>
      </c>
      <c r="J2164" s="2" t="s">
        <v>76</v>
      </c>
      <c r="K2164" s="2" t="s">
        <v>77</v>
      </c>
      <c r="L2164" s="2" t="s">
        <v>131</v>
      </c>
      <c r="M2164" s="2" t="s">
        <v>132</v>
      </c>
      <c r="N2164" s="2" t="s">
        <v>1689</v>
      </c>
      <c r="O2164" s="2" t="s">
        <v>115</v>
      </c>
      <c r="P2164" s="2" t="str">
        <f>"2170560401                    "</f>
        <v xml:space="preserve">2170560401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4.29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41.73</v>
      </c>
      <c r="BM2164" s="2">
        <v>5.84</v>
      </c>
      <c r="BN2164" s="2">
        <v>47.57</v>
      </c>
      <c r="BO2164" s="2">
        <v>47.57</v>
      </c>
      <c r="BP2164" s="2"/>
      <c r="BQ2164" s="2" t="s">
        <v>1690</v>
      </c>
      <c r="BR2164" s="2" t="s">
        <v>84</v>
      </c>
      <c r="BS2164" s="3">
        <v>42844</v>
      </c>
      <c r="BT2164" s="4">
        <v>0.4375</v>
      </c>
      <c r="BU2164" s="2" t="s">
        <v>2571</v>
      </c>
      <c r="BV2164" s="2" t="s">
        <v>111</v>
      </c>
      <c r="BW2164" s="2"/>
      <c r="BX2164" s="2"/>
      <c r="BY2164" s="2">
        <v>1200</v>
      </c>
      <c r="BZ2164" s="2"/>
      <c r="CA2164" s="2"/>
      <c r="CB2164" s="2"/>
      <c r="CC2164" s="2" t="s">
        <v>132</v>
      </c>
      <c r="CD2164" s="2">
        <v>7405</v>
      </c>
      <c r="CE2164" s="2" t="s">
        <v>118</v>
      </c>
      <c r="CF2164" s="5">
        <v>42845</v>
      </c>
      <c r="CG2164" s="2"/>
      <c r="CH2164" s="2"/>
      <c r="CI2164" s="2">
        <v>1</v>
      </c>
      <c r="CJ2164" s="2">
        <v>1</v>
      </c>
      <c r="CK2164" s="2">
        <v>21</v>
      </c>
      <c r="CL2164" s="2" t="s">
        <v>86</v>
      </c>
      <c r="CM2164" s="2"/>
    </row>
    <row r="2165" spans="1:91">
      <c r="A2165" s="2" t="s">
        <v>71</v>
      </c>
      <c r="B2165" s="2" t="s">
        <v>72</v>
      </c>
      <c r="C2165" s="2" t="s">
        <v>73</v>
      </c>
      <c r="D2165" s="2"/>
      <c r="E2165" s="2" t="str">
        <f>"FES1162543820"</f>
        <v>FES1162543820</v>
      </c>
      <c r="F2165" s="3">
        <v>42843</v>
      </c>
      <c r="G2165" s="2">
        <v>201710</v>
      </c>
      <c r="H2165" s="2" t="s">
        <v>74</v>
      </c>
      <c r="I2165" s="2" t="s">
        <v>75</v>
      </c>
      <c r="J2165" s="2" t="s">
        <v>76</v>
      </c>
      <c r="K2165" s="2" t="s">
        <v>77</v>
      </c>
      <c r="L2165" s="2" t="s">
        <v>74</v>
      </c>
      <c r="M2165" s="2" t="s">
        <v>75</v>
      </c>
      <c r="N2165" s="2" t="s">
        <v>2572</v>
      </c>
      <c r="O2165" s="2" t="s">
        <v>115</v>
      </c>
      <c r="P2165" s="2" t="str">
        <f>"2170559244                    "</f>
        <v xml:space="preserve">2170559244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3.35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2.5</v>
      </c>
      <c r="BJ2165" s="2">
        <v>4.2</v>
      </c>
      <c r="BK2165" s="2">
        <v>5</v>
      </c>
      <c r="BL2165" s="2">
        <v>32.6</v>
      </c>
      <c r="BM2165" s="2">
        <v>4.5599999999999996</v>
      </c>
      <c r="BN2165" s="2">
        <v>37.159999999999997</v>
      </c>
      <c r="BO2165" s="2">
        <v>37.159999999999997</v>
      </c>
      <c r="BP2165" s="2"/>
      <c r="BQ2165" s="2"/>
      <c r="BR2165" s="2" t="s">
        <v>84</v>
      </c>
      <c r="BS2165" s="3">
        <v>42844</v>
      </c>
      <c r="BT2165" s="4">
        <v>0.37152777777777773</v>
      </c>
      <c r="BU2165" s="2" t="s">
        <v>2573</v>
      </c>
      <c r="BV2165" s="2" t="s">
        <v>111</v>
      </c>
      <c r="BW2165" s="2"/>
      <c r="BX2165" s="2"/>
      <c r="BY2165" s="2">
        <v>21245.72</v>
      </c>
      <c r="BZ2165" s="2"/>
      <c r="CA2165" s="2"/>
      <c r="CB2165" s="2"/>
      <c r="CC2165" s="2" t="s">
        <v>75</v>
      </c>
      <c r="CD2165" s="2">
        <v>1609</v>
      </c>
      <c r="CE2165" s="2" t="s">
        <v>118</v>
      </c>
      <c r="CF2165" s="5">
        <v>42845</v>
      </c>
      <c r="CG2165" s="2"/>
      <c r="CH2165" s="2"/>
      <c r="CI2165" s="2">
        <v>1</v>
      </c>
      <c r="CJ2165" s="2">
        <v>1</v>
      </c>
      <c r="CK2165" s="2">
        <v>22</v>
      </c>
      <c r="CL2165" s="2" t="s">
        <v>86</v>
      </c>
      <c r="CM2165" s="2"/>
    </row>
    <row r="2166" spans="1:91">
      <c r="A2166" s="2" t="s">
        <v>71</v>
      </c>
      <c r="B2166" s="2" t="s">
        <v>72</v>
      </c>
      <c r="C2166" s="2" t="s">
        <v>73</v>
      </c>
      <c r="D2166" s="2"/>
      <c r="E2166" s="2" t="str">
        <f>"FES1162543847"</f>
        <v>FES1162543847</v>
      </c>
      <c r="F2166" s="3">
        <v>42843</v>
      </c>
      <c r="G2166" s="2">
        <v>201710</v>
      </c>
      <c r="H2166" s="2" t="s">
        <v>74</v>
      </c>
      <c r="I2166" s="2" t="s">
        <v>75</v>
      </c>
      <c r="J2166" s="2" t="s">
        <v>76</v>
      </c>
      <c r="K2166" s="2" t="s">
        <v>77</v>
      </c>
      <c r="L2166" s="2" t="s">
        <v>131</v>
      </c>
      <c r="M2166" s="2" t="s">
        <v>132</v>
      </c>
      <c r="N2166" s="2" t="s">
        <v>1255</v>
      </c>
      <c r="O2166" s="2" t="s">
        <v>115</v>
      </c>
      <c r="P2166" s="2" t="str">
        <f>"2170560599                    "</f>
        <v xml:space="preserve">2170560599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4.29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41.73</v>
      </c>
      <c r="BM2166" s="2">
        <v>5.84</v>
      </c>
      <c r="BN2166" s="2">
        <v>47.57</v>
      </c>
      <c r="BO2166" s="2">
        <v>47.57</v>
      </c>
      <c r="BP2166" s="2"/>
      <c r="BQ2166" s="2" t="s">
        <v>1256</v>
      </c>
      <c r="BR2166" s="2" t="s">
        <v>84</v>
      </c>
      <c r="BS2166" s="3">
        <v>42844</v>
      </c>
      <c r="BT2166" s="4">
        <v>0.37222222222222223</v>
      </c>
      <c r="BU2166" s="2" t="s">
        <v>2550</v>
      </c>
      <c r="BV2166" s="2" t="s">
        <v>111</v>
      </c>
      <c r="BW2166" s="2"/>
      <c r="BX2166" s="2"/>
      <c r="BY2166" s="2">
        <v>1200</v>
      </c>
      <c r="BZ2166" s="2"/>
      <c r="CA2166" s="2"/>
      <c r="CB2166" s="2"/>
      <c r="CC2166" s="2" t="s">
        <v>132</v>
      </c>
      <c r="CD2166" s="2">
        <v>7493</v>
      </c>
      <c r="CE2166" s="2" t="s">
        <v>118</v>
      </c>
      <c r="CF2166" s="5">
        <v>42845</v>
      </c>
      <c r="CG2166" s="2"/>
      <c r="CH2166" s="2"/>
      <c r="CI2166" s="2">
        <v>1</v>
      </c>
      <c r="CJ2166" s="2">
        <v>1</v>
      </c>
      <c r="CK2166" s="2">
        <v>21</v>
      </c>
      <c r="CL2166" s="2" t="s">
        <v>86</v>
      </c>
      <c r="CM2166" s="2"/>
    </row>
    <row r="2167" spans="1:91">
      <c r="A2167" s="2" t="s">
        <v>71</v>
      </c>
      <c r="B2167" s="2" t="s">
        <v>72</v>
      </c>
      <c r="C2167" s="2" t="s">
        <v>73</v>
      </c>
      <c r="D2167" s="2"/>
      <c r="E2167" s="2" t="str">
        <f>"FES1162544025"</f>
        <v>FES1162544025</v>
      </c>
      <c r="F2167" s="3">
        <v>42843</v>
      </c>
      <c r="G2167" s="2">
        <v>201710</v>
      </c>
      <c r="H2167" s="2" t="s">
        <v>74</v>
      </c>
      <c r="I2167" s="2" t="s">
        <v>75</v>
      </c>
      <c r="J2167" s="2" t="s">
        <v>76</v>
      </c>
      <c r="K2167" s="2" t="s">
        <v>77</v>
      </c>
      <c r="L2167" s="2" t="s">
        <v>294</v>
      </c>
      <c r="M2167" s="2" t="s">
        <v>295</v>
      </c>
      <c r="N2167" s="2" t="s">
        <v>1015</v>
      </c>
      <c r="O2167" s="2" t="s">
        <v>115</v>
      </c>
      <c r="P2167" s="2" t="str">
        <f>"2170562621                    "</f>
        <v xml:space="preserve">2170562621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7.5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3.1</v>
      </c>
      <c r="BJ2167" s="2">
        <v>1</v>
      </c>
      <c r="BK2167" s="2">
        <v>3.5</v>
      </c>
      <c r="BL2167" s="2">
        <v>73.02</v>
      </c>
      <c r="BM2167" s="2">
        <v>10.220000000000001</v>
      </c>
      <c r="BN2167" s="2">
        <v>83.24</v>
      </c>
      <c r="BO2167" s="2">
        <v>83.24</v>
      </c>
      <c r="BP2167" s="2"/>
      <c r="BQ2167" s="2" t="s">
        <v>129</v>
      </c>
      <c r="BR2167" s="2" t="s">
        <v>84</v>
      </c>
      <c r="BS2167" s="3">
        <v>42844</v>
      </c>
      <c r="BT2167" s="4">
        <v>0.39583333333333331</v>
      </c>
      <c r="BU2167" s="2" t="s">
        <v>1016</v>
      </c>
      <c r="BV2167" s="2" t="s">
        <v>111</v>
      </c>
      <c r="BW2167" s="2"/>
      <c r="BX2167" s="2"/>
      <c r="BY2167" s="2">
        <v>5075.93</v>
      </c>
      <c r="BZ2167" s="2"/>
      <c r="CA2167" s="2"/>
      <c r="CB2167" s="2"/>
      <c r="CC2167" s="2" t="s">
        <v>295</v>
      </c>
      <c r="CD2167" s="2">
        <v>3610</v>
      </c>
      <c r="CE2167" s="2" t="s">
        <v>172</v>
      </c>
      <c r="CF2167" s="5">
        <v>42845</v>
      </c>
      <c r="CG2167" s="2"/>
      <c r="CH2167" s="2"/>
      <c r="CI2167" s="2">
        <v>1</v>
      </c>
      <c r="CJ2167" s="2">
        <v>1</v>
      </c>
      <c r="CK2167" s="2">
        <v>21</v>
      </c>
      <c r="CL2167" s="2" t="s">
        <v>86</v>
      </c>
      <c r="CM2167" s="2"/>
    </row>
    <row r="2168" spans="1:91">
      <c r="A2168" s="2" t="s">
        <v>71</v>
      </c>
      <c r="B2168" s="2" t="s">
        <v>72</v>
      </c>
      <c r="C2168" s="2" t="s">
        <v>73</v>
      </c>
      <c r="D2168" s="2"/>
      <c r="E2168" s="2" t="str">
        <f>"FES1162543871"</f>
        <v>FES1162543871</v>
      </c>
      <c r="F2168" s="3">
        <v>42843</v>
      </c>
      <c r="G2168" s="2">
        <v>201710</v>
      </c>
      <c r="H2168" s="2" t="s">
        <v>74</v>
      </c>
      <c r="I2168" s="2" t="s">
        <v>75</v>
      </c>
      <c r="J2168" s="2" t="s">
        <v>76</v>
      </c>
      <c r="K2168" s="2" t="s">
        <v>77</v>
      </c>
      <c r="L2168" s="2" t="s">
        <v>131</v>
      </c>
      <c r="M2168" s="2" t="s">
        <v>132</v>
      </c>
      <c r="N2168" s="2" t="s">
        <v>384</v>
      </c>
      <c r="O2168" s="2" t="s">
        <v>115</v>
      </c>
      <c r="P2168" s="2" t="str">
        <f>"2170562474                    "</f>
        <v xml:space="preserve">2170562474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4.29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</v>
      </c>
      <c r="BJ2168" s="2">
        <v>0.2</v>
      </c>
      <c r="BK2168" s="2">
        <v>1</v>
      </c>
      <c r="BL2168" s="2">
        <v>41.73</v>
      </c>
      <c r="BM2168" s="2">
        <v>5.84</v>
      </c>
      <c r="BN2168" s="2">
        <v>47.57</v>
      </c>
      <c r="BO2168" s="2">
        <v>47.57</v>
      </c>
      <c r="BP2168" s="2"/>
      <c r="BQ2168" s="2" t="s">
        <v>1272</v>
      </c>
      <c r="BR2168" s="2" t="s">
        <v>84</v>
      </c>
      <c r="BS2168" s="3">
        <v>42844</v>
      </c>
      <c r="BT2168" s="4">
        <v>0.4201388888888889</v>
      </c>
      <c r="BU2168" s="2" t="s">
        <v>1345</v>
      </c>
      <c r="BV2168" s="2" t="s">
        <v>111</v>
      </c>
      <c r="BW2168" s="2"/>
      <c r="BX2168" s="2"/>
      <c r="BY2168" s="2">
        <v>1200</v>
      </c>
      <c r="BZ2168" s="2"/>
      <c r="CA2168" s="2"/>
      <c r="CB2168" s="2"/>
      <c r="CC2168" s="2" t="s">
        <v>132</v>
      </c>
      <c r="CD2168" s="2">
        <v>7530</v>
      </c>
      <c r="CE2168" s="2" t="s">
        <v>118</v>
      </c>
      <c r="CF2168" s="5">
        <v>42845</v>
      </c>
      <c r="CG2168" s="2"/>
      <c r="CH2168" s="2"/>
      <c r="CI2168" s="2">
        <v>1</v>
      </c>
      <c r="CJ2168" s="2">
        <v>1</v>
      </c>
      <c r="CK2168" s="2">
        <v>21</v>
      </c>
      <c r="CL2168" s="2" t="s">
        <v>86</v>
      </c>
      <c r="CM2168" s="2"/>
    </row>
    <row r="2169" spans="1:91">
      <c r="A2169" s="2" t="s">
        <v>71</v>
      </c>
      <c r="B2169" s="2" t="s">
        <v>72</v>
      </c>
      <c r="C2169" s="2" t="s">
        <v>73</v>
      </c>
      <c r="D2169" s="2"/>
      <c r="E2169" s="2" t="str">
        <f>"FES1162543990"</f>
        <v>FES1162543990</v>
      </c>
      <c r="F2169" s="3">
        <v>42843</v>
      </c>
      <c r="G2169" s="2">
        <v>201710</v>
      </c>
      <c r="H2169" s="2" t="s">
        <v>74</v>
      </c>
      <c r="I2169" s="2" t="s">
        <v>75</v>
      </c>
      <c r="J2169" s="2" t="s">
        <v>76</v>
      </c>
      <c r="K2169" s="2" t="s">
        <v>77</v>
      </c>
      <c r="L2169" s="2" t="s">
        <v>180</v>
      </c>
      <c r="M2169" s="2" t="s">
        <v>181</v>
      </c>
      <c r="N2169" s="2" t="s">
        <v>931</v>
      </c>
      <c r="O2169" s="2" t="s">
        <v>115</v>
      </c>
      <c r="P2169" s="2" t="str">
        <f>"2170562580                    "</f>
        <v xml:space="preserve">2170562580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12.86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3.6</v>
      </c>
      <c r="BJ2169" s="2">
        <v>5.9</v>
      </c>
      <c r="BK2169" s="2">
        <v>6</v>
      </c>
      <c r="BL2169" s="2">
        <v>125.18</v>
      </c>
      <c r="BM2169" s="2">
        <v>17.53</v>
      </c>
      <c r="BN2169" s="2">
        <v>142.71</v>
      </c>
      <c r="BO2169" s="2">
        <v>142.71</v>
      </c>
      <c r="BP2169" s="2"/>
      <c r="BQ2169" s="2" t="s">
        <v>116</v>
      </c>
      <c r="BR2169" s="2" t="s">
        <v>84</v>
      </c>
      <c r="BS2169" s="3">
        <v>42845</v>
      </c>
      <c r="BT2169" s="4">
        <v>0.4375</v>
      </c>
      <c r="BU2169" s="2" t="s">
        <v>2469</v>
      </c>
      <c r="BV2169" s="2" t="s">
        <v>86</v>
      </c>
      <c r="BW2169" s="2"/>
      <c r="BX2169" s="2"/>
      <c r="BY2169" s="2">
        <v>29454.959999999999</v>
      </c>
      <c r="BZ2169" s="2"/>
      <c r="CA2169" s="2"/>
      <c r="CB2169" s="2"/>
      <c r="CC2169" s="2" t="s">
        <v>181</v>
      </c>
      <c r="CD2169" s="2">
        <v>4072</v>
      </c>
      <c r="CE2169" s="2" t="s">
        <v>89</v>
      </c>
      <c r="CF2169" s="5">
        <v>42846</v>
      </c>
      <c r="CG2169" s="2"/>
      <c r="CH2169" s="2"/>
      <c r="CI2169" s="2">
        <v>1</v>
      </c>
      <c r="CJ2169" s="2">
        <v>2</v>
      </c>
      <c r="CK2169" s="2">
        <v>21</v>
      </c>
      <c r="CL2169" s="2" t="s">
        <v>86</v>
      </c>
      <c r="CM2169" s="2"/>
    </row>
    <row r="2170" spans="1:91">
      <c r="A2170" s="2" t="s">
        <v>71</v>
      </c>
      <c r="B2170" s="2" t="s">
        <v>72</v>
      </c>
      <c r="C2170" s="2" t="s">
        <v>73</v>
      </c>
      <c r="D2170" s="2"/>
      <c r="E2170" s="2" t="str">
        <f>"080001607321"</f>
        <v>080001607321</v>
      </c>
      <c r="F2170" s="3">
        <v>42843</v>
      </c>
      <c r="G2170" s="2">
        <v>201710</v>
      </c>
      <c r="H2170" s="2" t="s">
        <v>2574</v>
      </c>
      <c r="I2170" s="2" t="s">
        <v>2575</v>
      </c>
      <c r="J2170" s="2" t="s">
        <v>2576</v>
      </c>
      <c r="K2170" s="2" t="s">
        <v>77</v>
      </c>
      <c r="L2170" s="2" t="s">
        <v>74</v>
      </c>
      <c r="M2170" s="2" t="s">
        <v>75</v>
      </c>
      <c r="N2170" s="2" t="s">
        <v>200</v>
      </c>
      <c r="O2170" s="2" t="s">
        <v>115</v>
      </c>
      <c r="P2170" s="2" t="str">
        <f>"ZA1000635212                  "</f>
        <v xml:space="preserve">ZA1000635212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8.31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1</v>
      </c>
      <c r="BK2170" s="2">
        <v>1</v>
      </c>
      <c r="BL2170" s="2">
        <v>80.849999999999994</v>
      </c>
      <c r="BM2170" s="2">
        <v>11.32</v>
      </c>
      <c r="BN2170" s="2">
        <v>92.17</v>
      </c>
      <c r="BO2170" s="2">
        <v>92.17</v>
      </c>
      <c r="BP2170" s="2" t="s">
        <v>247</v>
      </c>
      <c r="BQ2170" s="2" t="s">
        <v>134</v>
      </c>
      <c r="BR2170" s="2" t="s">
        <v>2577</v>
      </c>
      <c r="BS2170" s="3">
        <v>42844</v>
      </c>
      <c r="BT2170" s="4">
        <v>0.38819444444444445</v>
      </c>
      <c r="BU2170" s="2" t="s">
        <v>2460</v>
      </c>
      <c r="BV2170" s="2" t="s">
        <v>111</v>
      </c>
      <c r="BW2170" s="2"/>
      <c r="BX2170" s="2"/>
      <c r="BY2170" s="2">
        <v>5040</v>
      </c>
      <c r="BZ2170" s="2" t="s">
        <v>27</v>
      </c>
      <c r="CA2170" s="2" t="s">
        <v>2461</v>
      </c>
      <c r="CB2170" s="2"/>
      <c r="CC2170" s="2" t="s">
        <v>75</v>
      </c>
      <c r="CD2170" s="2">
        <v>1600</v>
      </c>
      <c r="CE2170" s="2" t="s">
        <v>89</v>
      </c>
      <c r="CF2170" s="5">
        <v>42844</v>
      </c>
      <c r="CG2170" s="2"/>
      <c r="CH2170" s="2"/>
      <c r="CI2170" s="2">
        <v>1</v>
      </c>
      <c r="CJ2170" s="2">
        <v>1</v>
      </c>
      <c r="CK2170" s="2">
        <v>23</v>
      </c>
      <c r="CL2170" s="2" t="s">
        <v>86</v>
      </c>
      <c r="CM2170" s="2"/>
    </row>
    <row r="2171" spans="1:91">
      <c r="A2171" s="2" t="s">
        <v>71</v>
      </c>
      <c r="B2171" s="2" t="s">
        <v>72</v>
      </c>
      <c r="C2171" s="2" t="s">
        <v>73</v>
      </c>
      <c r="D2171" s="2"/>
      <c r="E2171" s="2" t="str">
        <f>"009935562612"</f>
        <v>009935562612</v>
      </c>
      <c r="F2171" s="3">
        <v>42837</v>
      </c>
      <c r="G2171" s="2">
        <v>201710</v>
      </c>
      <c r="H2171" s="2" t="s">
        <v>598</v>
      </c>
      <c r="I2171" s="2" t="s">
        <v>599</v>
      </c>
      <c r="J2171" s="2" t="s">
        <v>2578</v>
      </c>
      <c r="K2171" s="2" t="s">
        <v>77</v>
      </c>
      <c r="L2171" s="2" t="s">
        <v>166</v>
      </c>
      <c r="M2171" s="2" t="s">
        <v>167</v>
      </c>
      <c r="N2171" s="2" t="s">
        <v>200</v>
      </c>
      <c r="O2171" s="2" t="s">
        <v>81</v>
      </c>
      <c r="P2171" s="2" t="str">
        <f>"                              "</f>
        <v xml:space="preserve">          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8.0399999999999991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</v>
      </c>
      <c r="BJ2171" s="2">
        <v>0.2</v>
      </c>
      <c r="BK2171" s="2">
        <v>1</v>
      </c>
      <c r="BL2171" s="2">
        <v>83.24</v>
      </c>
      <c r="BM2171" s="2">
        <v>11.65</v>
      </c>
      <c r="BN2171" s="2">
        <v>94.89</v>
      </c>
      <c r="BO2171" s="2">
        <v>94.89</v>
      </c>
      <c r="BP2171" s="2"/>
      <c r="BQ2171" s="2"/>
      <c r="BR2171" s="2" t="s">
        <v>602</v>
      </c>
      <c r="BS2171" s="3">
        <v>42838</v>
      </c>
      <c r="BT2171" s="4">
        <v>0.3743055555555555</v>
      </c>
      <c r="BU2171" s="2" t="s">
        <v>2579</v>
      </c>
      <c r="BV2171" s="2" t="s">
        <v>111</v>
      </c>
      <c r="BW2171" s="2"/>
      <c r="BX2171" s="2"/>
      <c r="BY2171" s="2">
        <v>1200</v>
      </c>
      <c r="BZ2171" s="2"/>
      <c r="CA2171" s="2"/>
      <c r="CB2171" s="2"/>
      <c r="CC2171" s="2" t="s">
        <v>167</v>
      </c>
      <c r="CD2171" s="2">
        <v>2000</v>
      </c>
      <c r="CE2171" s="2" t="s">
        <v>89</v>
      </c>
      <c r="CF2171" s="5">
        <v>42843</v>
      </c>
      <c r="CG2171" s="2"/>
      <c r="CH2171" s="2"/>
      <c r="CI2171" s="2">
        <v>0</v>
      </c>
      <c r="CJ2171" s="2">
        <v>0</v>
      </c>
      <c r="CK2171" s="2" t="s">
        <v>2580</v>
      </c>
      <c r="CL2171" s="2" t="s">
        <v>86</v>
      </c>
      <c r="CM2171" s="2"/>
    </row>
    <row r="2172" spans="1:91">
      <c r="A2172" s="2" t="s">
        <v>71</v>
      </c>
      <c r="B2172" s="2" t="s">
        <v>72</v>
      </c>
      <c r="C2172" s="2" t="s">
        <v>73</v>
      </c>
      <c r="D2172" s="2"/>
      <c r="E2172" s="2" t="str">
        <f>"009936090870"</f>
        <v>009936090870</v>
      </c>
      <c r="F2172" s="3">
        <v>42843</v>
      </c>
      <c r="G2172" s="2">
        <v>201710</v>
      </c>
      <c r="H2172" s="2" t="s">
        <v>166</v>
      </c>
      <c r="I2172" s="2" t="s">
        <v>167</v>
      </c>
      <c r="J2172" s="2" t="s">
        <v>2581</v>
      </c>
      <c r="K2172" s="2" t="s">
        <v>77</v>
      </c>
      <c r="L2172" s="2" t="s">
        <v>74</v>
      </c>
      <c r="M2172" s="2" t="s">
        <v>75</v>
      </c>
      <c r="N2172" s="2" t="s">
        <v>200</v>
      </c>
      <c r="O2172" s="2" t="s">
        <v>81</v>
      </c>
      <c r="P2172" s="2" t="str">
        <f>"                              "</f>
        <v xml:space="preserve">          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6.03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0.5</v>
      </c>
      <c r="BJ2172" s="2">
        <v>0.2</v>
      </c>
      <c r="BK2172" s="2">
        <v>1</v>
      </c>
      <c r="BL2172" s="2">
        <v>63.68</v>
      </c>
      <c r="BM2172" s="2">
        <v>8.92</v>
      </c>
      <c r="BN2172" s="2">
        <v>72.599999999999994</v>
      </c>
      <c r="BO2172" s="2">
        <v>72.599999999999994</v>
      </c>
      <c r="BP2172" s="2"/>
      <c r="BQ2172" s="2"/>
      <c r="BR2172" s="2" t="s">
        <v>2582</v>
      </c>
      <c r="BS2172" s="3">
        <v>42844</v>
      </c>
      <c r="BT2172" s="4">
        <v>0.34027777777777773</v>
      </c>
      <c r="BU2172" s="2" t="s">
        <v>198</v>
      </c>
      <c r="BV2172" s="2" t="s">
        <v>111</v>
      </c>
      <c r="BW2172" s="2"/>
      <c r="BX2172" s="2"/>
      <c r="BY2172" s="2">
        <v>1200</v>
      </c>
      <c r="BZ2172" s="2"/>
      <c r="CA2172" s="2"/>
      <c r="CB2172" s="2"/>
      <c r="CC2172" s="2" t="s">
        <v>75</v>
      </c>
      <c r="CD2172" s="2">
        <v>1600</v>
      </c>
      <c r="CE2172" s="2" t="s">
        <v>89</v>
      </c>
      <c r="CF2172" s="5">
        <v>42845</v>
      </c>
      <c r="CG2172" s="2"/>
      <c r="CH2172" s="2"/>
      <c r="CI2172" s="2">
        <v>0</v>
      </c>
      <c r="CJ2172" s="2">
        <v>0</v>
      </c>
      <c r="CK2172" s="2" t="s">
        <v>98</v>
      </c>
      <c r="CL2172" s="2" t="s">
        <v>86</v>
      </c>
      <c r="CM2172" s="2"/>
    </row>
    <row r="2173" spans="1:91">
      <c r="A2173" s="2" t="s">
        <v>71</v>
      </c>
      <c r="B2173" s="2" t="s">
        <v>72</v>
      </c>
      <c r="C2173" s="2" t="s">
        <v>73</v>
      </c>
      <c r="D2173" s="2"/>
      <c r="E2173" s="2" t="str">
        <f>"FES1162543597"</f>
        <v>FES1162543597</v>
      </c>
      <c r="F2173" s="3">
        <v>42838</v>
      </c>
      <c r="G2173" s="2">
        <v>201710</v>
      </c>
      <c r="H2173" s="2" t="s">
        <v>74</v>
      </c>
      <c r="I2173" s="2" t="s">
        <v>75</v>
      </c>
      <c r="J2173" s="2" t="s">
        <v>200</v>
      </c>
      <c r="K2173" s="2" t="s">
        <v>77</v>
      </c>
      <c r="L2173" s="2" t="s">
        <v>220</v>
      </c>
      <c r="M2173" s="2" t="s">
        <v>221</v>
      </c>
      <c r="N2173" s="2" t="s">
        <v>168</v>
      </c>
      <c r="O2173" s="2" t="s">
        <v>255</v>
      </c>
      <c r="P2173" s="2" t="str">
        <f>"2170562273                    "</f>
        <v xml:space="preserve">2170562273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351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44.48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1</v>
      </c>
      <c r="BJ2173" s="2">
        <v>0.2</v>
      </c>
      <c r="BK2173" s="2">
        <v>1</v>
      </c>
      <c r="BL2173" s="2">
        <v>432.92</v>
      </c>
      <c r="BM2173" s="2">
        <v>60.61</v>
      </c>
      <c r="BN2173" s="2">
        <v>493.53</v>
      </c>
      <c r="BO2173" s="2">
        <v>493.53</v>
      </c>
      <c r="BP2173" s="2" t="s">
        <v>1318</v>
      </c>
      <c r="BQ2173" s="2" t="s">
        <v>1319</v>
      </c>
      <c r="BR2173" s="2" t="s">
        <v>2287</v>
      </c>
      <c r="BS2173" s="3">
        <v>42838</v>
      </c>
      <c r="BT2173" s="4">
        <v>0.75</v>
      </c>
      <c r="BU2173" s="2" t="s">
        <v>166</v>
      </c>
      <c r="BV2173" s="2" t="s">
        <v>111</v>
      </c>
      <c r="BW2173" s="2"/>
      <c r="BX2173" s="2"/>
      <c r="BY2173" s="2">
        <v>1200</v>
      </c>
      <c r="BZ2173" s="2" t="s">
        <v>259</v>
      </c>
      <c r="CA2173" s="2"/>
      <c r="CB2173" s="2"/>
      <c r="CC2173" s="2" t="s">
        <v>221</v>
      </c>
      <c r="CD2173" s="2">
        <v>6536</v>
      </c>
      <c r="CE2173" s="2" t="s">
        <v>118</v>
      </c>
      <c r="CF2173" s="5">
        <v>42844</v>
      </c>
      <c r="CG2173" s="2"/>
      <c r="CH2173" s="2"/>
      <c r="CI2173" s="2">
        <v>0</v>
      </c>
      <c r="CJ2173" s="2">
        <v>0</v>
      </c>
      <c r="CK2173" s="2">
        <v>21</v>
      </c>
      <c r="CL2173" s="2" t="s">
        <v>86</v>
      </c>
      <c r="CM2173" s="2"/>
    </row>
    <row r="2174" spans="1:91">
      <c r="A2174" s="2" t="s">
        <v>71</v>
      </c>
      <c r="B2174" s="2" t="s">
        <v>72</v>
      </c>
      <c r="C2174" s="2" t="s">
        <v>73</v>
      </c>
      <c r="D2174" s="2"/>
      <c r="E2174" s="2" t="str">
        <f>"FES1162544900"</f>
        <v>FES1162544900</v>
      </c>
      <c r="F2174" s="3">
        <v>42846</v>
      </c>
      <c r="G2174" s="2">
        <v>201710</v>
      </c>
      <c r="H2174" s="2" t="s">
        <v>74</v>
      </c>
      <c r="I2174" s="2" t="s">
        <v>75</v>
      </c>
      <c r="J2174" s="2" t="s">
        <v>76</v>
      </c>
      <c r="K2174" s="2" t="s">
        <v>77</v>
      </c>
      <c r="L2174" s="2" t="s">
        <v>99</v>
      </c>
      <c r="M2174" s="2" t="s">
        <v>100</v>
      </c>
      <c r="N2174" s="2" t="s">
        <v>910</v>
      </c>
      <c r="O2174" s="2" t="s">
        <v>115</v>
      </c>
      <c r="P2174" s="2" t="str">
        <f>"2170561080                    "</f>
        <v xml:space="preserve">2170561080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19.29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2.9</v>
      </c>
      <c r="BJ2174" s="2">
        <v>8.6999999999999993</v>
      </c>
      <c r="BK2174" s="2">
        <v>9</v>
      </c>
      <c r="BL2174" s="2">
        <v>187.77</v>
      </c>
      <c r="BM2174" s="2">
        <v>26.29</v>
      </c>
      <c r="BN2174" s="2">
        <v>214.06</v>
      </c>
      <c r="BO2174" s="2">
        <v>214.06</v>
      </c>
      <c r="BP2174" s="2"/>
      <c r="BQ2174" s="2" t="s">
        <v>911</v>
      </c>
      <c r="BR2174" s="2" t="s">
        <v>84</v>
      </c>
      <c r="BS2174" s="3">
        <v>42849</v>
      </c>
      <c r="BT2174" s="4">
        <v>0.39583333333333331</v>
      </c>
      <c r="BU2174" s="2" t="s">
        <v>912</v>
      </c>
      <c r="BV2174" s="2" t="s">
        <v>111</v>
      </c>
      <c r="BW2174" s="2"/>
      <c r="BX2174" s="2"/>
      <c r="BY2174" s="2">
        <v>43394.400000000001</v>
      </c>
      <c r="BZ2174" s="2"/>
      <c r="CA2174" s="2" t="s">
        <v>913</v>
      </c>
      <c r="CB2174" s="2"/>
      <c r="CC2174" s="2" t="s">
        <v>100</v>
      </c>
      <c r="CD2174" s="2">
        <v>6065</v>
      </c>
      <c r="CE2174" s="2" t="s">
        <v>89</v>
      </c>
      <c r="CF2174" s="5">
        <v>42849</v>
      </c>
      <c r="CG2174" s="2"/>
      <c r="CH2174" s="2"/>
      <c r="CI2174" s="2">
        <v>1</v>
      </c>
      <c r="CJ2174" s="2">
        <v>1</v>
      </c>
      <c r="CK2174" s="2">
        <v>21</v>
      </c>
      <c r="CL2174" s="2" t="s">
        <v>86</v>
      </c>
      <c r="CM2174" s="2"/>
    </row>
    <row r="2175" spans="1:91">
      <c r="A2175" s="2" t="s">
        <v>71</v>
      </c>
      <c r="B2175" s="2" t="s">
        <v>72</v>
      </c>
      <c r="C2175" s="2" t="s">
        <v>73</v>
      </c>
      <c r="D2175" s="2"/>
      <c r="E2175" s="2" t="str">
        <f>"FES1162544877"</f>
        <v>FES1162544877</v>
      </c>
      <c r="F2175" s="3">
        <v>42846</v>
      </c>
      <c r="G2175" s="2">
        <v>201710</v>
      </c>
      <c r="H2175" s="2" t="s">
        <v>74</v>
      </c>
      <c r="I2175" s="2" t="s">
        <v>75</v>
      </c>
      <c r="J2175" s="2" t="s">
        <v>76</v>
      </c>
      <c r="K2175" s="2" t="s">
        <v>77</v>
      </c>
      <c r="L2175" s="2" t="s">
        <v>99</v>
      </c>
      <c r="M2175" s="2" t="s">
        <v>100</v>
      </c>
      <c r="N2175" s="2" t="s">
        <v>583</v>
      </c>
      <c r="O2175" s="2" t="s">
        <v>115</v>
      </c>
      <c r="P2175" s="2" t="str">
        <f>"2170563391                    "</f>
        <v xml:space="preserve">2170563391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5.36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2.2000000000000002</v>
      </c>
      <c r="BJ2175" s="2">
        <v>1.6</v>
      </c>
      <c r="BK2175" s="2">
        <v>2.5</v>
      </c>
      <c r="BL2175" s="2">
        <v>52.16</v>
      </c>
      <c r="BM2175" s="2">
        <v>7.3</v>
      </c>
      <c r="BN2175" s="2">
        <v>59.46</v>
      </c>
      <c r="BO2175" s="2">
        <v>59.46</v>
      </c>
      <c r="BP2175" s="2"/>
      <c r="BQ2175" s="2" t="s">
        <v>584</v>
      </c>
      <c r="BR2175" s="2" t="s">
        <v>84</v>
      </c>
      <c r="BS2175" s="3">
        <v>42849</v>
      </c>
      <c r="BT2175" s="4">
        <v>0.2986111111111111</v>
      </c>
      <c r="BU2175" s="2" t="s">
        <v>385</v>
      </c>
      <c r="BV2175" s="2" t="s">
        <v>111</v>
      </c>
      <c r="BW2175" s="2"/>
      <c r="BX2175" s="2"/>
      <c r="BY2175" s="2">
        <v>8058</v>
      </c>
      <c r="BZ2175" s="2"/>
      <c r="CA2175" s="2"/>
      <c r="CB2175" s="2"/>
      <c r="CC2175" s="2" t="s">
        <v>100</v>
      </c>
      <c r="CD2175" s="2">
        <v>6001</v>
      </c>
      <c r="CE2175" s="2" t="s">
        <v>89</v>
      </c>
      <c r="CF2175" s="5">
        <v>42850</v>
      </c>
      <c r="CG2175" s="2"/>
      <c r="CH2175" s="2"/>
      <c r="CI2175" s="2">
        <v>1</v>
      </c>
      <c r="CJ2175" s="2">
        <v>1</v>
      </c>
      <c r="CK2175" s="2">
        <v>21</v>
      </c>
      <c r="CL2175" s="2" t="s">
        <v>86</v>
      </c>
      <c r="CM2175" s="2"/>
    </row>
    <row r="2176" spans="1:91">
      <c r="A2176" s="2" t="s">
        <v>71</v>
      </c>
      <c r="B2176" s="2" t="s">
        <v>72</v>
      </c>
      <c r="C2176" s="2" t="s">
        <v>73</v>
      </c>
      <c r="D2176" s="2"/>
      <c r="E2176" s="2" t="str">
        <f>"FES1162544872"</f>
        <v>FES1162544872</v>
      </c>
      <c r="F2176" s="3">
        <v>42846</v>
      </c>
      <c r="G2176" s="2">
        <v>201710</v>
      </c>
      <c r="H2176" s="2" t="s">
        <v>74</v>
      </c>
      <c r="I2176" s="2" t="s">
        <v>75</v>
      </c>
      <c r="J2176" s="2" t="s">
        <v>76</v>
      </c>
      <c r="K2176" s="2" t="s">
        <v>77</v>
      </c>
      <c r="L2176" s="2" t="s">
        <v>234</v>
      </c>
      <c r="M2176" s="2" t="s">
        <v>235</v>
      </c>
      <c r="N2176" s="2" t="s">
        <v>236</v>
      </c>
      <c r="O2176" s="2" t="s">
        <v>115</v>
      </c>
      <c r="P2176" s="2" t="str">
        <f>"2170562609                    "</f>
        <v xml:space="preserve">2170562609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7.5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2.5</v>
      </c>
      <c r="BJ2176" s="2">
        <v>3.2</v>
      </c>
      <c r="BK2176" s="2">
        <v>3.5</v>
      </c>
      <c r="BL2176" s="2">
        <v>73.02</v>
      </c>
      <c r="BM2176" s="2">
        <v>10.220000000000001</v>
      </c>
      <c r="BN2176" s="2">
        <v>83.24</v>
      </c>
      <c r="BO2176" s="2">
        <v>83.24</v>
      </c>
      <c r="BP2176" s="2"/>
      <c r="BQ2176" s="2" t="s">
        <v>285</v>
      </c>
      <c r="BR2176" s="2" t="s">
        <v>84</v>
      </c>
      <c r="BS2176" s="3">
        <v>42849</v>
      </c>
      <c r="BT2176" s="4">
        <v>0.34166666666666662</v>
      </c>
      <c r="BU2176" s="2" t="s">
        <v>130</v>
      </c>
      <c r="BV2176" s="2" t="s">
        <v>111</v>
      </c>
      <c r="BW2176" s="2"/>
      <c r="BX2176" s="2"/>
      <c r="BY2176" s="2">
        <v>16167.22</v>
      </c>
      <c r="BZ2176" s="2"/>
      <c r="CA2176" s="2"/>
      <c r="CB2176" s="2"/>
      <c r="CC2176" s="2" t="s">
        <v>235</v>
      </c>
      <c r="CD2176" s="2">
        <v>6220</v>
      </c>
      <c r="CE2176" s="2" t="s">
        <v>89</v>
      </c>
      <c r="CF2176" s="5">
        <v>42850</v>
      </c>
      <c r="CG2176" s="2"/>
      <c r="CH2176" s="2"/>
      <c r="CI2176" s="2">
        <v>1</v>
      </c>
      <c r="CJ2176" s="2">
        <v>1</v>
      </c>
      <c r="CK2176" s="2">
        <v>21</v>
      </c>
      <c r="CL2176" s="2" t="s">
        <v>86</v>
      </c>
      <c r="CM2176" s="2"/>
    </row>
    <row r="2177" spans="1:91">
      <c r="A2177" s="2" t="s">
        <v>71</v>
      </c>
      <c r="B2177" s="2" t="s">
        <v>72</v>
      </c>
      <c r="C2177" s="2" t="s">
        <v>73</v>
      </c>
      <c r="D2177" s="2"/>
      <c r="E2177" s="2" t="str">
        <f>"FES1162545200"</f>
        <v>FES1162545200</v>
      </c>
      <c r="F2177" s="3">
        <v>42849</v>
      </c>
      <c r="G2177" s="2">
        <v>201710</v>
      </c>
      <c r="H2177" s="2" t="s">
        <v>74</v>
      </c>
      <c r="I2177" s="2" t="s">
        <v>75</v>
      </c>
      <c r="J2177" s="2" t="s">
        <v>76</v>
      </c>
      <c r="K2177" s="2" t="s">
        <v>77</v>
      </c>
      <c r="L2177" s="2" t="s">
        <v>131</v>
      </c>
      <c r="M2177" s="2" t="s">
        <v>132</v>
      </c>
      <c r="N2177" s="2" t="s">
        <v>2583</v>
      </c>
      <c r="O2177" s="2" t="s">
        <v>115</v>
      </c>
      <c r="P2177" s="2" t="str">
        <f>"2170563690                    "</f>
        <v xml:space="preserve">2170563690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4.29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1</v>
      </c>
      <c r="BJ2177" s="2">
        <v>0.2</v>
      </c>
      <c r="BK2177" s="2">
        <v>1</v>
      </c>
      <c r="BL2177" s="2">
        <v>41.73</v>
      </c>
      <c r="BM2177" s="2">
        <v>5.84</v>
      </c>
      <c r="BN2177" s="2">
        <v>47.57</v>
      </c>
      <c r="BO2177" s="2">
        <v>47.57</v>
      </c>
      <c r="BP2177" s="2"/>
      <c r="BQ2177" s="2" t="s">
        <v>2584</v>
      </c>
      <c r="BR2177" s="2" t="s">
        <v>84</v>
      </c>
      <c r="BS2177" s="3">
        <v>42851</v>
      </c>
      <c r="BT2177" s="4">
        <v>0.41666666666666669</v>
      </c>
      <c r="BU2177" s="2" t="s">
        <v>2585</v>
      </c>
      <c r="BV2177" s="2" t="s">
        <v>86</v>
      </c>
      <c r="BW2177" s="2" t="s">
        <v>157</v>
      </c>
      <c r="BX2177" s="2" t="s">
        <v>158</v>
      </c>
      <c r="BY2177" s="2">
        <v>1200</v>
      </c>
      <c r="BZ2177" s="2"/>
      <c r="CA2177" s="2"/>
      <c r="CB2177" s="2"/>
      <c r="CC2177" s="2" t="s">
        <v>132</v>
      </c>
      <c r="CD2177" s="2">
        <v>7780</v>
      </c>
      <c r="CE2177" s="2" t="s">
        <v>118</v>
      </c>
      <c r="CF2177" s="5">
        <v>42853</v>
      </c>
      <c r="CG2177" s="2"/>
      <c r="CH2177" s="2"/>
      <c r="CI2177" s="2">
        <v>1</v>
      </c>
      <c r="CJ2177" s="2">
        <v>2</v>
      </c>
      <c r="CK2177" s="2">
        <v>21</v>
      </c>
      <c r="CL2177" s="2" t="s">
        <v>86</v>
      </c>
      <c r="CM2177" s="2"/>
    </row>
    <row r="2178" spans="1:91">
      <c r="A2178" s="2" t="s">
        <v>71</v>
      </c>
      <c r="B2178" s="2" t="s">
        <v>72</v>
      </c>
      <c r="C2178" s="2" t="s">
        <v>73</v>
      </c>
      <c r="D2178" s="2"/>
      <c r="E2178" s="2" t="str">
        <f>"Rfes1162543802"</f>
        <v>Rfes1162543802</v>
      </c>
      <c r="F2178" s="3">
        <v>42844</v>
      </c>
      <c r="G2178" s="2">
        <v>201710</v>
      </c>
      <c r="H2178" s="2" t="s">
        <v>267</v>
      </c>
      <c r="I2178" s="2" t="s">
        <v>268</v>
      </c>
      <c r="J2178" s="2" t="s">
        <v>2423</v>
      </c>
      <c r="K2178" s="2" t="s">
        <v>77</v>
      </c>
      <c r="L2178" s="2" t="s">
        <v>74</v>
      </c>
      <c r="M2178" s="2" t="s">
        <v>75</v>
      </c>
      <c r="N2178" s="2" t="s">
        <v>76</v>
      </c>
      <c r="O2178" s="2" t="s">
        <v>115</v>
      </c>
      <c r="P2178" s="2" t="str">
        <f>"2170562451                    "</f>
        <v xml:space="preserve">2170562451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3.35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234</v>
      </c>
      <c r="BF2178" s="2">
        <v>0</v>
      </c>
      <c r="BG2178" s="2">
        <v>0</v>
      </c>
      <c r="BH2178" s="2">
        <v>1</v>
      </c>
      <c r="BI2178" s="2">
        <v>1</v>
      </c>
      <c r="BJ2178" s="2">
        <v>0.2</v>
      </c>
      <c r="BK2178" s="2">
        <v>1</v>
      </c>
      <c r="BL2178" s="2">
        <v>266.60000000000002</v>
      </c>
      <c r="BM2178" s="2">
        <v>37.32</v>
      </c>
      <c r="BN2178" s="2">
        <v>303.92</v>
      </c>
      <c r="BO2178" s="2">
        <v>303.92</v>
      </c>
      <c r="BP2178" s="2" t="s">
        <v>2424</v>
      </c>
      <c r="BQ2178" s="2" t="s">
        <v>84</v>
      </c>
      <c r="BR2178" s="2" t="s">
        <v>636</v>
      </c>
      <c r="BS2178" s="3">
        <v>42845</v>
      </c>
      <c r="BT2178" s="4">
        <v>0.38541666666666669</v>
      </c>
      <c r="BU2178" s="2" t="s">
        <v>2586</v>
      </c>
      <c r="BV2178" s="2" t="s">
        <v>111</v>
      </c>
      <c r="BW2178" s="2"/>
      <c r="BX2178" s="2"/>
      <c r="BY2178" s="2">
        <v>1200</v>
      </c>
      <c r="BZ2178" s="2" t="s">
        <v>2587</v>
      </c>
      <c r="CA2178" s="2"/>
      <c r="CB2178" s="2"/>
      <c r="CC2178" s="2" t="s">
        <v>75</v>
      </c>
      <c r="CD2178" s="2">
        <v>1600</v>
      </c>
      <c r="CE2178" s="2" t="s">
        <v>118</v>
      </c>
      <c r="CF2178" s="5">
        <v>42846</v>
      </c>
      <c r="CG2178" s="2"/>
      <c r="CH2178" s="2"/>
      <c r="CI2178" s="2">
        <v>1</v>
      </c>
      <c r="CJ2178" s="2">
        <v>1</v>
      </c>
      <c r="CK2178" s="2">
        <v>22</v>
      </c>
      <c r="CL2178" s="2" t="s">
        <v>86</v>
      </c>
      <c r="CM2178" s="2"/>
    </row>
    <row r="2179" spans="1:91">
      <c r="A2179" s="2" t="s">
        <v>71</v>
      </c>
      <c r="B2179" s="2" t="s">
        <v>72</v>
      </c>
      <c r="C2179" s="2" t="s">
        <v>73</v>
      </c>
      <c r="D2179" s="2"/>
      <c r="E2179" s="2" t="str">
        <f>"FES1162543894"</f>
        <v>FES1162543894</v>
      </c>
      <c r="F2179" s="3">
        <v>42843</v>
      </c>
      <c r="G2179" s="2">
        <v>201710</v>
      </c>
      <c r="H2179" s="2" t="s">
        <v>74</v>
      </c>
      <c r="I2179" s="2" t="s">
        <v>75</v>
      </c>
      <c r="J2179" s="2" t="s">
        <v>76</v>
      </c>
      <c r="K2179" s="2" t="s">
        <v>77</v>
      </c>
      <c r="L2179" s="2" t="s">
        <v>99</v>
      </c>
      <c r="M2179" s="2" t="s">
        <v>100</v>
      </c>
      <c r="N2179" s="2" t="s">
        <v>1315</v>
      </c>
      <c r="O2179" s="2" t="s">
        <v>115</v>
      </c>
      <c r="P2179" s="2" t="str">
        <f>"2170562497                    "</f>
        <v xml:space="preserve">2170562497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4.29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0.5</v>
      </c>
      <c r="BJ2179" s="2">
        <v>0.2</v>
      </c>
      <c r="BK2179" s="2">
        <v>0.5</v>
      </c>
      <c r="BL2179" s="2">
        <v>41.73</v>
      </c>
      <c r="BM2179" s="2">
        <v>5.84</v>
      </c>
      <c r="BN2179" s="2">
        <v>47.57</v>
      </c>
      <c r="BO2179" s="2">
        <v>47.57</v>
      </c>
      <c r="BP2179" s="2"/>
      <c r="BQ2179" s="2" t="s">
        <v>1316</v>
      </c>
      <c r="BR2179" s="2" t="s">
        <v>84</v>
      </c>
      <c r="BS2179" s="3">
        <v>42844</v>
      </c>
      <c r="BT2179" s="4">
        <v>0.53472222222222221</v>
      </c>
      <c r="BU2179" s="2" t="s">
        <v>2588</v>
      </c>
      <c r="BV2179" s="2" t="s">
        <v>86</v>
      </c>
      <c r="BW2179" s="2" t="s">
        <v>484</v>
      </c>
      <c r="BX2179" s="2" t="s">
        <v>485</v>
      </c>
      <c r="BY2179" s="2">
        <v>1200</v>
      </c>
      <c r="BZ2179" s="2"/>
      <c r="CA2179" s="2" t="s">
        <v>154</v>
      </c>
      <c r="CB2179" s="2"/>
      <c r="CC2179" s="2" t="s">
        <v>100</v>
      </c>
      <c r="CD2179" s="2">
        <v>6001</v>
      </c>
      <c r="CE2179" s="2" t="s">
        <v>118</v>
      </c>
      <c r="CF2179" s="5">
        <v>42844</v>
      </c>
      <c r="CG2179" s="2"/>
      <c r="CH2179" s="2"/>
      <c r="CI2179" s="2">
        <v>1</v>
      </c>
      <c r="CJ2179" s="2">
        <v>1</v>
      </c>
      <c r="CK2179" s="2">
        <v>21</v>
      </c>
      <c r="CL2179" s="2" t="s">
        <v>86</v>
      </c>
      <c r="CM2179" s="2"/>
    </row>
    <row r="2180" spans="1:91">
      <c r="A2180" s="2" t="s">
        <v>71</v>
      </c>
      <c r="B2180" s="2" t="s">
        <v>72</v>
      </c>
      <c r="C2180" s="2" t="s">
        <v>73</v>
      </c>
      <c r="D2180" s="2"/>
      <c r="E2180" s="2" t="str">
        <f>"FES1162543852"</f>
        <v>FES1162543852</v>
      </c>
      <c r="F2180" s="3">
        <v>42843</v>
      </c>
      <c r="G2180" s="2">
        <v>201710</v>
      </c>
      <c r="H2180" s="2" t="s">
        <v>74</v>
      </c>
      <c r="I2180" s="2" t="s">
        <v>75</v>
      </c>
      <c r="J2180" s="2" t="s">
        <v>76</v>
      </c>
      <c r="K2180" s="2" t="s">
        <v>77</v>
      </c>
      <c r="L2180" s="2" t="s">
        <v>358</v>
      </c>
      <c r="M2180" s="2" t="s">
        <v>359</v>
      </c>
      <c r="N2180" s="2" t="s">
        <v>776</v>
      </c>
      <c r="O2180" s="2" t="s">
        <v>115</v>
      </c>
      <c r="P2180" s="2" t="str">
        <f>"2170560800                    "</f>
        <v xml:space="preserve">2170560800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4.29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1</v>
      </c>
      <c r="BJ2180" s="2">
        <v>0.2</v>
      </c>
      <c r="BK2180" s="2">
        <v>1</v>
      </c>
      <c r="BL2180" s="2">
        <v>41.73</v>
      </c>
      <c r="BM2180" s="2">
        <v>5.84</v>
      </c>
      <c r="BN2180" s="2">
        <v>47.57</v>
      </c>
      <c r="BO2180" s="2">
        <v>47.57</v>
      </c>
      <c r="BP2180" s="2"/>
      <c r="BQ2180" s="2" t="s">
        <v>829</v>
      </c>
      <c r="BR2180" s="2" t="s">
        <v>84</v>
      </c>
      <c r="BS2180" s="3">
        <v>42844</v>
      </c>
      <c r="BT2180" s="4">
        <v>0.64166666666666672</v>
      </c>
      <c r="BU2180" s="2" t="s">
        <v>1886</v>
      </c>
      <c r="BV2180" s="2" t="s">
        <v>86</v>
      </c>
      <c r="BW2180" s="2"/>
      <c r="BX2180" s="2"/>
      <c r="BY2180" s="2">
        <v>1200</v>
      </c>
      <c r="BZ2180" s="2"/>
      <c r="CA2180" s="2"/>
      <c r="CB2180" s="2"/>
      <c r="CC2180" s="2" t="s">
        <v>359</v>
      </c>
      <c r="CD2180" s="2">
        <v>6229</v>
      </c>
      <c r="CE2180" s="2" t="s">
        <v>118</v>
      </c>
      <c r="CF2180" s="5">
        <v>42845</v>
      </c>
      <c r="CG2180" s="2"/>
      <c r="CH2180" s="2"/>
      <c r="CI2180" s="2">
        <v>1</v>
      </c>
      <c r="CJ2180" s="2">
        <v>1</v>
      </c>
      <c r="CK2180" s="2">
        <v>21</v>
      </c>
      <c r="CL2180" s="2" t="s">
        <v>86</v>
      </c>
      <c r="CM2180" s="2"/>
    </row>
    <row r="2181" spans="1:91">
      <c r="A2181" s="2" t="s">
        <v>71</v>
      </c>
      <c r="B2181" s="2" t="s">
        <v>72</v>
      </c>
      <c r="C2181" s="2" t="s">
        <v>73</v>
      </c>
      <c r="D2181" s="2"/>
      <c r="E2181" s="2" t="str">
        <f>"Rfes1162541905"</f>
        <v>Rfes1162541905</v>
      </c>
      <c r="F2181" s="3">
        <v>42844</v>
      </c>
      <c r="G2181" s="2">
        <v>201710</v>
      </c>
      <c r="H2181" s="2" t="s">
        <v>1073</v>
      </c>
      <c r="I2181" s="2" t="s">
        <v>1074</v>
      </c>
      <c r="J2181" s="2" t="s">
        <v>1101</v>
      </c>
      <c r="K2181" s="2" t="s">
        <v>77</v>
      </c>
      <c r="L2181" s="2" t="s">
        <v>74</v>
      </c>
      <c r="M2181" s="2" t="s">
        <v>75</v>
      </c>
      <c r="N2181" s="2" t="s">
        <v>76</v>
      </c>
      <c r="O2181" s="2" t="s">
        <v>115</v>
      </c>
      <c r="P2181" s="2" t="str">
        <f>"2170558759                    "</f>
        <v xml:space="preserve">2170558759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4.29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1</v>
      </c>
      <c r="BJ2181" s="2">
        <v>0.2</v>
      </c>
      <c r="BK2181" s="2">
        <v>1</v>
      </c>
      <c r="BL2181" s="2">
        <v>41.73</v>
      </c>
      <c r="BM2181" s="2">
        <v>5.84</v>
      </c>
      <c r="BN2181" s="2">
        <v>47.57</v>
      </c>
      <c r="BO2181" s="2">
        <v>47.57</v>
      </c>
      <c r="BP2181" s="2"/>
      <c r="BQ2181" s="2" t="s">
        <v>123</v>
      </c>
      <c r="BR2181" s="2" t="s">
        <v>1102</v>
      </c>
      <c r="BS2181" s="1" t="s">
        <v>1744</v>
      </c>
      <c r="BT2181" s="2"/>
      <c r="BU2181" s="2"/>
      <c r="BV2181" s="2"/>
      <c r="BW2181" s="2"/>
      <c r="BX2181" s="2"/>
      <c r="BY2181" s="2">
        <v>1200</v>
      </c>
      <c r="BZ2181" s="2"/>
      <c r="CA2181" s="2"/>
      <c r="CB2181" s="2"/>
      <c r="CC2181" s="2" t="s">
        <v>75</v>
      </c>
      <c r="CD2181" s="2">
        <v>1600</v>
      </c>
      <c r="CE2181" s="2" t="s">
        <v>118</v>
      </c>
      <c r="CF2181" s="2"/>
      <c r="CG2181" s="2"/>
      <c r="CH2181" s="2"/>
      <c r="CI2181" s="2">
        <v>1</v>
      </c>
      <c r="CJ2181" s="2" t="s">
        <v>1744</v>
      </c>
      <c r="CK2181" s="2">
        <v>21</v>
      </c>
      <c r="CL2181" s="2" t="s">
        <v>86</v>
      </c>
      <c r="CM2181" s="2"/>
    </row>
    <row r="2182" spans="1:91">
      <c r="A2182" s="2" t="s">
        <v>71</v>
      </c>
      <c r="B2182" s="2" t="s">
        <v>72</v>
      </c>
      <c r="C2182" s="2" t="s">
        <v>73</v>
      </c>
      <c r="D2182" s="2"/>
      <c r="E2182" s="2" t="str">
        <f>"Rfes1162543082"</f>
        <v>Rfes1162543082</v>
      </c>
      <c r="F2182" s="3">
        <v>42844</v>
      </c>
      <c r="G2182" s="2">
        <v>201710</v>
      </c>
      <c r="H2182" s="2" t="s">
        <v>2196</v>
      </c>
      <c r="I2182" s="2" t="s">
        <v>2196</v>
      </c>
      <c r="J2182" s="2" t="s">
        <v>2589</v>
      </c>
      <c r="K2182" s="2" t="s">
        <v>77</v>
      </c>
      <c r="L2182" s="2" t="s">
        <v>74</v>
      </c>
      <c r="M2182" s="2" t="s">
        <v>75</v>
      </c>
      <c r="N2182" s="2" t="s">
        <v>76</v>
      </c>
      <c r="O2182" s="2" t="s">
        <v>115</v>
      </c>
      <c r="P2182" s="2" t="str">
        <f>"2170561870                    "</f>
        <v xml:space="preserve">2170561870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23.64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7.7</v>
      </c>
      <c r="BJ2182" s="2">
        <v>4.4000000000000004</v>
      </c>
      <c r="BK2182" s="2">
        <v>8</v>
      </c>
      <c r="BL2182" s="2">
        <v>230.13</v>
      </c>
      <c r="BM2182" s="2">
        <v>32.22</v>
      </c>
      <c r="BN2182" s="2">
        <v>262.35000000000002</v>
      </c>
      <c r="BO2182" s="2">
        <v>262.35000000000002</v>
      </c>
      <c r="BP2182" s="2"/>
      <c r="BQ2182" s="2" t="s">
        <v>84</v>
      </c>
      <c r="BR2182" s="2" t="s">
        <v>2590</v>
      </c>
      <c r="BS2182" s="3">
        <v>42845</v>
      </c>
      <c r="BT2182" s="4">
        <v>0.55555555555555558</v>
      </c>
      <c r="BU2182" s="2" t="s">
        <v>2591</v>
      </c>
      <c r="BV2182" s="2" t="s">
        <v>86</v>
      </c>
      <c r="BW2182" s="2" t="s">
        <v>96</v>
      </c>
      <c r="BX2182" s="2" t="s">
        <v>2367</v>
      </c>
      <c r="BY2182" s="2">
        <v>22249.62</v>
      </c>
      <c r="BZ2182" s="2" t="s">
        <v>27</v>
      </c>
      <c r="CA2182" s="2"/>
      <c r="CB2182" s="2"/>
      <c r="CC2182" s="2" t="s">
        <v>75</v>
      </c>
      <c r="CD2182" s="2">
        <v>1600</v>
      </c>
      <c r="CE2182" s="2" t="s">
        <v>89</v>
      </c>
      <c r="CF2182" s="5">
        <v>42845</v>
      </c>
      <c r="CG2182" s="2"/>
      <c r="CH2182" s="2"/>
      <c r="CI2182" s="2">
        <v>1</v>
      </c>
      <c r="CJ2182" s="2">
        <v>1</v>
      </c>
      <c r="CK2182" s="2">
        <v>24</v>
      </c>
      <c r="CL2182" s="2" t="s">
        <v>86</v>
      </c>
      <c r="CM2182" s="2"/>
    </row>
    <row r="2183" spans="1:91">
      <c r="A2183" s="2" t="s">
        <v>71</v>
      </c>
      <c r="B2183" s="2" t="s">
        <v>72</v>
      </c>
      <c r="C2183" s="2" t="s">
        <v>73</v>
      </c>
      <c r="D2183" s="2"/>
      <c r="E2183" s="2" t="str">
        <f>"FES1162542151"</f>
        <v>FES1162542151</v>
      </c>
      <c r="F2183" s="3">
        <v>42832</v>
      </c>
      <c r="G2183" s="2">
        <v>201710</v>
      </c>
      <c r="H2183" s="2" t="s">
        <v>74</v>
      </c>
      <c r="I2183" s="2" t="s">
        <v>75</v>
      </c>
      <c r="J2183" s="2" t="s">
        <v>200</v>
      </c>
      <c r="K2183" s="2" t="s">
        <v>77</v>
      </c>
      <c r="L2183" s="2" t="s">
        <v>714</v>
      </c>
      <c r="M2183" s="2" t="s">
        <v>715</v>
      </c>
      <c r="N2183" s="2" t="s">
        <v>2592</v>
      </c>
      <c r="O2183" s="2" t="s">
        <v>81</v>
      </c>
      <c r="P2183" s="2" t="str">
        <f>"2170559567                    "</f>
        <v xml:space="preserve">2170559567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10.06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2</v>
      </c>
      <c r="BI2183" s="2">
        <v>34.200000000000003</v>
      </c>
      <c r="BJ2183" s="2">
        <v>18.2</v>
      </c>
      <c r="BK2183" s="2">
        <v>35</v>
      </c>
      <c r="BL2183" s="2">
        <v>102.91</v>
      </c>
      <c r="BM2183" s="2">
        <v>14.41</v>
      </c>
      <c r="BN2183" s="2">
        <v>117.32</v>
      </c>
      <c r="BO2183" s="2">
        <v>117.32</v>
      </c>
      <c r="BP2183" s="2"/>
      <c r="BQ2183" s="2" t="s">
        <v>2593</v>
      </c>
      <c r="BR2183" s="2" t="s">
        <v>204</v>
      </c>
      <c r="BS2183" s="3">
        <v>42835</v>
      </c>
      <c r="BT2183" s="4">
        <v>0.50416666666666665</v>
      </c>
      <c r="BU2183" s="2" t="s">
        <v>2594</v>
      </c>
      <c r="BV2183" s="2" t="s">
        <v>111</v>
      </c>
      <c r="BW2183" s="2"/>
      <c r="BX2183" s="2"/>
      <c r="BY2183" s="2">
        <v>91046.04</v>
      </c>
      <c r="BZ2183" s="2"/>
      <c r="CA2183" s="2"/>
      <c r="CB2183" s="2"/>
      <c r="CC2183" s="2" t="s">
        <v>715</v>
      </c>
      <c r="CD2183" s="2">
        <v>1451</v>
      </c>
      <c r="CE2183" s="2" t="s">
        <v>1232</v>
      </c>
      <c r="CF2183" s="5">
        <v>42836</v>
      </c>
      <c r="CG2183" s="2"/>
      <c r="CH2183" s="2"/>
      <c r="CI2183" s="2">
        <v>0</v>
      </c>
      <c r="CJ2183" s="2">
        <v>0</v>
      </c>
      <c r="CK2183" s="2" t="s">
        <v>98</v>
      </c>
      <c r="CL2183" s="2" t="s">
        <v>86</v>
      </c>
      <c r="CM2183" s="2"/>
    </row>
    <row r="2184" spans="1:91">
      <c r="A2184" s="2" t="s">
        <v>71</v>
      </c>
      <c r="B2184" s="2" t="s">
        <v>72</v>
      </c>
      <c r="C2184" s="2" t="s">
        <v>73</v>
      </c>
      <c r="D2184" s="2"/>
      <c r="E2184" s="2" t="str">
        <f>"FES1162541318"</f>
        <v>FES1162541318</v>
      </c>
      <c r="F2184" s="3">
        <v>42829</v>
      </c>
      <c r="G2184" s="2">
        <v>201710</v>
      </c>
      <c r="H2184" s="2" t="s">
        <v>74</v>
      </c>
      <c r="I2184" s="2" t="s">
        <v>75</v>
      </c>
      <c r="J2184" s="2" t="s">
        <v>200</v>
      </c>
      <c r="K2184" s="2" t="s">
        <v>77</v>
      </c>
      <c r="L2184" s="2" t="s">
        <v>74</v>
      </c>
      <c r="M2184" s="2" t="s">
        <v>75</v>
      </c>
      <c r="N2184" s="2" t="s">
        <v>353</v>
      </c>
      <c r="O2184" s="2" t="s">
        <v>81</v>
      </c>
      <c r="P2184" s="2" t="str">
        <f>"2170560393                    "</f>
        <v xml:space="preserve">2170560393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23.47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4</v>
      </c>
      <c r="BI2184" s="2">
        <v>52</v>
      </c>
      <c r="BJ2184" s="2">
        <v>97.3</v>
      </c>
      <c r="BK2184" s="2">
        <v>98</v>
      </c>
      <c r="BL2184" s="2">
        <v>227.2</v>
      </c>
      <c r="BM2184" s="2">
        <v>31.81</v>
      </c>
      <c r="BN2184" s="2">
        <v>259.01</v>
      </c>
      <c r="BO2184" s="2">
        <v>259.01</v>
      </c>
      <c r="BP2184" s="2"/>
      <c r="BQ2184" s="2" t="s">
        <v>354</v>
      </c>
      <c r="BR2184" s="2" t="s">
        <v>204</v>
      </c>
      <c r="BS2184" s="3">
        <v>42830</v>
      </c>
      <c r="BT2184" s="4">
        <v>0.70833333333333337</v>
      </c>
      <c r="BU2184" s="2" t="s">
        <v>2595</v>
      </c>
      <c r="BV2184" s="2" t="s">
        <v>111</v>
      </c>
      <c r="BW2184" s="2"/>
      <c r="BX2184" s="2"/>
      <c r="BY2184" s="2">
        <v>486473.84</v>
      </c>
      <c r="BZ2184" s="2"/>
      <c r="CA2184" s="2" t="s">
        <v>2266</v>
      </c>
      <c r="CB2184" s="2"/>
      <c r="CC2184" s="2" t="s">
        <v>75</v>
      </c>
      <c r="CD2184" s="2">
        <v>1601</v>
      </c>
      <c r="CE2184" s="2" t="s">
        <v>2596</v>
      </c>
      <c r="CF2184" s="5">
        <v>42830</v>
      </c>
      <c r="CG2184" s="2"/>
      <c r="CH2184" s="2"/>
      <c r="CI2184" s="2">
        <v>0</v>
      </c>
      <c r="CJ2184" s="2">
        <v>0</v>
      </c>
      <c r="CK2184" s="2" t="s">
        <v>98</v>
      </c>
      <c r="CL2184" s="2" t="s">
        <v>86</v>
      </c>
      <c r="CM2184" s="2"/>
    </row>
    <row r="2185" spans="1:91">
      <c r="A2185" s="2" t="s">
        <v>71</v>
      </c>
      <c r="B2185" s="2" t="s">
        <v>72</v>
      </c>
      <c r="C2185" s="2" t="s">
        <v>73</v>
      </c>
      <c r="D2185" s="2"/>
      <c r="E2185" s="2" t="str">
        <f>"FES1162542118"</f>
        <v>FES1162542118</v>
      </c>
      <c r="F2185" s="3">
        <v>42831</v>
      </c>
      <c r="G2185" s="2">
        <v>201710</v>
      </c>
      <c r="H2185" s="2" t="s">
        <v>74</v>
      </c>
      <c r="I2185" s="2" t="s">
        <v>75</v>
      </c>
      <c r="J2185" s="2" t="s">
        <v>200</v>
      </c>
      <c r="K2185" s="2" t="s">
        <v>77</v>
      </c>
      <c r="L2185" s="2" t="s">
        <v>119</v>
      </c>
      <c r="M2185" s="2" t="s">
        <v>120</v>
      </c>
      <c r="N2185" s="2" t="s">
        <v>725</v>
      </c>
      <c r="O2185" s="2" t="s">
        <v>81</v>
      </c>
      <c r="P2185" s="2" t="str">
        <f>"2170561006                    "</f>
        <v xml:space="preserve">2170561006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9.86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34</v>
      </c>
      <c r="BJ2185" s="2">
        <v>14.2</v>
      </c>
      <c r="BK2185" s="2">
        <v>34</v>
      </c>
      <c r="BL2185" s="2">
        <v>100.95</v>
      </c>
      <c r="BM2185" s="2">
        <v>14.13</v>
      </c>
      <c r="BN2185" s="2">
        <v>115.08</v>
      </c>
      <c r="BO2185" s="2">
        <v>115.08</v>
      </c>
      <c r="BP2185" s="2"/>
      <c r="BQ2185" s="2" t="s">
        <v>726</v>
      </c>
      <c r="BR2185" s="2" t="s">
        <v>204</v>
      </c>
      <c r="BS2185" s="3">
        <v>42832</v>
      </c>
      <c r="BT2185" s="4">
        <v>0.49861111111111112</v>
      </c>
      <c r="BU2185" s="2" t="s">
        <v>2028</v>
      </c>
      <c r="BV2185" s="2" t="s">
        <v>111</v>
      </c>
      <c r="BW2185" s="2"/>
      <c r="BX2185" s="2"/>
      <c r="BY2185" s="2">
        <v>71235.12</v>
      </c>
      <c r="BZ2185" s="2"/>
      <c r="CA2185" s="2"/>
      <c r="CB2185" s="2"/>
      <c r="CC2185" s="2" t="s">
        <v>120</v>
      </c>
      <c r="CD2185" s="2">
        <v>2162</v>
      </c>
      <c r="CE2185" s="2" t="s">
        <v>89</v>
      </c>
      <c r="CF2185" s="5">
        <v>42835</v>
      </c>
      <c r="CG2185" s="2"/>
      <c r="CH2185" s="2"/>
      <c r="CI2185" s="2">
        <v>0</v>
      </c>
      <c r="CJ2185" s="2">
        <v>0</v>
      </c>
      <c r="CK2185" s="2" t="s">
        <v>98</v>
      </c>
      <c r="CL2185" s="2" t="s">
        <v>86</v>
      </c>
      <c r="CM2185" s="2"/>
    </row>
    <row r="2186" spans="1:91">
      <c r="A2186" s="2" t="s">
        <v>71</v>
      </c>
      <c r="B2186" s="2" t="s">
        <v>72</v>
      </c>
      <c r="C2186" s="2" t="s">
        <v>73</v>
      </c>
      <c r="D2186" s="2"/>
      <c r="E2186" s="2" t="str">
        <f>"FES1162541894"</f>
        <v>FES1162541894</v>
      </c>
      <c r="F2186" s="3">
        <v>42831</v>
      </c>
      <c r="G2186" s="2">
        <v>201710</v>
      </c>
      <c r="H2186" s="2" t="s">
        <v>74</v>
      </c>
      <c r="I2186" s="2" t="s">
        <v>75</v>
      </c>
      <c r="J2186" s="2" t="s">
        <v>200</v>
      </c>
      <c r="K2186" s="2" t="s">
        <v>77</v>
      </c>
      <c r="L2186" s="2" t="s">
        <v>2248</v>
      </c>
      <c r="M2186" s="2" t="s">
        <v>132</v>
      </c>
      <c r="N2186" s="2" t="s">
        <v>744</v>
      </c>
      <c r="O2186" s="2" t="s">
        <v>81</v>
      </c>
      <c r="P2186" s="2" t="str">
        <f>"2170560906                    "</f>
        <v xml:space="preserve">2170560906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8.7799999999999994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9.8000000000000007</v>
      </c>
      <c r="BJ2186" s="2">
        <v>4.8</v>
      </c>
      <c r="BK2186" s="2">
        <v>10</v>
      </c>
      <c r="BL2186" s="2">
        <v>90.42</v>
      </c>
      <c r="BM2186" s="2">
        <v>12.66</v>
      </c>
      <c r="BN2186" s="2">
        <v>103.08</v>
      </c>
      <c r="BO2186" s="2">
        <v>103.08</v>
      </c>
      <c r="BP2186" s="2"/>
      <c r="BQ2186" s="2" t="s">
        <v>138</v>
      </c>
      <c r="BR2186" s="2" t="s">
        <v>204</v>
      </c>
      <c r="BS2186" s="3">
        <v>42835</v>
      </c>
      <c r="BT2186" s="4">
        <v>0.41666666666666669</v>
      </c>
      <c r="BU2186" s="2" t="s">
        <v>1493</v>
      </c>
      <c r="BV2186" s="2" t="s">
        <v>111</v>
      </c>
      <c r="BW2186" s="2"/>
      <c r="BX2186" s="2"/>
      <c r="BY2186" s="2">
        <v>24123.41</v>
      </c>
      <c r="BZ2186" s="2"/>
      <c r="CA2186" s="2"/>
      <c r="CB2186" s="2"/>
      <c r="CC2186" s="2" t="s">
        <v>132</v>
      </c>
      <c r="CD2186" s="2">
        <v>7405</v>
      </c>
      <c r="CE2186" s="2" t="s">
        <v>287</v>
      </c>
      <c r="CF2186" s="5">
        <v>42836</v>
      </c>
      <c r="CG2186" s="2"/>
      <c r="CH2186" s="2"/>
      <c r="CI2186" s="2">
        <v>0</v>
      </c>
      <c r="CJ2186" s="2">
        <v>0</v>
      </c>
      <c r="CK2186" s="2" t="s">
        <v>107</v>
      </c>
      <c r="CL2186" s="2" t="s">
        <v>86</v>
      </c>
      <c r="CM2186" s="2"/>
    </row>
    <row r="2187" spans="1:91">
      <c r="A2187" s="2" t="s">
        <v>71</v>
      </c>
      <c r="B2187" s="2" t="s">
        <v>72</v>
      </c>
      <c r="C2187" s="2" t="s">
        <v>73</v>
      </c>
      <c r="D2187" s="2"/>
      <c r="E2187" s="2" t="str">
        <f>"FES1162541309"</f>
        <v>FES1162541309</v>
      </c>
      <c r="F2187" s="3">
        <v>42829</v>
      </c>
      <c r="G2187" s="2">
        <v>201710</v>
      </c>
      <c r="H2187" s="2" t="s">
        <v>74</v>
      </c>
      <c r="I2187" s="2" t="s">
        <v>75</v>
      </c>
      <c r="J2187" s="2" t="s">
        <v>200</v>
      </c>
      <c r="K2187" s="2" t="s">
        <v>77</v>
      </c>
      <c r="L2187" s="2" t="s">
        <v>126</v>
      </c>
      <c r="M2187" s="2" t="s">
        <v>127</v>
      </c>
      <c r="N2187" s="2" t="s">
        <v>718</v>
      </c>
      <c r="O2187" s="2" t="s">
        <v>81</v>
      </c>
      <c r="P2187" s="2" t="str">
        <f>"2170560378                    "</f>
        <v xml:space="preserve">2170560378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13.95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2</v>
      </c>
      <c r="BI2187" s="2">
        <v>19.3</v>
      </c>
      <c r="BJ2187" s="2">
        <v>7.2</v>
      </c>
      <c r="BK2187" s="2">
        <v>20</v>
      </c>
      <c r="BL2187" s="2">
        <v>137.11000000000001</v>
      </c>
      <c r="BM2187" s="2">
        <v>19.2</v>
      </c>
      <c r="BN2187" s="2">
        <v>156.31</v>
      </c>
      <c r="BO2187" s="2">
        <v>156.31</v>
      </c>
      <c r="BP2187" s="2"/>
      <c r="BQ2187" s="2" t="s">
        <v>2597</v>
      </c>
      <c r="BR2187" s="2" t="s">
        <v>204</v>
      </c>
      <c r="BS2187" s="3">
        <v>42831</v>
      </c>
      <c r="BT2187" s="4">
        <v>0.54166666666666663</v>
      </c>
      <c r="BU2187" s="2" t="s">
        <v>2598</v>
      </c>
      <c r="BV2187" s="2" t="s">
        <v>111</v>
      </c>
      <c r="BW2187" s="2"/>
      <c r="BX2187" s="2"/>
      <c r="BY2187" s="2">
        <v>36030.04</v>
      </c>
      <c r="BZ2187" s="2"/>
      <c r="CA2187" s="2"/>
      <c r="CB2187" s="2"/>
      <c r="CC2187" s="2" t="s">
        <v>127</v>
      </c>
      <c r="CD2187" s="2">
        <v>6850</v>
      </c>
      <c r="CE2187" s="2" t="s">
        <v>1232</v>
      </c>
      <c r="CF2187" s="5">
        <v>42836</v>
      </c>
      <c r="CG2187" s="2"/>
      <c r="CH2187" s="2"/>
      <c r="CI2187" s="2">
        <v>0</v>
      </c>
      <c r="CJ2187" s="2">
        <v>0</v>
      </c>
      <c r="CK2187" s="2" t="s">
        <v>90</v>
      </c>
      <c r="CL2187" s="2" t="s">
        <v>86</v>
      </c>
      <c r="CM2187" s="2"/>
    </row>
    <row r="2188" spans="1:91">
      <c r="A2188" s="2" t="s">
        <v>71</v>
      </c>
      <c r="B2188" s="2" t="s">
        <v>72</v>
      </c>
      <c r="C2188" s="2" t="s">
        <v>73</v>
      </c>
      <c r="D2188" s="2"/>
      <c r="E2188" s="2" t="str">
        <f>"FES1162541355"</f>
        <v>FES1162541355</v>
      </c>
      <c r="F2188" s="3">
        <v>42829</v>
      </c>
      <c r="G2188" s="2">
        <v>201710</v>
      </c>
      <c r="H2188" s="2" t="s">
        <v>74</v>
      </c>
      <c r="I2188" s="2" t="s">
        <v>75</v>
      </c>
      <c r="J2188" s="2" t="s">
        <v>200</v>
      </c>
      <c r="K2188" s="2" t="s">
        <v>77</v>
      </c>
      <c r="L2188" s="2" t="s">
        <v>2248</v>
      </c>
      <c r="M2188" s="2" t="s">
        <v>132</v>
      </c>
      <c r="N2188" s="2" t="s">
        <v>384</v>
      </c>
      <c r="O2188" s="2" t="s">
        <v>81</v>
      </c>
      <c r="P2188" s="2" t="str">
        <f>"2170560414                    "</f>
        <v xml:space="preserve">2170560414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9.0500000000000007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5.0999999999999996</v>
      </c>
      <c r="BJ2188" s="2">
        <v>2.6</v>
      </c>
      <c r="BK2188" s="2">
        <v>6</v>
      </c>
      <c r="BL2188" s="2">
        <v>90.69</v>
      </c>
      <c r="BM2188" s="2">
        <v>12.7</v>
      </c>
      <c r="BN2188" s="2">
        <v>103.39</v>
      </c>
      <c r="BO2188" s="2">
        <v>103.39</v>
      </c>
      <c r="BP2188" s="2"/>
      <c r="BQ2188" s="2" t="s">
        <v>468</v>
      </c>
      <c r="BR2188" s="2" t="s">
        <v>204</v>
      </c>
      <c r="BS2188" s="3">
        <v>42831</v>
      </c>
      <c r="BT2188" s="4">
        <v>0.41666666666666669</v>
      </c>
      <c r="BU2188" s="2" t="s">
        <v>469</v>
      </c>
      <c r="BV2188" s="2" t="s">
        <v>111</v>
      </c>
      <c r="BW2188" s="2"/>
      <c r="BX2188" s="2"/>
      <c r="BY2188" s="2">
        <v>13161.72</v>
      </c>
      <c r="BZ2188" s="2"/>
      <c r="CA2188" s="2"/>
      <c r="CB2188" s="2"/>
      <c r="CC2188" s="2" t="s">
        <v>132</v>
      </c>
      <c r="CD2188" s="2">
        <v>7405</v>
      </c>
      <c r="CE2188" s="2" t="s">
        <v>135</v>
      </c>
      <c r="CF2188" s="5">
        <v>42833</v>
      </c>
      <c r="CG2188" s="2"/>
      <c r="CH2188" s="2"/>
      <c r="CI2188" s="2">
        <v>0</v>
      </c>
      <c r="CJ2188" s="2">
        <v>0</v>
      </c>
      <c r="CK2188" s="2" t="s">
        <v>107</v>
      </c>
      <c r="CL2188" s="2" t="s">
        <v>86</v>
      </c>
      <c r="CM2188" s="2"/>
    </row>
    <row r="2189" spans="1:91">
      <c r="A2189" s="2" t="s">
        <v>71</v>
      </c>
      <c r="B2189" s="2" t="s">
        <v>72</v>
      </c>
      <c r="C2189" s="2" t="s">
        <v>73</v>
      </c>
      <c r="D2189" s="2"/>
      <c r="E2189" s="2" t="str">
        <f>"FES1162541261"</f>
        <v>FES1162541261</v>
      </c>
      <c r="F2189" s="3">
        <v>42829</v>
      </c>
      <c r="G2189" s="2">
        <v>201710</v>
      </c>
      <c r="H2189" s="2" t="s">
        <v>74</v>
      </c>
      <c r="I2189" s="2" t="s">
        <v>75</v>
      </c>
      <c r="J2189" s="2" t="s">
        <v>200</v>
      </c>
      <c r="K2189" s="2" t="s">
        <v>77</v>
      </c>
      <c r="L2189" s="2" t="s">
        <v>126</v>
      </c>
      <c r="M2189" s="2" t="s">
        <v>127</v>
      </c>
      <c r="N2189" s="2" t="s">
        <v>718</v>
      </c>
      <c r="O2189" s="2" t="s">
        <v>81</v>
      </c>
      <c r="P2189" s="2" t="str">
        <f>"2170555118                    "</f>
        <v xml:space="preserve">2170555118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25.39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2</v>
      </c>
      <c r="BI2189" s="2">
        <v>37.1</v>
      </c>
      <c r="BJ2189" s="2">
        <v>28.6</v>
      </c>
      <c r="BK2189" s="2">
        <v>38</v>
      </c>
      <c r="BL2189" s="2">
        <v>245.39</v>
      </c>
      <c r="BM2189" s="2">
        <v>34.35</v>
      </c>
      <c r="BN2189" s="2">
        <v>279.74</v>
      </c>
      <c r="BO2189" s="2">
        <v>279.74</v>
      </c>
      <c r="BP2189" s="2"/>
      <c r="BQ2189" s="2" t="s">
        <v>2597</v>
      </c>
      <c r="BR2189" s="2" t="s">
        <v>204</v>
      </c>
      <c r="BS2189" s="3">
        <v>42831</v>
      </c>
      <c r="BT2189" s="4">
        <v>0.41666666666666669</v>
      </c>
      <c r="BU2189" s="2" t="s">
        <v>2599</v>
      </c>
      <c r="BV2189" s="2" t="s">
        <v>111</v>
      </c>
      <c r="BW2189" s="2"/>
      <c r="BX2189" s="2"/>
      <c r="BY2189" s="2">
        <v>143098.07</v>
      </c>
      <c r="BZ2189" s="2"/>
      <c r="CA2189" s="2"/>
      <c r="CB2189" s="2"/>
      <c r="CC2189" s="2" t="s">
        <v>127</v>
      </c>
      <c r="CD2189" s="2">
        <v>6850</v>
      </c>
      <c r="CE2189" s="2" t="s">
        <v>1759</v>
      </c>
      <c r="CF2189" s="5">
        <v>42836</v>
      </c>
      <c r="CG2189" s="2"/>
      <c r="CH2189" s="2"/>
      <c r="CI2189" s="2">
        <v>0</v>
      </c>
      <c r="CJ2189" s="2">
        <v>0</v>
      </c>
      <c r="CK2189" s="2" t="s">
        <v>90</v>
      </c>
      <c r="CL2189" s="2" t="s">
        <v>86</v>
      </c>
      <c r="CM2189" s="2"/>
    </row>
    <row r="2190" spans="1:91">
      <c r="A2190" s="2" t="s">
        <v>71</v>
      </c>
      <c r="B2190" s="2" t="s">
        <v>72</v>
      </c>
      <c r="C2190" s="2" t="s">
        <v>73</v>
      </c>
      <c r="D2190" s="2"/>
      <c r="E2190" s="2" t="str">
        <f>"FES1162542648"</f>
        <v>FES1162542648</v>
      </c>
      <c r="F2190" s="3">
        <v>42835</v>
      </c>
      <c r="G2190" s="2">
        <v>201710</v>
      </c>
      <c r="H2190" s="2" t="s">
        <v>74</v>
      </c>
      <c r="I2190" s="2" t="s">
        <v>75</v>
      </c>
      <c r="J2190" s="2" t="s">
        <v>200</v>
      </c>
      <c r="K2190" s="2" t="s">
        <v>77</v>
      </c>
      <c r="L2190" s="2" t="s">
        <v>139</v>
      </c>
      <c r="M2190" s="2" t="s">
        <v>140</v>
      </c>
      <c r="N2190" s="2" t="s">
        <v>784</v>
      </c>
      <c r="O2190" s="2" t="s">
        <v>81</v>
      </c>
      <c r="P2190" s="2" t="str">
        <f>"2170555673                    "</f>
        <v xml:space="preserve">2170555673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12.84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3</v>
      </c>
      <c r="BI2190" s="2">
        <v>29.1</v>
      </c>
      <c r="BJ2190" s="2">
        <v>38.799999999999997</v>
      </c>
      <c r="BK2190" s="2">
        <v>39</v>
      </c>
      <c r="BL2190" s="2">
        <v>129.94999999999999</v>
      </c>
      <c r="BM2190" s="2">
        <v>18.190000000000001</v>
      </c>
      <c r="BN2190" s="2">
        <v>148.13999999999999</v>
      </c>
      <c r="BO2190" s="2">
        <v>148.13999999999999</v>
      </c>
      <c r="BP2190" s="2"/>
      <c r="BQ2190" s="2"/>
      <c r="BR2190" s="2" t="s">
        <v>204</v>
      </c>
      <c r="BS2190" s="3">
        <v>42836</v>
      </c>
      <c r="BT2190" s="4">
        <v>0.5</v>
      </c>
      <c r="BU2190" s="2" t="s">
        <v>785</v>
      </c>
      <c r="BV2190" s="2"/>
      <c r="BW2190" s="2"/>
      <c r="BX2190" s="2"/>
      <c r="BY2190" s="2">
        <v>194002.62</v>
      </c>
      <c r="BZ2190" s="2"/>
      <c r="CA2190" s="2"/>
      <c r="CB2190" s="2"/>
      <c r="CC2190" s="2" t="s">
        <v>140</v>
      </c>
      <c r="CD2190" s="2">
        <v>157</v>
      </c>
      <c r="CE2190" s="2" t="s">
        <v>2600</v>
      </c>
      <c r="CF2190" s="5">
        <v>42838</v>
      </c>
      <c r="CG2190" s="2"/>
      <c r="CH2190" s="2"/>
      <c r="CI2190" s="2">
        <v>0</v>
      </c>
      <c r="CJ2190" s="2">
        <v>0</v>
      </c>
      <c r="CK2190" s="2" t="s">
        <v>150</v>
      </c>
      <c r="CL2190" s="2" t="s">
        <v>86</v>
      </c>
      <c r="CM2190" s="2"/>
    </row>
    <row r="2191" spans="1:91">
      <c r="A2191" s="2" t="s">
        <v>71</v>
      </c>
      <c r="B2191" s="2" t="s">
        <v>72</v>
      </c>
      <c r="C2191" s="2" t="s">
        <v>73</v>
      </c>
      <c r="D2191" s="2"/>
      <c r="E2191" s="2" t="str">
        <f>"FES1162542533"</f>
        <v>FES1162542533</v>
      </c>
      <c r="F2191" s="3">
        <v>42835</v>
      </c>
      <c r="G2191" s="2">
        <v>201710</v>
      </c>
      <c r="H2191" s="2" t="s">
        <v>74</v>
      </c>
      <c r="I2191" s="2" t="s">
        <v>75</v>
      </c>
      <c r="J2191" s="2" t="s">
        <v>200</v>
      </c>
      <c r="K2191" s="2" t="s">
        <v>77</v>
      </c>
      <c r="L2191" s="2" t="s">
        <v>145</v>
      </c>
      <c r="M2191" s="2" t="s">
        <v>146</v>
      </c>
      <c r="N2191" s="2" t="s">
        <v>206</v>
      </c>
      <c r="O2191" s="2" t="s">
        <v>81</v>
      </c>
      <c r="P2191" s="2" t="str">
        <f>"2170561393                    "</f>
        <v xml:space="preserve">2170561393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7.37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10.5</v>
      </c>
      <c r="BJ2191" s="2">
        <v>4.9000000000000004</v>
      </c>
      <c r="BK2191" s="2">
        <v>11</v>
      </c>
      <c r="BL2191" s="2">
        <v>76.72</v>
      </c>
      <c r="BM2191" s="2">
        <v>10.74</v>
      </c>
      <c r="BN2191" s="2">
        <v>87.46</v>
      </c>
      <c r="BO2191" s="2">
        <v>87.46</v>
      </c>
      <c r="BP2191" s="2" t="s">
        <v>82</v>
      </c>
      <c r="BQ2191" s="2" t="s">
        <v>122</v>
      </c>
      <c r="BR2191" s="2" t="s">
        <v>204</v>
      </c>
      <c r="BS2191" s="3">
        <v>42836</v>
      </c>
      <c r="BT2191" s="4">
        <v>0.47916666666666669</v>
      </c>
      <c r="BU2191" s="2" t="s">
        <v>2601</v>
      </c>
      <c r="BV2191" s="2"/>
      <c r="BW2191" s="2"/>
      <c r="BX2191" s="2"/>
      <c r="BY2191" s="2">
        <v>24702.66</v>
      </c>
      <c r="BZ2191" s="2"/>
      <c r="CA2191" s="2"/>
      <c r="CB2191" s="2"/>
      <c r="CC2191" s="2" t="s">
        <v>146</v>
      </c>
      <c r="CD2191" s="2">
        <v>200</v>
      </c>
      <c r="CE2191" s="2" t="s">
        <v>287</v>
      </c>
      <c r="CF2191" s="5">
        <v>42838</v>
      </c>
      <c r="CG2191" s="2"/>
      <c r="CH2191" s="2"/>
      <c r="CI2191" s="2">
        <v>0</v>
      </c>
      <c r="CJ2191" s="2">
        <v>0</v>
      </c>
      <c r="CK2191" s="2" t="s">
        <v>150</v>
      </c>
      <c r="CL2191" s="2" t="s">
        <v>86</v>
      </c>
      <c r="CM2191" s="2"/>
    </row>
    <row r="2192" spans="1:91">
      <c r="A2192" s="2" t="s">
        <v>71</v>
      </c>
      <c r="B2192" s="2" t="s">
        <v>72</v>
      </c>
      <c r="C2192" s="2" t="s">
        <v>73</v>
      </c>
      <c r="D2192" s="2"/>
      <c r="E2192" s="2" t="str">
        <f>"FES1162542425"</f>
        <v>FES1162542425</v>
      </c>
      <c r="F2192" s="3">
        <v>42832</v>
      </c>
      <c r="G2192" s="2">
        <v>201710</v>
      </c>
      <c r="H2192" s="2" t="s">
        <v>74</v>
      </c>
      <c r="I2192" s="2" t="s">
        <v>75</v>
      </c>
      <c r="J2192" s="2" t="s">
        <v>200</v>
      </c>
      <c r="K2192" s="2" t="s">
        <v>77</v>
      </c>
      <c r="L2192" s="2" t="s">
        <v>74</v>
      </c>
      <c r="M2192" s="2" t="s">
        <v>75</v>
      </c>
      <c r="N2192" s="2" t="s">
        <v>1709</v>
      </c>
      <c r="O2192" s="2" t="s">
        <v>81</v>
      </c>
      <c r="P2192" s="2" t="str">
        <f>"2170559866                    "</f>
        <v xml:space="preserve">2170559866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7.64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1</v>
      </c>
      <c r="BI2192" s="2">
        <v>22.1</v>
      </c>
      <c r="BJ2192" s="2">
        <v>20.3</v>
      </c>
      <c r="BK2192" s="2">
        <v>23</v>
      </c>
      <c r="BL2192" s="2">
        <v>79.37</v>
      </c>
      <c r="BM2192" s="2">
        <v>11.11</v>
      </c>
      <c r="BN2192" s="2">
        <v>90.48</v>
      </c>
      <c r="BO2192" s="2">
        <v>90.48</v>
      </c>
      <c r="BP2192" s="2"/>
      <c r="BQ2192" s="2"/>
      <c r="BR2192" s="2" t="s">
        <v>204</v>
      </c>
      <c r="BS2192" s="3">
        <v>42836</v>
      </c>
      <c r="BT2192" s="4">
        <v>0.41666666666666669</v>
      </c>
      <c r="BU2192" s="2" t="s">
        <v>198</v>
      </c>
      <c r="BV2192" s="2" t="s">
        <v>86</v>
      </c>
      <c r="BW2192" s="2" t="s">
        <v>157</v>
      </c>
      <c r="BX2192" s="2" t="s">
        <v>1103</v>
      </c>
      <c r="BY2192" s="2">
        <v>101440.53</v>
      </c>
      <c r="BZ2192" s="2"/>
      <c r="CA2192" s="2"/>
      <c r="CB2192" s="2"/>
      <c r="CC2192" s="2" t="s">
        <v>75</v>
      </c>
      <c r="CD2192" s="2">
        <v>1619</v>
      </c>
      <c r="CE2192" s="2" t="s">
        <v>89</v>
      </c>
      <c r="CF2192" s="5">
        <v>42837</v>
      </c>
      <c r="CG2192" s="2"/>
      <c r="CH2192" s="2"/>
      <c r="CI2192" s="2">
        <v>0</v>
      </c>
      <c r="CJ2192" s="2">
        <v>0</v>
      </c>
      <c r="CK2192" s="2" t="s">
        <v>98</v>
      </c>
      <c r="CL2192" s="2" t="s">
        <v>86</v>
      </c>
      <c r="CM2192" s="2"/>
    </row>
    <row r="2193" spans="1:91">
      <c r="A2193" s="2" t="s">
        <v>71</v>
      </c>
      <c r="B2193" s="2" t="s">
        <v>72</v>
      </c>
      <c r="C2193" s="2" t="s">
        <v>73</v>
      </c>
      <c r="D2193" s="2"/>
      <c r="E2193" s="2" t="str">
        <f>"FES1162540979"</f>
        <v>FES1162540979</v>
      </c>
      <c r="F2193" s="3">
        <v>42828</v>
      </c>
      <c r="G2193" s="2">
        <v>201710</v>
      </c>
      <c r="H2193" s="2" t="s">
        <v>74</v>
      </c>
      <c r="I2193" s="2" t="s">
        <v>75</v>
      </c>
      <c r="J2193" s="2" t="s">
        <v>200</v>
      </c>
      <c r="K2193" s="2" t="s">
        <v>77</v>
      </c>
      <c r="L2193" s="2" t="s">
        <v>934</v>
      </c>
      <c r="M2193" s="2" t="s">
        <v>935</v>
      </c>
      <c r="N2193" s="2" t="s">
        <v>2270</v>
      </c>
      <c r="O2193" s="2" t="s">
        <v>81</v>
      </c>
      <c r="P2193" s="2" t="str">
        <f>"2170559380                    "</f>
        <v xml:space="preserve">2170559380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7.6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14.8</v>
      </c>
      <c r="BJ2193" s="2">
        <v>6.5</v>
      </c>
      <c r="BK2193" s="2">
        <v>15</v>
      </c>
      <c r="BL2193" s="2">
        <v>76.95</v>
      </c>
      <c r="BM2193" s="2">
        <v>10.77</v>
      </c>
      <c r="BN2193" s="2">
        <v>87.72</v>
      </c>
      <c r="BO2193" s="2">
        <v>87.72</v>
      </c>
      <c r="BP2193" s="2"/>
      <c r="BQ2193" s="2" t="s">
        <v>83</v>
      </c>
      <c r="BR2193" s="2" t="s">
        <v>204</v>
      </c>
      <c r="BS2193" s="3">
        <v>42829</v>
      </c>
      <c r="BT2193" s="4">
        <v>0.52222222222222225</v>
      </c>
      <c r="BU2193" s="2" t="s">
        <v>2602</v>
      </c>
      <c r="BV2193" s="2" t="s">
        <v>111</v>
      </c>
      <c r="BW2193" s="2"/>
      <c r="BX2193" s="2"/>
      <c r="BY2193" s="2">
        <v>32397.75</v>
      </c>
      <c r="BZ2193" s="2"/>
      <c r="CA2193" s="2"/>
      <c r="CB2193" s="2"/>
      <c r="CC2193" s="2" t="s">
        <v>935</v>
      </c>
      <c r="CD2193" s="2">
        <v>1961</v>
      </c>
      <c r="CE2193" s="2" t="s">
        <v>287</v>
      </c>
      <c r="CF2193" s="5">
        <v>42831</v>
      </c>
      <c r="CG2193" s="2"/>
      <c r="CH2193" s="2"/>
      <c r="CI2193" s="2">
        <v>0</v>
      </c>
      <c r="CJ2193" s="2">
        <v>0</v>
      </c>
      <c r="CK2193" s="2" t="s">
        <v>150</v>
      </c>
      <c r="CL2193" s="2" t="s">
        <v>86</v>
      </c>
      <c r="CM2193" s="2"/>
    </row>
    <row r="2194" spans="1:91">
      <c r="A2194" s="2" t="s">
        <v>71</v>
      </c>
      <c r="B2194" s="2" t="s">
        <v>72</v>
      </c>
      <c r="C2194" s="2" t="s">
        <v>73</v>
      </c>
      <c r="D2194" s="2"/>
      <c r="E2194" s="2" t="str">
        <f>"FES1162542051"</f>
        <v>FES1162542051</v>
      </c>
      <c r="F2194" s="3">
        <v>42832</v>
      </c>
      <c r="G2194" s="2">
        <v>201710</v>
      </c>
      <c r="H2194" s="2" t="s">
        <v>74</v>
      </c>
      <c r="I2194" s="2" t="s">
        <v>75</v>
      </c>
      <c r="J2194" s="2" t="s">
        <v>200</v>
      </c>
      <c r="K2194" s="2" t="s">
        <v>77</v>
      </c>
      <c r="L2194" s="2" t="s">
        <v>934</v>
      </c>
      <c r="M2194" s="2" t="s">
        <v>935</v>
      </c>
      <c r="N2194" s="2" t="s">
        <v>2603</v>
      </c>
      <c r="O2194" s="2" t="s">
        <v>81</v>
      </c>
      <c r="P2194" s="2" t="str">
        <f>"2170559580                    "</f>
        <v xml:space="preserve">2170559580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7.37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7.3</v>
      </c>
      <c r="BJ2194" s="2">
        <v>9.1999999999999993</v>
      </c>
      <c r="BK2194" s="2">
        <v>10</v>
      </c>
      <c r="BL2194" s="2">
        <v>76.72</v>
      </c>
      <c r="BM2194" s="2">
        <v>10.74</v>
      </c>
      <c r="BN2194" s="2">
        <v>87.46</v>
      </c>
      <c r="BO2194" s="2">
        <v>87.46</v>
      </c>
      <c r="BP2194" s="2"/>
      <c r="BQ2194" s="2"/>
      <c r="BR2194" s="2" t="s">
        <v>204</v>
      </c>
      <c r="BS2194" s="3">
        <v>42835</v>
      </c>
      <c r="BT2194" s="4">
        <v>0.52430555555555558</v>
      </c>
      <c r="BU2194" s="2" t="s">
        <v>2604</v>
      </c>
      <c r="BV2194" s="2" t="s">
        <v>111</v>
      </c>
      <c r="BW2194" s="2"/>
      <c r="BX2194" s="2"/>
      <c r="BY2194" s="2">
        <v>45821.16</v>
      </c>
      <c r="BZ2194" s="2"/>
      <c r="CA2194" s="2"/>
      <c r="CB2194" s="2"/>
      <c r="CC2194" s="2" t="s">
        <v>935</v>
      </c>
      <c r="CD2194" s="2">
        <v>1939</v>
      </c>
      <c r="CE2194" s="2" t="s">
        <v>135</v>
      </c>
      <c r="CF2194" s="5">
        <v>42836</v>
      </c>
      <c r="CG2194" s="2"/>
      <c r="CH2194" s="2"/>
      <c r="CI2194" s="2">
        <v>0</v>
      </c>
      <c r="CJ2194" s="2">
        <v>0</v>
      </c>
      <c r="CK2194" s="2" t="s">
        <v>150</v>
      </c>
      <c r="CL2194" s="2" t="s">
        <v>86</v>
      </c>
      <c r="CM2194" s="2"/>
    </row>
    <row r="2195" spans="1:91">
      <c r="A2195" s="2" t="s">
        <v>71</v>
      </c>
      <c r="B2195" s="2" t="s">
        <v>72</v>
      </c>
      <c r="C2195" s="2" t="s">
        <v>73</v>
      </c>
      <c r="D2195" s="2"/>
      <c r="E2195" s="2" t="str">
        <f>"FES1162541057"</f>
        <v>FES1162541057</v>
      </c>
      <c r="F2195" s="3">
        <v>42828</v>
      </c>
      <c r="G2195" s="2">
        <v>201710</v>
      </c>
      <c r="H2195" s="2" t="s">
        <v>74</v>
      </c>
      <c r="I2195" s="2" t="s">
        <v>75</v>
      </c>
      <c r="J2195" s="2" t="s">
        <v>200</v>
      </c>
      <c r="K2195" s="2" t="s">
        <v>77</v>
      </c>
      <c r="L2195" s="2" t="s">
        <v>294</v>
      </c>
      <c r="M2195" s="2" t="s">
        <v>295</v>
      </c>
      <c r="N2195" s="2" t="s">
        <v>416</v>
      </c>
      <c r="O2195" s="2" t="s">
        <v>81</v>
      </c>
      <c r="P2195" s="2" t="str">
        <f>"2170560133                    "</f>
        <v xml:space="preserve">2170560133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6.22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2.9</v>
      </c>
      <c r="BJ2195" s="2">
        <v>1.3</v>
      </c>
      <c r="BK2195" s="2">
        <v>3</v>
      </c>
      <c r="BL2195" s="2">
        <v>63.87</v>
      </c>
      <c r="BM2195" s="2">
        <v>8.94</v>
      </c>
      <c r="BN2195" s="2">
        <v>72.81</v>
      </c>
      <c r="BO2195" s="2">
        <v>72.81</v>
      </c>
      <c r="BP2195" s="2" t="s">
        <v>82</v>
      </c>
      <c r="BQ2195" s="2" t="s">
        <v>417</v>
      </c>
      <c r="BR2195" s="2" t="s">
        <v>204</v>
      </c>
      <c r="BS2195" s="3">
        <v>42829</v>
      </c>
      <c r="BT2195" s="4">
        <v>0.4375</v>
      </c>
      <c r="BU2195" s="2" t="s">
        <v>1176</v>
      </c>
      <c r="BV2195" s="2" t="s">
        <v>111</v>
      </c>
      <c r="BW2195" s="2"/>
      <c r="BX2195" s="2"/>
      <c r="BY2195" s="2">
        <v>6431.51</v>
      </c>
      <c r="BZ2195" s="2"/>
      <c r="CA2195" s="2"/>
      <c r="CB2195" s="2"/>
      <c r="CC2195" s="2" t="s">
        <v>295</v>
      </c>
      <c r="CD2195" s="2">
        <v>3610</v>
      </c>
      <c r="CE2195" s="2" t="s">
        <v>135</v>
      </c>
      <c r="CF2195" s="5">
        <v>42831</v>
      </c>
      <c r="CG2195" s="2"/>
      <c r="CH2195" s="2"/>
      <c r="CI2195" s="2">
        <v>0</v>
      </c>
      <c r="CJ2195" s="2">
        <v>0</v>
      </c>
      <c r="CK2195" s="2" t="s">
        <v>2236</v>
      </c>
      <c r="CL2195" s="2" t="s">
        <v>86</v>
      </c>
      <c r="CM2195" s="2"/>
    </row>
    <row r="2196" spans="1:91">
      <c r="A2196" s="2" t="s">
        <v>71</v>
      </c>
      <c r="B2196" s="2" t="s">
        <v>72</v>
      </c>
      <c r="C2196" s="2" t="s">
        <v>73</v>
      </c>
      <c r="D2196" s="2"/>
      <c r="E2196" s="2" t="str">
        <f>"FES1162541138"</f>
        <v>FES1162541138</v>
      </c>
      <c r="F2196" s="3">
        <v>42828</v>
      </c>
      <c r="G2196" s="2">
        <v>201710</v>
      </c>
      <c r="H2196" s="2" t="s">
        <v>74</v>
      </c>
      <c r="I2196" s="2" t="s">
        <v>75</v>
      </c>
      <c r="J2196" s="2" t="s">
        <v>200</v>
      </c>
      <c r="K2196" s="2" t="s">
        <v>77</v>
      </c>
      <c r="L2196" s="2" t="s">
        <v>99</v>
      </c>
      <c r="M2196" s="2" t="s">
        <v>100</v>
      </c>
      <c r="N2196" s="2" t="s">
        <v>108</v>
      </c>
      <c r="O2196" s="2" t="s">
        <v>81</v>
      </c>
      <c r="P2196" s="2" t="str">
        <f>"2170556342                    "</f>
        <v xml:space="preserve">2170556342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12.92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3</v>
      </c>
      <c r="BI2196" s="2">
        <v>22.7</v>
      </c>
      <c r="BJ2196" s="2">
        <v>24.5</v>
      </c>
      <c r="BK2196" s="2">
        <v>25</v>
      </c>
      <c r="BL2196" s="2">
        <v>127.36</v>
      </c>
      <c r="BM2196" s="2">
        <v>17.829999999999998</v>
      </c>
      <c r="BN2196" s="2">
        <v>145.19</v>
      </c>
      <c r="BO2196" s="2">
        <v>145.19</v>
      </c>
      <c r="BP2196" s="2"/>
      <c r="BQ2196" s="2" t="s">
        <v>109</v>
      </c>
      <c r="BR2196" s="2" t="s">
        <v>204</v>
      </c>
      <c r="BS2196" s="3">
        <v>42830</v>
      </c>
      <c r="BT2196" s="4">
        <v>0.4145833333333333</v>
      </c>
      <c r="BU2196" s="2" t="s">
        <v>110</v>
      </c>
      <c r="BV2196" s="2" t="s">
        <v>111</v>
      </c>
      <c r="BW2196" s="2"/>
      <c r="BX2196" s="2"/>
      <c r="BY2196" s="2">
        <v>122563.76</v>
      </c>
      <c r="BZ2196" s="2"/>
      <c r="CA2196" s="2"/>
      <c r="CB2196" s="2"/>
      <c r="CC2196" s="2" t="s">
        <v>100</v>
      </c>
      <c r="CD2196" s="2">
        <v>6001</v>
      </c>
      <c r="CE2196" s="2" t="s">
        <v>2605</v>
      </c>
      <c r="CF2196" s="5">
        <v>42832</v>
      </c>
      <c r="CG2196" s="2"/>
      <c r="CH2196" s="2"/>
      <c r="CI2196" s="2">
        <v>0</v>
      </c>
      <c r="CJ2196" s="2">
        <v>0</v>
      </c>
      <c r="CK2196" s="2" t="s">
        <v>107</v>
      </c>
      <c r="CL2196" s="2" t="s">
        <v>86</v>
      </c>
      <c r="CM2196" s="2"/>
    </row>
    <row r="2197" spans="1:91">
      <c r="A2197" s="2" t="s">
        <v>71</v>
      </c>
      <c r="B2197" s="2" t="s">
        <v>72</v>
      </c>
      <c r="C2197" s="2" t="s">
        <v>73</v>
      </c>
      <c r="D2197" s="2"/>
      <c r="E2197" s="2" t="str">
        <f>"FES1162543869"</f>
        <v>FES1162543869</v>
      </c>
      <c r="F2197" s="3">
        <v>42843</v>
      </c>
      <c r="G2197" s="2">
        <v>201710</v>
      </c>
      <c r="H2197" s="2" t="s">
        <v>74</v>
      </c>
      <c r="I2197" s="2" t="s">
        <v>75</v>
      </c>
      <c r="J2197" s="2" t="s">
        <v>76</v>
      </c>
      <c r="K2197" s="2" t="s">
        <v>77</v>
      </c>
      <c r="L2197" s="2" t="s">
        <v>180</v>
      </c>
      <c r="M2197" s="2" t="s">
        <v>181</v>
      </c>
      <c r="N2197" s="2" t="s">
        <v>182</v>
      </c>
      <c r="O2197" s="2" t="s">
        <v>115</v>
      </c>
      <c r="P2197" s="2" t="str">
        <f>"2170562471                    "</f>
        <v xml:space="preserve">2170562471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7.5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3.1</v>
      </c>
      <c r="BJ2197" s="2">
        <v>1.6</v>
      </c>
      <c r="BK2197" s="2">
        <v>3.5</v>
      </c>
      <c r="BL2197" s="2">
        <v>73.02</v>
      </c>
      <c r="BM2197" s="2">
        <v>10.220000000000001</v>
      </c>
      <c r="BN2197" s="2">
        <v>83.24</v>
      </c>
      <c r="BO2197" s="2">
        <v>83.24</v>
      </c>
      <c r="BP2197" s="2"/>
      <c r="BQ2197" s="2" t="s">
        <v>183</v>
      </c>
      <c r="BR2197" s="2" t="s">
        <v>84</v>
      </c>
      <c r="BS2197" s="3">
        <v>42845</v>
      </c>
      <c r="BT2197" s="4">
        <v>0.625</v>
      </c>
      <c r="BU2197" s="2" t="s">
        <v>2606</v>
      </c>
      <c r="BV2197" s="2" t="s">
        <v>86</v>
      </c>
      <c r="BW2197" s="2" t="s">
        <v>811</v>
      </c>
      <c r="BX2197" s="2" t="s">
        <v>2350</v>
      </c>
      <c r="BY2197" s="2">
        <v>8084.86</v>
      </c>
      <c r="BZ2197" s="2"/>
      <c r="CA2197" s="2" t="s">
        <v>590</v>
      </c>
      <c r="CB2197" s="2"/>
      <c r="CC2197" s="2" t="s">
        <v>181</v>
      </c>
      <c r="CD2197" s="2">
        <v>4001</v>
      </c>
      <c r="CE2197" s="2" t="s">
        <v>89</v>
      </c>
      <c r="CF2197" s="5">
        <v>42849</v>
      </c>
      <c r="CG2197" s="2"/>
      <c r="CH2197" s="2"/>
      <c r="CI2197" s="2">
        <v>1</v>
      </c>
      <c r="CJ2197" s="2">
        <v>2</v>
      </c>
      <c r="CK2197" s="2">
        <v>21</v>
      </c>
      <c r="CL2197" s="2" t="s">
        <v>86</v>
      </c>
      <c r="CM2197" s="2"/>
    </row>
    <row r="2198" spans="1:91">
      <c r="A2198" s="2" t="s">
        <v>71</v>
      </c>
      <c r="B2198" s="2" t="s">
        <v>72</v>
      </c>
      <c r="C2198" s="2" t="s">
        <v>73</v>
      </c>
      <c r="D2198" s="2"/>
      <c r="E2198" s="2" t="str">
        <f>"080001609866"</f>
        <v>080001609866</v>
      </c>
      <c r="F2198" s="3">
        <v>42843</v>
      </c>
      <c r="G2198" s="2">
        <v>201710</v>
      </c>
      <c r="H2198" s="2" t="s">
        <v>99</v>
      </c>
      <c r="I2198" s="2" t="s">
        <v>100</v>
      </c>
      <c r="J2198" s="2" t="s">
        <v>2089</v>
      </c>
      <c r="K2198" s="2" t="s">
        <v>77</v>
      </c>
      <c r="L2198" s="2" t="s">
        <v>74</v>
      </c>
      <c r="M2198" s="2" t="s">
        <v>75</v>
      </c>
      <c r="N2198" s="2" t="s">
        <v>200</v>
      </c>
      <c r="O2198" s="2" t="s">
        <v>115</v>
      </c>
      <c r="P2198" s="2" t="str">
        <f>"17040956/4 DGO                "</f>
        <v xml:space="preserve">17040956/4 DGO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24.65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10.199999999999999</v>
      </c>
      <c r="BJ2198" s="2">
        <v>11.5</v>
      </c>
      <c r="BK2198" s="2">
        <v>11.5</v>
      </c>
      <c r="BL2198" s="2">
        <v>239.93</v>
      </c>
      <c r="BM2198" s="2">
        <v>33.590000000000003</v>
      </c>
      <c r="BN2198" s="2">
        <v>273.52</v>
      </c>
      <c r="BO2198" s="2">
        <v>273.52</v>
      </c>
      <c r="BP2198" s="2" t="s">
        <v>307</v>
      </c>
      <c r="BQ2198" s="2" t="s">
        <v>134</v>
      </c>
      <c r="BR2198" s="2" t="s">
        <v>2607</v>
      </c>
      <c r="BS2198" s="1" t="s">
        <v>1744</v>
      </c>
      <c r="BT2198" s="2"/>
      <c r="BU2198" s="2"/>
      <c r="BV2198" s="2"/>
      <c r="BW2198" s="2"/>
      <c r="BX2198" s="2"/>
      <c r="BY2198" s="2">
        <v>57570</v>
      </c>
      <c r="BZ2198" s="2"/>
      <c r="CA2198" s="2"/>
      <c r="CB2198" s="2"/>
      <c r="CC2198" s="2" t="s">
        <v>75</v>
      </c>
      <c r="CD2198" s="2">
        <v>1601</v>
      </c>
      <c r="CE2198" s="2" t="s">
        <v>89</v>
      </c>
      <c r="CF2198" s="2"/>
      <c r="CG2198" s="2"/>
      <c r="CH2198" s="2"/>
      <c r="CI2198" s="2">
        <v>1</v>
      </c>
      <c r="CJ2198" s="2" t="s">
        <v>1744</v>
      </c>
      <c r="CK2198" s="2">
        <v>21</v>
      </c>
      <c r="CL2198" s="2" t="s">
        <v>86</v>
      </c>
      <c r="CM2198" s="2"/>
    </row>
    <row r="2199" spans="1:91">
      <c r="A2199" s="2" t="s">
        <v>71</v>
      </c>
      <c r="B2199" s="2" t="s">
        <v>72</v>
      </c>
      <c r="C2199" s="2" t="s">
        <v>73</v>
      </c>
      <c r="D2199" s="2"/>
      <c r="E2199" s="2" t="str">
        <f>"FES1162542836"</f>
        <v>FES1162542836</v>
      </c>
      <c r="F2199" s="3">
        <v>42836</v>
      </c>
      <c r="G2199" s="2">
        <v>201710</v>
      </c>
      <c r="H2199" s="2" t="s">
        <v>74</v>
      </c>
      <c r="I2199" s="2" t="s">
        <v>75</v>
      </c>
      <c r="J2199" s="2" t="s">
        <v>200</v>
      </c>
      <c r="K2199" s="2" t="s">
        <v>77</v>
      </c>
      <c r="L2199" s="2" t="s">
        <v>231</v>
      </c>
      <c r="M2199" s="2" t="s">
        <v>232</v>
      </c>
      <c r="N2199" s="2" t="s">
        <v>316</v>
      </c>
      <c r="O2199" s="2" t="s">
        <v>1014</v>
      </c>
      <c r="P2199" s="2" t="str">
        <f>"2170561697                    "</f>
        <v xml:space="preserve">2170561697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6.03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3</v>
      </c>
      <c r="BJ2199" s="2">
        <v>2</v>
      </c>
      <c r="BK2199" s="2">
        <v>3</v>
      </c>
      <c r="BL2199" s="2">
        <v>58.68</v>
      </c>
      <c r="BM2199" s="2">
        <v>8.2200000000000006</v>
      </c>
      <c r="BN2199" s="2">
        <v>66.900000000000006</v>
      </c>
      <c r="BO2199" s="2">
        <v>66.900000000000006</v>
      </c>
      <c r="BP2199" s="2"/>
      <c r="BQ2199" s="2" t="s">
        <v>317</v>
      </c>
      <c r="BR2199" s="2" t="s">
        <v>204</v>
      </c>
      <c r="BS2199" s="3">
        <v>42837</v>
      </c>
      <c r="BT2199" s="4">
        <v>0.625</v>
      </c>
      <c r="BU2199" s="2" t="s">
        <v>761</v>
      </c>
      <c r="BV2199" s="2" t="s">
        <v>86</v>
      </c>
      <c r="BW2199" s="2" t="s">
        <v>164</v>
      </c>
      <c r="BX2199" s="2" t="s">
        <v>319</v>
      </c>
      <c r="BY2199" s="2">
        <v>9918</v>
      </c>
      <c r="BZ2199" s="2" t="s">
        <v>27</v>
      </c>
      <c r="CA2199" s="2"/>
      <c r="CB2199" s="2"/>
      <c r="CC2199" s="2" t="s">
        <v>232</v>
      </c>
      <c r="CD2199" s="2">
        <v>250</v>
      </c>
      <c r="CE2199" s="2" t="s">
        <v>135</v>
      </c>
      <c r="CF2199" s="5">
        <v>42843</v>
      </c>
      <c r="CG2199" s="2"/>
      <c r="CH2199" s="2"/>
      <c r="CI2199" s="2">
        <v>1</v>
      </c>
      <c r="CJ2199" s="2">
        <v>1</v>
      </c>
      <c r="CK2199" s="2">
        <v>34</v>
      </c>
      <c r="CL2199" s="2" t="s">
        <v>86</v>
      </c>
      <c r="CM2199" s="2"/>
    </row>
    <row r="2200" spans="1:91">
      <c r="A2200" s="2" t="s">
        <v>71</v>
      </c>
      <c r="B2200" s="2" t="s">
        <v>72</v>
      </c>
      <c r="C2200" s="2" t="s">
        <v>73</v>
      </c>
      <c r="D2200" s="2"/>
      <c r="E2200" s="2" t="str">
        <f>"080001610851"</f>
        <v>080001610851</v>
      </c>
      <c r="F2200" s="3">
        <v>42844</v>
      </c>
      <c r="G2200" s="2">
        <v>201710</v>
      </c>
      <c r="H2200" s="2" t="s">
        <v>180</v>
      </c>
      <c r="I2200" s="2" t="s">
        <v>181</v>
      </c>
      <c r="J2200" s="2" t="s">
        <v>2608</v>
      </c>
      <c r="K2200" s="2" t="s">
        <v>77</v>
      </c>
      <c r="L2200" s="2" t="s">
        <v>74</v>
      </c>
      <c r="M2200" s="2" t="s">
        <v>75</v>
      </c>
      <c r="N2200" s="2" t="s">
        <v>200</v>
      </c>
      <c r="O2200" s="2" t="s">
        <v>115</v>
      </c>
      <c r="P2200" s="2" t="str">
        <f>"Purchase order ZA2 1045597819 "</f>
        <v xml:space="preserve">Purchase order ZA2 1045597819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15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5.0999999999999996</v>
      </c>
      <c r="BJ2200" s="2">
        <v>6.7</v>
      </c>
      <c r="BK2200" s="2">
        <v>7</v>
      </c>
      <c r="BL2200" s="2">
        <v>146.04</v>
      </c>
      <c r="BM2200" s="2">
        <v>20.45</v>
      </c>
      <c r="BN2200" s="2">
        <v>166.49</v>
      </c>
      <c r="BO2200" s="2">
        <v>166.49</v>
      </c>
      <c r="BP2200" s="2" t="s">
        <v>2609</v>
      </c>
      <c r="BQ2200" s="2" t="s">
        <v>134</v>
      </c>
      <c r="BR2200" s="2" t="s">
        <v>2610</v>
      </c>
      <c r="BS2200" s="3">
        <v>42845</v>
      </c>
      <c r="BT2200" s="4">
        <v>0.38541666666666669</v>
      </c>
      <c r="BU2200" s="2" t="s">
        <v>2586</v>
      </c>
      <c r="BV2200" s="2" t="s">
        <v>111</v>
      </c>
      <c r="BW2200" s="2"/>
      <c r="BX2200" s="2"/>
      <c r="BY2200" s="2">
        <v>33300</v>
      </c>
      <c r="BZ2200" s="2"/>
      <c r="CA2200" s="2"/>
      <c r="CB2200" s="2"/>
      <c r="CC2200" s="2" t="s">
        <v>75</v>
      </c>
      <c r="CD2200" s="2">
        <v>1601</v>
      </c>
      <c r="CE2200" s="2" t="s">
        <v>89</v>
      </c>
      <c r="CF2200" s="5">
        <v>42846</v>
      </c>
      <c r="CG2200" s="2"/>
      <c r="CH2200" s="2"/>
      <c r="CI2200" s="2">
        <v>1</v>
      </c>
      <c r="CJ2200" s="2">
        <v>1</v>
      </c>
      <c r="CK2200" s="2">
        <v>21</v>
      </c>
      <c r="CL2200" s="2" t="s">
        <v>86</v>
      </c>
      <c r="CM2200" s="2"/>
    </row>
    <row r="2201" spans="1:91">
      <c r="A2201" s="2" t="s">
        <v>71</v>
      </c>
      <c r="B2201" s="2" t="s">
        <v>72</v>
      </c>
      <c r="C2201" s="2" t="s">
        <v>73</v>
      </c>
      <c r="D2201" s="2"/>
      <c r="E2201" s="2" t="str">
        <f>"FES1162540958"</f>
        <v>FES1162540958</v>
      </c>
      <c r="F2201" s="3">
        <v>42828</v>
      </c>
      <c r="G2201" s="2">
        <v>201710</v>
      </c>
      <c r="H2201" s="2" t="s">
        <v>74</v>
      </c>
      <c r="I2201" s="2" t="s">
        <v>75</v>
      </c>
      <c r="J2201" s="2" t="s">
        <v>200</v>
      </c>
      <c r="K2201" s="2" t="s">
        <v>77</v>
      </c>
      <c r="L2201" s="2" t="s">
        <v>516</v>
      </c>
      <c r="M2201" s="2" t="s">
        <v>517</v>
      </c>
      <c r="N2201" s="2" t="s">
        <v>2611</v>
      </c>
      <c r="O2201" s="2" t="s">
        <v>1014</v>
      </c>
      <c r="P2201" s="2" t="str">
        <f>"21705565633                   "</f>
        <v xml:space="preserve">21705565633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4.2300000000000004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5.6</v>
      </c>
      <c r="BJ2201" s="2">
        <v>9.1</v>
      </c>
      <c r="BK2201" s="2">
        <v>10</v>
      </c>
      <c r="BL2201" s="2">
        <v>40.04</v>
      </c>
      <c r="BM2201" s="2">
        <v>5.61</v>
      </c>
      <c r="BN2201" s="2">
        <v>45.65</v>
      </c>
      <c r="BO2201" s="2">
        <v>45.65</v>
      </c>
      <c r="BP2201" s="2"/>
      <c r="BQ2201" s="2" t="s">
        <v>122</v>
      </c>
      <c r="BR2201" s="2" t="s">
        <v>204</v>
      </c>
      <c r="BS2201" s="3">
        <v>42829</v>
      </c>
      <c r="BT2201" s="4">
        <v>0.40625</v>
      </c>
      <c r="BU2201" s="2" t="s">
        <v>290</v>
      </c>
      <c r="BV2201" s="2" t="s">
        <v>111</v>
      </c>
      <c r="BW2201" s="2"/>
      <c r="BX2201" s="2"/>
      <c r="BY2201" s="2">
        <v>45445.4</v>
      </c>
      <c r="BZ2201" s="2" t="s">
        <v>27</v>
      </c>
      <c r="CA2201" s="2"/>
      <c r="CB2201" s="2"/>
      <c r="CC2201" s="2" t="s">
        <v>517</v>
      </c>
      <c r="CD2201" s="2">
        <v>1459</v>
      </c>
      <c r="CE2201" s="2" t="s">
        <v>89</v>
      </c>
      <c r="CF2201" s="5">
        <v>42831</v>
      </c>
      <c r="CG2201" s="2"/>
      <c r="CH2201" s="2"/>
      <c r="CI2201" s="2">
        <v>1</v>
      </c>
      <c r="CJ2201" s="2">
        <v>1</v>
      </c>
      <c r="CK2201" s="2">
        <v>32</v>
      </c>
      <c r="CL2201" s="2" t="s">
        <v>86</v>
      </c>
      <c r="CM2201" s="2"/>
    </row>
    <row r="2202" spans="1:91">
      <c r="A2202" s="2" t="s">
        <v>71</v>
      </c>
      <c r="B2202" s="2" t="s">
        <v>72</v>
      </c>
      <c r="C2202" s="2" t="s">
        <v>73</v>
      </c>
      <c r="D2202" s="2"/>
      <c r="E2202" s="2" t="str">
        <f>"080001610595"</f>
        <v>080001610595</v>
      </c>
      <c r="F2202" s="3">
        <v>42844</v>
      </c>
      <c r="G2202" s="2">
        <v>201710</v>
      </c>
      <c r="H2202" s="2" t="s">
        <v>792</v>
      </c>
      <c r="I2202" s="2" t="s">
        <v>793</v>
      </c>
      <c r="J2202" s="2" t="s">
        <v>744</v>
      </c>
      <c r="K2202" s="2" t="s">
        <v>77</v>
      </c>
      <c r="L2202" s="2" t="s">
        <v>74</v>
      </c>
      <c r="M2202" s="2" t="s">
        <v>75</v>
      </c>
      <c r="N2202" s="2" t="s">
        <v>200</v>
      </c>
      <c r="O2202" s="2" t="s">
        <v>115</v>
      </c>
      <c r="P2202" s="2" t="str">
        <f>"DGO INEAR DRIVE               "</f>
        <v xml:space="preserve">DGO INEAR DRIVE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66.45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17.3</v>
      </c>
      <c r="BJ2202" s="2">
        <v>10</v>
      </c>
      <c r="BK2202" s="2">
        <v>17.5</v>
      </c>
      <c r="BL2202" s="2">
        <v>646.77</v>
      </c>
      <c r="BM2202" s="2">
        <v>90.55</v>
      </c>
      <c r="BN2202" s="2">
        <v>737.32</v>
      </c>
      <c r="BO2202" s="2">
        <v>737.32</v>
      </c>
      <c r="BP2202" s="2" t="s">
        <v>307</v>
      </c>
      <c r="BQ2202" s="2" t="s">
        <v>134</v>
      </c>
      <c r="BR2202" s="2" t="s">
        <v>2612</v>
      </c>
      <c r="BS2202" s="3">
        <v>42845</v>
      </c>
      <c r="BT2202" s="4">
        <v>0.3263888888888889</v>
      </c>
      <c r="BU2202" s="2" t="s">
        <v>2613</v>
      </c>
      <c r="BV2202" s="2" t="s">
        <v>111</v>
      </c>
      <c r="BW2202" s="2"/>
      <c r="BX2202" s="2"/>
      <c r="BY2202" s="2">
        <v>50201.19</v>
      </c>
      <c r="BZ2202" s="2"/>
      <c r="CA2202" s="2"/>
      <c r="CB2202" s="2"/>
      <c r="CC2202" s="2" t="s">
        <v>75</v>
      </c>
      <c r="CD2202" s="2">
        <v>1601</v>
      </c>
      <c r="CE2202" s="2" t="s">
        <v>89</v>
      </c>
      <c r="CF2202" s="5">
        <v>42846</v>
      </c>
      <c r="CG2202" s="2"/>
      <c r="CH2202" s="2"/>
      <c r="CI2202" s="2">
        <v>1</v>
      </c>
      <c r="CJ2202" s="2">
        <v>1</v>
      </c>
      <c r="CK2202" s="2">
        <v>23</v>
      </c>
      <c r="CL2202" s="2" t="s">
        <v>86</v>
      </c>
      <c r="CM2202" s="2"/>
    </row>
    <row r="2203" spans="1:91">
      <c r="A2203" s="2" t="s">
        <v>71</v>
      </c>
      <c r="B2203" s="2" t="s">
        <v>72</v>
      </c>
      <c r="C2203" s="2" t="s">
        <v>73</v>
      </c>
      <c r="D2203" s="2"/>
      <c r="E2203" s="2" t="str">
        <f>"FES1162543985"</f>
        <v>FES1162543985</v>
      </c>
      <c r="F2203" s="3">
        <v>42843</v>
      </c>
      <c r="G2203" s="2">
        <v>201710</v>
      </c>
      <c r="H2203" s="2" t="s">
        <v>74</v>
      </c>
      <c r="I2203" s="2" t="s">
        <v>75</v>
      </c>
      <c r="J2203" s="2" t="s">
        <v>76</v>
      </c>
      <c r="K2203" s="2" t="s">
        <v>77</v>
      </c>
      <c r="L2203" s="2" t="s">
        <v>396</v>
      </c>
      <c r="M2203" s="2" t="s">
        <v>397</v>
      </c>
      <c r="N2203" s="2" t="s">
        <v>398</v>
      </c>
      <c r="O2203" s="2" t="s">
        <v>115</v>
      </c>
      <c r="P2203" s="2" t="str">
        <f>"2170562572                    "</f>
        <v xml:space="preserve">2170562572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4.29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0.5</v>
      </c>
      <c r="BJ2203" s="2">
        <v>0.2</v>
      </c>
      <c r="BK2203" s="2">
        <v>0.5</v>
      </c>
      <c r="BL2203" s="2">
        <v>41.73</v>
      </c>
      <c r="BM2203" s="2">
        <v>5.84</v>
      </c>
      <c r="BN2203" s="2">
        <v>47.57</v>
      </c>
      <c r="BO2203" s="2">
        <v>47.57</v>
      </c>
      <c r="BP2203" s="2"/>
      <c r="BQ2203" s="2" t="s">
        <v>399</v>
      </c>
      <c r="BR2203" s="2" t="s">
        <v>84</v>
      </c>
      <c r="BS2203" s="3">
        <v>42844</v>
      </c>
      <c r="BT2203" s="4">
        <v>0.39583333333333331</v>
      </c>
      <c r="BU2203" s="2" t="s">
        <v>469</v>
      </c>
      <c r="BV2203" s="2" t="s">
        <v>111</v>
      </c>
      <c r="BW2203" s="2"/>
      <c r="BX2203" s="2"/>
      <c r="BY2203" s="2">
        <v>1200</v>
      </c>
      <c r="BZ2203" s="2"/>
      <c r="CA2203" s="2"/>
      <c r="CB2203" s="2"/>
      <c r="CC2203" s="2" t="s">
        <v>397</v>
      </c>
      <c r="CD2203" s="2">
        <v>4300</v>
      </c>
      <c r="CE2203" s="2" t="s">
        <v>118</v>
      </c>
      <c r="CF2203" s="5">
        <v>42846</v>
      </c>
      <c r="CG2203" s="2"/>
      <c r="CH2203" s="2"/>
      <c r="CI2203" s="2">
        <v>1</v>
      </c>
      <c r="CJ2203" s="2">
        <v>1</v>
      </c>
      <c r="CK2203" s="2">
        <v>21</v>
      </c>
      <c r="CL2203" s="2" t="s">
        <v>86</v>
      </c>
      <c r="CM2203" s="2"/>
    </row>
    <row r="2204" spans="1:91">
      <c r="A2204" s="2" t="s">
        <v>71</v>
      </c>
      <c r="B2204" s="2" t="s">
        <v>72</v>
      </c>
      <c r="C2204" s="2" t="s">
        <v>73</v>
      </c>
      <c r="D2204" s="2"/>
      <c r="E2204" s="2" t="str">
        <f>"FES1162543082"</f>
        <v>FES1162543082</v>
      </c>
      <c r="F2204" s="3">
        <v>42836</v>
      </c>
      <c r="G2204" s="2">
        <v>201710</v>
      </c>
      <c r="H2204" s="2" t="s">
        <v>74</v>
      </c>
      <c r="I2204" s="2" t="s">
        <v>75</v>
      </c>
      <c r="J2204" s="2" t="s">
        <v>200</v>
      </c>
      <c r="K2204" s="2" t="s">
        <v>77</v>
      </c>
      <c r="L2204" s="2" t="s">
        <v>2196</v>
      </c>
      <c r="M2204" s="2" t="s">
        <v>2196</v>
      </c>
      <c r="N2204" s="2" t="s">
        <v>2589</v>
      </c>
      <c r="O2204" s="2" t="s">
        <v>1014</v>
      </c>
      <c r="P2204" s="2" t="str">
        <f>"2170561870                    "</f>
        <v xml:space="preserve">2170561870 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6.03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7.7</v>
      </c>
      <c r="BJ2204" s="2">
        <v>4.4000000000000004</v>
      </c>
      <c r="BK2204" s="2">
        <v>8</v>
      </c>
      <c r="BL2204" s="2">
        <v>58.68</v>
      </c>
      <c r="BM2204" s="2">
        <v>8.2200000000000006</v>
      </c>
      <c r="BN2204" s="2">
        <v>66.900000000000006</v>
      </c>
      <c r="BO2204" s="2">
        <v>66.900000000000006</v>
      </c>
      <c r="BP2204" s="2"/>
      <c r="BQ2204" s="2" t="s">
        <v>2590</v>
      </c>
      <c r="BR2204" s="2" t="s">
        <v>2287</v>
      </c>
      <c r="BS2204" s="3">
        <v>42844</v>
      </c>
      <c r="BT2204" s="4">
        <v>0.55555555555555558</v>
      </c>
      <c r="BU2204" s="2" t="s">
        <v>2614</v>
      </c>
      <c r="BV2204" s="2" t="s">
        <v>86</v>
      </c>
      <c r="BW2204" s="2" t="s">
        <v>96</v>
      </c>
      <c r="BX2204" s="2" t="s">
        <v>2367</v>
      </c>
      <c r="BY2204" s="2">
        <v>22249.62</v>
      </c>
      <c r="BZ2204" s="2" t="s">
        <v>27</v>
      </c>
      <c r="CA2204" s="2"/>
      <c r="CB2204" s="2"/>
      <c r="CC2204" s="2" t="s">
        <v>2196</v>
      </c>
      <c r="CD2204" s="2">
        <v>1491</v>
      </c>
      <c r="CE2204" s="2" t="s">
        <v>89</v>
      </c>
      <c r="CF2204" s="2"/>
      <c r="CG2204" s="2"/>
      <c r="CH2204" s="2"/>
      <c r="CI2204" s="2">
        <v>1</v>
      </c>
      <c r="CJ2204" s="2">
        <v>6</v>
      </c>
      <c r="CK2204" s="2">
        <v>34</v>
      </c>
      <c r="CL2204" s="2" t="s">
        <v>86</v>
      </c>
      <c r="CM2204" s="2"/>
    </row>
    <row r="2205" spans="1:91">
      <c r="A2205" s="2" t="s">
        <v>71</v>
      </c>
      <c r="B2205" s="2" t="s">
        <v>72</v>
      </c>
      <c r="C2205" s="2" t="s">
        <v>73</v>
      </c>
      <c r="D2205" s="2"/>
      <c r="E2205" s="2" t="str">
        <f>"080001610578"</f>
        <v>080001610578</v>
      </c>
      <c r="F2205" s="3">
        <v>42844</v>
      </c>
      <c r="G2205" s="2">
        <v>201710</v>
      </c>
      <c r="H2205" s="2" t="s">
        <v>180</v>
      </c>
      <c r="I2205" s="2" t="s">
        <v>181</v>
      </c>
      <c r="J2205" s="2" t="s">
        <v>2615</v>
      </c>
      <c r="K2205" s="2" t="s">
        <v>77</v>
      </c>
      <c r="L2205" s="2" t="s">
        <v>74</v>
      </c>
      <c r="M2205" s="2" t="s">
        <v>75</v>
      </c>
      <c r="N2205" s="2" t="s">
        <v>2616</v>
      </c>
      <c r="O2205" s="2" t="s">
        <v>115</v>
      </c>
      <c r="P2205" s="2" t="str">
        <f>"ZA1000635946                  "</f>
        <v xml:space="preserve">ZA1000635946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4.29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0.7</v>
      </c>
      <c r="BJ2205" s="2">
        <v>0.1</v>
      </c>
      <c r="BK2205" s="2">
        <v>1</v>
      </c>
      <c r="BL2205" s="2">
        <v>41.73</v>
      </c>
      <c r="BM2205" s="2">
        <v>5.84</v>
      </c>
      <c r="BN2205" s="2">
        <v>47.57</v>
      </c>
      <c r="BO2205" s="2">
        <v>47.57</v>
      </c>
      <c r="BP2205" s="2" t="s">
        <v>2617</v>
      </c>
      <c r="BQ2205" s="2" t="s">
        <v>2618</v>
      </c>
      <c r="BR2205" s="2" t="s">
        <v>2619</v>
      </c>
      <c r="BS2205" s="3">
        <v>42845</v>
      </c>
      <c r="BT2205" s="4">
        <v>0.38541666666666669</v>
      </c>
      <c r="BU2205" s="2" t="s">
        <v>2586</v>
      </c>
      <c r="BV2205" s="2" t="s">
        <v>111</v>
      </c>
      <c r="BW2205" s="2"/>
      <c r="BX2205" s="2"/>
      <c r="BY2205" s="2">
        <v>675</v>
      </c>
      <c r="BZ2205" s="2"/>
      <c r="CA2205" s="2"/>
      <c r="CB2205" s="2"/>
      <c r="CC2205" s="2" t="s">
        <v>75</v>
      </c>
      <c r="CD2205" s="2">
        <v>1601</v>
      </c>
      <c r="CE2205" s="2" t="s">
        <v>89</v>
      </c>
      <c r="CF2205" s="5">
        <v>42846</v>
      </c>
      <c r="CG2205" s="2"/>
      <c r="CH2205" s="2"/>
      <c r="CI2205" s="2">
        <v>1</v>
      </c>
      <c r="CJ2205" s="2">
        <v>1</v>
      </c>
      <c r="CK2205" s="2">
        <v>21</v>
      </c>
      <c r="CL2205" s="2" t="s">
        <v>86</v>
      </c>
      <c r="CM2205" s="2"/>
    </row>
    <row r="2206" spans="1:91">
      <c r="A2206" s="2" t="s">
        <v>71</v>
      </c>
      <c r="B2206" s="2" t="s">
        <v>72</v>
      </c>
      <c r="C2206" s="2" t="s">
        <v>73</v>
      </c>
      <c r="D2206" s="2"/>
      <c r="E2206" s="2" t="str">
        <f>"FES1162544294"</f>
        <v>FES1162544294</v>
      </c>
      <c r="F2206" s="3">
        <v>42844</v>
      </c>
      <c r="G2206" s="2">
        <v>201710</v>
      </c>
      <c r="H2206" s="2" t="s">
        <v>74</v>
      </c>
      <c r="I2206" s="2" t="s">
        <v>75</v>
      </c>
      <c r="J2206" s="2" t="s">
        <v>76</v>
      </c>
      <c r="K2206" s="2" t="s">
        <v>77</v>
      </c>
      <c r="L2206" s="2" t="s">
        <v>187</v>
      </c>
      <c r="M2206" s="2" t="s">
        <v>146</v>
      </c>
      <c r="N2206" s="2" t="s">
        <v>768</v>
      </c>
      <c r="O2206" s="2" t="s">
        <v>115</v>
      </c>
      <c r="P2206" s="2" t="str">
        <f>"2170562899                    "</f>
        <v xml:space="preserve">2170562899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4.29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1</v>
      </c>
      <c r="BJ2206" s="2">
        <v>0.2</v>
      </c>
      <c r="BK2206" s="2">
        <v>1</v>
      </c>
      <c r="BL2206" s="2">
        <v>41.73</v>
      </c>
      <c r="BM2206" s="2">
        <v>5.84</v>
      </c>
      <c r="BN2206" s="2">
        <v>47.57</v>
      </c>
      <c r="BO2206" s="2">
        <v>47.57</v>
      </c>
      <c r="BP2206" s="2"/>
      <c r="BQ2206" s="2" t="s">
        <v>769</v>
      </c>
      <c r="BR2206" s="2" t="s">
        <v>84</v>
      </c>
      <c r="BS2206" s="3">
        <v>42845</v>
      </c>
      <c r="BT2206" s="4">
        <v>0.38194444444444442</v>
      </c>
      <c r="BU2206" s="2" t="s">
        <v>2620</v>
      </c>
      <c r="BV2206" s="2" t="s">
        <v>111</v>
      </c>
      <c r="BW2206" s="2"/>
      <c r="BX2206" s="2"/>
      <c r="BY2206" s="2">
        <v>1200</v>
      </c>
      <c r="BZ2206" s="2" t="s">
        <v>27</v>
      </c>
      <c r="CA2206" s="2"/>
      <c r="CB2206" s="2"/>
      <c r="CC2206" s="2" t="s">
        <v>146</v>
      </c>
      <c r="CD2206" s="2">
        <v>182</v>
      </c>
      <c r="CE2206" s="2" t="s">
        <v>118</v>
      </c>
      <c r="CF2206" s="5">
        <v>42851</v>
      </c>
      <c r="CG2206" s="2"/>
      <c r="CH2206" s="2"/>
      <c r="CI2206" s="2">
        <v>0</v>
      </c>
      <c r="CJ2206" s="2">
        <v>0</v>
      </c>
      <c r="CK2206" s="2">
        <v>21</v>
      </c>
      <c r="CL2206" s="2" t="s">
        <v>86</v>
      </c>
      <c r="CM2206" s="2"/>
    </row>
    <row r="2207" spans="1:91">
      <c r="A2207" s="2" t="s">
        <v>71</v>
      </c>
      <c r="B2207" s="2" t="s">
        <v>72</v>
      </c>
      <c r="C2207" s="2" t="s">
        <v>73</v>
      </c>
      <c r="D2207" s="2"/>
      <c r="E2207" s="2" t="str">
        <f>"FES1162538840"</f>
        <v>FES1162538840</v>
      </c>
      <c r="F2207" s="3">
        <v>42836</v>
      </c>
      <c r="G2207" s="2">
        <v>201710</v>
      </c>
      <c r="H2207" s="2" t="s">
        <v>74</v>
      </c>
      <c r="I2207" s="2" t="s">
        <v>75</v>
      </c>
      <c r="J2207" s="2" t="s">
        <v>200</v>
      </c>
      <c r="K2207" s="2" t="s">
        <v>77</v>
      </c>
      <c r="L2207" s="2" t="s">
        <v>2003</v>
      </c>
      <c r="M2207" s="2" t="s">
        <v>2004</v>
      </c>
      <c r="N2207" s="2" t="s">
        <v>2621</v>
      </c>
      <c r="O2207" s="2" t="s">
        <v>1014</v>
      </c>
      <c r="P2207" s="2" t="str">
        <f>"2170558074                    "</f>
        <v xml:space="preserve">2170558074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6.03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2.6</v>
      </c>
      <c r="BJ2207" s="2">
        <v>0.2</v>
      </c>
      <c r="BK2207" s="2">
        <v>3</v>
      </c>
      <c r="BL2207" s="2">
        <v>58.68</v>
      </c>
      <c r="BM2207" s="2">
        <v>8.2200000000000006</v>
      </c>
      <c r="BN2207" s="2">
        <v>66.900000000000006</v>
      </c>
      <c r="BO2207" s="2">
        <v>66.900000000000006</v>
      </c>
      <c r="BP2207" s="2"/>
      <c r="BQ2207" s="2" t="s">
        <v>2622</v>
      </c>
      <c r="BR2207" s="2" t="s">
        <v>204</v>
      </c>
      <c r="BS2207" s="3">
        <v>42837</v>
      </c>
      <c r="BT2207" s="4">
        <v>0.41666666666666669</v>
      </c>
      <c r="BU2207" s="2" t="s">
        <v>2623</v>
      </c>
      <c r="BV2207" s="2" t="s">
        <v>111</v>
      </c>
      <c r="BW2207" s="2"/>
      <c r="BX2207" s="2"/>
      <c r="BY2207" s="2">
        <v>1200</v>
      </c>
      <c r="BZ2207" s="2" t="s">
        <v>27</v>
      </c>
      <c r="CA2207" s="2" t="s">
        <v>159</v>
      </c>
      <c r="CB2207" s="2"/>
      <c r="CC2207" s="2" t="s">
        <v>2004</v>
      </c>
      <c r="CD2207" s="2">
        <v>299</v>
      </c>
      <c r="CE2207" s="2" t="s">
        <v>118</v>
      </c>
      <c r="CF2207" s="5">
        <v>42843</v>
      </c>
      <c r="CG2207" s="2"/>
      <c r="CH2207" s="2"/>
      <c r="CI2207" s="2">
        <v>1</v>
      </c>
      <c r="CJ2207" s="2">
        <v>1</v>
      </c>
      <c r="CK2207" s="2">
        <v>34</v>
      </c>
      <c r="CL2207" s="2" t="s">
        <v>86</v>
      </c>
      <c r="CM2207" s="2"/>
    </row>
    <row r="2208" spans="1:91">
      <c r="A2208" s="2" t="s">
        <v>71</v>
      </c>
      <c r="B2208" s="2" t="s">
        <v>72</v>
      </c>
      <c r="C2208" s="2" t="s">
        <v>73</v>
      </c>
      <c r="D2208" s="2"/>
      <c r="E2208" s="2" t="str">
        <f>"FES1162544307"</f>
        <v>FES1162544307</v>
      </c>
      <c r="F2208" s="3">
        <v>42844</v>
      </c>
      <c r="G2208" s="2">
        <v>201710</v>
      </c>
      <c r="H2208" s="2" t="s">
        <v>74</v>
      </c>
      <c r="I2208" s="2" t="s">
        <v>75</v>
      </c>
      <c r="J2208" s="2" t="s">
        <v>76</v>
      </c>
      <c r="K2208" s="2" t="s">
        <v>77</v>
      </c>
      <c r="L2208" s="2" t="s">
        <v>131</v>
      </c>
      <c r="M2208" s="2" t="s">
        <v>132</v>
      </c>
      <c r="N2208" s="2" t="s">
        <v>155</v>
      </c>
      <c r="O2208" s="2" t="s">
        <v>115</v>
      </c>
      <c r="P2208" s="2" t="str">
        <f>"2170562915                    "</f>
        <v xml:space="preserve">2170562915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4.29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1</v>
      </c>
      <c r="BJ2208" s="2">
        <v>0.2</v>
      </c>
      <c r="BK2208" s="2">
        <v>1</v>
      </c>
      <c r="BL2208" s="2">
        <v>41.73</v>
      </c>
      <c r="BM2208" s="2">
        <v>5.84</v>
      </c>
      <c r="BN2208" s="2">
        <v>47.57</v>
      </c>
      <c r="BO2208" s="2">
        <v>47.57</v>
      </c>
      <c r="BP2208" s="2"/>
      <c r="BQ2208" s="2" t="s">
        <v>116</v>
      </c>
      <c r="BR2208" s="2" t="s">
        <v>84</v>
      </c>
      <c r="BS2208" s="3">
        <v>42845</v>
      </c>
      <c r="BT2208" s="4">
        <v>0.47569444444444442</v>
      </c>
      <c r="BU2208" s="2" t="s">
        <v>2624</v>
      </c>
      <c r="BV2208" s="2" t="s">
        <v>86</v>
      </c>
      <c r="BW2208" s="2" t="s">
        <v>164</v>
      </c>
      <c r="BX2208" s="2" t="s">
        <v>1370</v>
      </c>
      <c r="BY2208" s="2">
        <v>1200</v>
      </c>
      <c r="BZ2208" s="2" t="s">
        <v>27</v>
      </c>
      <c r="CA2208" s="2"/>
      <c r="CB2208" s="2"/>
      <c r="CC2208" s="2" t="s">
        <v>132</v>
      </c>
      <c r="CD2208" s="2">
        <v>7441</v>
      </c>
      <c r="CE2208" s="2" t="s">
        <v>118</v>
      </c>
      <c r="CF2208" s="5">
        <v>42846</v>
      </c>
      <c r="CG2208" s="2"/>
      <c r="CH2208" s="2"/>
      <c r="CI2208" s="2">
        <v>1</v>
      </c>
      <c r="CJ2208" s="2">
        <v>1</v>
      </c>
      <c r="CK2208" s="2">
        <v>21</v>
      </c>
      <c r="CL2208" s="2" t="s">
        <v>86</v>
      </c>
      <c r="CM2208" s="2"/>
    </row>
    <row r="2209" spans="1:91">
      <c r="A2209" s="2" t="s">
        <v>71</v>
      </c>
      <c r="B2209" s="2" t="s">
        <v>72</v>
      </c>
      <c r="C2209" s="2" t="s">
        <v>73</v>
      </c>
      <c r="D2209" s="2"/>
      <c r="E2209" s="2" t="str">
        <f>"FES1162542765"</f>
        <v>FES1162542765</v>
      </c>
      <c r="F2209" s="3">
        <v>42836</v>
      </c>
      <c r="G2209" s="2">
        <v>201710</v>
      </c>
      <c r="H2209" s="2" t="s">
        <v>74</v>
      </c>
      <c r="I2209" s="2" t="s">
        <v>75</v>
      </c>
      <c r="J2209" s="2" t="s">
        <v>200</v>
      </c>
      <c r="K2209" s="2" t="s">
        <v>77</v>
      </c>
      <c r="L2209" s="2" t="s">
        <v>516</v>
      </c>
      <c r="M2209" s="2" t="s">
        <v>517</v>
      </c>
      <c r="N2209" s="2" t="s">
        <v>1994</v>
      </c>
      <c r="O2209" s="2" t="s">
        <v>1014</v>
      </c>
      <c r="P2209" s="2" t="str">
        <f>"2170560980                    "</f>
        <v xml:space="preserve">2170560980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3.72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3.4</v>
      </c>
      <c r="BJ2209" s="2">
        <v>8.9</v>
      </c>
      <c r="BK2209" s="2">
        <v>9</v>
      </c>
      <c r="BL2209" s="2">
        <v>36.25</v>
      </c>
      <c r="BM2209" s="2">
        <v>5.08</v>
      </c>
      <c r="BN2209" s="2">
        <v>41.33</v>
      </c>
      <c r="BO2209" s="2">
        <v>41.33</v>
      </c>
      <c r="BP2209" s="2"/>
      <c r="BQ2209" s="2" t="s">
        <v>1995</v>
      </c>
      <c r="BR2209" s="2" t="s">
        <v>204</v>
      </c>
      <c r="BS2209" s="3">
        <v>42837</v>
      </c>
      <c r="BT2209" s="4">
        <v>0.34027777777777773</v>
      </c>
      <c r="BU2209" s="2" t="s">
        <v>266</v>
      </c>
      <c r="BV2209" s="2" t="s">
        <v>111</v>
      </c>
      <c r="BW2209" s="2"/>
      <c r="BX2209" s="2"/>
      <c r="BY2209" s="2">
        <v>44507.13</v>
      </c>
      <c r="BZ2209" s="2" t="s">
        <v>27</v>
      </c>
      <c r="CA2209" s="2"/>
      <c r="CB2209" s="2"/>
      <c r="CC2209" s="2" t="s">
        <v>517</v>
      </c>
      <c r="CD2209" s="2">
        <v>1459</v>
      </c>
      <c r="CE2209" s="2" t="s">
        <v>89</v>
      </c>
      <c r="CF2209" s="5">
        <v>42838</v>
      </c>
      <c r="CG2209" s="2"/>
      <c r="CH2209" s="2"/>
      <c r="CI2209" s="2">
        <v>1</v>
      </c>
      <c r="CJ2209" s="2">
        <v>1</v>
      </c>
      <c r="CK2209" s="2">
        <v>32</v>
      </c>
      <c r="CL2209" s="2" t="s">
        <v>86</v>
      </c>
      <c r="CM2209" s="2"/>
    </row>
    <row r="2210" spans="1:91">
      <c r="A2210" s="2" t="s">
        <v>71</v>
      </c>
      <c r="B2210" s="2" t="s">
        <v>72</v>
      </c>
      <c r="C2210" s="2" t="s">
        <v>73</v>
      </c>
      <c r="D2210" s="2"/>
      <c r="E2210" s="2" t="str">
        <f>"FES1162544263"</f>
        <v>FES1162544263</v>
      </c>
      <c r="F2210" s="3">
        <v>42844</v>
      </c>
      <c r="G2210" s="2">
        <v>201710</v>
      </c>
      <c r="H2210" s="2" t="s">
        <v>74</v>
      </c>
      <c r="I2210" s="2" t="s">
        <v>75</v>
      </c>
      <c r="J2210" s="2" t="s">
        <v>76</v>
      </c>
      <c r="K2210" s="2" t="s">
        <v>77</v>
      </c>
      <c r="L2210" s="2" t="s">
        <v>99</v>
      </c>
      <c r="M2210" s="2" t="s">
        <v>100</v>
      </c>
      <c r="N2210" s="2" t="s">
        <v>151</v>
      </c>
      <c r="O2210" s="2" t="s">
        <v>115</v>
      </c>
      <c r="P2210" s="2" t="str">
        <f>"2170562862                    "</f>
        <v xml:space="preserve">2170562862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4.29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1.8</v>
      </c>
      <c r="BJ2210" s="2">
        <v>0.2</v>
      </c>
      <c r="BK2210" s="2">
        <v>2</v>
      </c>
      <c r="BL2210" s="2">
        <v>41.73</v>
      </c>
      <c r="BM2210" s="2">
        <v>5.84</v>
      </c>
      <c r="BN2210" s="2">
        <v>47.57</v>
      </c>
      <c r="BO2210" s="2">
        <v>47.57</v>
      </c>
      <c r="BP2210" s="2"/>
      <c r="BQ2210" s="2" t="s">
        <v>152</v>
      </c>
      <c r="BR2210" s="2" t="s">
        <v>84</v>
      </c>
      <c r="BS2210" s="3">
        <v>42845</v>
      </c>
      <c r="BT2210" s="4">
        <v>0.32430555555555557</v>
      </c>
      <c r="BU2210" s="2" t="s">
        <v>153</v>
      </c>
      <c r="BV2210" s="2" t="s">
        <v>111</v>
      </c>
      <c r="BW2210" s="2"/>
      <c r="BX2210" s="2"/>
      <c r="BY2210" s="2">
        <v>1200</v>
      </c>
      <c r="BZ2210" s="2" t="s">
        <v>27</v>
      </c>
      <c r="CA2210" s="2" t="s">
        <v>154</v>
      </c>
      <c r="CB2210" s="2"/>
      <c r="CC2210" s="2" t="s">
        <v>100</v>
      </c>
      <c r="CD2210" s="2">
        <v>6001</v>
      </c>
      <c r="CE2210" s="2" t="s">
        <v>118</v>
      </c>
      <c r="CF2210" s="5">
        <v>42845</v>
      </c>
      <c r="CG2210" s="2"/>
      <c r="CH2210" s="2"/>
      <c r="CI2210" s="2">
        <v>1</v>
      </c>
      <c r="CJ2210" s="2">
        <v>1</v>
      </c>
      <c r="CK2210" s="2">
        <v>21</v>
      </c>
      <c r="CL2210" s="2" t="s">
        <v>86</v>
      </c>
      <c r="CM2210" s="2"/>
    </row>
    <row r="2211" spans="1:91">
      <c r="A2211" s="2" t="s">
        <v>71</v>
      </c>
      <c r="B2211" s="2" t="s">
        <v>72</v>
      </c>
      <c r="C2211" s="2" t="s">
        <v>73</v>
      </c>
      <c r="D2211" s="2"/>
      <c r="E2211" s="2" t="str">
        <f>"FES1162542723"</f>
        <v>FES1162542723</v>
      </c>
      <c r="F2211" s="3">
        <v>42836</v>
      </c>
      <c r="G2211" s="2">
        <v>201710</v>
      </c>
      <c r="H2211" s="2" t="s">
        <v>74</v>
      </c>
      <c r="I2211" s="2" t="s">
        <v>75</v>
      </c>
      <c r="J2211" s="2" t="s">
        <v>200</v>
      </c>
      <c r="K2211" s="2" t="s">
        <v>77</v>
      </c>
      <c r="L2211" s="2" t="s">
        <v>91</v>
      </c>
      <c r="M2211" s="2" t="s">
        <v>92</v>
      </c>
      <c r="N2211" s="2" t="s">
        <v>2625</v>
      </c>
      <c r="O2211" s="2" t="s">
        <v>1014</v>
      </c>
      <c r="P2211" s="2" t="str">
        <f>"2170561373                    "</f>
        <v xml:space="preserve">2170561373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4.8499999999999996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12</v>
      </c>
      <c r="BJ2211" s="2">
        <v>4.2</v>
      </c>
      <c r="BK2211" s="2">
        <v>12</v>
      </c>
      <c r="BL2211" s="2">
        <v>47.22</v>
      </c>
      <c r="BM2211" s="2">
        <v>6.61</v>
      </c>
      <c r="BN2211" s="2">
        <v>53.83</v>
      </c>
      <c r="BO2211" s="2">
        <v>53.83</v>
      </c>
      <c r="BP2211" s="2"/>
      <c r="BQ2211" s="2" t="s">
        <v>2626</v>
      </c>
      <c r="BR2211" s="2" t="s">
        <v>204</v>
      </c>
      <c r="BS2211" s="3">
        <v>42837</v>
      </c>
      <c r="BT2211" s="4">
        <v>0.38055555555555554</v>
      </c>
      <c r="BU2211" s="2" t="s">
        <v>1484</v>
      </c>
      <c r="BV2211" s="2" t="s">
        <v>111</v>
      </c>
      <c r="BW2211" s="2"/>
      <c r="BX2211" s="2"/>
      <c r="BY2211" s="2">
        <v>20787</v>
      </c>
      <c r="BZ2211" s="2" t="s">
        <v>27</v>
      </c>
      <c r="CA2211" s="2" t="s">
        <v>159</v>
      </c>
      <c r="CB2211" s="2"/>
      <c r="CC2211" s="2" t="s">
        <v>92</v>
      </c>
      <c r="CD2211" s="2">
        <v>1401</v>
      </c>
      <c r="CE2211" s="2" t="s">
        <v>172</v>
      </c>
      <c r="CF2211" s="5">
        <v>42838</v>
      </c>
      <c r="CG2211" s="2"/>
      <c r="CH2211" s="2"/>
      <c r="CI2211" s="2">
        <v>1</v>
      </c>
      <c r="CJ2211" s="2">
        <v>1</v>
      </c>
      <c r="CK2211" s="2">
        <v>32</v>
      </c>
      <c r="CL2211" s="2" t="s">
        <v>86</v>
      </c>
      <c r="CM2211" s="2"/>
    </row>
    <row r="2212" spans="1:91">
      <c r="A2212" s="2" t="s">
        <v>71</v>
      </c>
      <c r="B2212" s="2" t="s">
        <v>72</v>
      </c>
      <c r="C2212" s="2" t="s">
        <v>73</v>
      </c>
      <c r="D2212" s="2"/>
      <c r="E2212" s="2" t="str">
        <f>"FES1162544271"</f>
        <v>FES1162544271</v>
      </c>
      <c r="F2212" s="3">
        <v>42844</v>
      </c>
      <c r="G2212" s="2">
        <v>201710</v>
      </c>
      <c r="H2212" s="2" t="s">
        <v>74</v>
      </c>
      <c r="I2212" s="2" t="s">
        <v>75</v>
      </c>
      <c r="J2212" s="2" t="s">
        <v>76</v>
      </c>
      <c r="K2212" s="2" t="s">
        <v>77</v>
      </c>
      <c r="L2212" s="2" t="s">
        <v>160</v>
      </c>
      <c r="M2212" s="2" t="s">
        <v>161</v>
      </c>
      <c r="N2212" s="2" t="s">
        <v>831</v>
      </c>
      <c r="O2212" s="2" t="s">
        <v>115</v>
      </c>
      <c r="P2212" s="2" t="str">
        <f>"2170560441                    "</f>
        <v xml:space="preserve">2170560441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4.29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1</v>
      </c>
      <c r="BJ2212" s="2">
        <v>0.2</v>
      </c>
      <c r="BK2212" s="2">
        <v>1</v>
      </c>
      <c r="BL2212" s="2">
        <v>41.73</v>
      </c>
      <c r="BM2212" s="2">
        <v>5.84</v>
      </c>
      <c r="BN2212" s="2">
        <v>47.57</v>
      </c>
      <c r="BO2212" s="2">
        <v>47.57</v>
      </c>
      <c r="BP2212" s="2"/>
      <c r="BQ2212" s="2" t="s">
        <v>83</v>
      </c>
      <c r="BR2212" s="2" t="s">
        <v>84</v>
      </c>
      <c r="BS2212" s="3">
        <v>42845</v>
      </c>
      <c r="BT2212" s="4">
        <v>0.41666666666666669</v>
      </c>
      <c r="BU2212" s="2" t="s">
        <v>2627</v>
      </c>
      <c r="BV2212" s="2" t="s">
        <v>111</v>
      </c>
      <c r="BW2212" s="2"/>
      <c r="BX2212" s="2"/>
      <c r="BY2212" s="2">
        <v>1200</v>
      </c>
      <c r="BZ2212" s="2" t="s">
        <v>27</v>
      </c>
      <c r="CA2212" s="2"/>
      <c r="CB2212" s="2"/>
      <c r="CC2212" s="2" t="s">
        <v>161</v>
      </c>
      <c r="CD2212" s="2">
        <v>5201</v>
      </c>
      <c r="CE2212" s="2" t="s">
        <v>118</v>
      </c>
      <c r="CF2212" s="5">
        <v>42849</v>
      </c>
      <c r="CG2212" s="2"/>
      <c r="CH2212" s="2"/>
      <c r="CI2212" s="2">
        <v>1</v>
      </c>
      <c r="CJ2212" s="2">
        <v>1</v>
      </c>
      <c r="CK2212" s="2">
        <v>21</v>
      </c>
      <c r="CL2212" s="2" t="s">
        <v>86</v>
      </c>
      <c r="CM2212" s="2"/>
    </row>
    <row r="2213" spans="1:91">
      <c r="A2213" s="2" t="s">
        <v>71</v>
      </c>
      <c r="B2213" s="2" t="s">
        <v>72</v>
      </c>
      <c r="C2213" s="2" t="s">
        <v>73</v>
      </c>
      <c r="D2213" s="2"/>
      <c r="E2213" s="2" t="str">
        <f>"FES1162542851"</f>
        <v>FES1162542851</v>
      </c>
      <c r="F2213" s="3">
        <v>42836</v>
      </c>
      <c r="G2213" s="2">
        <v>201710</v>
      </c>
      <c r="H2213" s="2" t="s">
        <v>74</v>
      </c>
      <c r="I2213" s="2" t="s">
        <v>75</v>
      </c>
      <c r="J2213" s="2" t="s">
        <v>200</v>
      </c>
      <c r="K2213" s="2" t="s">
        <v>77</v>
      </c>
      <c r="L2213" s="2" t="s">
        <v>1161</v>
      </c>
      <c r="M2213" s="2" t="s">
        <v>1162</v>
      </c>
      <c r="N2213" s="2" t="s">
        <v>1163</v>
      </c>
      <c r="O2213" s="2" t="s">
        <v>1014</v>
      </c>
      <c r="P2213" s="2" t="str">
        <f>"2170557457                    "</f>
        <v xml:space="preserve">2170557457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6.03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6</v>
      </c>
      <c r="BJ2213" s="2">
        <v>4.0999999999999996</v>
      </c>
      <c r="BK2213" s="2">
        <v>6</v>
      </c>
      <c r="BL2213" s="2">
        <v>58.68</v>
      </c>
      <c r="BM2213" s="2">
        <v>8.2200000000000006</v>
      </c>
      <c r="BN2213" s="2">
        <v>66.900000000000006</v>
      </c>
      <c r="BO2213" s="2">
        <v>66.900000000000006</v>
      </c>
      <c r="BP2213" s="2"/>
      <c r="BQ2213" s="2" t="s">
        <v>122</v>
      </c>
      <c r="BR2213" s="2" t="s">
        <v>204</v>
      </c>
      <c r="BS2213" s="3">
        <v>42837</v>
      </c>
      <c r="BT2213" s="4">
        <v>0.61458333333333337</v>
      </c>
      <c r="BU2213" s="2" t="s">
        <v>1164</v>
      </c>
      <c r="BV2213" s="2" t="s">
        <v>111</v>
      </c>
      <c r="BW2213" s="2"/>
      <c r="BX2213" s="2"/>
      <c r="BY2213" s="2">
        <v>20358</v>
      </c>
      <c r="BZ2213" s="2" t="s">
        <v>27</v>
      </c>
      <c r="CA2213" s="2"/>
      <c r="CB2213" s="2"/>
      <c r="CC2213" s="2" t="s">
        <v>1162</v>
      </c>
      <c r="CD2213" s="2">
        <v>1028</v>
      </c>
      <c r="CE2213" s="2" t="s">
        <v>135</v>
      </c>
      <c r="CF2213" s="5">
        <v>42843</v>
      </c>
      <c r="CG2213" s="2"/>
      <c r="CH2213" s="2"/>
      <c r="CI2213" s="2">
        <v>0</v>
      </c>
      <c r="CJ2213" s="2">
        <v>0</v>
      </c>
      <c r="CK2213" s="2">
        <v>34</v>
      </c>
      <c r="CL2213" s="2" t="s">
        <v>86</v>
      </c>
      <c r="CM2213" s="2"/>
    </row>
    <row r="2214" spans="1:91">
      <c r="A2214" s="2" t="s">
        <v>71</v>
      </c>
      <c r="B2214" s="2" t="s">
        <v>72</v>
      </c>
      <c r="C2214" s="2" t="s">
        <v>73</v>
      </c>
      <c r="D2214" s="2"/>
      <c r="E2214" s="2" t="str">
        <f>"FES1162544286"</f>
        <v>FES1162544286</v>
      </c>
      <c r="F2214" s="3">
        <v>42844</v>
      </c>
      <c r="G2214" s="2">
        <v>201710</v>
      </c>
      <c r="H2214" s="2" t="s">
        <v>74</v>
      </c>
      <c r="I2214" s="2" t="s">
        <v>75</v>
      </c>
      <c r="J2214" s="2" t="s">
        <v>76</v>
      </c>
      <c r="K2214" s="2" t="s">
        <v>77</v>
      </c>
      <c r="L2214" s="2" t="s">
        <v>231</v>
      </c>
      <c r="M2214" s="2" t="s">
        <v>232</v>
      </c>
      <c r="N2214" s="2" t="s">
        <v>334</v>
      </c>
      <c r="O2214" s="2" t="s">
        <v>115</v>
      </c>
      <c r="P2214" s="2" t="str">
        <f>"2170562113                    "</f>
        <v xml:space="preserve">2170562113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6.03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1</v>
      </c>
      <c r="BJ2214" s="2">
        <v>0.2</v>
      </c>
      <c r="BK2214" s="2">
        <v>1</v>
      </c>
      <c r="BL2214" s="2">
        <v>58.68</v>
      </c>
      <c r="BM2214" s="2">
        <v>8.2200000000000006</v>
      </c>
      <c r="BN2214" s="2">
        <v>66.900000000000006</v>
      </c>
      <c r="BO2214" s="2">
        <v>66.900000000000006</v>
      </c>
      <c r="BP2214" s="2"/>
      <c r="BQ2214" s="2" t="s">
        <v>122</v>
      </c>
      <c r="BR2214" s="2" t="s">
        <v>84</v>
      </c>
      <c r="BS2214" s="3">
        <v>42845</v>
      </c>
      <c r="BT2214" s="4">
        <v>0.44791666666666669</v>
      </c>
      <c r="BU2214" s="2" t="s">
        <v>2628</v>
      </c>
      <c r="BV2214" s="2" t="s">
        <v>111</v>
      </c>
      <c r="BW2214" s="2"/>
      <c r="BX2214" s="2"/>
      <c r="BY2214" s="2">
        <v>1200</v>
      </c>
      <c r="BZ2214" s="2" t="s">
        <v>27</v>
      </c>
      <c r="CA2214" s="2"/>
      <c r="CB2214" s="2"/>
      <c r="CC2214" s="2" t="s">
        <v>232</v>
      </c>
      <c r="CD2214" s="2">
        <v>250</v>
      </c>
      <c r="CE2214" s="2" t="s">
        <v>118</v>
      </c>
      <c r="CF2214" s="5">
        <v>42849</v>
      </c>
      <c r="CG2214" s="2"/>
      <c r="CH2214" s="2"/>
      <c r="CI2214" s="2">
        <v>1</v>
      </c>
      <c r="CJ2214" s="2">
        <v>1</v>
      </c>
      <c r="CK2214" s="2">
        <v>24</v>
      </c>
      <c r="CL2214" s="2" t="s">
        <v>86</v>
      </c>
      <c r="CM2214" s="2"/>
    </row>
    <row r="2215" spans="1:91">
      <c r="A2215" s="2" t="s">
        <v>71</v>
      </c>
      <c r="B2215" s="2" t="s">
        <v>72</v>
      </c>
      <c r="C2215" s="2" t="s">
        <v>73</v>
      </c>
      <c r="D2215" s="2"/>
      <c r="E2215" s="2" t="str">
        <f>"FES1162541271"</f>
        <v>FES1162541271</v>
      </c>
      <c r="F2215" s="3">
        <v>42829</v>
      </c>
      <c r="G2215" s="2">
        <v>201710</v>
      </c>
      <c r="H2215" s="2" t="s">
        <v>74</v>
      </c>
      <c r="I2215" s="2" t="s">
        <v>75</v>
      </c>
      <c r="J2215" s="2" t="s">
        <v>200</v>
      </c>
      <c r="K2215" s="2" t="s">
        <v>77</v>
      </c>
      <c r="L2215" s="2" t="s">
        <v>516</v>
      </c>
      <c r="M2215" s="2" t="s">
        <v>517</v>
      </c>
      <c r="N2215" s="2" t="s">
        <v>1419</v>
      </c>
      <c r="O2215" s="2" t="s">
        <v>1014</v>
      </c>
      <c r="P2215" s="2" t="str">
        <f>"2170560331                    "</f>
        <v xml:space="preserve">2170560331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6.17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14.7</v>
      </c>
      <c r="BJ2215" s="2">
        <v>9.6</v>
      </c>
      <c r="BK2215" s="2">
        <v>15</v>
      </c>
      <c r="BL2215" s="2">
        <v>58.38</v>
      </c>
      <c r="BM2215" s="2">
        <v>8.17</v>
      </c>
      <c r="BN2215" s="2">
        <v>66.55</v>
      </c>
      <c r="BO2215" s="2">
        <v>66.55</v>
      </c>
      <c r="BP2215" s="2"/>
      <c r="BQ2215" s="2" t="s">
        <v>1420</v>
      </c>
      <c r="BR2215" s="2" t="s">
        <v>204</v>
      </c>
      <c r="BS2215" s="3">
        <v>42830</v>
      </c>
      <c r="BT2215" s="4">
        <v>0.31527777777777777</v>
      </c>
      <c r="BU2215" s="2" t="s">
        <v>761</v>
      </c>
      <c r="BV2215" s="2" t="s">
        <v>111</v>
      </c>
      <c r="BW2215" s="2"/>
      <c r="BX2215" s="2"/>
      <c r="BY2215" s="2">
        <v>47975.76</v>
      </c>
      <c r="BZ2215" s="2" t="s">
        <v>27</v>
      </c>
      <c r="CA2215" s="2"/>
      <c r="CB2215" s="2"/>
      <c r="CC2215" s="2" t="s">
        <v>517</v>
      </c>
      <c r="CD2215" s="2">
        <v>1467</v>
      </c>
      <c r="CE2215" s="2" t="s">
        <v>172</v>
      </c>
      <c r="CF2215" s="5">
        <v>42832</v>
      </c>
      <c r="CG2215" s="2"/>
      <c r="CH2215" s="2"/>
      <c r="CI2215" s="2">
        <v>1</v>
      </c>
      <c r="CJ2215" s="2">
        <v>1</v>
      </c>
      <c r="CK2215" s="2">
        <v>32</v>
      </c>
      <c r="CL2215" s="2" t="s">
        <v>86</v>
      </c>
      <c r="CM2215" s="2"/>
    </row>
    <row r="2216" spans="1:91">
      <c r="A2216" s="2" t="s">
        <v>71</v>
      </c>
      <c r="B2216" s="2" t="s">
        <v>72</v>
      </c>
      <c r="C2216" s="2" t="s">
        <v>73</v>
      </c>
      <c r="D2216" s="2"/>
      <c r="E2216" s="2" t="str">
        <f>"FES1162544292"</f>
        <v>FES1162544292</v>
      </c>
      <c r="F2216" s="3">
        <v>42844</v>
      </c>
      <c r="G2216" s="2">
        <v>201710</v>
      </c>
      <c r="H2216" s="2" t="s">
        <v>74</v>
      </c>
      <c r="I2216" s="2" t="s">
        <v>75</v>
      </c>
      <c r="J2216" s="2" t="s">
        <v>76</v>
      </c>
      <c r="K2216" s="2" t="s">
        <v>77</v>
      </c>
      <c r="L2216" s="2" t="s">
        <v>549</v>
      </c>
      <c r="M2216" s="2" t="s">
        <v>550</v>
      </c>
      <c r="N2216" s="2" t="s">
        <v>2629</v>
      </c>
      <c r="O2216" s="2" t="s">
        <v>115</v>
      </c>
      <c r="P2216" s="2" t="str">
        <f>"2170562896                    "</f>
        <v xml:space="preserve">2170562896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4.29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2</v>
      </c>
      <c r="BJ2216" s="2">
        <v>0.2</v>
      </c>
      <c r="BK2216" s="2">
        <v>2</v>
      </c>
      <c r="BL2216" s="2">
        <v>41.73</v>
      </c>
      <c r="BM2216" s="2">
        <v>5.84</v>
      </c>
      <c r="BN2216" s="2">
        <v>47.57</v>
      </c>
      <c r="BO2216" s="2">
        <v>47.57</v>
      </c>
      <c r="BP2216" s="2"/>
      <c r="BQ2216" s="2" t="s">
        <v>2630</v>
      </c>
      <c r="BR2216" s="2" t="s">
        <v>84</v>
      </c>
      <c r="BS2216" s="3">
        <v>42845</v>
      </c>
      <c r="BT2216" s="4">
        <v>0.4375</v>
      </c>
      <c r="BU2216" s="2" t="s">
        <v>1325</v>
      </c>
      <c r="BV2216" s="2" t="s">
        <v>111</v>
      </c>
      <c r="BW2216" s="2"/>
      <c r="BX2216" s="2"/>
      <c r="BY2216" s="2">
        <v>1200</v>
      </c>
      <c r="BZ2216" s="2" t="s">
        <v>27</v>
      </c>
      <c r="CA2216" s="2"/>
      <c r="CB2216" s="2"/>
      <c r="CC2216" s="2" t="s">
        <v>550</v>
      </c>
      <c r="CD2216" s="2">
        <v>3699</v>
      </c>
      <c r="CE2216" s="2" t="s">
        <v>118</v>
      </c>
      <c r="CF2216" s="2"/>
      <c r="CG2216" s="2"/>
      <c r="CH2216" s="2"/>
      <c r="CI2216" s="2">
        <v>1</v>
      </c>
      <c r="CJ2216" s="2">
        <v>1</v>
      </c>
      <c r="CK2216" s="2">
        <v>21</v>
      </c>
      <c r="CL2216" s="2" t="s">
        <v>86</v>
      </c>
      <c r="CM2216" s="2"/>
    </row>
    <row r="2217" spans="1:91">
      <c r="A2217" s="2" t="s">
        <v>71</v>
      </c>
      <c r="B2217" s="2" t="s">
        <v>72</v>
      </c>
      <c r="C2217" s="2" t="s">
        <v>73</v>
      </c>
      <c r="D2217" s="2"/>
      <c r="E2217" s="2" t="str">
        <f>"FES1162541231"</f>
        <v>FES1162541231</v>
      </c>
      <c r="F2217" s="3">
        <v>42829</v>
      </c>
      <c r="G2217" s="2">
        <v>201710</v>
      </c>
      <c r="H2217" s="2" t="s">
        <v>74</v>
      </c>
      <c r="I2217" s="2" t="s">
        <v>75</v>
      </c>
      <c r="J2217" s="2" t="s">
        <v>200</v>
      </c>
      <c r="K2217" s="2" t="s">
        <v>77</v>
      </c>
      <c r="L2217" s="2" t="s">
        <v>212</v>
      </c>
      <c r="M2217" s="2" t="s">
        <v>213</v>
      </c>
      <c r="N2217" s="2" t="s">
        <v>509</v>
      </c>
      <c r="O2217" s="2" t="s">
        <v>1014</v>
      </c>
      <c r="P2217" s="2" t="str">
        <f>"2170559274                    "</f>
        <v xml:space="preserve">2170559274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6.22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1.9</v>
      </c>
      <c r="BJ2217" s="2">
        <v>3.2</v>
      </c>
      <c r="BK2217" s="2">
        <v>4</v>
      </c>
      <c r="BL2217" s="2">
        <v>58.87</v>
      </c>
      <c r="BM2217" s="2">
        <v>8.24</v>
      </c>
      <c r="BN2217" s="2">
        <v>67.11</v>
      </c>
      <c r="BO2217" s="2">
        <v>67.11</v>
      </c>
      <c r="BP2217" s="2"/>
      <c r="BQ2217" s="2" t="s">
        <v>510</v>
      </c>
      <c r="BR2217" s="2" t="s">
        <v>204</v>
      </c>
      <c r="BS2217" s="3">
        <v>42830</v>
      </c>
      <c r="BT2217" s="4">
        <v>0.52083333333333337</v>
      </c>
      <c r="BU2217" s="2" t="s">
        <v>2631</v>
      </c>
      <c r="BV2217" s="2" t="s">
        <v>111</v>
      </c>
      <c r="BW2217" s="2"/>
      <c r="BX2217" s="2"/>
      <c r="BY2217" s="2">
        <v>15803.91</v>
      </c>
      <c r="BZ2217" s="2" t="s">
        <v>27</v>
      </c>
      <c r="CA2217" s="2"/>
      <c r="CB2217" s="2"/>
      <c r="CC2217" s="2" t="s">
        <v>213</v>
      </c>
      <c r="CD2217" s="2">
        <v>1001</v>
      </c>
      <c r="CE2217" s="2" t="s">
        <v>135</v>
      </c>
      <c r="CF2217" s="5">
        <v>42832</v>
      </c>
      <c r="CG2217" s="2"/>
      <c r="CH2217" s="2"/>
      <c r="CI2217" s="2">
        <v>0</v>
      </c>
      <c r="CJ2217" s="2">
        <v>0</v>
      </c>
      <c r="CK2217" s="2">
        <v>34</v>
      </c>
      <c r="CL2217" s="2" t="s">
        <v>86</v>
      </c>
      <c r="CM2217" s="2"/>
    </row>
    <row r="2218" spans="1:91">
      <c r="A2218" s="2" t="s">
        <v>71</v>
      </c>
      <c r="B2218" s="2" t="s">
        <v>72</v>
      </c>
      <c r="C2218" s="2" t="s">
        <v>73</v>
      </c>
      <c r="D2218" s="2"/>
      <c r="E2218" s="2" t="str">
        <f>"FES1162544288"</f>
        <v>FES1162544288</v>
      </c>
      <c r="F2218" s="3">
        <v>42844</v>
      </c>
      <c r="G2218" s="2">
        <v>201710</v>
      </c>
      <c r="H2218" s="2" t="s">
        <v>74</v>
      </c>
      <c r="I2218" s="2" t="s">
        <v>75</v>
      </c>
      <c r="J2218" s="2" t="s">
        <v>76</v>
      </c>
      <c r="K2218" s="2" t="s">
        <v>77</v>
      </c>
      <c r="L2218" s="2" t="s">
        <v>396</v>
      </c>
      <c r="M2218" s="2" t="s">
        <v>397</v>
      </c>
      <c r="N2218" s="2" t="s">
        <v>1381</v>
      </c>
      <c r="O2218" s="2" t="s">
        <v>115</v>
      </c>
      <c r="P2218" s="2" t="str">
        <f>"2170559695                    "</f>
        <v xml:space="preserve">2170559695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6.43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3</v>
      </c>
      <c r="BJ2218" s="2">
        <v>0.2</v>
      </c>
      <c r="BK2218" s="2">
        <v>3</v>
      </c>
      <c r="BL2218" s="2">
        <v>62.59</v>
      </c>
      <c r="BM2218" s="2">
        <v>8.76</v>
      </c>
      <c r="BN2218" s="2">
        <v>71.349999999999994</v>
      </c>
      <c r="BO2218" s="2">
        <v>71.349999999999994</v>
      </c>
      <c r="BP2218" s="2"/>
      <c r="BQ2218" s="2" t="s">
        <v>129</v>
      </c>
      <c r="BR2218" s="2" t="s">
        <v>84</v>
      </c>
      <c r="BS2218" s="3">
        <v>42845</v>
      </c>
      <c r="BT2218" s="4">
        <v>0.41666666666666669</v>
      </c>
      <c r="BU2218" s="2" t="s">
        <v>2632</v>
      </c>
      <c r="BV2218" s="2" t="s">
        <v>111</v>
      </c>
      <c r="BW2218" s="2"/>
      <c r="BX2218" s="2"/>
      <c r="BY2218" s="2">
        <v>1200</v>
      </c>
      <c r="BZ2218" s="2" t="s">
        <v>27</v>
      </c>
      <c r="CA2218" s="2"/>
      <c r="CB2218" s="2"/>
      <c r="CC2218" s="2" t="s">
        <v>397</v>
      </c>
      <c r="CD2218" s="2">
        <v>4300</v>
      </c>
      <c r="CE2218" s="2" t="s">
        <v>118</v>
      </c>
      <c r="CF2218" s="5">
        <v>42846</v>
      </c>
      <c r="CG2218" s="2"/>
      <c r="CH2218" s="2"/>
      <c r="CI2218" s="2">
        <v>1</v>
      </c>
      <c r="CJ2218" s="2">
        <v>1</v>
      </c>
      <c r="CK2218" s="2">
        <v>21</v>
      </c>
      <c r="CL2218" s="2" t="s">
        <v>86</v>
      </c>
      <c r="CM2218" s="2"/>
    </row>
    <row r="2219" spans="1:91">
      <c r="A2219" s="2" t="s">
        <v>71</v>
      </c>
      <c r="B2219" s="2" t="s">
        <v>72</v>
      </c>
      <c r="C2219" s="2" t="s">
        <v>73</v>
      </c>
      <c r="D2219" s="2"/>
      <c r="E2219" s="2" t="str">
        <f>"FES1162542738"</f>
        <v>FES1162542738</v>
      </c>
      <c r="F2219" s="3">
        <v>42835</v>
      </c>
      <c r="G2219" s="2">
        <v>201710</v>
      </c>
      <c r="H2219" s="2" t="s">
        <v>74</v>
      </c>
      <c r="I2219" s="2" t="s">
        <v>75</v>
      </c>
      <c r="J2219" s="2" t="s">
        <v>200</v>
      </c>
      <c r="K2219" s="2" t="s">
        <v>77</v>
      </c>
      <c r="L2219" s="2" t="s">
        <v>190</v>
      </c>
      <c r="M2219" s="2" t="s">
        <v>191</v>
      </c>
      <c r="N2219" s="2" t="s">
        <v>192</v>
      </c>
      <c r="O2219" s="2" t="s">
        <v>1014</v>
      </c>
      <c r="P2219" s="2" t="str">
        <f>"2170651619                    "</f>
        <v xml:space="preserve">2170651619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6.03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4.7</v>
      </c>
      <c r="BJ2219" s="2">
        <v>3.4</v>
      </c>
      <c r="BK2219" s="2">
        <v>5</v>
      </c>
      <c r="BL2219" s="2">
        <v>58.68</v>
      </c>
      <c r="BM2219" s="2">
        <v>8.2200000000000006</v>
      </c>
      <c r="BN2219" s="2">
        <v>66.900000000000006</v>
      </c>
      <c r="BO2219" s="2">
        <v>66.900000000000006</v>
      </c>
      <c r="BP2219" s="2"/>
      <c r="BQ2219" s="2" t="s">
        <v>193</v>
      </c>
      <c r="BR2219" s="2" t="s">
        <v>204</v>
      </c>
      <c r="BS2219" s="3">
        <v>42836</v>
      </c>
      <c r="BT2219" s="4">
        <v>0.40833333333333338</v>
      </c>
      <c r="BU2219" s="2" t="s">
        <v>194</v>
      </c>
      <c r="BV2219" s="2" t="s">
        <v>111</v>
      </c>
      <c r="BW2219" s="2"/>
      <c r="BX2219" s="2"/>
      <c r="BY2219" s="2">
        <v>17082.45</v>
      </c>
      <c r="BZ2219" s="2" t="s">
        <v>27</v>
      </c>
      <c r="CA2219" s="2"/>
      <c r="CB2219" s="2"/>
      <c r="CC2219" s="2" t="s">
        <v>191</v>
      </c>
      <c r="CD2219" s="2">
        <v>1739</v>
      </c>
      <c r="CE2219" s="2" t="s">
        <v>89</v>
      </c>
      <c r="CF2219" s="5">
        <v>42838</v>
      </c>
      <c r="CG2219" s="2"/>
      <c r="CH2219" s="2"/>
      <c r="CI2219" s="2">
        <v>1</v>
      </c>
      <c r="CJ2219" s="2">
        <v>1</v>
      </c>
      <c r="CK2219" s="2">
        <v>34</v>
      </c>
      <c r="CL2219" s="2" t="s">
        <v>86</v>
      </c>
      <c r="CM2219" s="2"/>
    </row>
    <row r="2220" spans="1:91">
      <c r="A2220" s="2" t="s">
        <v>71</v>
      </c>
      <c r="B2220" s="2" t="s">
        <v>72</v>
      </c>
      <c r="C2220" s="2" t="s">
        <v>73</v>
      </c>
      <c r="D2220" s="2"/>
      <c r="E2220" s="2" t="str">
        <f>"FES1162544312"</f>
        <v>FES1162544312</v>
      </c>
      <c r="F2220" s="3">
        <v>42844</v>
      </c>
      <c r="G2220" s="2">
        <v>201710</v>
      </c>
      <c r="H2220" s="2" t="s">
        <v>74</v>
      </c>
      <c r="I2220" s="2" t="s">
        <v>75</v>
      </c>
      <c r="J2220" s="2" t="s">
        <v>76</v>
      </c>
      <c r="K2220" s="2" t="s">
        <v>77</v>
      </c>
      <c r="L2220" s="2" t="s">
        <v>180</v>
      </c>
      <c r="M2220" s="2" t="s">
        <v>181</v>
      </c>
      <c r="N2220" s="2" t="s">
        <v>1202</v>
      </c>
      <c r="O2220" s="2" t="s">
        <v>115</v>
      </c>
      <c r="P2220" s="2" t="str">
        <f>"2170562753                    "</f>
        <v xml:space="preserve">2170562753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42.87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20</v>
      </c>
      <c r="BJ2220" s="2">
        <v>9.1</v>
      </c>
      <c r="BK2220" s="2">
        <v>20</v>
      </c>
      <c r="BL2220" s="2">
        <v>417.27</v>
      </c>
      <c r="BM2220" s="2">
        <v>58.42</v>
      </c>
      <c r="BN2220" s="2">
        <v>475.69</v>
      </c>
      <c r="BO2220" s="2">
        <v>475.69</v>
      </c>
      <c r="BP2220" s="2"/>
      <c r="BQ2220" s="2" t="s">
        <v>1203</v>
      </c>
      <c r="BR2220" s="2" t="s">
        <v>84</v>
      </c>
      <c r="BS2220" s="3">
        <v>42845</v>
      </c>
      <c r="BT2220" s="4">
        <v>0.3923611111111111</v>
      </c>
      <c r="BU2220" s="2" t="s">
        <v>2633</v>
      </c>
      <c r="BV2220" s="2" t="s">
        <v>111</v>
      </c>
      <c r="BW2220" s="2"/>
      <c r="BX2220" s="2"/>
      <c r="BY2220" s="2">
        <v>45632</v>
      </c>
      <c r="BZ2220" s="2" t="s">
        <v>27</v>
      </c>
      <c r="CA2220" s="2"/>
      <c r="CB2220" s="2"/>
      <c r="CC2220" s="2" t="s">
        <v>181</v>
      </c>
      <c r="CD2220" s="2">
        <v>4001</v>
      </c>
      <c r="CE2220" s="2" t="s">
        <v>89</v>
      </c>
      <c r="CF2220" s="5">
        <v>42846</v>
      </c>
      <c r="CG2220" s="2"/>
      <c r="CH2220" s="2"/>
      <c r="CI2220" s="2">
        <v>1</v>
      </c>
      <c r="CJ2220" s="2">
        <v>1</v>
      </c>
      <c r="CK2220" s="2">
        <v>21</v>
      </c>
      <c r="CL2220" s="2" t="s">
        <v>86</v>
      </c>
      <c r="CM2220" s="2"/>
    </row>
    <row r="2221" spans="1:91">
      <c r="A2221" s="2" t="s">
        <v>71</v>
      </c>
      <c r="B2221" s="2" t="s">
        <v>72</v>
      </c>
      <c r="C2221" s="2" t="s">
        <v>73</v>
      </c>
      <c r="D2221" s="2"/>
      <c r="E2221" s="2" t="str">
        <f>"FES1162542710"</f>
        <v>FES1162542710</v>
      </c>
      <c r="F2221" s="3">
        <v>42835</v>
      </c>
      <c r="G2221" s="2">
        <v>201710</v>
      </c>
      <c r="H2221" s="2" t="s">
        <v>74</v>
      </c>
      <c r="I2221" s="2" t="s">
        <v>75</v>
      </c>
      <c r="J2221" s="2" t="s">
        <v>200</v>
      </c>
      <c r="K2221" s="2" t="s">
        <v>77</v>
      </c>
      <c r="L2221" s="2" t="s">
        <v>91</v>
      </c>
      <c r="M2221" s="2" t="s">
        <v>92</v>
      </c>
      <c r="N2221" s="2" t="s">
        <v>1475</v>
      </c>
      <c r="O2221" s="2" t="s">
        <v>1014</v>
      </c>
      <c r="P2221" s="2" t="str">
        <f>"2170561594                    "</f>
        <v xml:space="preserve">2170561594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7.1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17.3</v>
      </c>
      <c r="BJ2221" s="2">
        <v>4.7</v>
      </c>
      <c r="BK2221" s="2">
        <v>18</v>
      </c>
      <c r="BL2221" s="2">
        <v>69.150000000000006</v>
      </c>
      <c r="BM2221" s="2">
        <v>9.68</v>
      </c>
      <c r="BN2221" s="2">
        <v>78.83</v>
      </c>
      <c r="BO2221" s="2">
        <v>78.83</v>
      </c>
      <c r="BP2221" s="2"/>
      <c r="BQ2221" s="2" t="s">
        <v>2634</v>
      </c>
      <c r="BR2221" s="2" t="s">
        <v>204</v>
      </c>
      <c r="BS2221" s="3">
        <v>42836</v>
      </c>
      <c r="BT2221" s="4">
        <v>0.41666666666666669</v>
      </c>
      <c r="BU2221" s="2" t="s">
        <v>1913</v>
      </c>
      <c r="BV2221" s="2" t="s">
        <v>111</v>
      </c>
      <c r="BW2221" s="2"/>
      <c r="BX2221" s="2"/>
      <c r="BY2221" s="2">
        <v>23624.79</v>
      </c>
      <c r="BZ2221" s="2" t="s">
        <v>27</v>
      </c>
      <c r="CA2221" s="2"/>
      <c r="CB2221" s="2"/>
      <c r="CC2221" s="2" t="s">
        <v>92</v>
      </c>
      <c r="CD2221" s="2">
        <v>1422</v>
      </c>
      <c r="CE2221" s="2" t="s">
        <v>775</v>
      </c>
      <c r="CF2221" s="5">
        <v>42838</v>
      </c>
      <c r="CG2221" s="2"/>
      <c r="CH2221" s="2"/>
      <c r="CI2221" s="2">
        <v>1</v>
      </c>
      <c r="CJ2221" s="2">
        <v>1</v>
      </c>
      <c r="CK2221" s="2">
        <v>32</v>
      </c>
      <c r="CL2221" s="2" t="s">
        <v>86</v>
      </c>
      <c r="CM2221" s="2"/>
    </row>
    <row r="2222" spans="1:91">
      <c r="A2222" s="2" t="s">
        <v>71</v>
      </c>
      <c r="B2222" s="2" t="s">
        <v>72</v>
      </c>
      <c r="C2222" s="2" t="s">
        <v>73</v>
      </c>
      <c r="D2222" s="2"/>
      <c r="E2222" s="2" t="str">
        <f>"FES1162542693"</f>
        <v>FES1162542693</v>
      </c>
      <c r="F2222" s="3">
        <v>42835</v>
      </c>
      <c r="G2222" s="2">
        <v>201710</v>
      </c>
      <c r="H2222" s="2" t="s">
        <v>74</v>
      </c>
      <c r="I2222" s="2" t="s">
        <v>75</v>
      </c>
      <c r="J2222" s="2" t="s">
        <v>200</v>
      </c>
      <c r="K2222" s="2" t="s">
        <v>77</v>
      </c>
      <c r="L2222" s="2" t="s">
        <v>190</v>
      </c>
      <c r="M2222" s="2" t="s">
        <v>191</v>
      </c>
      <c r="N2222" s="2" t="s">
        <v>192</v>
      </c>
      <c r="O2222" s="2" t="s">
        <v>1014</v>
      </c>
      <c r="P2222" s="2" t="str">
        <f>"2170561576                    "</f>
        <v xml:space="preserve">2170561576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6.03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1.3</v>
      </c>
      <c r="BJ2222" s="2">
        <v>2.1</v>
      </c>
      <c r="BK2222" s="2">
        <v>3</v>
      </c>
      <c r="BL2222" s="2">
        <v>58.68</v>
      </c>
      <c r="BM2222" s="2">
        <v>8.2200000000000006</v>
      </c>
      <c r="BN2222" s="2">
        <v>66.900000000000006</v>
      </c>
      <c r="BO2222" s="2">
        <v>66.900000000000006</v>
      </c>
      <c r="BP2222" s="2"/>
      <c r="BQ2222" s="2" t="s">
        <v>193</v>
      </c>
      <c r="BR2222" s="2" t="s">
        <v>204</v>
      </c>
      <c r="BS2222" s="3">
        <v>42836</v>
      </c>
      <c r="BT2222" s="4">
        <v>0.40833333333333338</v>
      </c>
      <c r="BU2222" s="2" t="s">
        <v>194</v>
      </c>
      <c r="BV2222" s="2" t="s">
        <v>111</v>
      </c>
      <c r="BW2222" s="2"/>
      <c r="BX2222" s="2"/>
      <c r="BY2222" s="2">
        <v>10606.3</v>
      </c>
      <c r="BZ2222" s="2" t="s">
        <v>27</v>
      </c>
      <c r="CA2222" s="2"/>
      <c r="CB2222" s="2"/>
      <c r="CC2222" s="2" t="s">
        <v>191</v>
      </c>
      <c r="CD2222" s="2">
        <v>1739</v>
      </c>
      <c r="CE2222" s="2" t="s">
        <v>118</v>
      </c>
      <c r="CF2222" s="5">
        <v>42838</v>
      </c>
      <c r="CG2222" s="2"/>
      <c r="CH2222" s="2"/>
      <c r="CI2222" s="2">
        <v>1</v>
      </c>
      <c r="CJ2222" s="2">
        <v>1</v>
      </c>
      <c r="CK2222" s="2">
        <v>34</v>
      </c>
      <c r="CL2222" s="2" t="s">
        <v>86</v>
      </c>
      <c r="CM2222" s="2"/>
    </row>
    <row r="2223" spans="1:91">
      <c r="A2223" s="2" t="s">
        <v>71</v>
      </c>
      <c r="B2223" s="2" t="s">
        <v>72</v>
      </c>
      <c r="C2223" s="2" t="s">
        <v>73</v>
      </c>
      <c r="D2223" s="2"/>
      <c r="E2223" s="2" t="str">
        <f>"FES1162544203"</f>
        <v>FES1162544203</v>
      </c>
      <c r="F2223" s="3">
        <v>42844</v>
      </c>
      <c r="G2223" s="2">
        <v>201710</v>
      </c>
      <c r="H2223" s="2" t="s">
        <v>74</v>
      </c>
      <c r="I2223" s="2" t="s">
        <v>75</v>
      </c>
      <c r="J2223" s="2" t="s">
        <v>76</v>
      </c>
      <c r="K2223" s="2" t="s">
        <v>77</v>
      </c>
      <c r="L2223" s="2" t="s">
        <v>598</v>
      </c>
      <c r="M2223" s="2" t="s">
        <v>599</v>
      </c>
      <c r="N2223" s="2" t="s">
        <v>600</v>
      </c>
      <c r="O2223" s="2" t="s">
        <v>115</v>
      </c>
      <c r="P2223" s="2" t="str">
        <f>"2170562275                    "</f>
        <v xml:space="preserve">2170562275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28.94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7.1</v>
      </c>
      <c r="BJ2223" s="2">
        <v>2.2999999999999998</v>
      </c>
      <c r="BK2223" s="2">
        <v>7.5</v>
      </c>
      <c r="BL2223" s="2">
        <v>281.66000000000003</v>
      </c>
      <c r="BM2223" s="2">
        <v>39.43</v>
      </c>
      <c r="BN2223" s="2">
        <v>321.08999999999997</v>
      </c>
      <c r="BO2223" s="2">
        <v>321.08999999999997</v>
      </c>
      <c r="BP2223" s="2"/>
      <c r="BQ2223" s="2" t="s">
        <v>601</v>
      </c>
      <c r="BR2223" s="2" t="s">
        <v>84</v>
      </c>
      <c r="BS2223" s="3">
        <v>42845</v>
      </c>
      <c r="BT2223" s="4">
        <v>0.61944444444444446</v>
      </c>
      <c r="BU2223" s="2" t="s">
        <v>602</v>
      </c>
      <c r="BV2223" s="2" t="s">
        <v>111</v>
      </c>
      <c r="BW2223" s="2"/>
      <c r="BX2223" s="2"/>
      <c r="BY2223" s="2">
        <v>11431.94</v>
      </c>
      <c r="BZ2223" s="2" t="s">
        <v>27</v>
      </c>
      <c r="CA2223" s="2"/>
      <c r="CB2223" s="2"/>
      <c r="CC2223" s="2" t="s">
        <v>599</v>
      </c>
      <c r="CD2223" s="2">
        <v>3370</v>
      </c>
      <c r="CE2223" s="2" t="s">
        <v>172</v>
      </c>
      <c r="CF2223" s="5">
        <v>42849</v>
      </c>
      <c r="CG2223" s="2"/>
      <c r="CH2223" s="2"/>
      <c r="CI2223" s="2">
        <v>3</v>
      </c>
      <c r="CJ2223" s="2">
        <v>1</v>
      </c>
      <c r="CK2223" s="2">
        <v>23</v>
      </c>
      <c r="CL2223" s="2" t="s">
        <v>86</v>
      </c>
      <c r="CM2223" s="2"/>
    </row>
    <row r="2224" spans="1:91">
      <c r="A2224" s="2" t="s">
        <v>71</v>
      </c>
      <c r="B2224" s="2" t="s">
        <v>72</v>
      </c>
      <c r="C2224" s="2" t="s">
        <v>73</v>
      </c>
      <c r="D2224" s="2"/>
      <c r="E2224" s="2" t="str">
        <f>"FES1162542678"</f>
        <v>FES1162542678</v>
      </c>
      <c r="F2224" s="3">
        <v>42835</v>
      </c>
      <c r="G2224" s="2">
        <v>201710</v>
      </c>
      <c r="H2224" s="2" t="s">
        <v>74</v>
      </c>
      <c r="I2224" s="2" t="s">
        <v>75</v>
      </c>
      <c r="J2224" s="2" t="s">
        <v>200</v>
      </c>
      <c r="K2224" s="2" t="s">
        <v>77</v>
      </c>
      <c r="L2224" s="2" t="s">
        <v>190</v>
      </c>
      <c r="M2224" s="2" t="s">
        <v>191</v>
      </c>
      <c r="N2224" s="2" t="s">
        <v>192</v>
      </c>
      <c r="O2224" s="2" t="s">
        <v>1014</v>
      </c>
      <c r="P2224" s="2" t="str">
        <f>"2170561557                    "</f>
        <v xml:space="preserve">2170561557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6.03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0.6</v>
      </c>
      <c r="BJ2224" s="2">
        <v>3.2</v>
      </c>
      <c r="BK2224" s="2">
        <v>4</v>
      </c>
      <c r="BL2224" s="2">
        <v>58.68</v>
      </c>
      <c r="BM2224" s="2">
        <v>8.2200000000000006</v>
      </c>
      <c r="BN2224" s="2">
        <v>66.900000000000006</v>
      </c>
      <c r="BO2224" s="2">
        <v>66.900000000000006</v>
      </c>
      <c r="BP2224" s="2"/>
      <c r="BQ2224" s="2" t="s">
        <v>193</v>
      </c>
      <c r="BR2224" s="2" t="s">
        <v>204</v>
      </c>
      <c r="BS2224" s="3">
        <v>42836</v>
      </c>
      <c r="BT2224" s="4">
        <v>0.40833333333333338</v>
      </c>
      <c r="BU2224" s="2" t="s">
        <v>194</v>
      </c>
      <c r="BV2224" s="2" t="s">
        <v>111</v>
      </c>
      <c r="BW2224" s="2"/>
      <c r="BX2224" s="2"/>
      <c r="BY2224" s="2">
        <v>16188.91</v>
      </c>
      <c r="BZ2224" s="2" t="s">
        <v>27</v>
      </c>
      <c r="CA2224" s="2"/>
      <c r="CB2224" s="2"/>
      <c r="CC2224" s="2" t="s">
        <v>191</v>
      </c>
      <c r="CD2224" s="2">
        <v>1739</v>
      </c>
      <c r="CE2224" s="2" t="s">
        <v>118</v>
      </c>
      <c r="CF2224" s="5">
        <v>42838</v>
      </c>
      <c r="CG2224" s="2"/>
      <c r="CH2224" s="2"/>
      <c r="CI2224" s="2">
        <v>1</v>
      </c>
      <c r="CJ2224" s="2">
        <v>1</v>
      </c>
      <c r="CK2224" s="2">
        <v>34</v>
      </c>
      <c r="CL2224" s="2" t="s">
        <v>86</v>
      </c>
      <c r="CM2224" s="2"/>
    </row>
    <row r="2225" spans="1:91">
      <c r="A2225" s="2" t="s">
        <v>71</v>
      </c>
      <c r="B2225" s="2" t="s">
        <v>72</v>
      </c>
      <c r="C2225" s="2" t="s">
        <v>73</v>
      </c>
      <c r="D2225" s="2"/>
      <c r="E2225" s="2" t="str">
        <f>"FES1162541754"</f>
        <v>FES1162541754</v>
      </c>
      <c r="F2225" s="3">
        <v>42830</v>
      </c>
      <c r="G2225" s="2">
        <v>201710</v>
      </c>
      <c r="H2225" s="2" t="s">
        <v>74</v>
      </c>
      <c r="I2225" s="2" t="s">
        <v>75</v>
      </c>
      <c r="J2225" s="2" t="s">
        <v>200</v>
      </c>
      <c r="K2225" s="2" t="s">
        <v>77</v>
      </c>
      <c r="L2225" s="2" t="s">
        <v>166</v>
      </c>
      <c r="M2225" s="2" t="s">
        <v>167</v>
      </c>
      <c r="N2225" s="2" t="s">
        <v>892</v>
      </c>
      <c r="O2225" s="2" t="s">
        <v>1014</v>
      </c>
      <c r="P2225" s="2" t="str">
        <f>"2170558042                    "</f>
        <v xml:space="preserve">2170558042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4.0999999999999996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7</v>
      </c>
      <c r="BJ2225" s="2">
        <v>9.8000000000000007</v>
      </c>
      <c r="BK2225" s="2">
        <v>10</v>
      </c>
      <c r="BL2225" s="2">
        <v>39.909999999999997</v>
      </c>
      <c r="BM2225" s="2">
        <v>5.59</v>
      </c>
      <c r="BN2225" s="2">
        <v>45.5</v>
      </c>
      <c r="BO2225" s="2">
        <v>45.5</v>
      </c>
      <c r="BP2225" s="2"/>
      <c r="BQ2225" s="2" t="s">
        <v>893</v>
      </c>
      <c r="BR2225" s="2" t="s">
        <v>204</v>
      </c>
      <c r="BS2225" s="3">
        <v>42831</v>
      </c>
      <c r="BT2225" s="4">
        <v>0.4375</v>
      </c>
      <c r="BU2225" s="2" t="s">
        <v>2635</v>
      </c>
      <c r="BV2225" s="2" t="s">
        <v>111</v>
      </c>
      <c r="BW2225" s="2"/>
      <c r="BX2225" s="2"/>
      <c r="BY2225" s="2">
        <v>49096</v>
      </c>
      <c r="BZ2225" s="2" t="s">
        <v>27</v>
      </c>
      <c r="CA2225" s="2" t="s">
        <v>159</v>
      </c>
      <c r="CB2225" s="2"/>
      <c r="CC2225" s="2" t="s">
        <v>167</v>
      </c>
      <c r="CD2225" s="2">
        <v>2013</v>
      </c>
      <c r="CE2225" s="2" t="s">
        <v>89</v>
      </c>
      <c r="CF2225" s="5">
        <v>42832</v>
      </c>
      <c r="CG2225" s="2"/>
      <c r="CH2225" s="2"/>
      <c r="CI2225" s="2">
        <v>1</v>
      </c>
      <c r="CJ2225" s="2">
        <v>1</v>
      </c>
      <c r="CK2225" s="2">
        <v>32</v>
      </c>
      <c r="CL2225" s="2" t="s">
        <v>86</v>
      </c>
      <c r="CM2225" s="2"/>
    </row>
    <row r="2226" spans="1:91">
      <c r="A2226" s="2" t="s">
        <v>71</v>
      </c>
      <c r="B2226" s="2" t="s">
        <v>72</v>
      </c>
      <c r="C2226" s="2" t="s">
        <v>73</v>
      </c>
      <c r="D2226" s="2"/>
      <c r="E2226" s="2" t="str">
        <f>"FES1162544344"</f>
        <v>FES1162544344</v>
      </c>
      <c r="F2226" s="3">
        <v>42844</v>
      </c>
      <c r="G2226" s="2">
        <v>201710</v>
      </c>
      <c r="H2226" s="2" t="s">
        <v>74</v>
      </c>
      <c r="I2226" s="2" t="s">
        <v>75</v>
      </c>
      <c r="J2226" s="2" t="s">
        <v>76</v>
      </c>
      <c r="K2226" s="2" t="s">
        <v>77</v>
      </c>
      <c r="L2226" s="2" t="s">
        <v>1326</v>
      </c>
      <c r="M2226" s="2" t="s">
        <v>1326</v>
      </c>
      <c r="N2226" s="2" t="s">
        <v>1327</v>
      </c>
      <c r="O2226" s="2" t="s">
        <v>115</v>
      </c>
      <c r="P2226" s="2" t="str">
        <f>"2170562950                    "</f>
        <v xml:space="preserve">2170562950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8.31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1</v>
      </c>
      <c r="BJ2226" s="2">
        <v>0.2</v>
      </c>
      <c r="BK2226" s="2">
        <v>1</v>
      </c>
      <c r="BL2226" s="2">
        <v>80.849999999999994</v>
      </c>
      <c r="BM2226" s="2">
        <v>11.32</v>
      </c>
      <c r="BN2226" s="2">
        <v>92.17</v>
      </c>
      <c r="BO2226" s="2">
        <v>92.17</v>
      </c>
      <c r="BP2226" s="2"/>
      <c r="BQ2226" s="2" t="s">
        <v>116</v>
      </c>
      <c r="BR2226" s="2" t="s">
        <v>84</v>
      </c>
      <c r="BS2226" s="3">
        <v>42846</v>
      </c>
      <c r="BT2226" s="4">
        <v>0.58680555555555558</v>
      </c>
      <c r="BU2226" s="2" t="s">
        <v>2636</v>
      </c>
      <c r="BV2226" s="2" t="s">
        <v>111</v>
      </c>
      <c r="BW2226" s="2"/>
      <c r="BX2226" s="2"/>
      <c r="BY2226" s="2">
        <v>1200</v>
      </c>
      <c r="BZ2226" s="2" t="s">
        <v>27</v>
      </c>
      <c r="CA2226" s="2"/>
      <c r="CB2226" s="2"/>
      <c r="CC2226" s="2" t="s">
        <v>1326</v>
      </c>
      <c r="CD2226" s="2">
        <v>5470</v>
      </c>
      <c r="CE2226" s="2" t="s">
        <v>118</v>
      </c>
      <c r="CF2226" s="5">
        <v>42853</v>
      </c>
      <c r="CG2226" s="2"/>
      <c r="CH2226" s="2"/>
      <c r="CI2226" s="2">
        <v>4</v>
      </c>
      <c r="CJ2226" s="2">
        <v>2</v>
      </c>
      <c r="CK2226" s="2">
        <v>23</v>
      </c>
      <c r="CL2226" s="2" t="s">
        <v>86</v>
      </c>
      <c r="CM2226" s="2"/>
    </row>
    <row r="2227" spans="1:91">
      <c r="A2227" s="2" t="s">
        <v>71</v>
      </c>
      <c r="B2227" s="2" t="s">
        <v>72</v>
      </c>
      <c r="C2227" s="2" t="s">
        <v>73</v>
      </c>
      <c r="D2227" s="2"/>
      <c r="E2227" s="2" t="str">
        <f>"FES1162544278"</f>
        <v>FES1162544278</v>
      </c>
      <c r="F2227" s="3">
        <v>42844</v>
      </c>
      <c r="G2227" s="2">
        <v>201710</v>
      </c>
      <c r="H2227" s="2" t="s">
        <v>74</v>
      </c>
      <c r="I2227" s="2" t="s">
        <v>75</v>
      </c>
      <c r="J2227" s="2" t="s">
        <v>76</v>
      </c>
      <c r="K2227" s="2" t="s">
        <v>77</v>
      </c>
      <c r="L2227" s="2" t="s">
        <v>99</v>
      </c>
      <c r="M2227" s="2" t="s">
        <v>100</v>
      </c>
      <c r="N2227" s="2" t="s">
        <v>910</v>
      </c>
      <c r="O2227" s="2" t="s">
        <v>115</v>
      </c>
      <c r="P2227" s="2" t="str">
        <f>"2170562770                    "</f>
        <v xml:space="preserve">2170562770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4.29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2</v>
      </c>
      <c r="BJ2227" s="2">
        <v>0.6</v>
      </c>
      <c r="BK2227" s="2">
        <v>2</v>
      </c>
      <c r="BL2227" s="2">
        <v>41.73</v>
      </c>
      <c r="BM2227" s="2">
        <v>5.84</v>
      </c>
      <c r="BN2227" s="2">
        <v>47.57</v>
      </c>
      <c r="BO2227" s="2">
        <v>47.57</v>
      </c>
      <c r="BP2227" s="2"/>
      <c r="BQ2227" s="2" t="s">
        <v>911</v>
      </c>
      <c r="BR2227" s="2" t="s">
        <v>84</v>
      </c>
      <c r="BS2227" s="3">
        <v>42845</v>
      </c>
      <c r="BT2227" s="4">
        <v>0.32777777777777778</v>
      </c>
      <c r="BU2227" s="2" t="s">
        <v>912</v>
      </c>
      <c r="BV2227" s="2" t="s">
        <v>111</v>
      </c>
      <c r="BW2227" s="2"/>
      <c r="BX2227" s="2"/>
      <c r="BY2227" s="2">
        <v>3213</v>
      </c>
      <c r="BZ2227" s="2" t="s">
        <v>27</v>
      </c>
      <c r="CA2227" s="2" t="s">
        <v>913</v>
      </c>
      <c r="CB2227" s="2"/>
      <c r="CC2227" s="2" t="s">
        <v>100</v>
      </c>
      <c r="CD2227" s="2">
        <v>6065</v>
      </c>
      <c r="CE2227" s="2" t="s">
        <v>775</v>
      </c>
      <c r="CF2227" s="5">
        <v>42845</v>
      </c>
      <c r="CG2227" s="2"/>
      <c r="CH2227" s="2"/>
      <c r="CI2227" s="2">
        <v>1</v>
      </c>
      <c r="CJ2227" s="2">
        <v>1</v>
      </c>
      <c r="CK2227" s="2">
        <v>21</v>
      </c>
      <c r="CL2227" s="2" t="s">
        <v>86</v>
      </c>
      <c r="CM2227" s="2"/>
    </row>
    <row r="2228" spans="1:91">
      <c r="A2228" s="2" t="s">
        <v>71</v>
      </c>
      <c r="B2228" s="2" t="s">
        <v>72</v>
      </c>
      <c r="C2228" s="2" t="s">
        <v>73</v>
      </c>
      <c r="D2228" s="2"/>
      <c r="E2228" s="2" t="str">
        <f>"FES1162544262"</f>
        <v>FES1162544262</v>
      </c>
      <c r="F2228" s="3">
        <v>42844</v>
      </c>
      <c r="G2228" s="2">
        <v>201710</v>
      </c>
      <c r="H2228" s="2" t="s">
        <v>74</v>
      </c>
      <c r="I2228" s="2" t="s">
        <v>75</v>
      </c>
      <c r="J2228" s="2" t="s">
        <v>76</v>
      </c>
      <c r="K2228" s="2" t="s">
        <v>77</v>
      </c>
      <c r="L2228" s="2" t="s">
        <v>131</v>
      </c>
      <c r="M2228" s="2" t="s">
        <v>132</v>
      </c>
      <c r="N2228" s="2" t="s">
        <v>384</v>
      </c>
      <c r="O2228" s="2" t="s">
        <v>115</v>
      </c>
      <c r="P2228" s="2" t="str">
        <f>"2170562861                    "</f>
        <v xml:space="preserve">2170562861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4.29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1</v>
      </c>
      <c r="BJ2228" s="2">
        <v>0.2</v>
      </c>
      <c r="BK2228" s="2">
        <v>1</v>
      </c>
      <c r="BL2228" s="2">
        <v>41.73</v>
      </c>
      <c r="BM2228" s="2">
        <v>5.84</v>
      </c>
      <c r="BN2228" s="2">
        <v>47.57</v>
      </c>
      <c r="BO2228" s="2">
        <v>47.57</v>
      </c>
      <c r="BP2228" s="2"/>
      <c r="BQ2228" s="2" t="s">
        <v>468</v>
      </c>
      <c r="BR2228" s="2" t="s">
        <v>84</v>
      </c>
      <c r="BS2228" s="3">
        <v>42845</v>
      </c>
      <c r="BT2228" s="4">
        <v>0.41666666666666669</v>
      </c>
      <c r="BU2228" s="2" t="s">
        <v>245</v>
      </c>
      <c r="BV2228" s="2" t="s">
        <v>111</v>
      </c>
      <c r="BW2228" s="2"/>
      <c r="BX2228" s="2"/>
      <c r="BY2228" s="2">
        <v>1200</v>
      </c>
      <c r="BZ2228" s="2" t="s">
        <v>27</v>
      </c>
      <c r="CA2228" s="2"/>
      <c r="CB2228" s="2"/>
      <c r="CC2228" s="2" t="s">
        <v>132</v>
      </c>
      <c r="CD2228" s="2">
        <v>7405</v>
      </c>
      <c r="CE2228" s="2" t="s">
        <v>118</v>
      </c>
      <c r="CF2228" s="5">
        <v>42846</v>
      </c>
      <c r="CG2228" s="2"/>
      <c r="CH2228" s="2"/>
      <c r="CI2228" s="2">
        <v>1</v>
      </c>
      <c r="CJ2228" s="2">
        <v>1</v>
      </c>
      <c r="CK2228" s="2">
        <v>21</v>
      </c>
      <c r="CL2228" s="2" t="s">
        <v>86</v>
      </c>
      <c r="CM2228" s="2"/>
    </row>
    <row r="2229" spans="1:91">
      <c r="A2229" s="2" t="s">
        <v>71</v>
      </c>
      <c r="B2229" s="2" t="s">
        <v>72</v>
      </c>
      <c r="C2229" s="2" t="s">
        <v>73</v>
      </c>
      <c r="D2229" s="2"/>
      <c r="E2229" s="2" t="str">
        <f>"FES1162544157"</f>
        <v>FES1162544157</v>
      </c>
      <c r="F2229" s="3">
        <v>42844</v>
      </c>
      <c r="G2229" s="2">
        <v>201710</v>
      </c>
      <c r="H2229" s="2" t="s">
        <v>74</v>
      </c>
      <c r="I2229" s="2" t="s">
        <v>75</v>
      </c>
      <c r="J2229" s="2" t="s">
        <v>76</v>
      </c>
      <c r="K2229" s="2" t="s">
        <v>77</v>
      </c>
      <c r="L2229" s="2" t="s">
        <v>166</v>
      </c>
      <c r="M2229" s="2" t="s">
        <v>167</v>
      </c>
      <c r="N2229" s="2" t="s">
        <v>2160</v>
      </c>
      <c r="O2229" s="2" t="s">
        <v>115</v>
      </c>
      <c r="P2229" s="2" t="str">
        <f>"2170562748                    "</f>
        <v xml:space="preserve">2170562748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3.35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1</v>
      </c>
      <c r="BJ2229" s="2">
        <v>0.2</v>
      </c>
      <c r="BK2229" s="2">
        <v>1</v>
      </c>
      <c r="BL2229" s="2">
        <v>32.6</v>
      </c>
      <c r="BM2229" s="2">
        <v>4.5599999999999996</v>
      </c>
      <c r="BN2229" s="2">
        <v>37.159999999999997</v>
      </c>
      <c r="BO2229" s="2">
        <v>37.159999999999997</v>
      </c>
      <c r="BP2229" s="2"/>
      <c r="BQ2229" s="2" t="s">
        <v>2161</v>
      </c>
      <c r="BR2229" s="2" t="s">
        <v>84</v>
      </c>
      <c r="BS2229" s="3">
        <v>42845</v>
      </c>
      <c r="BT2229" s="4">
        <v>0.36527777777777781</v>
      </c>
      <c r="BU2229" s="2" t="s">
        <v>2637</v>
      </c>
      <c r="BV2229" s="2" t="s">
        <v>111</v>
      </c>
      <c r="BW2229" s="2"/>
      <c r="BX2229" s="2"/>
      <c r="BY2229" s="2">
        <v>1200</v>
      </c>
      <c r="BZ2229" s="2" t="s">
        <v>27</v>
      </c>
      <c r="CA2229" s="2" t="s">
        <v>2312</v>
      </c>
      <c r="CB2229" s="2"/>
      <c r="CC2229" s="2" t="s">
        <v>167</v>
      </c>
      <c r="CD2229" s="2">
        <v>2001</v>
      </c>
      <c r="CE2229" s="2" t="s">
        <v>118</v>
      </c>
      <c r="CF2229" s="5">
        <v>42845</v>
      </c>
      <c r="CG2229" s="2"/>
      <c r="CH2229" s="2"/>
      <c r="CI2229" s="2">
        <v>1</v>
      </c>
      <c r="CJ2229" s="2">
        <v>1</v>
      </c>
      <c r="CK2229" s="2">
        <v>22</v>
      </c>
      <c r="CL2229" s="2" t="s">
        <v>86</v>
      </c>
      <c r="CM2229" s="2"/>
    </row>
    <row r="2230" spans="1:91">
      <c r="A2230" s="2" t="s">
        <v>71</v>
      </c>
      <c r="B2230" s="2" t="s">
        <v>72</v>
      </c>
      <c r="C2230" s="2" t="s">
        <v>73</v>
      </c>
      <c r="D2230" s="2"/>
      <c r="E2230" s="2" t="str">
        <f>"FES1162544041"</f>
        <v>FES1162544041</v>
      </c>
      <c r="F2230" s="3">
        <v>42844</v>
      </c>
      <c r="G2230" s="2">
        <v>201710</v>
      </c>
      <c r="H2230" s="2" t="s">
        <v>74</v>
      </c>
      <c r="I2230" s="2" t="s">
        <v>75</v>
      </c>
      <c r="J2230" s="2" t="s">
        <v>76</v>
      </c>
      <c r="K2230" s="2" t="s">
        <v>77</v>
      </c>
      <c r="L2230" s="2" t="s">
        <v>260</v>
      </c>
      <c r="M2230" s="2" t="s">
        <v>261</v>
      </c>
      <c r="N2230" s="2" t="s">
        <v>1371</v>
      </c>
      <c r="O2230" s="2" t="s">
        <v>115</v>
      </c>
      <c r="P2230" s="2" t="str">
        <f>"2170562639                    "</f>
        <v xml:space="preserve">2170562639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3.35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1.5</v>
      </c>
      <c r="BJ2230" s="2">
        <v>0.2</v>
      </c>
      <c r="BK2230" s="2">
        <v>2</v>
      </c>
      <c r="BL2230" s="2">
        <v>32.6</v>
      </c>
      <c r="BM2230" s="2">
        <v>4.5599999999999996</v>
      </c>
      <c r="BN2230" s="2">
        <v>37.159999999999997</v>
      </c>
      <c r="BO2230" s="2">
        <v>37.159999999999997</v>
      </c>
      <c r="BP2230" s="2"/>
      <c r="BQ2230" s="2" t="s">
        <v>1372</v>
      </c>
      <c r="BR2230" s="2" t="s">
        <v>84</v>
      </c>
      <c r="BS2230" s="3">
        <v>42845</v>
      </c>
      <c r="BT2230" s="4">
        <v>0.33333333333333331</v>
      </c>
      <c r="BU2230" s="2" t="s">
        <v>1373</v>
      </c>
      <c r="BV2230" s="2" t="s">
        <v>111</v>
      </c>
      <c r="BW2230" s="2"/>
      <c r="BX2230" s="2"/>
      <c r="BY2230" s="2">
        <v>1200</v>
      </c>
      <c r="BZ2230" s="2" t="s">
        <v>27</v>
      </c>
      <c r="CA2230" s="2"/>
      <c r="CB2230" s="2"/>
      <c r="CC2230" s="2" t="s">
        <v>261</v>
      </c>
      <c r="CD2230" s="2">
        <v>1451</v>
      </c>
      <c r="CE2230" s="2" t="s">
        <v>118</v>
      </c>
      <c r="CF2230" s="5">
        <v>42846</v>
      </c>
      <c r="CG2230" s="2"/>
      <c r="CH2230" s="2"/>
      <c r="CI2230" s="2">
        <v>1</v>
      </c>
      <c r="CJ2230" s="2">
        <v>1</v>
      </c>
      <c r="CK2230" s="2">
        <v>22</v>
      </c>
      <c r="CL2230" s="2" t="s">
        <v>86</v>
      </c>
      <c r="CM2230" s="2"/>
    </row>
    <row r="2231" spans="1:91">
      <c r="A2231" s="2" t="s">
        <v>71</v>
      </c>
      <c r="B2231" s="2" t="s">
        <v>72</v>
      </c>
      <c r="C2231" s="2" t="s">
        <v>73</v>
      </c>
      <c r="D2231" s="2"/>
      <c r="E2231" s="2" t="str">
        <f>"FES1162542583"</f>
        <v>FES1162542583</v>
      </c>
      <c r="F2231" s="3">
        <v>42835</v>
      </c>
      <c r="G2231" s="2">
        <v>201710</v>
      </c>
      <c r="H2231" s="2" t="s">
        <v>74</v>
      </c>
      <c r="I2231" s="2" t="s">
        <v>75</v>
      </c>
      <c r="J2231" s="2" t="s">
        <v>200</v>
      </c>
      <c r="K2231" s="2" t="s">
        <v>77</v>
      </c>
      <c r="L2231" s="2" t="s">
        <v>74</v>
      </c>
      <c r="M2231" s="2" t="s">
        <v>75</v>
      </c>
      <c r="N2231" s="2" t="s">
        <v>1855</v>
      </c>
      <c r="O2231" s="2" t="s">
        <v>1014</v>
      </c>
      <c r="P2231" s="2" t="str">
        <f>"2170558247                    "</f>
        <v xml:space="preserve">2170558247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5.98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15</v>
      </c>
      <c r="BJ2231" s="2">
        <v>8</v>
      </c>
      <c r="BK2231" s="2">
        <v>15</v>
      </c>
      <c r="BL2231" s="2">
        <v>58.19</v>
      </c>
      <c r="BM2231" s="2">
        <v>8.15</v>
      </c>
      <c r="BN2231" s="2">
        <v>66.34</v>
      </c>
      <c r="BO2231" s="2">
        <v>66.34</v>
      </c>
      <c r="BP2231" s="2"/>
      <c r="BQ2231" s="2" t="s">
        <v>1856</v>
      </c>
      <c r="BR2231" s="2" t="s">
        <v>204</v>
      </c>
      <c r="BS2231" s="3">
        <v>42836</v>
      </c>
      <c r="BT2231" s="4">
        <v>0.4375</v>
      </c>
      <c r="BU2231" s="2" t="s">
        <v>2638</v>
      </c>
      <c r="BV2231" s="2" t="s">
        <v>111</v>
      </c>
      <c r="BW2231" s="2"/>
      <c r="BX2231" s="2"/>
      <c r="BY2231" s="2">
        <v>40000</v>
      </c>
      <c r="BZ2231" s="2" t="s">
        <v>27</v>
      </c>
      <c r="CA2231" s="2"/>
      <c r="CB2231" s="2"/>
      <c r="CC2231" s="2" t="s">
        <v>75</v>
      </c>
      <c r="CD2231" s="2">
        <v>1601</v>
      </c>
      <c r="CE2231" s="2" t="s">
        <v>89</v>
      </c>
      <c r="CF2231" s="5">
        <v>42838</v>
      </c>
      <c r="CG2231" s="2"/>
      <c r="CH2231" s="2"/>
      <c r="CI2231" s="2">
        <v>1</v>
      </c>
      <c r="CJ2231" s="2">
        <v>1</v>
      </c>
      <c r="CK2231" s="2">
        <v>32</v>
      </c>
      <c r="CL2231" s="2" t="s">
        <v>86</v>
      </c>
      <c r="CM2231" s="2"/>
    </row>
    <row r="2232" spans="1:91">
      <c r="A2232" s="2" t="s">
        <v>71</v>
      </c>
      <c r="B2232" s="2" t="s">
        <v>72</v>
      </c>
      <c r="C2232" s="2" t="s">
        <v>73</v>
      </c>
      <c r="D2232" s="2"/>
      <c r="E2232" s="2" t="str">
        <f>"FES1162544020"</f>
        <v>FES1162544020</v>
      </c>
      <c r="F2232" s="3">
        <v>42844</v>
      </c>
      <c r="G2232" s="2">
        <v>201710</v>
      </c>
      <c r="H2232" s="2" t="s">
        <v>74</v>
      </c>
      <c r="I2232" s="2" t="s">
        <v>75</v>
      </c>
      <c r="J2232" s="2" t="s">
        <v>76</v>
      </c>
      <c r="K2232" s="2" t="s">
        <v>77</v>
      </c>
      <c r="L2232" s="2" t="s">
        <v>74</v>
      </c>
      <c r="M2232" s="2" t="s">
        <v>75</v>
      </c>
      <c r="N2232" s="2" t="s">
        <v>1383</v>
      </c>
      <c r="O2232" s="2" t="s">
        <v>115</v>
      </c>
      <c r="P2232" s="2" t="str">
        <f>"21705624666                   "</f>
        <v xml:space="preserve">21705624666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3.35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1</v>
      </c>
      <c r="BJ2232" s="2">
        <v>0.2</v>
      </c>
      <c r="BK2232" s="2">
        <v>1</v>
      </c>
      <c r="BL2232" s="2">
        <v>32.6</v>
      </c>
      <c r="BM2232" s="2">
        <v>4.5599999999999996</v>
      </c>
      <c r="BN2232" s="2">
        <v>37.159999999999997</v>
      </c>
      <c r="BO2232" s="2">
        <v>37.159999999999997</v>
      </c>
      <c r="BP2232" s="2"/>
      <c r="BQ2232" s="2" t="s">
        <v>1384</v>
      </c>
      <c r="BR2232" s="2" t="s">
        <v>84</v>
      </c>
      <c r="BS2232" s="3">
        <v>42845</v>
      </c>
      <c r="BT2232" s="4">
        <v>0.41666666666666669</v>
      </c>
      <c r="BU2232" s="2" t="s">
        <v>2152</v>
      </c>
      <c r="BV2232" s="2" t="s">
        <v>111</v>
      </c>
      <c r="BW2232" s="2"/>
      <c r="BX2232" s="2"/>
      <c r="BY2232" s="2">
        <v>1200</v>
      </c>
      <c r="BZ2232" s="2" t="s">
        <v>27</v>
      </c>
      <c r="CA2232" s="2"/>
      <c r="CB2232" s="2"/>
      <c r="CC2232" s="2" t="s">
        <v>75</v>
      </c>
      <c r="CD2232" s="2">
        <v>1600</v>
      </c>
      <c r="CE2232" s="2" t="s">
        <v>118</v>
      </c>
      <c r="CF2232" s="5">
        <v>42846</v>
      </c>
      <c r="CG2232" s="2"/>
      <c r="CH2232" s="2"/>
      <c r="CI2232" s="2">
        <v>1</v>
      </c>
      <c r="CJ2232" s="2">
        <v>1</v>
      </c>
      <c r="CK2232" s="2">
        <v>22</v>
      </c>
      <c r="CL2232" s="2" t="s">
        <v>86</v>
      </c>
      <c r="CM2232" s="2"/>
    </row>
    <row r="2233" spans="1:91">
      <c r="A2233" s="2" t="s">
        <v>71</v>
      </c>
      <c r="B2233" s="2" t="s">
        <v>72</v>
      </c>
      <c r="C2233" s="2" t="s">
        <v>73</v>
      </c>
      <c r="D2233" s="2"/>
      <c r="E2233" s="2" t="str">
        <f>"FES1162542249"</f>
        <v>FES1162542249</v>
      </c>
      <c r="F2233" s="3">
        <v>42835</v>
      </c>
      <c r="G2233" s="2">
        <v>201710</v>
      </c>
      <c r="H2233" s="2" t="s">
        <v>74</v>
      </c>
      <c r="I2233" s="2" t="s">
        <v>75</v>
      </c>
      <c r="J2233" s="2" t="s">
        <v>200</v>
      </c>
      <c r="K2233" s="2" t="s">
        <v>77</v>
      </c>
      <c r="L2233" s="2" t="s">
        <v>516</v>
      </c>
      <c r="M2233" s="2" t="s">
        <v>517</v>
      </c>
      <c r="N2233" s="2" t="s">
        <v>808</v>
      </c>
      <c r="O2233" s="2" t="s">
        <v>1014</v>
      </c>
      <c r="P2233" s="2" t="str">
        <f>"2170561153                    "</f>
        <v xml:space="preserve">2170561153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3.72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5.4</v>
      </c>
      <c r="BJ2233" s="2">
        <v>9</v>
      </c>
      <c r="BK2233" s="2">
        <v>9</v>
      </c>
      <c r="BL2233" s="2">
        <v>36.25</v>
      </c>
      <c r="BM2233" s="2">
        <v>5.08</v>
      </c>
      <c r="BN2233" s="2">
        <v>41.33</v>
      </c>
      <c r="BO2233" s="2">
        <v>41.33</v>
      </c>
      <c r="BP2233" s="2"/>
      <c r="BQ2233" s="2" t="s">
        <v>809</v>
      </c>
      <c r="BR2233" s="2" t="s">
        <v>204</v>
      </c>
      <c r="BS2233" s="3">
        <v>42836</v>
      </c>
      <c r="BT2233" s="4">
        <v>0.4375</v>
      </c>
      <c r="BU2233" s="2" t="s">
        <v>198</v>
      </c>
      <c r="BV2233" s="2" t="s">
        <v>111</v>
      </c>
      <c r="BW2233" s="2"/>
      <c r="BX2233" s="2"/>
      <c r="BY2233" s="2">
        <v>44751.23</v>
      </c>
      <c r="BZ2233" s="2" t="s">
        <v>27</v>
      </c>
      <c r="CA2233" s="2"/>
      <c r="CB2233" s="2"/>
      <c r="CC2233" s="2" t="s">
        <v>517</v>
      </c>
      <c r="CD2233" s="2">
        <v>1459</v>
      </c>
      <c r="CE2233" s="2" t="s">
        <v>89</v>
      </c>
      <c r="CF2233" s="5">
        <v>42838</v>
      </c>
      <c r="CG2233" s="2"/>
      <c r="CH2233" s="2"/>
      <c r="CI2233" s="2">
        <v>1</v>
      </c>
      <c r="CJ2233" s="2">
        <v>1</v>
      </c>
      <c r="CK2233" s="2">
        <v>32</v>
      </c>
      <c r="CL2233" s="2" t="s">
        <v>86</v>
      </c>
      <c r="CM2233" s="2"/>
    </row>
    <row r="2234" spans="1:91">
      <c r="A2234" s="2" t="s">
        <v>71</v>
      </c>
      <c r="B2234" s="2" t="s">
        <v>72</v>
      </c>
      <c r="C2234" s="2" t="s">
        <v>73</v>
      </c>
      <c r="D2234" s="2"/>
      <c r="E2234" s="2" t="str">
        <f>"FES1162544018"</f>
        <v>FES1162544018</v>
      </c>
      <c r="F2234" s="3">
        <v>42844</v>
      </c>
      <c r="G2234" s="2">
        <v>201710</v>
      </c>
      <c r="H2234" s="2" t="s">
        <v>74</v>
      </c>
      <c r="I2234" s="2" t="s">
        <v>75</v>
      </c>
      <c r="J2234" s="2" t="s">
        <v>76</v>
      </c>
      <c r="K2234" s="2" t="s">
        <v>77</v>
      </c>
      <c r="L2234" s="2" t="s">
        <v>516</v>
      </c>
      <c r="M2234" s="2" t="s">
        <v>517</v>
      </c>
      <c r="N2234" s="2" t="s">
        <v>1017</v>
      </c>
      <c r="O2234" s="2" t="s">
        <v>115</v>
      </c>
      <c r="P2234" s="2" t="str">
        <f>"2170562405                    "</f>
        <v xml:space="preserve">2170562405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3.35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2</v>
      </c>
      <c r="BJ2234" s="2">
        <v>1.3</v>
      </c>
      <c r="BK2234" s="2">
        <v>2</v>
      </c>
      <c r="BL2234" s="2">
        <v>32.6</v>
      </c>
      <c r="BM2234" s="2">
        <v>4.5599999999999996</v>
      </c>
      <c r="BN2234" s="2">
        <v>37.159999999999997</v>
      </c>
      <c r="BO2234" s="2">
        <v>37.159999999999997</v>
      </c>
      <c r="BP2234" s="2"/>
      <c r="BQ2234" s="2" t="s">
        <v>1018</v>
      </c>
      <c r="BR2234" s="2" t="s">
        <v>84</v>
      </c>
      <c r="BS2234" s="3">
        <v>42845</v>
      </c>
      <c r="BT2234" s="4">
        <v>0.31319444444444444</v>
      </c>
      <c r="BU2234" s="2" t="s">
        <v>2152</v>
      </c>
      <c r="BV2234" s="2" t="s">
        <v>111</v>
      </c>
      <c r="BW2234" s="2"/>
      <c r="BX2234" s="2"/>
      <c r="BY2234" s="2">
        <v>6600</v>
      </c>
      <c r="BZ2234" s="2" t="s">
        <v>27</v>
      </c>
      <c r="CA2234" s="2" t="s">
        <v>2639</v>
      </c>
      <c r="CB2234" s="2"/>
      <c r="CC2234" s="2" t="s">
        <v>517</v>
      </c>
      <c r="CD2234" s="2">
        <v>1459</v>
      </c>
      <c r="CE2234" s="2" t="s">
        <v>89</v>
      </c>
      <c r="CF2234" s="5">
        <v>42845</v>
      </c>
      <c r="CG2234" s="2"/>
      <c r="CH2234" s="2"/>
      <c r="CI2234" s="2">
        <v>1</v>
      </c>
      <c r="CJ2234" s="2">
        <v>1</v>
      </c>
      <c r="CK2234" s="2">
        <v>22</v>
      </c>
      <c r="CL2234" s="2" t="s">
        <v>86</v>
      </c>
      <c r="CM2234" s="2"/>
    </row>
    <row r="2235" spans="1:91">
      <c r="A2235" s="2" t="s">
        <v>71</v>
      </c>
      <c r="B2235" s="2" t="s">
        <v>72</v>
      </c>
      <c r="C2235" s="2" t="s">
        <v>73</v>
      </c>
      <c r="D2235" s="2"/>
      <c r="E2235" s="2" t="str">
        <f>"FES1162542058"</f>
        <v>FES1162542058</v>
      </c>
      <c r="F2235" s="3">
        <v>42831</v>
      </c>
      <c r="G2235" s="2">
        <v>201710</v>
      </c>
      <c r="H2235" s="2" t="s">
        <v>74</v>
      </c>
      <c r="I2235" s="2" t="s">
        <v>75</v>
      </c>
      <c r="J2235" s="2" t="s">
        <v>200</v>
      </c>
      <c r="K2235" s="2" t="s">
        <v>77</v>
      </c>
      <c r="L2235" s="2" t="s">
        <v>231</v>
      </c>
      <c r="M2235" s="2" t="s">
        <v>232</v>
      </c>
      <c r="N2235" s="2" t="s">
        <v>623</v>
      </c>
      <c r="O2235" s="2" t="s">
        <v>1014</v>
      </c>
      <c r="P2235" s="2" t="str">
        <f>"2170556841                    "</f>
        <v xml:space="preserve">2170556841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6.03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1.3</v>
      </c>
      <c r="BJ2235" s="2">
        <v>2.1</v>
      </c>
      <c r="BK2235" s="2">
        <v>3</v>
      </c>
      <c r="BL2235" s="2">
        <v>58.68</v>
      </c>
      <c r="BM2235" s="2">
        <v>8.2200000000000006</v>
      </c>
      <c r="BN2235" s="2">
        <v>66.900000000000006</v>
      </c>
      <c r="BO2235" s="2">
        <v>66.900000000000006</v>
      </c>
      <c r="BP2235" s="2"/>
      <c r="BQ2235" s="2" t="s">
        <v>122</v>
      </c>
      <c r="BR2235" s="2" t="s">
        <v>204</v>
      </c>
      <c r="BS2235" s="3">
        <v>42832</v>
      </c>
      <c r="BT2235" s="4">
        <v>0.53125</v>
      </c>
      <c r="BU2235" s="2" t="s">
        <v>2640</v>
      </c>
      <c r="BV2235" s="2" t="s">
        <v>111</v>
      </c>
      <c r="BW2235" s="2"/>
      <c r="BX2235" s="2"/>
      <c r="BY2235" s="2">
        <v>10304</v>
      </c>
      <c r="BZ2235" s="2" t="s">
        <v>27</v>
      </c>
      <c r="CA2235" s="2"/>
      <c r="CB2235" s="2"/>
      <c r="CC2235" s="2" t="s">
        <v>232</v>
      </c>
      <c r="CD2235" s="2">
        <v>250</v>
      </c>
      <c r="CE2235" s="2" t="s">
        <v>172</v>
      </c>
      <c r="CF2235" s="5">
        <v>42836</v>
      </c>
      <c r="CG2235" s="2"/>
      <c r="CH2235" s="2"/>
      <c r="CI2235" s="2">
        <v>1</v>
      </c>
      <c r="CJ2235" s="2">
        <v>1</v>
      </c>
      <c r="CK2235" s="2">
        <v>34</v>
      </c>
      <c r="CL2235" s="2" t="s">
        <v>86</v>
      </c>
      <c r="CM2235" s="2"/>
    </row>
    <row r="2236" spans="1:91">
      <c r="A2236" s="2" t="s">
        <v>71</v>
      </c>
      <c r="B2236" s="2" t="s">
        <v>72</v>
      </c>
      <c r="C2236" s="2" t="s">
        <v>73</v>
      </c>
      <c r="D2236" s="2"/>
      <c r="E2236" s="2" t="str">
        <f>"FES1162544232"</f>
        <v>FES1162544232</v>
      </c>
      <c r="F2236" s="3">
        <v>42844</v>
      </c>
      <c r="G2236" s="2">
        <v>201710</v>
      </c>
      <c r="H2236" s="2" t="s">
        <v>74</v>
      </c>
      <c r="I2236" s="2" t="s">
        <v>75</v>
      </c>
      <c r="J2236" s="2" t="s">
        <v>76</v>
      </c>
      <c r="K2236" s="2" t="s">
        <v>77</v>
      </c>
      <c r="L2236" s="2" t="s">
        <v>275</v>
      </c>
      <c r="M2236" s="2" t="s">
        <v>276</v>
      </c>
      <c r="N2236" s="2" t="s">
        <v>277</v>
      </c>
      <c r="O2236" s="2" t="s">
        <v>115</v>
      </c>
      <c r="P2236" s="2" t="str">
        <f>"2170562475                    "</f>
        <v xml:space="preserve">2170562475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6.43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2.7</v>
      </c>
      <c r="BJ2236" s="2">
        <v>1</v>
      </c>
      <c r="BK2236" s="2">
        <v>3</v>
      </c>
      <c r="BL2236" s="2">
        <v>62.59</v>
      </c>
      <c r="BM2236" s="2">
        <v>8.76</v>
      </c>
      <c r="BN2236" s="2">
        <v>71.349999999999994</v>
      </c>
      <c r="BO2236" s="2">
        <v>71.349999999999994</v>
      </c>
      <c r="BP2236" s="2"/>
      <c r="BQ2236" s="2" t="s">
        <v>278</v>
      </c>
      <c r="BR2236" s="2" t="s">
        <v>84</v>
      </c>
      <c r="BS2236" s="3">
        <v>42845</v>
      </c>
      <c r="BT2236" s="4">
        <v>0.34583333333333338</v>
      </c>
      <c r="BU2236" s="2" t="s">
        <v>1831</v>
      </c>
      <c r="BV2236" s="2" t="s">
        <v>111</v>
      </c>
      <c r="BW2236" s="2"/>
      <c r="BX2236" s="2"/>
      <c r="BY2236" s="2">
        <v>4789.5200000000004</v>
      </c>
      <c r="BZ2236" s="2" t="s">
        <v>27</v>
      </c>
      <c r="CA2236" s="2"/>
      <c r="CB2236" s="2"/>
      <c r="CC2236" s="2" t="s">
        <v>276</v>
      </c>
      <c r="CD2236" s="2">
        <v>4126</v>
      </c>
      <c r="CE2236" s="2" t="s">
        <v>89</v>
      </c>
      <c r="CF2236" s="5">
        <v>42846</v>
      </c>
      <c r="CG2236" s="2"/>
      <c r="CH2236" s="2"/>
      <c r="CI2236" s="2">
        <v>1</v>
      </c>
      <c r="CJ2236" s="2">
        <v>1</v>
      </c>
      <c r="CK2236" s="2">
        <v>21</v>
      </c>
      <c r="CL2236" s="2" t="s">
        <v>86</v>
      </c>
      <c r="CM2236" s="2"/>
    </row>
    <row r="2237" spans="1:91">
      <c r="A2237" s="2" t="s">
        <v>71</v>
      </c>
      <c r="B2237" s="2" t="s">
        <v>72</v>
      </c>
      <c r="C2237" s="2" t="s">
        <v>73</v>
      </c>
      <c r="D2237" s="2"/>
      <c r="E2237" s="2" t="str">
        <f>"FES1162542406"</f>
        <v>FES1162542406</v>
      </c>
      <c r="F2237" s="3">
        <v>42832</v>
      </c>
      <c r="G2237" s="2">
        <v>201710</v>
      </c>
      <c r="H2237" s="2" t="s">
        <v>74</v>
      </c>
      <c r="I2237" s="2" t="s">
        <v>75</v>
      </c>
      <c r="J2237" s="2" t="s">
        <v>200</v>
      </c>
      <c r="K2237" s="2" t="s">
        <v>77</v>
      </c>
      <c r="L2237" s="2" t="s">
        <v>74</v>
      </c>
      <c r="M2237" s="2" t="s">
        <v>75</v>
      </c>
      <c r="N2237" s="2" t="s">
        <v>1709</v>
      </c>
      <c r="O2237" s="2" t="s">
        <v>1014</v>
      </c>
      <c r="P2237" s="2" t="str">
        <f>"2170559866                    "</f>
        <v xml:space="preserve">2170559866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4.0999999999999996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2</v>
      </c>
      <c r="BI2237" s="2">
        <v>10</v>
      </c>
      <c r="BJ2237" s="2">
        <v>4.3</v>
      </c>
      <c r="BK2237" s="2">
        <v>10</v>
      </c>
      <c r="BL2237" s="2">
        <v>39.909999999999997</v>
      </c>
      <c r="BM2237" s="2">
        <v>5.59</v>
      </c>
      <c r="BN2237" s="2">
        <v>45.5</v>
      </c>
      <c r="BO2237" s="2">
        <v>45.5</v>
      </c>
      <c r="BP2237" s="2"/>
      <c r="BQ2237" s="2"/>
      <c r="BR2237" s="2" t="s">
        <v>204</v>
      </c>
      <c r="BS2237" s="3">
        <v>42835</v>
      </c>
      <c r="BT2237" s="4">
        <v>0.375</v>
      </c>
      <c r="BU2237" s="2" t="s">
        <v>977</v>
      </c>
      <c r="BV2237" s="2" t="s">
        <v>111</v>
      </c>
      <c r="BW2237" s="2"/>
      <c r="BX2237" s="2"/>
      <c r="BY2237" s="2">
        <v>21365.08</v>
      </c>
      <c r="BZ2237" s="2" t="s">
        <v>27</v>
      </c>
      <c r="CA2237" s="2"/>
      <c r="CB2237" s="2"/>
      <c r="CC2237" s="2" t="s">
        <v>75</v>
      </c>
      <c r="CD2237" s="2">
        <v>1619</v>
      </c>
      <c r="CE2237" s="2" t="s">
        <v>2641</v>
      </c>
      <c r="CF2237" s="5">
        <v>42836</v>
      </c>
      <c r="CG2237" s="2"/>
      <c r="CH2237" s="2"/>
      <c r="CI2237" s="2">
        <v>1</v>
      </c>
      <c r="CJ2237" s="2">
        <v>1</v>
      </c>
      <c r="CK2237" s="2">
        <v>32</v>
      </c>
      <c r="CL2237" s="2" t="s">
        <v>86</v>
      </c>
      <c r="CM2237" s="2"/>
    </row>
    <row r="2238" spans="1:91">
      <c r="A2238" s="2" t="s">
        <v>71</v>
      </c>
      <c r="B2238" s="2" t="s">
        <v>72</v>
      </c>
      <c r="C2238" s="2" t="s">
        <v>73</v>
      </c>
      <c r="D2238" s="2"/>
      <c r="E2238" s="2" t="str">
        <f>"FES1162544252"</f>
        <v>FES1162544252</v>
      </c>
      <c r="F2238" s="3">
        <v>42844</v>
      </c>
      <c r="G2238" s="2">
        <v>201710</v>
      </c>
      <c r="H2238" s="2" t="s">
        <v>74</v>
      </c>
      <c r="I2238" s="2" t="s">
        <v>75</v>
      </c>
      <c r="J2238" s="2" t="s">
        <v>76</v>
      </c>
      <c r="K2238" s="2" t="s">
        <v>77</v>
      </c>
      <c r="L2238" s="2" t="s">
        <v>176</v>
      </c>
      <c r="M2238" s="2" t="s">
        <v>176</v>
      </c>
      <c r="N2238" s="2" t="s">
        <v>460</v>
      </c>
      <c r="O2238" s="2" t="s">
        <v>115</v>
      </c>
      <c r="P2238" s="2" t="str">
        <f>"2170562848                    "</f>
        <v xml:space="preserve">2170562848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7.5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2</v>
      </c>
      <c r="BJ2238" s="2">
        <v>3.1</v>
      </c>
      <c r="BK2238" s="2">
        <v>3.5</v>
      </c>
      <c r="BL2238" s="2">
        <v>73.02</v>
      </c>
      <c r="BM2238" s="2">
        <v>10.220000000000001</v>
      </c>
      <c r="BN2238" s="2">
        <v>83.24</v>
      </c>
      <c r="BO2238" s="2">
        <v>83.24</v>
      </c>
      <c r="BP2238" s="2"/>
      <c r="BQ2238" s="2" t="s">
        <v>461</v>
      </c>
      <c r="BR2238" s="2" t="s">
        <v>84</v>
      </c>
      <c r="BS2238" s="3">
        <v>42845</v>
      </c>
      <c r="BT2238" s="4">
        <v>0.52777777777777779</v>
      </c>
      <c r="BU2238" s="2" t="s">
        <v>2642</v>
      </c>
      <c r="BV2238" s="2" t="s">
        <v>111</v>
      </c>
      <c r="BW2238" s="2"/>
      <c r="BX2238" s="2"/>
      <c r="BY2238" s="2">
        <v>15708</v>
      </c>
      <c r="BZ2238" s="2" t="s">
        <v>27</v>
      </c>
      <c r="CA2238" s="2"/>
      <c r="CB2238" s="2"/>
      <c r="CC2238" s="2" t="s">
        <v>176</v>
      </c>
      <c r="CD2238" s="2">
        <v>7646</v>
      </c>
      <c r="CE2238" s="2" t="s">
        <v>89</v>
      </c>
      <c r="CF2238" s="5">
        <v>42846</v>
      </c>
      <c r="CG2238" s="2"/>
      <c r="CH2238" s="2"/>
      <c r="CI2238" s="2">
        <v>1</v>
      </c>
      <c r="CJ2238" s="2">
        <v>1</v>
      </c>
      <c r="CK2238" s="2">
        <v>21</v>
      </c>
      <c r="CL2238" s="2" t="s">
        <v>86</v>
      </c>
      <c r="CM2238" s="2"/>
    </row>
    <row r="2239" spans="1:91">
      <c r="A2239" s="2" t="s">
        <v>71</v>
      </c>
      <c r="B2239" s="2" t="s">
        <v>72</v>
      </c>
      <c r="C2239" s="2" t="s">
        <v>73</v>
      </c>
      <c r="D2239" s="2"/>
      <c r="E2239" s="2" t="str">
        <f>"FES1162544257"</f>
        <v>FES1162544257</v>
      </c>
      <c r="F2239" s="3">
        <v>42844</v>
      </c>
      <c r="G2239" s="2">
        <v>201710</v>
      </c>
      <c r="H2239" s="2" t="s">
        <v>74</v>
      </c>
      <c r="I2239" s="2" t="s">
        <v>75</v>
      </c>
      <c r="J2239" s="2" t="s">
        <v>76</v>
      </c>
      <c r="K2239" s="2" t="s">
        <v>77</v>
      </c>
      <c r="L2239" s="2" t="s">
        <v>396</v>
      </c>
      <c r="M2239" s="2" t="s">
        <v>397</v>
      </c>
      <c r="N2239" s="2" t="s">
        <v>398</v>
      </c>
      <c r="O2239" s="2" t="s">
        <v>115</v>
      </c>
      <c r="P2239" s="2" t="str">
        <f>"2170562855                    "</f>
        <v xml:space="preserve">2170562855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4.29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41.73</v>
      </c>
      <c r="BM2239" s="2">
        <v>5.84</v>
      </c>
      <c r="BN2239" s="2">
        <v>47.57</v>
      </c>
      <c r="BO2239" s="2">
        <v>47.57</v>
      </c>
      <c r="BP2239" s="2"/>
      <c r="BQ2239" s="2" t="s">
        <v>399</v>
      </c>
      <c r="BR2239" s="2" t="s">
        <v>84</v>
      </c>
      <c r="BS2239" s="3">
        <v>42845</v>
      </c>
      <c r="BT2239" s="4">
        <v>0.39583333333333331</v>
      </c>
      <c r="BU2239" s="2" t="s">
        <v>2643</v>
      </c>
      <c r="BV2239" s="2" t="s">
        <v>111</v>
      </c>
      <c r="BW2239" s="2"/>
      <c r="BX2239" s="2"/>
      <c r="BY2239" s="2">
        <v>1200</v>
      </c>
      <c r="BZ2239" s="2" t="s">
        <v>27</v>
      </c>
      <c r="CA2239" s="2"/>
      <c r="CB2239" s="2"/>
      <c r="CC2239" s="2" t="s">
        <v>397</v>
      </c>
      <c r="CD2239" s="2">
        <v>4300</v>
      </c>
      <c r="CE2239" s="2" t="s">
        <v>118</v>
      </c>
      <c r="CF2239" s="5">
        <v>42846</v>
      </c>
      <c r="CG2239" s="2"/>
      <c r="CH2239" s="2"/>
      <c r="CI2239" s="2">
        <v>1</v>
      </c>
      <c r="CJ2239" s="2">
        <v>1</v>
      </c>
      <c r="CK2239" s="2">
        <v>21</v>
      </c>
      <c r="CL2239" s="2" t="s">
        <v>86</v>
      </c>
      <c r="CM2239" s="2"/>
    </row>
    <row r="2240" spans="1:91">
      <c r="A2240" s="2" t="s">
        <v>71</v>
      </c>
      <c r="B2240" s="2" t="s">
        <v>72</v>
      </c>
      <c r="C2240" s="2" t="s">
        <v>73</v>
      </c>
      <c r="D2240" s="2"/>
      <c r="E2240" s="2" t="str">
        <f>"FES1162542265"</f>
        <v>FES1162542265</v>
      </c>
      <c r="F2240" s="3">
        <v>42832</v>
      </c>
      <c r="G2240" s="2">
        <v>201710</v>
      </c>
      <c r="H2240" s="2" t="s">
        <v>74</v>
      </c>
      <c r="I2240" s="2" t="s">
        <v>75</v>
      </c>
      <c r="J2240" s="2" t="s">
        <v>200</v>
      </c>
      <c r="K2240" s="2" t="s">
        <v>77</v>
      </c>
      <c r="L2240" s="2" t="s">
        <v>166</v>
      </c>
      <c r="M2240" s="2" t="s">
        <v>167</v>
      </c>
      <c r="N2240" s="2" t="s">
        <v>1285</v>
      </c>
      <c r="O2240" s="2" t="s">
        <v>1014</v>
      </c>
      <c r="P2240" s="2" t="str">
        <f>"2170561178                    "</f>
        <v xml:space="preserve">2170561178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3.72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8.4</v>
      </c>
      <c r="BJ2240" s="2">
        <v>3.5</v>
      </c>
      <c r="BK2240" s="2">
        <v>9</v>
      </c>
      <c r="BL2240" s="2">
        <v>36.25</v>
      </c>
      <c r="BM2240" s="2">
        <v>5.08</v>
      </c>
      <c r="BN2240" s="2">
        <v>41.33</v>
      </c>
      <c r="BO2240" s="2">
        <v>41.33</v>
      </c>
      <c r="BP2240" s="2"/>
      <c r="BQ2240" s="2" t="s">
        <v>122</v>
      </c>
      <c r="BR2240" s="2" t="s">
        <v>204</v>
      </c>
      <c r="BS2240" s="3">
        <v>42835</v>
      </c>
      <c r="BT2240" s="4">
        <v>0.35972222222222222</v>
      </c>
      <c r="BU2240" s="2" t="s">
        <v>124</v>
      </c>
      <c r="BV2240" s="2" t="s">
        <v>111</v>
      </c>
      <c r="BW2240" s="2"/>
      <c r="BX2240" s="2"/>
      <c r="BY2240" s="2">
        <v>17275.22</v>
      </c>
      <c r="BZ2240" s="2" t="s">
        <v>27</v>
      </c>
      <c r="CA2240" s="2"/>
      <c r="CB2240" s="2"/>
      <c r="CC2240" s="2" t="s">
        <v>167</v>
      </c>
      <c r="CD2240" s="2">
        <v>2197</v>
      </c>
      <c r="CE2240" s="2" t="s">
        <v>89</v>
      </c>
      <c r="CF2240" s="5">
        <v>42836</v>
      </c>
      <c r="CG2240" s="2"/>
      <c r="CH2240" s="2"/>
      <c r="CI2240" s="2">
        <v>1</v>
      </c>
      <c r="CJ2240" s="2">
        <v>1</v>
      </c>
      <c r="CK2240" s="2">
        <v>32</v>
      </c>
      <c r="CL2240" s="2" t="s">
        <v>86</v>
      </c>
      <c r="CM2240" s="2"/>
    </row>
    <row r="2241" spans="1:91">
      <c r="A2241" s="2" t="s">
        <v>71</v>
      </c>
      <c r="B2241" s="2" t="s">
        <v>72</v>
      </c>
      <c r="C2241" s="2" t="s">
        <v>73</v>
      </c>
      <c r="D2241" s="2"/>
      <c r="E2241" s="2" t="str">
        <f>"FES1162544127"</f>
        <v>FES1162544127</v>
      </c>
      <c r="F2241" s="3">
        <v>42844</v>
      </c>
      <c r="G2241" s="2">
        <v>201710</v>
      </c>
      <c r="H2241" s="2" t="s">
        <v>74</v>
      </c>
      <c r="I2241" s="2" t="s">
        <v>75</v>
      </c>
      <c r="J2241" s="2" t="s">
        <v>76</v>
      </c>
      <c r="K2241" s="2" t="s">
        <v>77</v>
      </c>
      <c r="L2241" s="2" t="s">
        <v>516</v>
      </c>
      <c r="M2241" s="2" t="s">
        <v>517</v>
      </c>
      <c r="N2241" s="2" t="s">
        <v>815</v>
      </c>
      <c r="O2241" s="2" t="s">
        <v>115</v>
      </c>
      <c r="P2241" s="2" t="str">
        <f>"2170560771                    "</f>
        <v xml:space="preserve">2170560771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3.35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1</v>
      </c>
      <c r="BJ2241" s="2">
        <v>0.2</v>
      </c>
      <c r="BK2241" s="2">
        <v>1</v>
      </c>
      <c r="BL2241" s="2">
        <v>32.6</v>
      </c>
      <c r="BM2241" s="2">
        <v>4.5599999999999996</v>
      </c>
      <c r="BN2241" s="2">
        <v>37.159999999999997</v>
      </c>
      <c r="BO2241" s="2">
        <v>37.159999999999997</v>
      </c>
      <c r="BP2241" s="2"/>
      <c r="BQ2241" s="2" t="s">
        <v>816</v>
      </c>
      <c r="BR2241" s="2" t="s">
        <v>84</v>
      </c>
      <c r="BS2241" s="3">
        <v>42845</v>
      </c>
      <c r="BT2241" s="4">
        <v>0.38541666666666669</v>
      </c>
      <c r="BU2241" s="2" t="s">
        <v>290</v>
      </c>
      <c r="BV2241" s="2" t="s">
        <v>111</v>
      </c>
      <c r="BW2241" s="2"/>
      <c r="BX2241" s="2"/>
      <c r="BY2241" s="2">
        <v>1200</v>
      </c>
      <c r="BZ2241" s="2" t="s">
        <v>27</v>
      </c>
      <c r="CA2241" s="2"/>
      <c r="CB2241" s="2"/>
      <c r="CC2241" s="2" t="s">
        <v>517</v>
      </c>
      <c r="CD2241" s="2">
        <v>1459</v>
      </c>
      <c r="CE2241" s="2" t="s">
        <v>118</v>
      </c>
      <c r="CF2241" s="5">
        <v>42846</v>
      </c>
      <c r="CG2241" s="2"/>
      <c r="CH2241" s="2"/>
      <c r="CI2241" s="2">
        <v>1</v>
      </c>
      <c r="CJ2241" s="2">
        <v>1</v>
      </c>
      <c r="CK2241" s="2">
        <v>22</v>
      </c>
      <c r="CL2241" s="2" t="s">
        <v>86</v>
      </c>
      <c r="CM2241" s="2"/>
    </row>
    <row r="2242" spans="1:91">
      <c r="A2242" s="2" t="s">
        <v>71</v>
      </c>
      <c r="B2242" s="2" t="s">
        <v>72</v>
      </c>
      <c r="C2242" s="2" t="s">
        <v>73</v>
      </c>
      <c r="D2242" s="2"/>
      <c r="E2242" s="2" t="str">
        <f>"FES1162540875"</f>
        <v>FES1162540875</v>
      </c>
      <c r="F2242" s="3">
        <v>42832</v>
      </c>
      <c r="G2242" s="2">
        <v>201710</v>
      </c>
      <c r="H2242" s="2" t="s">
        <v>74</v>
      </c>
      <c r="I2242" s="2" t="s">
        <v>75</v>
      </c>
      <c r="J2242" s="2" t="s">
        <v>200</v>
      </c>
      <c r="K2242" s="2" t="s">
        <v>77</v>
      </c>
      <c r="L2242" s="2" t="s">
        <v>166</v>
      </c>
      <c r="M2242" s="2" t="s">
        <v>167</v>
      </c>
      <c r="N2242" s="2" t="s">
        <v>168</v>
      </c>
      <c r="O2242" s="2" t="s">
        <v>1014</v>
      </c>
      <c r="P2242" s="2" t="str">
        <f>"2170559707                    "</f>
        <v xml:space="preserve">2170559707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3.72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8.5</v>
      </c>
      <c r="BJ2242" s="2">
        <v>3.5</v>
      </c>
      <c r="BK2242" s="2">
        <v>9</v>
      </c>
      <c r="BL2242" s="2">
        <v>36.25</v>
      </c>
      <c r="BM2242" s="2">
        <v>5.08</v>
      </c>
      <c r="BN2242" s="2">
        <v>41.33</v>
      </c>
      <c r="BO2242" s="2">
        <v>41.33</v>
      </c>
      <c r="BP2242" s="2"/>
      <c r="BQ2242" s="2" t="s">
        <v>169</v>
      </c>
      <c r="BR2242" s="2" t="s">
        <v>204</v>
      </c>
      <c r="BS2242" s="3">
        <v>42835</v>
      </c>
      <c r="BT2242" s="4">
        <v>0.33888888888888885</v>
      </c>
      <c r="BU2242" s="2" t="s">
        <v>823</v>
      </c>
      <c r="BV2242" s="2" t="s">
        <v>111</v>
      </c>
      <c r="BW2242" s="2"/>
      <c r="BX2242" s="2"/>
      <c r="BY2242" s="2">
        <v>17651.490000000002</v>
      </c>
      <c r="BZ2242" s="2" t="s">
        <v>27</v>
      </c>
      <c r="CA2242" s="2" t="s">
        <v>171</v>
      </c>
      <c r="CB2242" s="2"/>
      <c r="CC2242" s="2" t="s">
        <v>167</v>
      </c>
      <c r="CD2242" s="2">
        <v>2094</v>
      </c>
      <c r="CE2242" s="2" t="s">
        <v>2644</v>
      </c>
      <c r="CF2242" s="5">
        <v>42836</v>
      </c>
      <c r="CG2242" s="2"/>
      <c r="CH2242" s="2"/>
      <c r="CI2242" s="2">
        <v>1</v>
      </c>
      <c r="CJ2242" s="2">
        <v>1</v>
      </c>
      <c r="CK2242" s="2">
        <v>32</v>
      </c>
      <c r="CL2242" s="2" t="s">
        <v>86</v>
      </c>
      <c r="CM2242" s="2"/>
    </row>
    <row r="2243" spans="1:91">
      <c r="A2243" s="2" t="s">
        <v>71</v>
      </c>
      <c r="B2243" s="2" t="s">
        <v>72</v>
      </c>
      <c r="C2243" s="2" t="s">
        <v>73</v>
      </c>
      <c r="D2243" s="2"/>
      <c r="E2243" s="2" t="str">
        <f>"FES11622544234"</f>
        <v>FES11622544234</v>
      </c>
      <c r="F2243" s="3">
        <v>42844</v>
      </c>
      <c r="G2243" s="2">
        <v>201710</v>
      </c>
      <c r="H2243" s="2" t="s">
        <v>74</v>
      </c>
      <c r="I2243" s="2" t="s">
        <v>75</v>
      </c>
      <c r="J2243" s="2" t="s">
        <v>76</v>
      </c>
      <c r="K2243" s="2" t="s">
        <v>77</v>
      </c>
      <c r="L2243" s="2" t="s">
        <v>474</v>
      </c>
      <c r="M2243" s="2" t="s">
        <v>475</v>
      </c>
      <c r="N2243" s="2" t="s">
        <v>1001</v>
      </c>
      <c r="O2243" s="2" t="s">
        <v>115</v>
      </c>
      <c r="P2243" s="2" t="str">
        <f>"2170562833                    "</f>
        <v xml:space="preserve">2170562833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4.29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1</v>
      </c>
      <c r="BJ2243" s="2">
        <v>0.2</v>
      </c>
      <c r="BK2243" s="2">
        <v>1</v>
      </c>
      <c r="BL2243" s="2">
        <v>41.73</v>
      </c>
      <c r="BM2243" s="2">
        <v>5.84</v>
      </c>
      <c r="BN2243" s="2">
        <v>47.57</v>
      </c>
      <c r="BO2243" s="2">
        <v>47.57</v>
      </c>
      <c r="BP2243" s="2"/>
      <c r="BQ2243" s="2" t="s">
        <v>472</v>
      </c>
      <c r="BR2243" s="2" t="s">
        <v>84</v>
      </c>
      <c r="BS2243" s="3">
        <v>42845</v>
      </c>
      <c r="BT2243" s="4">
        <v>0.3979166666666667</v>
      </c>
      <c r="BU2243" s="2" t="s">
        <v>1738</v>
      </c>
      <c r="BV2243" s="2" t="s">
        <v>111</v>
      </c>
      <c r="BW2243" s="2"/>
      <c r="BX2243" s="2"/>
      <c r="BY2243" s="2">
        <v>1200</v>
      </c>
      <c r="BZ2243" s="2" t="s">
        <v>27</v>
      </c>
      <c r="CA2243" s="2"/>
      <c r="CB2243" s="2"/>
      <c r="CC2243" s="2" t="s">
        <v>475</v>
      </c>
      <c r="CD2243" s="2">
        <v>3290</v>
      </c>
      <c r="CE2243" s="2" t="s">
        <v>118</v>
      </c>
      <c r="CF2243" s="5">
        <v>42846</v>
      </c>
      <c r="CG2243" s="2"/>
      <c r="CH2243" s="2"/>
      <c r="CI2243" s="2">
        <v>1</v>
      </c>
      <c r="CJ2243" s="2">
        <v>1</v>
      </c>
      <c r="CK2243" s="2">
        <v>21</v>
      </c>
      <c r="CL2243" s="2" t="s">
        <v>86</v>
      </c>
      <c r="CM2243" s="2"/>
    </row>
    <row r="2244" spans="1:91">
      <c r="A2244" s="2" t="s">
        <v>71</v>
      </c>
      <c r="B2244" s="2" t="s">
        <v>72</v>
      </c>
      <c r="C2244" s="2" t="s">
        <v>73</v>
      </c>
      <c r="D2244" s="2"/>
      <c r="E2244" s="2" t="str">
        <f>"FES1162544010"</f>
        <v>FES1162544010</v>
      </c>
      <c r="F2244" s="3">
        <v>42844</v>
      </c>
      <c r="G2244" s="2">
        <v>201710</v>
      </c>
      <c r="H2244" s="2" t="s">
        <v>74</v>
      </c>
      <c r="I2244" s="2" t="s">
        <v>75</v>
      </c>
      <c r="J2244" s="2" t="s">
        <v>76</v>
      </c>
      <c r="K2244" s="2" t="s">
        <v>77</v>
      </c>
      <c r="L2244" s="2" t="s">
        <v>166</v>
      </c>
      <c r="M2244" s="2" t="s">
        <v>167</v>
      </c>
      <c r="N2244" s="2" t="s">
        <v>2645</v>
      </c>
      <c r="O2244" s="2" t="s">
        <v>115</v>
      </c>
      <c r="P2244" s="2" t="str">
        <f>"2170562611                    "</f>
        <v xml:space="preserve">2170562611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3.35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1</v>
      </c>
      <c r="BJ2244" s="2">
        <v>0.2</v>
      </c>
      <c r="BK2244" s="2">
        <v>1</v>
      </c>
      <c r="BL2244" s="2">
        <v>32.6</v>
      </c>
      <c r="BM2244" s="2">
        <v>4.5599999999999996</v>
      </c>
      <c r="BN2244" s="2">
        <v>37.159999999999997</v>
      </c>
      <c r="BO2244" s="2">
        <v>37.159999999999997</v>
      </c>
      <c r="BP2244" s="2"/>
      <c r="BQ2244" s="2"/>
      <c r="BR2244" s="2" t="s">
        <v>84</v>
      </c>
      <c r="BS2244" s="3">
        <v>42845</v>
      </c>
      <c r="BT2244" s="4">
        <v>0.2986111111111111</v>
      </c>
      <c r="BU2244" s="2" t="s">
        <v>2646</v>
      </c>
      <c r="BV2244" s="2" t="s">
        <v>111</v>
      </c>
      <c r="BW2244" s="2"/>
      <c r="BX2244" s="2"/>
      <c r="BY2244" s="2">
        <v>1200</v>
      </c>
      <c r="BZ2244" s="2" t="s">
        <v>27</v>
      </c>
      <c r="CA2244" s="2" t="s">
        <v>2312</v>
      </c>
      <c r="CB2244" s="2"/>
      <c r="CC2244" s="2" t="s">
        <v>167</v>
      </c>
      <c r="CD2244" s="2">
        <v>2094</v>
      </c>
      <c r="CE2244" s="2" t="s">
        <v>118</v>
      </c>
      <c r="CF2244" s="5">
        <v>42845</v>
      </c>
      <c r="CG2244" s="2"/>
      <c r="CH2244" s="2"/>
      <c r="CI2244" s="2">
        <v>1</v>
      </c>
      <c r="CJ2244" s="2">
        <v>1</v>
      </c>
      <c r="CK2244" s="2">
        <v>22</v>
      </c>
      <c r="CL2244" s="2" t="s">
        <v>86</v>
      </c>
      <c r="CM2244" s="2"/>
    </row>
    <row r="2245" spans="1:91">
      <c r="A2245" s="2" t="s">
        <v>71</v>
      </c>
      <c r="B2245" s="2" t="s">
        <v>72</v>
      </c>
      <c r="C2245" s="2" t="s">
        <v>73</v>
      </c>
      <c r="D2245" s="2"/>
      <c r="E2245" s="2" t="str">
        <f>"FES1162542303"</f>
        <v>FES1162542303</v>
      </c>
      <c r="F2245" s="3">
        <v>42832</v>
      </c>
      <c r="G2245" s="2">
        <v>201710</v>
      </c>
      <c r="H2245" s="2" t="s">
        <v>74</v>
      </c>
      <c r="I2245" s="2" t="s">
        <v>75</v>
      </c>
      <c r="J2245" s="2" t="s">
        <v>200</v>
      </c>
      <c r="K2245" s="2" t="s">
        <v>77</v>
      </c>
      <c r="L2245" s="2" t="s">
        <v>260</v>
      </c>
      <c r="M2245" s="2" t="s">
        <v>261</v>
      </c>
      <c r="N2245" s="2" t="s">
        <v>1371</v>
      </c>
      <c r="O2245" s="2" t="s">
        <v>1014</v>
      </c>
      <c r="P2245" s="2" t="str">
        <f>"2170561192                    "</f>
        <v xml:space="preserve">2170561192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3.72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2</v>
      </c>
      <c r="BI2245" s="2">
        <v>8.6</v>
      </c>
      <c r="BJ2245" s="2">
        <v>3.7</v>
      </c>
      <c r="BK2245" s="2">
        <v>9</v>
      </c>
      <c r="BL2245" s="2">
        <v>36.25</v>
      </c>
      <c r="BM2245" s="2">
        <v>5.08</v>
      </c>
      <c r="BN2245" s="2">
        <v>41.33</v>
      </c>
      <c r="BO2245" s="2">
        <v>41.33</v>
      </c>
      <c r="BP2245" s="2"/>
      <c r="BQ2245" s="2" t="s">
        <v>1372</v>
      </c>
      <c r="BR2245" s="2" t="s">
        <v>204</v>
      </c>
      <c r="BS2245" s="3">
        <v>42835</v>
      </c>
      <c r="BT2245" s="4">
        <v>0.4375</v>
      </c>
      <c r="BU2245" s="2" t="s">
        <v>2501</v>
      </c>
      <c r="BV2245" s="2" t="s">
        <v>111</v>
      </c>
      <c r="BW2245" s="2"/>
      <c r="BX2245" s="2"/>
      <c r="BY2245" s="2">
        <v>18279.95</v>
      </c>
      <c r="BZ2245" s="2" t="s">
        <v>27</v>
      </c>
      <c r="CA2245" s="2"/>
      <c r="CB2245" s="2"/>
      <c r="CC2245" s="2" t="s">
        <v>261</v>
      </c>
      <c r="CD2245" s="2">
        <v>1451</v>
      </c>
      <c r="CE2245" s="2" t="s">
        <v>135</v>
      </c>
      <c r="CF2245" s="5">
        <v>42836</v>
      </c>
      <c r="CG2245" s="2"/>
      <c r="CH2245" s="2"/>
      <c r="CI2245" s="2">
        <v>1</v>
      </c>
      <c r="CJ2245" s="2">
        <v>1</v>
      </c>
      <c r="CK2245" s="2">
        <v>32</v>
      </c>
      <c r="CL2245" s="2" t="s">
        <v>86</v>
      </c>
      <c r="CM2245" s="2"/>
    </row>
    <row r="2246" spans="1:91">
      <c r="A2246" s="2" t="s">
        <v>71</v>
      </c>
      <c r="B2246" s="2" t="s">
        <v>72</v>
      </c>
      <c r="C2246" s="2" t="s">
        <v>73</v>
      </c>
      <c r="D2246" s="2"/>
      <c r="E2246" s="2" t="str">
        <f>"FES1162544023"</f>
        <v>FES1162544023</v>
      </c>
      <c r="F2246" s="3">
        <v>42844</v>
      </c>
      <c r="G2246" s="2">
        <v>201710</v>
      </c>
      <c r="H2246" s="2" t="s">
        <v>74</v>
      </c>
      <c r="I2246" s="2" t="s">
        <v>75</v>
      </c>
      <c r="J2246" s="2" t="s">
        <v>76</v>
      </c>
      <c r="K2246" s="2" t="s">
        <v>77</v>
      </c>
      <c r="L2246" s="2" t="s">
        <v>74</v>
      </c>
      <c r="M2246" s="2" t="s">
        <v>75</v>
      </c>
      <c r="N2246" s="2" t="s">
        <v>136</v>
      </c>
      <c r="O2246" s="2" t="s">
        <v>115</v>
      </c>
      <c r="P2246" s="2" t="str">
        <f>"2170562616                    "</f>
        <v xml:space="preserve">2170562616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3.35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1</v>
      </c>
      <c r="BJ2246" s="2">
        <v>0.2</v>
      </c>
      <c r="BK2246" s="2">
        <v>1</v>
      </c>
      <c r="BL2246" s="2">
        <v>32.6</v>
      </c>
      <c r="BM2246" s="2">
        <v>4.5599999999999996</v>
      </c>
      <c r="BN2246" s="2">
        <v>37.159999999999997</v>
      </c>
      <c r="BO2246" s="2">
        <v>37.159999999999997</v>
      </c>
      <c r="BP2246" s="2"/>
      <c r="BQ2246" s="2" t="s">
        <v>137</v>
      </c>
      <c r="BR2246" s="2" t="s">
        <v>84</v>
      </c>
      <c r="BS2246" s="3">
        <v>42845</v>
      </c>
      <c r="BT2246" s="4">
        <v>0.41666666666666669</v>
      </c>
      <c r="BU2246" s="2" t="s">
        <v>1508</v>
      </c>
      <c r="BV2246" s="2" t="s">
        <v>111</v>
      </c>
      <c r="BW2246" s="2"/>
      <c r="BX2246" s="2"/>
      <c r="BY2246" s="2">
        <v>1200</v>
      </c>
      <c r="BZ2246" s="2" t="s">
        <v>27</v>
      </c>
      <c r="CA2246" s="2"/>
      <c r="CB2246" s="2"/>
      <c r="CC2246" s="2" t="s">
        <v>75</v>
      </c>
      <c r="CD2246" s="2">
        <v>1624</v>
      </c>
      <c r="CE2246" s="2" t="s">
        <v>118</v>
      </c>
      <c r="CF2246" s="5">
        <v>42846</v>
      </c>
      <c r="CG2246" s="2"/>
      <c r="CH2246" s="2"/>
      <c r="CI2246" s="2">
        <v>1</v>
      </c>
      <c r="CJ2246" s="2">
        <v>1</v>
      </c>
      <c r="CK2246" s="2">
        <v>22</v>
      </c>
      <c r="CL2246" s="2" t="s">
        <v>86</v>
      </c>
      <c r="CM2246" s="2"/>
    </row>
    <row r="2247" spans="1:91">
      <c r="A2247" s="2" t="s">
        <v>71</v>
      </c>
      <c r="B2247" s="2" t="s">
        <v>72</v>
      </c>
      <c r="C2247" s="2" t="s">
        <v>73</v>
      </c>
      <c r="D2247" s="2"/>
      <c r="E2247" s="2" t="str">
        <f>"FES1162542331"</f>
        <v>FES1162542331</v>
      </c>
      <c r="F2247" s="3">
        <v>42832</v>
      </c>
      <c r="G2247" s="2">
        <v>201710</v>
      </c>
      <c r="H2247" s="2" t="s">
        <v>74</v>
      </c>
      <c r="I2247" s="2" t="s">
        <v>75</v>
      </c>
      <c r="J2247" s="2" t="s">
        <v>200</v>
      </c>
      <c r="K2247" s="2" t="s">
        <v>77</v>
      </c>
      <c r="L2247" s="2" t="s">
        <v>299</v>
      </c>
      <c r="M2247" s="2" t="s">
        <v>300</v>
      </c>
      <c r="N2247" s="2" t="s">
        <v>2647</v>
      </c>
      <c r="O2247" s="2" t="s">
        <v>1014</v>
      </c>
      <c r="P2247" s="2" t="str">
        <f>"2170550005                    "</f>
        <v xml:space="preserve">2170550005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6.03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4</v>
      </c>
      <c r="BJ2247" s="2">
        <v>1.5</v>
      </c>
      <c r="BK2247" s="2">
        <v>4</v>
      </c>
      <c r="BL2247" s="2">
        <v>58.68</v>
      </c>
      <c r="BM2247" s="2">
        <v>8.2200000000000006</v>
      </c>
      <c r="BN2247" s="2">
        <v>66.900000000000006</v>
      </c>
      <c r="BO2247" s="2">
        <v>66.900000000000006</v>
      </c>
      <c r="BP2247" s="2"/>
      <c r="BQ2247" s="2" t="s">
        <v>2648</v>
      </c>
      <c r="BR2247" s="2" t="s">
        <v>204</v>
      </c>
      <c r="BS2247" s="3">
        <v>42835</v>
      </c>
      <c r="BT2247" s="4">
        <v>0.47083333333333338</v>
      </c>
      <c r="BU2247" s="2" t="s">
        <v>338</v>
      </c>
      <c r="BV2247" s="2" t="s">
        <v>111</v>
      </c>
      <c r="BW2247" s="2"/>
      <c r="BX2247" s="2"/>
      <c r="BY2247" s="2">
        <v>7700</v>
      </c>
      <c r="BZ2247" s="2" t="s">
        <v>27</v>
      </c>
      <c r="CA2247" s="2"/>
      <c r="CB2247" s="2"/>
      <c r="CC2247" s="2" t="s">
        <v>300</v>
      </c>
      <c r="CD2247" s="2">
        <v>208</v>
      </c>
      <c r="CE2247" s="2" t="s">
        <v>135</v>
      </c>
      <c r="CF2247" s="5">
        <v>42837</v>
      </c>
      <c r="CG2247" s="2"/>
      <c r="CH2247" s="2"/>
      <c r="CI2247" s="2">
        <v>0</v>
      </c>
      <c r="CJ2247" s="2">
        <v>0</v>
      </c>
      <c r="CK2247" s="2">
        <v>34</v>
      </c>
      <c r="CL2247" s="2" t="s">
        <v>86</v>
      </c>
      <c r="CM2247" s="2"/>
    </row>
    <row r="2248" spans="1:91">
      <c r="A2248" s="2" t="s">
        <v>71</v>
      </c>
      <c r="B2248" s="2" t="s">
        <v>72</v>
      </c>
      <c r="C2248" s="2" t="s">
        <v>73</v>
      </c>
      <c r="D2248" s="2"/>
      <c r="E2248" s="2" t="str">
        <f>"FES1162544276"</f>
        <v>FES1162544276</v>
      </c>
      <c r="F2248" s="3">
        <v>42844</v>
      </c>
      <c r="G2248" s="2">
        <v>201710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2649</v>
      </c>
      <c r="M2248" s="2" t="s">
        <v>2650</v>
      </c>
      <c r="N2248" s="2" t="s">
        <v>2651</v>
      </c>
      <c r="O2248" s="2" t="s">
        <v>115</v>
      </c>
      <c r="P2248" s="2" t="str">
        <f>"2170559692                    "</f>
        <v xml:space="preserve">2170559692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8.31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1</v>
      </c>
      <c r="BJ2248" s="2">
        <v>0.2</v>
      </c>
      <c r="BK2248" s="2">
        <v>1</v>
      </c>
      <c r="BL2248" s="2">
        <v>80.849999999999994</v>
      </c>
      <c r="BM2248" s="2">
        <v>11.32</v>
      </c>
      <c r="BN2248" s="2">
        <v>92.17</v>
      </c>
      <c r="BO2248" s="2">
        <v>92.17</v>
      </c>
      <c r="BP2248" s="2"/>
      <c r="BQ2248" s="2" t="s">
        <v>116</v>
      </c>
      <c r="BR2248" s="2" t="s">
        <v>84</v>
      </c>
      <c r="BS2248" s="3">
        <v>42845</v>
      </c>
      <c r="BT2248" s="4">
        <v>0.64097222222222217</v>
      </c>
      <c r="BU2248" s="2" t="s">
        <v>2652</v>
      </c>
      <c r="BV2248" s="2" t="s">
        <v>111</v>
      </c>
      <c r="BW2248" s="2"/>
      <c r="BX2248" s="2"/>
      <c r="BY2248" s="2">
        <v>1200</v>
      </c>
      <c r="BZ2248" s="2" t="s">
        <v>27</v>
      </c>
      <c r="CA2248" s="2"/>
      <c r="CB2248" s="2"/>
      <c r="CC2248" s="2" t="s">
        <v>2650</v>
      </c>
      <c r="CD2248" s="2">
        <v>5850</v>
      </c>
      <c r="CE2248" s="2" t="s">
        <v>118</v>
      </c>
      <c r="CF2248" s="2"/>
      <c r="CG2248" s="2"/>
      <c r="CH2248" s="2"/>
      <c r="CI2248" s="2">
        <v>3</v>
      </c>
      <c r="CJ2248" s="2">
        <v>1</v>
      </c>
      <c r="CK2248" s="2">
        <v>23</v>
      </c>
      <c r="CL2248" s="2" t="s">
        <v>86</v>
      </c>
      <c r="CM2248" s="2"/>
    </row>
    <row r="2249" spans="1:91">
      <c r="A2249" s="2" t="s">
        <v>71</v>
      </c>
      <c r="B2249" s="2" t="s">
        <v>72</v>
      </c>
      <c r="C2249" s="2" t="s">
        <v>73</v>
      </c>
      <c r="D2249" s="2"/>
      <c r="E2249" s="2" t="str">
        <f>"FES11622544074"</f>
        <v>FES11622544074</v>
      </c>
      <c r="F2249" s="3">
        <v>42844</v>
      </c>
      <c r="G2249" s="2">
        <v>201710</v>
      </c>
      <c r="H2249" s="2" t="s">
        <v>74</v>
      </c>
      <c r="I2249" s="2" t="s">
        <v>75</v>
      </c>
      <c r="J2249" s="2" t="s">
        <v>76</v>
      </c>
      <c r="K2249" s="2" t="s">
        <v>77</v>
      </c>
      <c r="L2249" s="2" t="s">
        <v>267</v>
      </c>
      <c r="M2249" s="2" t="s">
        <v>268</v>
      </c>
      <c r="N2249" s="2" t="s">
        <v>2653</v>
      </c>
      <c r="O2249" s="2" t="s">
        <v>115</v>
      </c>
      <c r="P2249" s="2" t="str">
        <f>"2170562674                    "</f>
        <v xml:space="preserve">2170562674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3.35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1</v>
      </c>
      <c r="BJ2249" s="2">
        <v>0.2</v>
      </c>
      <c r="BK2249" s="2">
        <v>1</v>
      </c>
      <c r="BL2249" s="2">
        <v>32.6</v>
      </c>
      <c r="BM2249" s="2">
        <v>4.5599999999999996</v>
      </c>
      <c r="BN2249" s="2">
        <v>37.159999999999997</v>
      </c>
      <c r="BO2249" s="2">
        <v>37.159999999999997</v>
      </c>
      <c r="BP2249" s="2"/>
      <c r="BQ2249" s="2" t="s">
        <v>2654</v>
      </c>
      <c r="BR2249" s="2" t="s">
        <v>84</v>
      </c>
      <c r="BS2249" s="3">
        <v>42845</v>
      </c>
      <c r="BT2249" s="4">
        <v>0.41666666666666669</v>
      </c>
      <c r="BU2249" s="2" t="s">
        <v>2655</v>
      </c>
      <c r="BV2249" s="2" t="s">
        <v>111</v>
      </c>
      <c r="BW2249" s="2"/>
      <c r="BX2249" s="2"/>
      <c r="BY2249" s="2">
        <v>1200</v>
      </c>
      <c r="BZ2249" s="2" t="s">
        <v>27</v>
      </c>
      <c r="CA2249" s="2" t="s">
        <v>159</v>
      </c>
      <c r="CB2249" s="2"/>
      <c r="CC2249" s="2" t="s">
        <v>268</v>
      </c>
      <c r="CD2249" s="2">
        <v>1700</v>
      </c>
      <c r="CE2249" s="2" t="s">
        <v>118</v>
      </c>
      <c r="CF2249" s="2"/>
      <c r="CG2249" s="2"/>
      <c r="CH2249" s="2"/>
      <c r="CI2249" s="2">
        <v>1</v>
      </c>
      <c r="CJ2249" s="2">
        <v>1</v>
      </c>
      <c r="CK2249" s="2">
        <v>22</v>
      </c>
      <c r="CL2249" s="2" t="s">
        <v>86</v>
      </c>
      <c r="CM2249" s="2"/>
    </row>
    <row r="2250" spans="1:91">
      <c r="A2250" s="2" t="s">
        <v>71</v>
      </c>
      <c r="B2250" s="2" t="s">
        <v>72</v>
      </c>
      <c r="C2250" s="2" t="s">
        <v>73</v>
      </c>
      <c r="D2250" s="2"/>
      <c r="E2250" s="2" t="str">
        <f>"FES1162544058"</f>
        <v>FES1162544058</v>
      </c>
      <c r="F2250" s="3">
        <v>42844</v>
      </c>
      <c r="G2250" s="2">
        <v>201710</v>
      </c>
      <c r="H2250" s="2" t="s">
        <v>74</v>
      </c>
      <c r="I2250" s="2" t="s">
        <v>75</v>
      </c>
      <c r="J2250" s="2" t="s">
        <v>76</v>
      </c>
      <c r="K2250" s="2" t="s">
        <v>77</v>
      </c>
      <c r="L2250" s="2" t="s">
        <v>166</v>
      </c>
      <c r="M2250" s="2" t="s">
        <v>167</v>
      </c>
      <c r="N2250" s="2" t="s">
        <v>2656</v>
      </c>
      <c r="O2250" s="2" t="s">
        <v>115</v>
      </c>
      <c r="P2250" s="2" t="str">
        <f>"2170562660                    "</f>
        <v xml:space="preserve">2170562660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3.35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1</v>
      </c>
      <c r="BJ2250" s="2">
        <v>0.2</v>
      </c>
      <c r="BK2250" s="2">
        <v>1</v>
      </c>
      <c r="BL2250" s="2">
        <v>32.6</v>
      </c>
      <c r="BM2250" s="2">
        <v>4.5599999999999996</v>
      </c>
      <c r="BN2250" s="2">
        <v>37.159999999999997</v>
      </c>
      <c r="BO2250" s="2">
        <v>37.159999999999997</v>
      </c>
      <c r="BP2250" s="2"/>
      <c r="BQ2250" s="2" t="s">
        <v>293</v>
      </c>
      <c r="BR2250" s="2" t="s">
        <v>84</v>
      </c>
      <c r="BS2250" s="3">
        <v>42845</v>
      </c>
      <c r="BT2250" s="4">
        <v>0.4152777777777778</v>
      </c>
      <c r="BU2250" s="2" t="s">
        <v>2657</v>
      </c>
      <c r="BV2250" s="2" t="s">
        <v>111</v>
      </c>
      <c r="BW2250" s="2"/>
      <c r="BX2250" s="2"/>
      <c r="BY2250" s="2">
        <v>1200</v>
      </c>
      <c r="BZ2250" s="2" t="s">
        <v>27</v>
      </c>
      <c r="CA2250" s="2" t="s">
        <v>1175</v>
      </c>
      <c r="CB2250" s="2"/>
      <c r="CC2250" s="2" t="s">
        <v>167</v>
      </c>
      <c r="CD2250" s="2">
        <v>1832</v>
      </c>
      <c r="CE2250" s="2" t="s">
        <v>118</v>
      </c>
      <c r="CF2250" s="5">
        <v>42845</v>
      </c>
      <c r="CG2250" s="2"/>
      <c r="CH2250" s="2"/>
      <c r="CI2250" s="2">
        <v>1</v>
      </c>
      <c r="CJ2250" s="2">
        <v>1</v>
      </c>
      <c r="CK2250" s="2">
        <v>22</v>
      </c>
      <c r="CL2250" s="2" t="s">
        <v>86</v>
      </c>
      <c r="CM2250" s="2"/>
    </row>
    <row r="2251" spans="1:91">
      <c r="A2251" s="2" t="s">
        <v>71</v>
      </c>
      <c r="B2251" s="2" t="s">
        <v>72</v>
      </c>
      <c r="C2251" s="2" t="s">
        <v>73</v>
      </c>
      <c r="D2251" s="2"/>
      <c r="E2251" s="2" t="str">
        <f>"FES1162542277"</f>
        <v>FES1162542277</v>
      </c>
      <c r="F2251" s="3">
        <v>42832</v>
      </c>
      <c r="G2251" s="2">
        <v>201710</v>
      </c>
      <c r="H2251" s="2" t="s">
        <v>74</v>
      </c>
      <c r="I2251" s="2" t="s">
        <v>75</v>
      </c>
      <c r="J2251" s="2" t="s">
        <v>200</v>
      </c>
      <c r="K2251" s="2" t="s">
        <v>77</v>
      </c>
      <c r="L2251" s="2" t="s">
        <v>231</v>
      </c>
      <c r="M2251" s="2" t="s">
        <v>232</v>
      </c>
      <c r="N2251" s="2" t="s">
        <v>316</v>
      </c>
      <c r="O2251" s="2" t="s">
        <v>1014</v>
      </c>
      <c r="P2251" s="2" t="str">
        <f>"2170558933                    "</f>
        <v xml:space="preserve">2170558933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6.03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4</v>
      </c>
      <c r="BJ2251" s="2">
        <v>0.2</v>
      </c>
      <c r="BK2251" s="2">
        <v>4</v>
      </c>
      <c r="BL2251" s="2">
        <v>58.68</v>
      </c>
      <c r="BM2251" s="2">
        <v>8.2200000000000006</v>
      </c>
      <c r="BN2251" s="2">
        <v>66.900000000000006</v>
      </c>
      <c r="BO2251" s="2">
        <v>66.900000000000006</v>
      </c>
      <c r="BP2251" s="2"/>
      <c r="BQ2251" s="2" t="s">
        <v>317</v>
      </c>
      <c r="BR2251" s="2" t="s">
        <v>204</v>
      </c>
      <c r="BS2251" s="3">
        <v>42835</v>
      </c>
      <c r="BT2251" s="4">
        <v>0.54166666666666663</v>
      </c>
      <c r="BU2251" s="2" t="s">
        <v>318</v>
      </c>
      <c r="BV2251" s="2" t="s">
        <v>111</v>
      </c>
      <c r="BW2251" s="2"/>
      <c r="BX2251" s="2"/>
      <c r="BY2251" s="2">
        <v>1200</v>
      </c>
      <c r="BZ2251" s="2" t="s">
        <v>27</v>
      </c>
      <c r="CA2251" s="2"/>
      <c r="CB2251" s="2"/>
      <c r="CC2251" s="2" t="s">
        <v>232</v>
      </c>
      <c r="CD2251" s="2">
        <v>250</v>
      </c>
      <c r="CE2251" s="2" t="s">
        <v>144</v>
      </c>
      <c r="CF2251" s="5">
        <v>42837</v>
      </c>
      <c r="CG2251" s="2"/>
      <c r="CH2251" s="2"/>
      <c r="CI2251" s="2">
        <v>1</v>
      </c>
      <c r="CJ2251" s="2">
        <v>1</v>
      </c>
      <c r="CK2251" s="2">
        <v>34</v>
      </c>
      <c r="CL2251" s="2" t="s">
        <v>86</v>
      </c>
      <c r="CM2251" s="2"/>
    </row>
    <row r="2252" spans="1:91">
      <c r="A2252" s="2" t="s">
        <v>71</v>
      </c>
      <c r="B2252" s="2" t="s">
        <v>72</v>
      </c>
      <c r="C2252" s="2" t="s">
        <v>73</v>
      </c>
      <c r="D2252" s="2"/>
      <c r="E2252" s="2" t="str">
        <f>"FES1162544261"</f>
        <v>FES1162544261</v>
      </c>
      <c r="F2252" s="3">
        <v>42844</v>
      </c>
      <c r="G2252" s="2">
        <v>201710</v>
      </c>
      <c r="H2252" s="2" t="s">
        <v>74</v>
      </c>
      <c r="I2252" s="2" t="s">
        <v>75</v>
      </c>
      <c r="J2252" s="2" t="s">
        <v>76</v>
      </c>
      <c r="K2252" s="2" t="s">
        <v>77</v>
      </c>
      <c r="L2252" s="2" t="s">
        <v>2658</v>
      </c>
      <c r="M2252" s="2" t="s">
        <v>2659</v>
      </c>
      <c r="N2252" s="2" t="s">
        <v>1486</v>
      </c>
      <c r="O2252" s="2" t="s">
        <v>115</v>
      </c>
      <c r="P2252" s="2" t="str">
        <f>"2170562859                    "</f>
        <v xml:space="preserve">2170562859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8.31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1</v>
      </c>
      <c r="BJ2252" s="2">
        <v>0.2</v>
      </c>
      <c r="BK2252" s="2">
        <v>1</v>
      </c>
      <c r="BL2252" s="2">
        <v>80.849999999999994</v>
      </c>
      <c r="BM2252" s="2">
        <v>11.32</v>
      </c>
      <c r="BN2252" s="2">
        <v>92.17</v>
      </c>
      <c r="BO2252" s="2">
        <v>92.17</v>
      </c>
      <c r="BP2252" s="2"/>
      <c r="BQ2252" s="2" t="s">
        <v>122</v>
      </c>
      <c r="BR2252" s="2" t="s">
        <v>84</v>
      </c>
      <c r="BS2252" s="3">
        <v>42846</v>
      </c>
      <c r="BT2252" s="4">
        <v>0.5</v>
      </c>
      <c r="BU2252" s="2" t="s">
        <v>2660</v>
      </c>
      <c r="BV2252" s="2" t="s">
        <v>111</v>
      </c>
      <c r="BW2252" s="2"/>
      <c r="BX2252" s="2"/>
      <c r="BY2252" s="2">
        <v>1200</v>
      </c>
      <c r="BZ2252" s="2" t="s">
        <v>27</v>
      </c>
      <c r="CA2252" s="2"/>
      <c r="CB2252" s="2"/>
      <c r="CC2252" s="2" t="s">
        <v>2659</v>
      </c>
      <c r="CD2252" s="2">
        <v>9750</v>
      </c>
      <c r="CE2252" s="2" t="s">
        <v>118</v>
      </c>
      <c r="CF2252" s="5">
        <v>42851</v>
      </c>
      <c r="CG2252" s="2"/>
      <c r="CH2252" s="2"/>
      <c r="CI2252" s="2">
        <v>3</v>
      </c>
      <c r="CJ2252" s="2">
        <v>2</v>
      </c>
      <c r="CK2252" s="2">
        <v>23</v>
      </c>
      <c r="CL2252" s="2" t="s">
        <v>86</v>
      </c>
      <c r="CM2252" s="2"/>
    </row>
    <row r="2253" spans="1:91">
      <c r="A2253" s="2" t="s">
        <v>71</v>
      </c>
      <c r="B2253" s="2" t="s">
        <v>72</v>
      </c>
      <c r="C2253" s="2" t="s">
        <v>73</v>
      </c>
      <c r="D2253" s="2"/>
      <c r="E2253" s="2" t="str">
        <f>"FES1162544254"</f>
        <v>FES1162544254</v>
      </c>
      <c r="F2253" s="3">
        <v>42844</v>
      </c>
      <c r="G2253" s="2">
        <v>201710</v>
      </c>
      <c r="H2253" s="2" t="s">
        <v>74</v>
      </c>
      <c r="I2253" s="2" t="s">
        <v>75</v>
      </c>
      <c r="J2253" s="2" t="s">
        <v>76</v>
      </c>
      <c r="K2253" s="2" t="s">
        <v>77</v>
      </c>
      <c r="L2253" s="2" t="s">
        <v>516</v>
      </c>
      <c r="M2253" s="2" t="s">
        <v>517</v>
      </c>
      <c r="N2253" s="2" t="s">
        <v>1491</v>
      </c>
      <c r="O2253" s="2" t="s">
        <v>115</v>
      </c>
      <c r="P2253" s="2" t="str">
        <f>"2170562854                    "</f>
        <v xml:space="preserve">2170562854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3.35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1</v>
      </c>
      <c r="BJ2253" s="2">
        <v>0.2</v>
      </c>
      <c r="BK2253" s="2">
        <v>1</v>
      </c>
      <c r="BL2253" s="2">
        <v>32.6</v>
      </c>
      <c r="BM2253" s="2">
        <v>4.5599999999999996</v>
      </c>
      <c r="BN2253" s="2">
        <v>37.159999999999997</v>
      </c>
      <c r="BO2253" s="2">
        <v>37.159999999999997</v>
      </c>
      <c r="BP2253" s="2"/>
      <c r="BQ2253" s="2" t="s">
        <v>1492</v>
      </c>
      <c r="BR2253" s="2" t="s">
        <v>84</v>
      </c>
      <c r="BS2253" s="3">
        <v>42845</v>
      </c>
      <c r="BT2253" s="4">
        <v>0.36458333333333331</v>
      </c>
      <c r="BU2253" s="2" t="s">
        <v>2152</v>
      </c>
      <c r="BV2253" s="2" t="s">
        <v>111</v>
      </c>
      <c r="BW2253" s="2"/>
      <c r="BX2253" s="2"/>
      <c r="BY2253" s="2">
        <v>1200</v>
      </c>
      <c r="BZ2253" s="2" t="s">
        <v>27</v>
      </c>
      <c r="CA2253" s="2" t="s">
        <v>2639</v>
      </c>
      <c r="CB2253" s="2"/>
      <c r="CC2253" s="2" t="s">
        <v>517</v>
      </c>
      <c r="CD2253" s="2">
        <v>1459</v>
      </c>
      <c r="CE2253" s="2" t="s">
        <v>118</v>
      </c>
      <c r="CF2253" s="5">
        <v>42845</v>
      </c>
      <c r="CG2253" s="2"/>
      <c r="CH2253" s="2"/>
      <c r="CI2253" s="2">
        <v>1</v>
      </c>
      <c r="CJ2253" s="2">
        <v>1</v>
      </c>
      <c r="CK2253" s="2">
        <v>22</v>
      </c>
      <c r="CL2253" s="2" t="s">
        <v>86</v>
      </c>
      <c r="CM2253" s="2"/>
    </row>
    <row r="2254" spans="1:91">
      <c r="A2254" s="2" t="s">
        <v>71</v>
      </c>
      <c r="B2254" s="2" t="s">
        <v>72</v>
      </c>
      <c r="C2254" s="2" t="s">
        <v>73</v>
      </c>
      <c r="D2254" s="2"/>
      <c r="E2254" s="2" t="str">
        <f>"FES1162542327"</f>
        <v>FES1162542327</v>
      </c>
      <c r="F2254" s="3">
        <v>42832</v>
      </c>
      <c r="G2254" s="2">
        <v>201710</v>
      </c>
      <c r="H2254" s="2" t="s">
        <v>74</v>
      </c>
      <c r="I2254" s="2" t="s">
        <v>75</v>
      </c>
      <c r="J2254" s="2" t="s">
        <v>200</v>
      </c>
      <c r="K2254" s="2" t="s">
        <v>77</v>
      </c>
      <c r="L2254" s="2" t="s">
        <v>516</v>
      </c>
      <c r="M2254" s="2" t="s">
        <v>517</v>
      </c>
      <c r="N2254" s="2" t="s">
        <v>1994</v>
      </c>
      <c r="O2254" s="2" t="s">
        <v>1014</v>
      </c>
      <c r="P2254" s="2" t="str">
        <f>"2170559674                    "</f>
        <v xml:space="preserve">2170559674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4.0999999999999996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6.7</v>
      </c>
      <c r="BJ2254" s="2">
        <v>9.1999999999999993</v>
      </c>
      <c r="BK2254" s="2">
        <v>10</v>
      </c>
      <c r="BL2254" s="2">
        <v>39.909999999999997</v>
      </c>
      <c r="BM2254" s="2">
        <v>5.59</v>
      </c>
      <c r="BN2254" s="2">
        <v>45.5</v>
      </c>
      <c r="BO2254" s="2">
        <v>45.5</v>
      </c>
      <c r="BP2254" s="2"/>
      <c r="BQ2254" s="2" t="s">
        <v>1995</v>
      </c>
      <c r="BR2254" s="2" t="s">
        <v>204</v>
      </c>
      <c r="BS2254" s="3">
        <v>42835</v>
      </c>
      <c r="BT2254" s="4">
        <v>0.31319444444444444</v>
      </c>
      <c r="BU2254" s="2" t="s">
        <v>290</v>
      </c>
      <c r="BV2254" s="2" t="s">
        <v>111</v>
      </c>
      <c r="BW2254" s="2"/>
      <c r="BX2254" s="2"/>
      <c r="BY2254" s="2">
        <v>45804.15</v>
      </c>
      <c r="BZ2254" s="2" t="s">
        <v>27</v>
      </c>
      <c r="CA2254" s="2"/>
      <c r="CB2254" s="2"/>
      <c r="CC2254" s="2" t="s">
        <v>517</v>
      </c>
      <c r="CD2254" s="2">
        <v>1459</v>
      </c>
      <c r="CE2254" s="2" t="s">
        <v>775</v>
      </c>
      <c r="CF2254" s="5">
        <v>42836</v>
      </c>
      <c r="CG2254" s="2"/>
      <c r="CH2254" s="2"/>
      <c r="CI2254" s="2">
        <v>1</v>
      </c>
      <c r="CJ2254" s="2">
        <v>1</v>
      </c>
      <c r="CK2254" s="2">
        <v>32</v>
      </c>
      <c r="CL2254" s="2" t="s">
        <v>86</v>
      </c>
      <c r="CM2254" s="2"/>
    </row>
    <row r="2255" spans="1:91">
      <c r="A2255" s="2" t="s">
        <v>71</v>
      </c>
      <c r="B2255" s="2" t="s">
        <v>72</v>
      </c>
      <c r="C2255" s="2" t="s">
        <v>73</v>
      </c>
      <c r="D2255" s="2"/>
      <c r="E2255" s="2" t="str">
        <f>"FES1162544143"</f>
        <v>FES1162544143</v>
      </c>
      <c r="F2255" s="3">
        <v>42844</v>
      </c>
      <c r="G2255" s="2">
        <v>201710</v>
      </c>
      <c r="H2255" s="2" t="s">
        <v>74</v>
      </c>
      <c r="I2255" s="2" t="s">
        <v>75</v>
      </c>
      <c r="J2255" s="2" t="s">
        <v>76</v>
      </c>
      <c r="K2255" s="2" t="s">
        <v>77</v>
      </c>
      <c r="L2255" s="2" t="s">
        <v>91</v>
      </c>
      <c r="M2255" s="2" t="s">
        <v>92</v>
      </c>
      <c r="N2255" s="2" t="s">
        <v>577</v>
      </c>
      <c r="O2255" s="2" t="s">
        <v>115</v>
      </c>
      <c r="P2255" s="2" t="str">
        <f>"2170562731                    "</f>
        <v xml:space="preserve">2170562731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3.35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</v>
      </c>
      <c r="BJ2255" s="2">
        <v>0.2</v>
      </c>
      <c r="BK2255" s="2">
        <v>1</v>
      </c>
      <c r="BL2255" s="2">
        <v>32.6</v>
      </c>
      <c r="BM2255" s="2">
        <v>4.5599999999999996</v>
      </c>
      <c r="BN2255" s="2">
        <v>37.159999999999997</v>
      </c>
      <c r="BO2255" s="2">
        <v>37.159999999999997</v>
      </c>
      <c r="BP2255" s="2"/>
      <c r="BQ2255" s="2" t="s">
        <v>292</v>
      </c>
      <c r="BR2255" s="2" t="s">
        <v>84</v>
      </c>
      <c r="BS2255" s="3">
        <v>42845</v>
      </c>
      <c r="BT2255" s="4">
        <v>0.41666666666666669</v>
      </c>
      <c r="BU2255" s="2" t="s">
        <v>2661</v>
      </c>
      <c r="BV2255" s="2" t="s">
        <v>111</v>
      </c>
      <c r="BW2255" s="2"/>
      <c r="BX2255" s="2"/>
      <c r="BY2255" s="2">
        <v>1200</v>
      </c>
      <c r="BZ2255" s="2" t="s">
        <v>27</v>
      </c>
      <c r="CA2255" s="2"/>
      <c r="CB2255" s="2"/>
      <c r="CC2255" s="2" t="s">
        <v>92</v>
      </c>
      <c r="CD2255" s="2">
        <v>1422</v>
      </c>
      <c r="CE2255" s="2" t="s">
        <v>118</v>
      </c>
      <c r="CF2255" s="5">
        <v>42846</v>
      </c>
      <c r="CG2255" s="2"/>
      <c r="CH2255" s="2"/>
      <c r="CI2255" s="2">
        <v>1</v>
      </c>
      <c r="CJ2255" s="2">
        <v>1</v>
      </c>
      <c r="CK2255" s="2">
        <v>22</v>
      </c>
      <c r="CL2255" s="2" t="s">
        <v>86</v>
      </c>
      <c r="CM2255" s="2"/>
    </row>
    <row r="2256" spans="1:91">
      <c r="A2256" s="2" t="s">
        <v>71</v>
      </c>
      <c r="B2256" s="2" t="s">
        <v>72</v>
      </c>
      <c r="C2256" s="2" t="s">
        <v>73</v>
      </c>
      <c r="D2256" s="2"/>
      <c r="E2256" s="2" t="str">
        <f>"FES1162544007"</f>
        <v>FES1162544007</v>
      </c>
      <c r="F2256" s="3">
        <v>42844</v>
      </c>
      <c r="G2256" s="2">
        <v>201710</v>
      </c>
      <c r="H2256" s="2" t="s">
        <v>74</v>
      </c>
      <c r="I2256" s="2" t="s">
        <v>75</v>
      </c>
      <c r="J2256" s="2" t="s">
        <v>76</v>
      </c>
      <c r="K2256" s="2" t="s">
        <v>77</v>
      </c>
      <c r="L2256" s="2" t="s">
        <v>74</v>
      </c>
      <c r="M2256" s="2" t="s">
        <v>75</v>
      </c>
      <c r="N2256" s="2" t="s">
        <v>1684</v>
      </c>
      <c r="O2256" s="2" t="s">
        <v>115</v>
      </c>
      <c r="P2256" s="2" t="str">
        <f>"2170562323                    "</f>
        <v xml:space="preserve">2170562323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3.35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3</v>
      </c>
      <c r="BJ2256" s="2">
        <v>4.4000000000000004</v>
      </c>
      <c r="BK2256" s="2">
        <v>5</v>
      </c>
      <c r="BL2256" s="2">
        <v>32.6</v>
      </c>
      <c r="BM2256" s="2">
        <v>4.5599999999999996</v>
      </c>
      <c r="BN2256" s="2">
        <v>37.159999999999997</v>
      </c>
      <c r="BO2256" s="2">
        <v>37.159999999999997</v>
      </c>
      <c r="BP2256" s="2"/>
      <c r="BQ2256" s="2" t="s">
        <v>1685</v>
      </c>
      <c r="BR2256" s="2" t="s">
        <v>84</v>
      </c>
      <c r="BS2256" s="3">
        <v>42845</v>
      </c>
      <c r="BT2256" s="4">
        <v>0.3430555555555555</v>
      </c>
      <c r="BU2256" s="2" t="s">
        <v>2662</v>
      </c>
      <c r="BV2256" s="2" t="s">
        <v>111</v>
      </c>
      <c r="BW2256" s="2"/>
      <c r="BX2256" s="2"/>
      <c r="BY2256" s="2">
        <v>22032</v>
      </c>
      <c r="BZ2256" s="2" t="s">
        <v>27</v>
      </c>
      <c r="CA2256" s="2" t="s">
        <v>1687</v>
      </c>
      <c r="CB2256" s="2"/>
      <c r="CC2256" s="2" t="s">
        <v>75</v>
      </c>
      <c r="CD2256" s="2">
        <v>1609</v>
      </c>
      <c r="CE2256" s="2" t="s">
        <v>89</v>
      </c>
      <c r="CF2256" s="5">
        <v>42845</v>
      </c>
      <c r="CG2256" s="2"/>
      <c r="CH2256" s="2"/>
      <c r="CI2256" s="2">
        <v>1</v>
      </c>
      <c r="CJ2256" s="2">
        <v>1</v>
      </c>
      <c r="CK2256" s="2">
        <v>22</v>
      </c>
      <c r="CL2256" s="2" t="s">
        <v>86</v>
      </c>
      <c r="CM2256" s="2"/>
    </row>
    <row r="2257" spans="1:91">
      <c r="A2257" s="2" t="s">
        <v>71</v>
      </c>
      <c r="B2257" s="2" t="s">
        <v>72</v>
      </c>
      <c r="C2257" s="2" t="s">
        <v>73</v>
      </c>
      <c r="D2257" s="2"/>
      <c r="E2257" s="2" t="str">
        <f>"FES1162541063"</f>
        <v>FES1162541063</v>
      </c>
      <c r="F2257" s="3">
        <v>42828</v>
      </c>
      <c r="G2257" s="2">
        <v>201710</v>
      </c>
      <c r="H2257" s="2" t="s">
        <v>74</v>
      </c>
      <c r="I2257" s="2" t="s">
        <v>75</v>
      </c>
      <c r="J2257" s="2" t="s">
        <v>200</v>
      </c>
      <c r="K2257" s="2" t="s">
        <v>77</v>
      </c>
      <c r="L2257" s="2" t="s">
        <v>212</v>
      </c>
      <c r="M2257" s="2" t="s">
        <v>213</v>
      </c>
      <c r="N2257" s="2" t="s">
        <v>214</v>
      </c>
      <c r="O2257" s="2" t="s">
        <v>1014</v>
      </c>
      <c r="P2257" s="2" t="str">
        <f>"2170560141                    "</f>
        <v xml:space="preserve">2170560141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6.22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2.2999999999999998</v>
      </c>
      <c r="BJ2257" s="2">
        <v>1.6</v>
      </c>
      <c r="BK2257" s="2">
        <v>3</v>
      </c>
      <c r="BL2257" s="2">
        <v>58.87</v>
      </c>
      <c r="BM2257" s="2">
        <v>8.24</v>
      </c>
      <c r="BN2257" s="2">
        <v>67.11</v>
      </c>
      <c r="BO2257" s="2">
        <v>67.11</v>
      </c>
      <c r="BP2257" s="2"/>
      <c r="BQ2257" s="2" t="s">
        <v>2663</v>
      </c>
      <c r="BR2257" s="2" t="s">
        <v>204</v>
      </c>
      <c r="BS2257" s="3">
        <v>42830</v>
      </c>
      <c r="BT2257" s="4">
        <v>0.44444444444444442</v>
      </c>
      <c r="BU2257" s="2" t="s">
        <v>170</v>
      </c>
      <c r="BV2257" s="2" t="s">
        <v>86</v>
      </c>
      <c r="BW2257" s="2" t="s">
        <v>164</v>
      </c>
      <c r="BX2257" s="2" t="s">
        <v>2664</v>
      </c>
      <c r="BY2257" s="2">
        <v>7891.81</v>
      </c>
      <c r="BZ2257" s="2" t="s">
        <v>27</v>
      </c>
      <c r="CA2257" s="2" t="s">
        <v>2228</v>
      </c>
      <c r="CB2257" s="2"/>
      <c r="CC2257" s="2" t="s">
        <v>213</v>
      </c>
      <c r="CD2257" s="2">
        <v>1000</v>
      </c>
      <c r="CE2257" s="2" t="s">
        <v>89</v>
      </c>
      <c r="CF2257" s="5">
        <v>42830</v>
      </c>
      <c r="CG2257" s="2"/>
      <c r="CH2257" s="2"/>
      <c r="CI2257" s="2">
        <v>0</v>
      </c>
      <c r="CJ2257" s="2">
        <v>0</v>
      </c>
      <c r="CK2257" s="2">
        <v>34</v>
      </c>
      <c r="CL2257" s="2" t="s">
        <v>86</v>
      </c>
      <c r="CM2257" s="2"/>
    </row>
    <row r="2258" spans="1:91">
      <c r="A2258" s="2" t="s">
        <v>71</v>
      </c>
      <c r="B2258" s="2" t="s">
        <v>72</v>
      </c>
      <c r="C2258" s="2" t="s">
        <v>73</v>
      </c>
      <c r="D2258" s="2"/>
      <c r="E2258" s="2" t="str">
        <f>"FES1162544063"</f>
        <v>FES1162544063</v>
      </c>
      <c r="F2258" s="3">
        <v>42844</v>
      </c>
      <c r="G2258" s="2">
        <v>201710</v>
      </c>
      <c r="H2258" s="2" t="s">
        <v>74</v>
      </c>
      <c r="I2258" s="2" t="s">
        <v>75</v>
      </c>
      <c r="J2258" s="2" t="s">
        <v>76</v>
      </c>
      <c r="K2258" s="2" t="s">
        <v>77</v>
      </c>
      <c r="L2258" s="2" t="s">
        <v>180</v>
      </c>
      <c r="M2258" s="2" t="s">
        <v>181</v>
      </c>
      <c r="N2258" s="2" t="s">
        <v>2107</v>
      </c>
      <c r="O2258" s="2" t="s">
        <v>115</v>
      </c>
      <c r="P2258" s="2" t="str">
        <f>"2170561108                    "</f>
        <v xml:space="preserve">2170561108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39.65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17.2</v>
      </c>
      <c r="BJ2258" s="2">
        <v>18.3</v>
      </c>
      <c r="BK2258" s="2">
        <v>18.5</v>
      </c>
      <c r="BL2258" s="2">
        <v>385.97</v>
      </c>
      <c r="BM2258" s="2">
        <v>54.04</v>
      </c>
      <c r="BN2258" s="2">
        <v>440.01</v>
      </c>
      <c r="BO2258" s="2">
        <v>440.01</v>
      </c>
      <c r="BP2258" s="2"/>
      <c r="BQ2258" s="2" t="s">
        <v>129</v>
      </c>
      <c r="BR2258" s="2" t="s">
        <v>84</v>
      </c>
      <c r="BS2258" s="3">
        <v>42845</v>
      </c>
      <c r="BT2258" s="4">
        <v>0.41666666666666669</v>
      </c>
      <c r="BU2258" s="2" t="s">
        <v>2665</v>
      </c>
      <c r="BV2258" s="2" t="s">
        <v>111</v>
      </c>
      <c r="BW2258" s="2"/>
      <c r="BX2258" s="2"/>
      <c r="BY2258" s="2">
        <v>91502.8</v>
      </c>
      <c r="BZ2258" s="2" t="s">
        <v>27</v>
      </c>
      <c r="CA2258" s="2"/>
      <c r="CB2258" s="2"/>
      <c r="CC2258" s="2" t="s">
        <v>181</v>
      </c>
      <c r="CD2258" s="2">
        <v>4001</v>
      </c>
      <c r="CE2258" s="2" t="s">
        <v>89</v>
      </c>
      <c r="CF2258" s="5">
        <v>42846</v>
      </c>
      <c r="CG2258" s="2"/>
      <c r="CH2258" s="2"/>
      <c r="CI2258" s="2">
        <v>1</v>
      </c>
      <c r="CJ2258" s="2">
        <v>1</v>
      </c>
      <c r="CK2258" s="2">
        <v>21</v>
      </c>
      <c r="CL2258" s="2" t="s">
        <v>86</v>
      </c>
      <c r="CM2258" s="2"/>
    </row>
    <row r="2259" spans="1:91">
      <c r="A2259" s="2" t="s">
        <v>71</v>
      </c>
      <c r="B2259" s="2" t="s">
        <v>72</v>
      </c>
      <c r="C2259" s="2" t="s">
        <v>73</v>
      </c>
      <c r="D2259" s="2"/>
      <c r="E2259" s="2" t="str">
        <f>"FES1162542028"</f>
        <v>FES1162542028</v>
      </c>
      <c r="F2259" s="3">
        <v>42831</v>
      </c>
      <c r="G2259" s="2">
        <v>201710</v>
      </c>
      <c r="H2259" s="2" t="s">
        <v>74</v>
      </c>
      <c r="I2259" s="2" t="s">
        <v>75</v>
      </c>
      <c r="J2259" s="2" t="s">
        <v>200</v>
      </c>
      <c r="K2259" s="2" t="s">
        <v>77</v>
      </c>
      <c r="L2259" s="2" t="s">
        <v>119</v>
      </c>
      <c r="M2259" s="2" t="s">
        <v>120</v>
      </c>
      <c r="N2259" s="2" t="s">
        <v>121</v>
      </c>
      <c r="O2259" s="2" t="s">
        <v>1014</v>
      </c>
      <c r="P2259" s="2" t="str">
        <f>"2170560581                    "</f>
        <v xml:space="preserve">2170560581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4.0999999999999996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10</v>
      </c>
      <c r="BJ2259" s="2">
        <v>3.6</v>
      </c>
      <c r="BK2259" s="2">
        <v>10</v>
      </c>
      <c r="BL2259" s="2">
        <v>39.909999999999997</v>
      </c>
      <c r="BM2259" s="2">
        <v>5.59</v>
      </c>
      <c r="BN2259" s="2">
        <v>45.5</v>
      </c>
      <c r="BO2259" s="2">
        <v>45.5</v>
      </c>
      <c r="BP2259" s="2"/>
      <c r="BQ2259" s="2" t="s">
        <v>122</v>
      </c>
      <c r="BR2259" s="2" t="s">
        <v>204</v>
      </c>
      <c r="BS2259" s="3">
        <v>42832</v>
      </c>
      <c r="BT2259" s="4">
        <v>0.53472222222222221</v>
      </c>
      <c r="BU2259" s="2" t="s">
        <v>124</v>
      </c>
      <c r="BV2259" s="2" t="s">
        <v>111</v>
      </c>
      <c r="BW2259" s="2"/>
      <c r="BX2259" s="2"/>
      <c r="BY2259" s="2">
        <v>18130.560000000001</v>
      </c>
      <c r="BZ2259" s="2" t="s">
        <v>27</v>
      </c>
      <c r="CA2259" s="2"/>
      <c r="CB2259" s="2"/>
      <c r="CC2259" s="2" t="s">
        <v>120</v>
      </c>
      <c r="CD2259" s="2">
        <v>2163</v>
      </c>
      <c r="CE2259" s="2" t="s">
        <v>89</v>
      </c>
      <c r="CF2259" s="5">
        <v>42835</v>
      </c>
      <c r="CG2259" s="2"/>
      <c r="CH2259" s="2"/>
      <c r="CI2259" s="2">
        <v>1</v>
      </c>
      <c r="CJ2259" s="2">
        <v>1</v>
      </c>
      <c r="CK2259" s="2">
        <v>32</v>
      </c>
      <c r="CL2259" s="2" t="s">
        <v>86</v>
      </c>
      <c r="CM2259" s="2"/>
    </row>
    <row r="2260" spans="1:91">
      <c r="A2260" s="2" t="s">
        <v>71</v>
      </c>
      <c r="B2260" s="2" t="s">
        <v>72</v>
      </c>
      <c r="C2260" s="2" t="s">
        <v>73</v>
      </c>
      <c r="D2260" s="2"/>
      <c r="E2260" s="2" t="str">
        <f>"FES1162544258"</f>
        <v>FES1162544258</v>
      </c>
      <c r="F2260" s="3">
        <v>42844</v>
      </c>
      <c r="G2260" s="2">
        <v>201710</v>
      </c>
      <c r="H2260" s="2" t="s">
        <v>74</v>
      </c>
      <c r="I2260" s="2" t="s">
        <v>75</v>
      </c>
      <c r="J2260" s="2" t="s">
        <v>76</v>
      </c>
      <c r="K2260" s="2" t="s">
        <v>77</v>
      </c>
      <c r="L2260" s="2" t="s">
        <v>2658</v>
      </c>
      <c r="M2260" s="2" t="s">
        <v>2659</v>
      </c>
      <c r="N2260" s="2" t="s">
        <v>1486</v>
      </c>
      <c r="O2260" s="2" t="s">
        <v>115</v>
      </c>
      <c r="P2260" s="2" t="str">
        <f>"2170562856                    "</f>
        <v xml:space="preserve">2170562856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8.31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1</v>
      </c>
      <c r="BJ2260" s="2">
        <v>0.2</v>
      </c>
      <c r="BK2260" s="2">
        <v>1</v>
      </c>
      <c r="BL2260" s="2">
        <v>80.849999999999994</v>
      </c>
      <c r="BM2260" s="2">
        <v>11.32</v>
      </c>
      <c r="BN2260" s="2">
        <v>92.17</v>
      </c>
      <c r="BO2260" s="2">
        <v>92.17</v>
      </c>
      <c r="BP2260" s="2"/>
      <c r="BQ2260" s="2" t="s">
        <v>122</v>
      </c>
      <c r="BR2260" s="2" t="s">
        <v>84</v>
      </c>
      <c r="BS2260" s="1" t="s">
        <v>1744</v>
      </c>
      <c r="BT2260" s="2"/>
      <c r="BU2260" s="2"/>
      <c r="BV2260" s="2"/>
      <c r="BW2260" s="2"/>
      <c r="BX2260" s="2"/>
      <c r="BY2260" s="2">
        <v>1200</v>
      </c>
      <c r="BZ2260" s="2" t="s">
        <v>27</v>
      </c>
      <c r="CA2260" s="2"/>
      <c r="CB2260" s="2"/>
      <c r="CC2260" s="2" t="s">
        <v>2659</v>
      </c>
      <c r="CD2260" s="2">
        <v>9750</v>
      </c>
      <c r="CE2260" s="2" t="s">
        <v>118</v>
      </c>
      <c r="CF2260" s="2"/>
      <c r="CG2260" s="2"/>
      <c r="CH2260" s="2"/>
      <c r="CI2260" s="2">
        <v>3</v>
      </c>
      <c r="CJ2260" s="2" t="s">
        <v>1744</v>
      </c>
      <c r="CK2260" s="2">
        <v>23</v>
      </c>
      <c r="CL2260" s="2" t="s">
        <v>86</v>
      </c>
      <c r="CM2260" s="2"/>
    </row>
    <row r="2261" spans="1:91">
      <c r="A2261" s="2" t="s">
        <v>71</v>
      </c>
      <c r="B2261" s="2" t="s">
        <v>72</v>
      </c>
      <c r="C2261" s="2" t="s">
        <v>73</v>
      </c>
      <c r="D2261" s="2"/>
      <c r="E2261" s="2" t="str">
        <f>"FES1162541955"</f>
        <v>FES1162541955</v>
      </c>
      <c r="F2261" s="3">
        <v>42831</v>
      </c>
      <c r="G2261" s="2">
        <v>201710</v>
      </c>
      <c r="H2261" s="2" t="s">
        <v>74</v>
      </c>
      <c r="I2261" s="2" t="s">
        <v>75</v>
      </c>
      <c r="J2261" s="2" t="s">
        <v>200</v>
      </c>
      <c r="K2261" s="2" t="s">
        <v>77</v>
      </c>
      <c r="L2261" s="2" t="s">
        <v>934</v>
      </c>
      <c r="M2261" s="2" t="s">
        <v>935</v>
      </c>
      <c r="N2261" s="2" t="s">
        <v>2666</v>
      </c>
      <c r="O2261" s="2" t="s">
        <v>1014</v>
      </c>
      <c r="P2261" s="2" t="str">
        <f>"2170560949                    "</f>
        <v xml:space="preserve">2170560949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6.03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4.5</v>
      </c>
      <c r="BJ2261" s="2">
        <v>3.3</v>
      </c>
      <c r="BK2261" s="2">
        <v>5</v>
      </c>
      <c r="BL2261" s="2">
        <v>58.68</v>
      </c>
      <c r="BM2261" s="2">
        <v>8.2200000000000006</v>
      </c>
      <c r="BN2261" s="2">
        <v>66.900000000000006</v>
      </c>
      <c r="BO2261" s="2">
        <v>66.900000000000006</v>
      </c>
      <c r="BP2261" s="2"/>
      <c r="BQ2261" s="2" t="s">
        <v>129</v>
      </c>
      <c r="BR2261" s="2" t="s">
        <v>204</v>
      </c>
      <c r="BS2261" s="3">
        <v>42832</v>
      </c>
      <c r="BT2261" s="4">
        <v>0.59791666666666665</v>
      </c>
      <c r="BU2261" s="2" t="s">
        <v>2667</v>
      </c>
      <c r="BV2261" s="2" t="s">
        <v>86</v>
      </c>
      <c r="BW2261" s="2"/>
      <c r="BX2261" s="2"/>
      <c r="BY2261" s="2">
        <v>16649.86</v>
      </c>
      <c r="BZ2261" s="2" t="s">
        <v>27</v>
      </c>
      <c r="CA2261" s="2"/>
      <c r="CB2261" s="2"/>
      <c r="CC2261" s="2" t="s">
        <v>935</v>
      </c>
      <c r="CD2261" s="2">
        <v>1939</v>
      </c>
      <c r="CE2261" s="2" t="s">
        <v>89</v>
      </c>
      <c r="CF2261" s="5">
        <v>42835</v>
      </c>
      <c r="CG2261" s="2"/>
      <c r="CH2261" s="2"/>
      <c r="CI2261" s="2">
        <v>1</v>
      </c>
      <c r="CJ2261" s="2">
        <v>1</v>
      </c>
      <c r="CK2261" s="2">
        <v>34</v>
      </c>
      <c r="CL2261" s="2" t="s">
        <v>86</v>
      </c>
      <c r="CM2261" s="2"/>
    </row>
    <row r="2262" spans="1:91">
      <c r="A2262" s="2" t="s">
        <v>71</v>
      </c>
      <c r="B2262" s="2" t="s">
        <v>72</v>
      </c>
      <c r="C2262" s="2" t="s">
        <v>73</v>
      </c>
      <c r="D2262" s="2"/>
      <c r="E2262" s="2" t="str">
        <f>"FES1162544244"</f>
        <v>FES1162544244</v>
      </c>
      <c r="F2262" s="3">
        <v>42844</v>
      </c>
      <c r="G2262" s="2">
        <v>201710</v>
      </c>
      <c r="H2262" s="2" t="s">
        <v>74</v>
      </c>
      <c r="I2262" s="2" t="s">
        <v>75</v>
      </c>
      <c r="J2262" s="2" t="s">
        <v>76</v>
      </c>
      <c r="K2262" s="2" t="s">
        <v>77</v>
      </c>
      <c r="L2262" s="2" t="s">
        <v>131</v>
      </c>
      <c r="M2262" s="2" t="s">
        <v>132</v>
      </c>
      <c r="N2262" s="2" t="s">
        <v>744</v>
      </c>
      <c r="O2262" s="2" t="s">
        <v>115</v>
      </c>
      <c r="P2262" s="2" t="str">
        <f>"2170562843                    "</f>
        <v xml:space="preserve">2170562843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17.149999999999999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7.6</v>
      </c>
      <c r="BJ2262" s="2">
        <v>2.2999999999999998</v>
      </c>
      <c r="BK2262" s="2">
        <v>8</v>
      </c>
      <c r="BL2262" s="2">
        <v>166.91</v>
      </c>
      <c r="BM2262" s="2">
        <v>23.37</v>
      </c>
      <c r="BN2262" s="2">
        <v>190.28</v>
      </c>
      <c r="BO2262" s="2">
        <v>190.28</v>
      </c>
      <c r="BP2262" s="2"/>
      <c r="BQ2262" s="2" t="s">
        <v>138</v>
      </c>
      <c r="BR2262" s="2" t="s">
        <v>84</v>
      </c>
      <c r="BS2262" s="3">
        <v>42845</v>
      </c>
      <c r="BT2262" s="4">
        <v>0.41666666666666669</v>
      </c>
      <c r="BU2262" s="2" t="s">
        <v>2668</v>
      </c>
      <c r="BV2262" s="2" t="s">
        <v>111</v>
      </c>
      <c r="BW2262" s="2"/>
      <c r="BX2262" s="2"/>
      <c r="BY2262" s="2">
        <v>11736.01</v>
      </c>
      <c r="BZ2262" s="2" t="s">
        <v>27</v>
      </c>
      <c r="CA2262" s="2"/>
      <c r="CB2262" s="2"/>
      <c r="CC2262" s="2" t="s">
        <v>132</v>
      </c>
      <c r="CD2262" s="2">
        <v>7405</v>
      </c>
      <c r="CE2262" s="2" t="s">
        <v>89</v>
      </c>
      <c r="CF2262" s="5">
        <v>42846</v>
      </c>
      <c r="CG2262" s="2"/>
      <c r="CH2262" s="2"/>
      <c r="CI2262" s="2">
        <v>1</v>
      </c>
      <c r="CJ2262" s="2">
        <v>1</v>
      </c>
      <c r="CK2262" s="2">
        <v>21</v>
      </c>
      <c r="CL2262" s="2" t="s">
        <v>86</v>
      </c>
      <c r="CM2262" s="2"/>
    </row>
    <row r="2263" spans="1:91">
      <c r="A2263" s="2" t="s">
        <v>71</v>
      </c>
      <c r="B2263" s="2" t="s">
        <v>72</v>
      </c>
      <c r="C2263" s="2" t="s">
        <v>73</v>
      </c>
      <c r="D2263" s="2"/>
      <c r="E2263" s="2" t="str">
        <f>"FES1162542176"</f>
        <v>FES1162542176</v>
      </c>
      <c r="F2263" s="3">
        <v>42831</v>
      </c>
      <c r="G2263" s="2">
        <v>201710</v>
      </c>
      <c r="H2263" s="2" t="s">
        <v>74</v>
      </c>
      <c r="I2263" s="2" t="s">
        <v>75</v>
      </c>
      <c r="J2263" s="2" t="s">
        <v>200</v>
      </c>
      <c r="K2263" s="2" t="s">
        <v>77</v>
      </c>
      <c r="L2263" s="2" t="s">
        <v>74</v>
      </c>
      <c r="M2263" s="2" t="s">
        <v>75</v>
      </c>
      <c r="N2263" s="2" t="s">
        <v>2330</v>
      </c>
      <c r="O2263" s="2" t="s">
        <v>1014</v>
      </c>
      <c r="P2263" s="2" t="str">
        <f>"2170561082                    "</f>
        <v xml:space="preserve">2170561082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3.72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4</v>
      </c>
      <c r="BJ2263" s="2">
        <v>8.5</v>
      </c>
      <c r="BK2263" s="2">
        <v>9</v>
      </c>
      <c r="BL2263" s="2">
        <v>36.25</v>
      </c>
      <c r="BM2263" s="2">
        <v>5.08</v>
      </c>
      <c r="BN2263" s="2">
        <v>41.33</v>
      </c>
      <c r="BO2263" s="2">
        <v>41.33</v>
      </c>
      <c r="BP2263" s="2"/>
      <c r="BQ2263" s="2" t="s">
        <v>122</v>
      </c>
      <c r="BR2263" s="2" t="s">
        <v>204</v>
      </c>
      <c r="BS2263" s="3">
        <v>42832</v>
      </c>
      <c r="BT2263" s="4">
        <v>0.41666666666666669</v>
      </c>
      <c r="BU2263" s="2" t="s">
        <v>2669</v>
      </c>
      <c r="BV2263" s="2" t="s">
        <v>111</v>
      </c>
      <c r="BW2263" s="2"/>
      <c r="BX2263" s="2"/>
      <c r="BY2263" s="2">
        <v>42550</v>
      </c>
      <c r="BZ2263" s="2" t="s">
        <v>27</v>
      </c>
      <c r="CA2263" s="2"/>
      <c r="CB2263" s="2"/>
      <c r="CC2263" s="2" t="s">
        <v>75</v>
      </c>
      <c r="CD2263" s="2">
        <v>1600</v>
      </c>
      <c r="CE2263" s="2" t="s">
        <v>89</v>
      </c>
      <c r="CF2263" s="5">
        <v>42835</v>
      </c>
      <c r="CG2263" s="2"/>
      <c r="CH2263" s="2"/>
      <c r="CI2263" s="2">
        <v>1</v>
      </c>
      <c r="CJ2263" s="2">
        <v>1</v>
      </c>
      <c r="CK2263" s="2">
        <v>32</v>
      </c>
      <c r="CL2263" s="2" t="s">
        <v>86</v>
      </c>
      <c r="CM2263" s="2"/>
    </row>
    <row r="2264" spans="1:91">
      <c r="A2264" s="2" t="s">
        <v>71</v>
      </c>
      <c r="B2264" s="2" t="s">
        <v>72</v>
      </c>
      <c r="C2264" s="2" t="s">
        <v>73</v>
      </c>
      <c r="D2264" s="2"/>
      <c r="E2264" s="2" t="str">
        <f>"FES1162544223"</f>
        <v>FES1162544223</v>
      </c>
      <c r="F2264" s="3">
        <v>42844</v>
      </c>
      <c r="G2264" s="2">
        <v>201710</v>
      </c>
      <c r="H2264" s="2" t="s">
        <v>74</v>
      </c>
      <c r="I2264" s="2" t="s">
        <v>75</v>
      </c>
      <c r="J2264" s="2" t="s">
        <v>76</v>
      </c>
      <c r="K2264" s="2" t="s">
        <v>77</v>
      </c>
      <c r="L2264" s="2" t="s">
        <v>180</v>
      </c>
      <c r="M2264" s="2" t="s">
        <v>181</v>
      </c>
      <c r="N2264" s="2" t="s">
        <v>1206</v>
      </c>
      <c r="O2264" s="2" t="s">
        <v>115</v>
      </c>
      <c r="P2264" s="2" t="str">
        <f>"2170561676                    "</f>
        <v xml:space="preserve">2170561676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7.5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2.4</v>
      </c>
      <c r="BJ2264" s="2">
        <v>3.4</v>
      </c>
      <c r="BK2264" s="2">
        <v>3.5</v>
      </c>
      <c r="BL2264" s="2">
        <v>73.02</v>
      </c>
      <c r="BM2264" s="2">
        <v>10.220000000000001</v>
      </c>
      <c r="BN2264" s="2">
        <v>83.24</v>
      </c>
      <c r="BO2264" s="2">
        <v>83.24</v>
      </c>
      <c r="BP2264" s="2"/>
      <c r="BQ2264" s="2" t="s">
        <v>122</v>
      </c>
      <c r="BR2264" s="2" t="s">
        <v>84</v>
      </c>
      <c r="BS2264" s="3">
        <v>42845</v>
      </c>
      <c r="BT2264" s="4">
        <v>0.41805555555555557</v>
      </c>
      <c r="BU2264" s="2" t="s">
        <v>1207</v>
      </c>
      <c r="BV2264" s="2" t="s">
        <v>111</v>
      </c>
      <c r="BW2264" s="2"/>
      <c r="BX2264" s="2"/>
      <c r="BY2264" s="2">
        <v>17186.13</v>
      </c>
      <c r="BZ2264" s="2" t="s">
        <v>27</v>
      </c>
      <c r="CA2264" s="2"/>
      <c r="CB2264" s="2"/>
      <c r="CC2264" s="2" t="s">
        <v>181</v>
      </c>
      <c r="CD2264" s="2">
        <v>4067</v>
      </c>
      <c r="CE2264" s="2" t="s">
        <v>89</v>
      </c>
      <c r="CF2264" s="5">
        <v>42846</v>
      </c>
      <c r="CG2264" s="2"/>
      <c r="CH2264" s="2"/>
      <c r="CI2264" s="2">
        <v>1</v>
      </c>
      <c r="CJ2264" s="2">
        <v>1</v>
      </c>
      <c r="CK2264" s="2">
        <v>21</v>
      </c>
      <c r="CL2264" s="2" t="s">
        <v>86</v>
      </c>
      <c r="CM2264" s="2"/>
    </row>
    <row r="2265" spans="1:91">
      <c r="A2265" s="2" t="s">
        <v>71</v>
      </c>
      <c r="B2265" s="2" t="s">
        <v>72</v>
      </c>
      <c r="C2265" s="2" t="s">
        <v>73</v>
      </c>
      <c r="D2265" s="2"/>
      <c r="E2265" s="2" t="str">
        <f>"FES1162542130"</f>
        <v>FES1162542130</v>
      </c>
      <c r="F2265" s="3">
        <v>42831</v>
      </c>
      <c r="G2265" s="2">
        <v>201710</v>
      </c>
      <c r="H2265" s="2" t="s">
        <v>74</v>
      </c>
      <c r="I2265" s="2" t="s">
        <v>75</v>
      </c>
      <c r="J2265" s="2" t="s">
        <v>200</v>
      </c>
      <c r="K2265" s="2" t="s">
        <v>77</v>
      </c>
      <c r="L2265" s="2" t="s">
        <v>166</v>
      </c>
      <c r="M2265" s="2" t="s">
        <v>167</v>
      </c>
      <c r="N2265" s="2" t="s">
        <v>168</v>
      </c>
      <c r="O2265" s="2" t="s">
        <v>1014</v>
      </c>
      <c r="P2265" s="2" t="str">
        <f>"2170561026                    "</f>
        <v xml:space="preserve">2170561026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3.72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8</v>
      </c>
      <c r="BJ2265" s="2">
        <v>8.4</v>
      </c>
      <c r="BK2265" s="2">
        <v>9</v>
      </c>
      <c r="BL2265" s="2">
        <v>36.25</v>
      </c>
      <c r="BM2265" s="2">
        <v>5.08</v>
      </c>
      <c r="BN2265" s="2">
        <v>41.33</v>
      </c>
      <c r="BO2265" s="2">
        <v>41.33</v>
      </c>
      <c r="BP2265" s="2"/>
      <c r="BQ2265" s="2" t="s">
        <v>169</v>
      </c>
      <c r="BR2265" s="2" t="s">
        <v>204</v>
      </c>
      <c r="BS2265" s="3">
        <v>42832</v>
      </c>
      <c r="BT2265" s="4">
        <v>0.40277777777777773</v>
      </c>
      <c r="BU2265" s="2" t="s">
        <v>290</v>
      </c>
      <c r="BV2265" s="2" t="s">
        <v>111</v>
      </c>
      <c r="BW2265" s="2"/>
      <c r="BX2265" s="2"/>
      <c r="BY2265" s="2">
        <v>41760</v>
      </c>
      <c r="BZ2265" s="2" t="s">
        <v>27</v>
      </c>
      <c r="CA2265" s="2"/>
      <c r="CB2265" s="2"/>
      <c r="CC2265" s="2" t="s">
        <v>167</v>
      </c>
      <c r="CD2265" s="2">
        <v>2094</v>
      </c>
      <c r="CE2265" s="2" t="s">
        <v>89</v>
      </c>
      <c r="CF2265" s="5">
        <v>42835</v>
      </c>
      <c r="CG2265" s="2"/>
      <c r="CH2265" s="2"/>
      <c r="CI2265" s="2">
        <v>1</v>
      </c>
      <c r="CJ2265" s="2">
        <v>1</v>
      </c>
      <c r="CK2265" s="2">
        <v>32</v>
      </c>
      <c r="CL2265" s="2" t="s">
        <v>86</v>
      </c>
      <c r="CM2265" s="2"/>
    </row>
    <row r="2266" spans="1:91">
      <c r="A2266" s="2" t="s">
        <v>71</v>
      </c>
      <c r="B2266" s="2" t="s">
        <v>72</v>
      </c>
      <c r="C2266" s="2" t="s">
        <v>73</v>
      </c>
      <c r="D2266" s="2"/>
      <c r="E2266" s="2" t="str">
        <f>"FES1162544060"</f>
        <v>FES1162544060</v>
      </c>
      <c r="F2266" s="3">
        <v>42844</v>
      </c>
      <c r="G2266" s="2">
        <v>201710</v>
      </c>
      <c r="H2266" s="2" t="s">
        <v>74</v>
      </c>
      <c r="I2266" s="2" t="s">
        <v>75</v>
      </c>
      <c r="J2266" s="2" t="s">
        <v>76</v>
      </c>
      <c r="K2266" s="2" t="s">
        <v>77</v>
      </c>
      <c r="L2266" s="2" t="s">
        <v>180</v>
      </c>
      <c r="M2266" s="2" t="s">
        <v>181</v>
      </c>
      <c r="N2266" s="2" t="s">
        <v>2107</v>
      </c>
      <c r="O2266" s="2" t="s">
        <v>115</v>
      </c>
      <c r="P2266" s="2" t="str">
        <f>"2170561109                    "</f>
        <v xml:space="preserve">2170561109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39.65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17</v>
      </c>
      <c r="BJ2266" s="2">
        <v>18.2</v>
      </c>
      <c r="BK2266" s="2">
        <v>18.5</v>
      </c>
      <c r="BL2266" s="2">
        <v>385.97</v>
      </c>
      <c r="BM2266" s="2">
        <v>54.04</v>
      </c>
      <c r="BN2266" s="2">
        <v>440.01</v>
      </c>
      <c r="BO2266" s="2">
        <v>440.01</v>
      </c>
      <c r="BP2266" s="2"/>
      <c r="BQ2266" s="2" t="s">
        <v>129</v>
      </c>
      <c r="BR2266" s="2" t="s">
        <v>84</v>
      </c>
      <c r="BS2266" s="3">
        <v>42845</v>
      </c>
      <c r="BT2266" s="4">
        <v>0.41666666666666669</v>
      </c>
      <c r="BU2266" s="2" t="s">
        <v>2665</v>
      </c>
      <c r="BV2266" s="2" t="s">
        <v>111</v>
      </c>
      <c r="BW2266" s="2"/>
      <c r="BX2266" s="2"/>
      <c r="BY2266" s="2">
        <v>91182.65</v>
      </c>
      <c r="BZ2266" s="2" t="s">
        <v>27</v>
      </c>
      <c r="CA2266" s="2"/>
      <c r="CB2266" s="2"/>
      <c r="CC2266" s="2" t="s">
        <v>181</v>
      </c>
      <c r="CD2266" s="2">
        <v>4001</v>
      </c>
      <c r="CE2266" s="2" t="s">
        <v>89</v>
      </c>
      <c r="CF2266" s="5">
        <v>42846</v>
      </c>
      <c r="CG2266" s="2"/>
      <c r="CH2266" s="2"/>
      <c r="CI2266" s="2">
        <v>1</v>
      </c>
      <c r="CJ2266" s="2">
        <v>1</v>
      </c>
      <c r="CK2266" s="2">
        <v>21</v>
      </c>
      <c r="CL2266" s="2" t="s">
        <v>86</v>
      </c>
      <c r="CM2266" s="2"/>
    </row>
    <row r="2267" spans="1:91">
      <c r="A2267" s="2" t="s">
        <v>71</v>
      </c>
      <c r="B2267" s="2" t="s">
        <v>72</v>
      </c>
      <c r="C2267" s="2" t="s">
        <v>73</v>
      </c>
      <c r="D2267" s="2"/>
      <c r="E2267" s="2" t="str">
        <f>"FES1162541453"</f>
        <v>FES1162541453</v>
      </c>
      <c r="F2267" s="3">
        <v>42829</v>
      </c>
      <c r="G2267" s="2">
        <v>201710</v>
      </c>
      <c r="H2267" s="2" t="s">
        <v>74</v>
      </c>
      <c r="I2267" s="2" t="s">
        <v>75</v>
      </c>
      <c r="J2267" s="2" t="s">
        <v>200</v>
      </c>
      <c r="K2267" s="2" t="s">
        <v>77</v>
      </c>
      <c r="L2267" s="2" t="s">
        <v>231</v>
      </c>
      <c r="M2267" s="2" t="s">
        <v>232</v>
      </c>
      <c r="N2267" s="2" t="s">
        <v>430</v>
      </c>
      <c r="O2267" s="2" t="s">
        <v>1014</v>
      </c>
      <c r="P2267" s="2" t="str">
        <f>"2170560531                    "</f>
        <v xml:space="preserve">2170560531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6.22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3</v>
      </c>
      <c r="BJ2267" s="2">
        <v>3.2</v>
      </c>
      <c r="BK2267" s="2">
        <v>4</v>
      </c>
      <c r="BL2267" s="2">
        <v>58.87</v>
      </c>
      <c r="BM2267" s="2">
        <v>8.24</v>
      </c>
      <c r="BN2267" s="2">
        <v>67.11</v>
      </c>
      <c r="BO2267" s="2">
        <v>67.11</v>
      </c>
      <c r="BP2267" s="2"/>
      <c r="BQ2267" s="2" t="s">
        <v>431</v>
      </c>
      <c r="BR2267" s="2" t="s">
        <v>204</v>
      </c>
      <c r="BS2267" s="3">
        <v>42830</v>
      </c>
      <c r="BT2267" s="4">
        <v>0.60416666666666663</v>
      </c>
      <c r="BU2267" s="2" t="s">
        <v>2054</v>
      </c>
      <c r="BV2267" s="2" t="s">
        <v>86</v>
      </c>
      <c r="BW2267" s="2"/>
      <c r="BX2267" s="2"/>
      <c r="BY2267" s="2">
        <v>16184</v>
      </c>
      <c r="BZ2267" s="2" t="s">
        <v>27</v>
      </c>
      <c r="CA2267" s="2"/>
      <c r="CB2267" s="2"/>
      <c r="CC2267" s="2" t="s">
        <v>232</v>
      </c>
      <c r="CD2267" s="2">
        <v>250</v>
      </c>
      <c r="CE2267" s="2" t="s">
        <v>172</v>
      </c>
      <c r="CF2267" s="5">
        <v>42832</v>
      </c>
      <c r="CG2267" s="2"/>
      <c r="CH2267" s="2"/>
      <c r="CI2267" s="2">
        <v>1</v>
      </c>
      <c r="CJ2267" s="2">
        <v>1</v>
      </c>
      <c r="CK2267" s="2">
        <v>34</v>
      </c>
      <c r="CL2267" s="2" t="s">
        <v>86</v>
      </c>
      <c r="CM2267" s="2"/>
    </row>
    <row r="2268" spans="1:91">
      <c r="A2268" s="2" t="s">
        <v>71</v>
      </c>
      <c r="B2268" s="2" t="s">
        <v>72</v>
      </c>
      <c r="C2268" s="2" t="s">
        <v>73</v>
      </c>
      <c r="D2268" s="2"/>
      <c r="E2268" s="2" t="str">
        <f>"FES1162544238"</f>
        <v>FES1162544238</v>
      </c>
      <c r="F2268" s="3">
        <v>42844</v>
      </c>
      <c r="G2268" s="2">
        <v>201710</v>
      </c>
      <c r="H2268" s="2" t="s">
        <v>74</v>
      </c>
      <c r="I2268" s="2" t="s">
        <v>75</v>
      </c>
      <c r="J2268" s="2" t="s">
        <v>76</v>
      </c>
      <c r="K2268" s="2" t="s">
        <v>77</v>
      </c>
      <c r="L2268" s="2" t="s">
        <v>180</v>
      </c>
      <c r="M2268" s="2" t="s">
        <v>181</v>
      </c>
      <c r="N2268" s="2" t="s">
        <v>2504</v>
      </c>
      <c r="O2268" s="2" t="s">
        <v>115</v>
      </c>
      <c r="P2268" s="2" t="str">
        <f>"2170562487                    "</f>
        <v xml:space="preserve">2170562487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38.58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8.1</v>
      </c>
      <c r="BJ2268" s="2">
        <v>17.899999999999999</v>
      </c>
      <c r="BK2268" s="2">
        <v>18</v>
      </c>
      <c r="BL2268" s="2">
        <v>375.54</v>
      </c>
      <c r="BM2268" s="2">
        <v>52.58</v>
      </c>
      <c r="BN2268" s="2">
        <v>428.12</v>
      </c>
      <c r="BO2268" s="2">
        <v>428.12</v>
      </c>
      <c r="BP2268" s="2"/>
      <c r="BQ2268" s="2" t="s">
        <v>116</v>
      </c>
      <c r="BR2268" s="2" t="s">
        <v>84</v>
      </c>
      <c r="BS2268" s="3">
        <v>42845</v>
      </c>
      <c r="BT2268" s="4">
        <v>0.30208333333333331</v>
      </c>
      <c r="BU2268" s="2" t="s">
        <v>2670</v>
      </c>
      <c r="BV2268" s="2" t="s">
        <v>111</v>
      </c>
      <c r="BW2268" s="2"/>
      <c r="BX2268" s="2"/>
      <c r="BY2268" s="2">
        <v>89370.46</v>
      </c>
      <c r="BZ2268" s="2" t="s">
        <v>27</v>
      </c>
      <c r="CA2268" s="2"/>
      <c r="CB2268" s="2"/>
      <c r="CC2268" s="2" t="s">
        <v>181</v>
      </c>
      <c r="CD2268" s="2">
        <v>4070</v>
      </c>
      <c r="CE2268" s="2" t="s">
        <v>89</v>
      </c>
      <c r="CF2268" s="5">
        <v>42846</v>
      </c>
      <c r="CG2268" s="2"/>
      <c r="CH2268" s="2"/>
      <c r="CI2268" s="2">
        <v>1</v>
      </c>
      <c r="CJ2268" s="2">
        <v>1</v>
      </c>
      <c r="CK2268" s="2">
        <v>21</v>
      </c>
      <c r="CL2268" s="2" t="s">
        <v>86</v>
      </c>
      <c r="CM2268" s="2"/>
    </row>
    <row r="2269" spans="1:91">
      <c r="A2269" s="2" t="s">
        <v>71</v>
      </c>
      <c r="B2269" s="2" t="s">
        <v>72</v>
      </c>
      <c r="C2269" s="2" t="s">
        <v>73</v>
      </c>
      <c r="D2269" s="2"/>
      <c r="E2269" s="2" t="str">
        <f>"FES1162541447"</f>
        <v>FES1162541447</v>
      </c>
      <c r="F2269" s="3">
        <v>42829</v>
      </c>
      <c r="G2269" s="2">
        <v>201710</v>
      </c>
      <c r="H2269" s="2" t="s">
        <v>74</v>
      </c>
      <c r="I2269" s="2" t="s">
        <v>75</v>
      </c>
      <c r="J2269" s="2" t="s">
        <v>200</v>
      </c>
      <c r="K2269" s="2" t="s">
        <v>77</v>
      </c>
      <c r="L2269" s="2" t="s">
        <v>74</v>
      </c>
      <c r="M2269" s="2" t="s">
        <v>75</v>
      </c>
      <c r="N2269" s="2" t="s">
        <v>488</v>
      </c>
      <c r="O2269" s="2" t="s">
        <v>1014</v>
      </c>
      <c r="P2269" s="2" t="str">
        <f>"2170556825                    "</f>
        <v xml:space="preserve">2170556825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4.62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10.5</v>
      </c>
      <c r="BJ2269" s="2">
        <v>3.3</v>
      </c>
      <c r="BK2269" s="2">
        <v>11</v>
      </c>
      <c r="BL2269" s="2">
        <v>43.71</v>
      </c>
      <c r="BM2269" s="2">
        <v>6.12</v>
      </c>
      <c r="BN2269" s="2">
        <v>49.83</v>
      </c>
      <c r="BO2269" s="2">
        <v>49.83</v>
      </c>
      <c r="BP2269" s="2"/>
      <c r="BQ2269" s="2" t="s">
        <v>489</v>
      </c>
      <c r="BR2269" s="2" t="s">
        <v>204</v>
      </c>
      <c r="BS2269" s="3">
        <v>42830</v>
      </c>
      <c r="BT2269" s="4">
        <v>0.41666666666666669</v>
      </c>
      <c r="BU2269" s="2" t="s">
        <v>2671</v>
      </c>
      <c r="BV2269" s="2" t="s">
        <v>111</v>
      </c>
      <c r="BW2269" s="2"/>
      <c r="BX2269" s="2"/>
      <c r="BY2269" s="2">
        <v>16485</v>
      </c>
      <c r="BZ2269" s="2" t="s">
        <v>27</v>
      </c>
      <c r="CA2269" s="2"/>
      <c r="CB2269" s="2"/>
      <c r="CC2269" s="2" t="s">
        <v>75</v>
      </c>
      <c r="CD2269" s="2">
        <v>1645</v>
      </c>
      <c r="CE2269" s="2" t="s">
        <v>172</v>
      </c>
      <c r="CF2269" s="5">
        <v>42832</v>
      </c>
      <c r="CG2269" s="2"/>
      <c r="CH2269" s="2"/>
      <c r="CI2269" s="2">
        <v>1</v>
      </c>
      <c r="CJ2269" s="2">
        <v>1</v>
      </c>
      <c r="CK2269" s="2">
        <v>32</v>
      </c>
      <c r="CL2269" s="2" t="s">
        <v>86</v>
      </c>
      <c r="CM2269" s="2"/>
    </row>
    <row r="2270" spans="1:91">
      <c r="A2270" s="2" t="s">
        <v>71</v>
      </c>
      <c r="B2270" s="2" t="s">
        <v>72</v>
      </c>
      <c r="C2270" s="2" t="s">
        <v>73</v>
      </c>
      <c r="D2270" s="2"/>
      <c r="E2270" s="2" t="str">
        <f>"FES1162544206"</f>
        <v>FES1162544206</v>
      </c>
      <c r="F2270" s="3">
        <v>42844</v>
      </c>
      <c r="G2270" s="2">
        <v>201710</v>
      </c>
      <c r="H2270" s="2" t="s">
        <v>74</v>
      </c>
      <c r="I2270" s="2" t="s">
        <v>75</v>
      </c>
      <c r="J2270" s="2" t="s">
        <v>76</v>
      </c>
      <c r="K2270" s="2" t="s">
        <v>77</v>
      </c>
      <c r="L2270" s="2" t="s">
        <v>99</v>
      </c>
      <c r="M2270" s="2" t="s">
        <v>100</v>
      </c>
      <c r="N2270" s="2" t="s">
        <v>2672</v>
      </c>
      <c r="O2270" s="2" t="s">
        <v>115</v>
      </c>
      <c r="P2270" s="2" t="str">
        <f>"2170562794                    "</f>
        <v xml:space="preserve">2170562794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42.87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19.600000000000001</v>
      </c>
      <c r="BJ2270" s="2">
        <v>17.3</v>
      </c>
      <c r="BK2270" s="2">
        <v>20</v>
      </c>
      <c r="BL2270" s="2">
        <v>417.27</v>
      </c>
      <c r="BM2270" s="2">
        <v>58.42</v>
      </c>
      <c r="BN2270" s="2">
        <v>475.69</v>
      </c>
      <c r="BO2270" s="2">
        <v>475.69</v>
      </c>
      <c r="BP2270" s="2" t="s">
        <v>2673</v>
      </c>
      <c r="BQ2270" s="2" t="s">
        <v>2674</v>
      </c>
      <c r="BR2270" s="2" t="s">
        <v>84</v>
      </c>
      <c r="BS2270" s="3">
        <v>42845</v>
      </c>
      <c r="BT2270" s="4">
        <v>0.32847222222222222</v>
      </c>
      <c r="BU2270" s="2">
        <v>0</v>
      </c>
      <c r="BV2270" s="2" t="s">
        <v>111</v>
      </c>
      <c r="BW2270" s="2"/>
      <c r="BX2270" s="2"/>
      <c r="BY2270" s="2">
        <v>86360.4</v>
      </c>
      <c r="BZ2270" s="2" t="s">
        <v>27</v>
      </c>
      <c r="CA2270" s="2" t="s">
        <v>378</v>
      </c>
      <c r="CB2270" s="2"/>
      <c r="CC2270" s="2" t="s">
        <v>100</v>
      </c>
      <c r="CD2270" s="2">
        <v>6045</v>
      </c>
      <c r="CE2270" s="2" t="s">
        <v>89</v>
      </c>
      <c r="CF2270" s="5">
        <v>42845</v>
      </c>
      <c r="CG2270" s="2"/>
      <c r="CH2270" s="2"/>
      <c r="CI2270" s="2">
        <v>1</v>
      </c>
      <c r="CJ2270" s="2">
        <v>1</v>
      </c>
      <c r="CK2270" s="2">
        <v>21</v>
      </c>
      <c r="CL2270" s="2" t="s">
        <v>86</v>
      </c>
      <c r="CM2270" s="2"/>
    </row>
    <row r="2271" spans="1:91">
      <c r="A2271" s="2" t="s">
        <v>71</v>
      </c>
      <c r="B2271" s="2" t="s">
        <v>72</v>
      </c>
      <c r="C2271" s="2" t="s">
        <v>73</v>
      </c>
      <c r="D2271" s="2"/>
      <c r="E2271" s="2" t="str">
        <f>"FES1162541855"</f>
        <v>FES1162541855</v>
      </c>
      <c r="F2271" s="3">
        <v>42830</v>
      </c>
      <c r="G2271" s="2">
        <v>201710</v>
      </c>
      <c r="H2271" s="2" t="s">
        <v>74</v>
      </c>
      <c r="I2271" s="2" t="s">
        <v>75</v>
      </c>
      <c r="J2271" s="2" t="s">
        <v>200</v>
      </c>
      <c r="K2271" s="2" t="s">
        <v>77</v>
      </c>
      <c r="L2271" s="2" t="s">
        <v>91</v>
      </c>
      <c r="M2271" s="2" t="s">
        <v>92</v>
      </c>
      <c r="N2271" s="2" t="s">
        <v>195</v>
      </c>
      <c r="O2271" s="2" t="s">
        <v>1014</v>
      </c>
      <c r="P2271" s="2" t="str">
        <f>"2170560861                    "</f>
        <v xml:space="preserve">2170560861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5.98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14.7</v>
      </c>
      <c r="BJ2271" s="2">
        <v>9.1999999999999993</v>
      </c>
      <c r="BK2271" s="2">
        <v>15</v>
      </c>
      <c r="BL2271" s="2">
        <v>58.19</v>
      </c>
      <c r="BM2271" s="2">
        <v>8.15</v>
      </c>
      <c r="BN2271" s="2">
        <v>66.34</v>
      </c>
      <c r="BO2271" s="2">
        <v>66.34</v>
      </c>
      <c r="BP2271" s="2"/>
      <c r="BQ2271" s="2"/>
      <c r="BR2271" s="2" t="s">
        <v>204</v>
      </c>
      <c r="BS2271" s="3">
        <v>42831</v>
      </c>
      <c r="BT2271" s="4">
        <v>0.40763888888888888</v>
      </c>
      <c r="BU2271" s="2" t="s">
        <v>196</v>
      </c>
      <c r="BV2271" s="2" t="s">
        <v>111</v>
      </c>
      <c r="BW2271" s="2"/>
      <c r="BX2271" s="2"/>
      <c r="BY2271" s="2">
        <v>45779.199999999997</v>
      </c>
      <c r="BZ2271" s="2" t="s">
        <v>27</v>
      </c>
      <c r="CA2271" s="2"/>
      <c r="CB2271" s="2"/>
      <c r="CC2271" s="2" t="s">
        <v>92</v>
      </c>
      <c r="CD2271" s="2">
        <v>1401</v>
      </c>
      <c r="CE2271" s="2" t="s">
        <v>89</v>
      </c>
      <c r="CF2271" s="5">
        <v>42832</v>
      </c>
      <c r="CG2271" s="2"/>
      <c r="CH2271" s="2"/>
      <c r="CI2271" s="2">
        <v>1</v>
      </c>
      <c r="CJ2271" s="2">
        <v>1</v>
      </c>
      <c r="CK2271" s="2">
        <v>32</v>
      </c>
      <c r="CL2271" s="2" t="s">
        <v>86</v>
      </c>
      <c r="CM2271" s="2"/>
    </row>
    <row r="2272" spans="1:91">
      <c r="A2272" s="2" t="s">
        <v>71</v>
      </c>
      <c r="B2272" s="2" t="s">
        <v>72</v>
      </c>
      <c r="C2272" s="2" t="s">
        <v>73</v>
      </c>
      <c r="D2272" s="2"/>
      <c r="E2272" s="2" t="str">
        <f>"FES1162544163"</f>
        <v>FES1162544163</v>
      </c>
      <c r="F2272" s="3">
        <v>42844</v>
      </c>
      <c r="G2272" s="2">
        <v>201710</v>
      </c>
      <c r="H2272" s="2" t="s">
        <v>74</v>
      </c>
      <c r="I2272" s="2" t="s">
        <v>75</v>
      </c>
      <c r="J2272" s="2" t="s">
        <v>76</v>
      </c>
      <c r="K2272" s="2" t="s">
        <v>77</v>
      </c>
      <c r="L2272" s="2" t="s">
        <v>516</v>
      </c>
      <c r="M2272" s="2" t="s">
        <v>517</v>
      </c>
      <c r="N2272" s="2" t="s">
        <v>1300</v>
      </c>
      <c r="O2272" s="2" t="s">
        <v>115</v>
      </c>
      <c r="P2272" s="2" t="str">
        <f>"2170562752                    "</f>
        <v xml:space="preserve">2170562752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3.35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1</v>
      </c>
      <c r="BJ2272" s="2">
        <v>0.2</v>
      </c>
      <c r="BK2272" s="2">
        <v>1</v>
      </c>
      <c r="BL2272" s="2">
        <v>32.6</v>
      </c>
      <c r="BM2272" s="2">
        <v>4.5599999999999996</v>
      </c>
      <c r="BN2272" s="2">
        <v>37.159999999999997</v>
      </c>
      <c r="BO2272" s="2">
        <v>37.159999999999997</v>
      </c>
      <c r="BP2272" s="2"/>
      <c r="BQ2272" s="2" t="s">
        <v>122</v>
      </c>
      <c r="BR2272" s="2" t="s">
        <v>84</v>
      </c>
      <c r="BS2272" s="3">
        <v>42845</v>
      </c>
      <c r="BT2272" s="4">
        <v>0.40763888888888888</v>
      </c>
      <c r="BU2272" s="2" t="s">
        <v>1353</v>
      </c>
      <c r="BV2272" s="2" t="s">
        <v>111</v>
      </c>
      <c r="BW2272" s="2"/>
      <c r="BX2272" s="2"/>
      <c r="BY2272" s="2">
        <v>1200</v>
      </c>
      <c r="BZ2272" s="2" t="s">
        <v>27</v>
      </c>
      <c r="CA2272" s="2"/>
      <c r="CB2272" s="2"/>
      <c r="CC2272" s="2" t="s">
        <v>517</v>
      </c>
      <c r="CD2272" s="2">
        <v>1459</v>
      </c>
      <c r="CE2272" s="2" t="s">
        <v>118</v>
      </c>
      <c r="CF2272" s="5">
        <v>42846</v>
      </c>
      <c r="CG2272" s="2"/>
      <c r="CH2272" s="2"/>
      <c r="CI2272" s="2">
        <v>1</v>
      </c>
      <c r="CJ2272" s="2">
        <v>1</v>
      </c>
      <c r="CK2272" s="2">
        <v>22</v>
      </c>
      <c r="CL2272" s="2" t="s">
        <v>86</v>
      </c>
      <c r="CM2272" s="2"/>
    </row>
    <row r="2273" spans="1:91">
      <c r="A2273" s="2" t="s">
        <v>71</v>
      </c>
      <c r="B2273" s="2" t="s">
        <v>72</v>
      </c>
      <c r="C2273" s="2" t="s">
        <v>73</v>
      </c>
      <c r="D2273" s="2"/>
      <c r="E2273" s="2" t="str">
        <f>"FES1162544128"</f>
        <v>FES1162544128</v>
      </c>
      <c r="F2273" s="3">
        <v>42844</v>
      </c>
      <c r="G2273" s="2">
        <v>201710</v>
      </c>
      <c r="H2273" s="2" t="s">
        <v>74</v>
      </c>
      <c r="I2273" s="2" t="s">
        <v>75</v>
      </c>
      <c r="J2273" s="2" t="s">
        <v>76</v>
      </c>
      <c r="K2273" s="2" t="s">
        <v>77</v>
      </c>
      <c r="L2273" s="2" t="s">
        <v>74</v>
      </c>
      <c r="M2273" s="2" t="s">
        <v>75</v>
      </c>
      <c r="N2273" s="2" t="s">
        <v>353</v>
      </c>
      <c r="O2273" s="2" t="s">
        <v>115</v>
      </c>
      <c r="P2273" s="2" t="str">
        <f>"2170560790                    "</f>
        <v xml:space="preserve">2170560790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3.35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2</v>
      </c>
      <c r="BJ2273" s="2">
        <v>0.2</v>
      </c>
      <c r="BK2273" s="2">
        <v>2</v>
      </c>
      <c r="BL2273" s="2">
        <v>32.6</v>
      </c>
      <c r="BM2273" s="2">
        <v>4.5599999999999996</v>
      </c>
      <c r="BN2273" s="2">
        <v>37.159999999999997</v>
      </c>
      <c r="BO2273" s="2">
        <v>37.159999999999997</v>
      </c>
      <c r="BP2273" s="2"/>
      <c r="BQ2273" s="2" t="s">
        <v>354</v>
      </c>
      <c r="BR2273" s="2" t="s">
        <v>84</v>
      </c>
      <c r="BS2273" s="3">
        <v>42845</v>
      </c>
      <c r="BT2273" s="4">
        <v>0.3263888888888889</v>
      </c>
      <c r="BU2273" s="2" t="s">
        <v>1117</v>
      </c>
      <c r="BV2273" s="2" t="s">
        <v>111</v>
      </c>
      <c r="BW2273" s="2"/>
      <c r="BX2273" s="2"/>
      <c r="BY2273" s="2">
        <v>1200</v>
      </c>
      <c r="BZ2273" s="2" t="s">
        <v>27</v>
      </c>
      <c r="CA2273" s="2"/>
      <c r="CB2273" s="2"/>
      <c r="CC2273" s="2" t="s">
        <v>75</v>
      </c>
      <c r="CD2273" s="2">
        <v>1601</v>
      </c>
      <c r="CE2273" s="2" t="s">
        <v>118</v>
      </c>
      <c r="CF2273" s="5">
        <v>42846</v>
      </c>
      <c r="CG2273" s="2"/>
      <c r="CH2273" s="2"/>
      <c r="CI2273" s="2">
        <v>1</v>
      </c>
      <c r="CJ2273" s="2">
        <v>1</v>
      </c>
      <c r="CK2273" s="2">
        <v>22</v>
      </c>
      <c r="CL2273" s="2" t="s">
        <v>86</v>
      </c>
      <c r="CM2273" s="2"/>
    </row>
    <row r="2274" spans="1:91">
      <c r="A2274" s="2" t="s">
        <v>71</v>
      </c>
      <c r="B2274" s="2" t="s">
        <v>72</v>
      </c>
      <c r="C2274" s="2" t="s">
        <v>73</v>
      </c>
      <c r="D2274" s="2"/>
      <c r="E2274" s="2" t="str">
        <f>"FES1162541852"</f>
        <v>FES1162541852</v>
      </c>
      <c r="F2274" s="3">
        <v>42830</v>
      </c>
      <c r="G2274" s="2">
        <v>201710</v>
      </c>
      <c r="H2274" s="2" t="s">
        <v>74</v>
      </c>
      <c r="I2274" s="2" t="s">
        <v>75</v>
      </c>
      <c r="J2274" s="2" t="s">
        <v>200</v>
      </c>
      <c r="K2274" s="2" t="s">
        <v>77</v>
      </c>
      <c r="L2274" s="2" t="s">
        <v>166</v>
      </c>
      <c r="M2274" s="2" t="s">
        <v>167</v>
      </c>
      <c r="N2274" s="2" t="s">
        <v>168</v>
      </c>
      <c r="O2274" s="2" t="s">
        <v>1014</v>
      </c>
      <c r="P2274" s="2" t="str">
        <f>"2170560858                    "</f>
        <v xml:space="preserve">2170560858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4.8499999999999996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11.9</v>
      </c>
      <c r="BJ2274" s="2">
        <v>3.4</v>
      </c>
      <c r="BK2274" s="2">
        <v>12</v>
      </c>
      <c r="BL2274" s="2">
        <v>47.22</v>
      </c>
      <c r="BM2274" s="2">
        <v>6.61</v>
      </c>
      <c r="BN2274" s="2">
        <v>53.83</v>
      </c>
      <c r="BO2274" s="2">
        <v>53.83</v>
      </c>
      <c r="BP2274" s="2"/>
      <c r="BQ2274" s="2" t="s">
        <v>169</v>
      </c>
      <c r="BR2274" s="2" t="s">
        <v>204</v>
      </c>
      <c r="BS2274" s="3">
        <v>42831</v>
      </c>
      <c r="BT2274" s="4">
        <v>0.38194444444444442</v>
      </c>
      <c r="BU2274" s="2" t="s">
        <v>170</v>
      </c>
      <c r="BV2274" s="2" t="s">
        <v>111</v>
      </c>
      <c r="BW2274" s="2"/>
      <c r="BX2274" s="2"/>
      <c r="BY2274" s="2">
        <v>17016.189999999999</v>
      </c>
      <c r="BZ2274" s="2" t="s">
        <v>27</v>
      </c>
      <c r="CA2274" s="2"/>
      <c r="CB2274" s="2"/>
      <c r="CC2274" s="2" t="s">
        <v>167</v>
      </c>
      <c r="CD2274" s="2">
        <v>2094</v>
      </c>
      <c r="CE2274" s="2" t="s">
        <v>89</v>
      </c>
      <c r="CF2274" s="5">
        <v>42832</v>
      </c>
      <c r="CG2274" s="2"/>
      <c r="CH2274" s="2"/>
      <c r="CI2274" s="2">
        <v>1</v>
      </c>
      <c r="CJ2274" s="2">
        <v>1</v>
      </c>
      <c r="CK2274" s="2">
        <v>32</v>
      </c>
      <c r="CL2274" s="2" t="s">
        <v>86</v>
      </c>
      <c r="CM2274" s="2"/>
    </row>
    <row r="2275" spans="1:91">
      <c r="A2275" s="2" t="s">
        <v>71</v>
      </c>
      <c r="B2275" s="2" t="s">
        <v>72</v>
      </c>
      <c r="C2275" s="2" t="s">
        <v>73</v>
      </c>
      <c r="D2275" s="2"/>
      <c r="E2275" s="2" t="str">
        <f>"FES1162544227"</f>
        <v>FES1162544227</v>
      </c>
      <c r="F2275" s="3">
        <v>42844</v>
      </c>
      <c r="G2275" s="2">
        <v>201710</v>
      </c>
      <c r="H2275" s="2" t="s">
        <v>74</v>
      </c>
      <c r="I2275" s="2" t="s">
        <v>75</v>
      </c>
      <c r="J2275" s="2" t="s">
        <v>76</v>
      </c>
      <c r="K2275" s="2" t="s">
        <v>77</v>
      </c>
      <c r="L2275" s="2" t="s">
        <v>516</v>
      </c>
      <c r="M2275" s="2" t="s">
        <v>517</v>
      </c>
      <c r="N2275" s="2" t="s">
        <v>815</v>
      </c>
      <c r="O2275" s="2" t="s">
        <v>115</v>
      </c>
      <c r="P2275" s="2" t="str">
        <f>"2170562825                    "</f>
        <v xml:space="preserve">2170562825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3.35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1</v>
      </c>
      <c r="BJ2275" s="2">
        <v>0.2</v>
      </c>
      <c r="BK2275" s="2">
        <v>1</v>
      </c>
      <c r="BL2275" s="2">
        <v>32.6</v>
      </c>
      <c r="BM2275" s="2">
        <v>4.5599999999999996</v>
      </c>
      <c r="BN2275" s="2">
        <v>37.159999999999997</v>
      </c>
      <c r="BO2275" s="2">
        <v>37.159999999999997</v>
      </c>
      <c r="BP2275" s="2"/>
      <c r="BQ2275" s="2" t="s">
        <v>816</v>
      </c>
      <c r="BR2275" s="2" t="s">
        <v>84</v>
      </c>
      <c r="BS2275" s="3">
        <v>42845</v>
      </c>
      <c r="BT2275" s="4">
        <v>0.38541666666666669</v>
      </c>
      <c r="BU2275" s="2" t="s">
        <v>977</v>
      </c>
      <c r="BV2275" s="2" t="s">
        <v>111</v>
      </c>
      <c r="BW2275" s="2"/>
      <c r="BX2275" s="2"/>
      <c r="BY2275" s="2">
        <v>1200</v>
      </c>
      <c r="BZ2275" s="2" t="s">
        <v>27</v>
      </c>
      <c r="CA2275" s="2"/>
      <c r="CB2275" s="2"/>
      <c r="CC2275" s="2" t="s">
        <v>517</v>
      </c>
      <c r="CD2275" s="2">
        <v>1459</v>
      </c>
      <c r="CE2275" s="2" t="s">
        <v>118</v>
      </c>
      <c r="CF2275" s="5">
        <v>42846</v>
      </c>
      <c r="CG2275" s="2"/>
      <c r="CH2275" s="2"/>
      <c r="CI2275" s="2">
        <v>1</v>
      </c>
      <c r="CJ2275" s="2">
        <v>1</v>
      </c>
      <c r="CK2275" s="2">
        <v>22</v>
      </c>
      <c r="CL2275" s="2" t="s">
        <v>86</v>
      </c>
      <c r="CM2275" s="2"/>
    </row>
    <row r="2276" spans="1:91">
      <c r="A2276" s="2" t="s">
        <v>71</v>
      </c>
      <c r="B2276" s="2" t="s">
        <v>72</v>
      </c>
      <c r="C2276" s="2" t="s">
        <v>73</v>
      </c>
      <c r="D2276" s="2"/>
      <c r="E2276" s="2" t="str">
        <f>"FES1162541695"</f>
        <v>FES1162541695</v>
      </c>
      <c r="F2276" s="3">
        <v>42830</v>
      </c>
      <c r="G2276" s="2">
        <v>201710</v>
      </c>
      <c r="H2276" s="2" t="s">
        <v>74</v>
      </c>
      <c r="I2276" s="2" t="s">
        <v>75</v>
      </c>
      <c r="J2276" s="2" t="s">
        <v>200</v>
      </c>
      <c r="K2276" s="2" t="s">
        <v>77</v>
      </c>
      <c r="L2276" s="2" t="s">
        <v>633</v>
      </c>
      <c r="M2276" s="2" t="s">
        <v>634</v>
      </c>
      <c r="N2276" s="2" t="s">
        <v>635</v>
      </c>
      <c r="O2276" s="2" t="s">
        <v>1014</v>
      </c>
      <c r="P2276" s="2" t="str">
        <f>"2170560580                    "</f>
        <v xml:space="preserve">2170560580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6.03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2.7</v>
      </c>
      <c r="BJ2276" s="2">
        <v>1.6</v>
      </c>
      <c r="BK2276" s="2">
        <v>3</v>
      </c>
      <c r="BL2276" s="2">
        <v>58.68</v>
      </c>
      <c r="BM2276" s="2">
        <v>8.2200000000000006</v>
      </c>
      <c r="BN2276" s="2">
        <v>66.900000000000006</v>
      </c>
      <c r="BO2276" s="2">
        <v>66.900000000000006</v>
      </c>
      <c r="BP2276" s="2"/>
      <c r="BQ2276" s="2" t="s">
        <v>636</v>
      </c>
      <c r="BR2276" s="2" t="s">
        <v>204</v>
      </c>
      <c r="BS2276" s="3">
        <v>42831</v>
      </c>
      <c r="BT2276" s="4">
        <v>0.63888888888888895</v>
      </c>
      <c r="BU2276" s="2" t="s">
        <v>637</v>
      </c>
      <c r="BV2276" s="2" t="s">
        <v>111</v>
      </c>
      <c r="BW2276" s="2"/>
      <c r="BX2276" s="2"/>
      <c r="BY2276" s="2">
        <v>8149.7</v>
      </c>
      <c r="BZ2276" s="2" t="s">
        <v>27</v>
      </c>
      <c r="CA2276" s="2"/>
      <c r="CB2276" s="2"/>
      <c r="CC2276" s="2" t="s">
        <v>634</v>
      </c>
      <c r="CD2276" s="2">
        <v>1759</v>
      </c>
      <c r="CE2276" s="2" t="s">
        <v>89</v>
      </c>
      <c r="CF2276" s="5">
        <v>42833</v>
      </c>
      <c r="CG2276" s="2"/>
      <c r="CH2276" s="2"/>
      <c r="CI2276" s="2">
        <v>1</v>
      </c>
      <c r="CJ2276" s="2">
        <v>1</v>
      </c>
      <c r="CK2276" s="2">
        <v>34</v>
      </c>
      <c r="CL2276" s="2" t="s">
        <v>86</v>
      </c>
      <c r="CM2276" s="2"/>
    </row>
    <row r="2277" spans="1:91">
      <c r="A2277" s="2" t="s">
        <v>71</v>
      </c>
      <c r="B2277" s="2" t="s">
        <v>72</v>
      </c>
      <c r="C2277" s="2" t="s">
        <v>73</v>
      </c>
      <c r="D2277" s="2"/>
      <c r="E2277" s="2" t="str">
        <f>"FES1162544209"</f>
        <v>FES1162544209</v>
      </c>
      <c r="F2277" s="3">
        <v>42844</v>
      </c>
      <c r="G2277" s="2">
        <v>201710</v>
      </c>
      <c r="H2277" s="2" t="s">
        <v>74</v>
      </c>
      <c r="I2277" s="2" t="s">
        <v>75</v>
      </c>
      <c r="J2277" s="2" t="s">
        <v>76</v>
      </c>
      <c r="K2277" s="2" t="s">
        <v>77</v>
      </c>
      <c r="L2277" s="2" t="s">
        <v>260</v>
      </c>
      <c r="M2277" s="2" t="s">
        <v>261</v>
      </c>
      <c r="N2277" s="2" t="s">
        <v>1371</v>
      </c>
      <c r="O2277" s="2" t="s">
        <v>115</v>
      </c>
      <c r="P2277" s="2" t="str">
        <f>"2170562803                    "</f>
        <v xml:space="preserve">2170562803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3.35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2</v>
      </c>
      <c r="BJ2277" s="2">
        <v>1.8</v>
      </c>
      <c r="BK2277" s="2">
        <v>2</v>
      </c>
      <c r="BL2277" s="2">
        <v>32.6</v>
      </c>
      <c r="BM2277" s="2">
        <v>4.5599999999999996</v>
      </c>
      <c r="BN2277" s="2">
        <v>37.159999999999997</v>
      </c>
      <c r="BO2277" s="2">
        <v>37.159999999999997</v>
      </c>
      <c r="BP2277" s="2"/>
      <c r="BQ2277" s="2" t="s">
        <v>1372</v>
      </c>
      <c r="BR2277" s="2" t="s">
        <v>84</v>
      </c>
      <c r="BS2277" s="3">
        <v>42845</v>
      </c>
      <c r="BT2277" s="4">
        <v>0.41666666666666669</v>
      </c>
      <c r="BU2277" s="2" t="s">
        <v>1373</v>
      </c>
      <c r="BV2277" s="2" t="s">
        <v>111</v>
      </c>
      <c r="BW2277" s="2"/>
      <c r="BX2277" s="2"/>
      <c r="BY2277" s="2">
        <v>9000</v>
      </c>
      <c r="BZ2277" s="2" t="s">
        <v>27</v>
      </c>
      <c r="CA2277" s="2"/>
      <c r="CB2277" s="2"/>
      <c r="CC2277" s="2" t="s">
        <v>261</v>
      </c>
      <c r="CD2277" s="2">
        <v>1451</v>
      </c>
      <c r="CE2277" s="2" t="s">
        <v>89</v>
      </c>
      <c r="CF2277" s="5">
        <v>42846</v>
      </c>
      <c r="CG2277" s="2"/>
      <c r="CH2277" s="2"/>
      <c r="CI2277" s="2">
        <v>1</v>
      </c>
      <c r="CJ2277" s="2">
        <v>1</v>
      </c>
      <c r="CK2277" s="2">
        <v>22</v>
      </c>
      <c r="CL2277" s="2" t="s">
        <v>86</v>
      </c>
      <c r="CM2277" s="2"/>
    </row>
    <row r="2278" spans="1:91">
      <c r="A2278" s="2" t="s">
        <v>71</v>
      </c>
      <c r="B2278" s="2" t="s">
        <v>72</v>
      </c>
      <c r="C2278" s="2" t="s">
        <v>73</v>
      </c>
      <c r="D2278" s="2"/>
      <c r="E2278" s="2" t="str">
        <f>"FES1162541601"</f>
        <v>FES1162541601</v>
      </c>
      <c r="F2278" s="3">
        <v>42830</v>
      </c>
      <c r="G2278" s="2">
        <v>201710</v>
      </c>
      <c r="H2278" s="2" t="s">
        <v>74</v>
      </c>
      <c r="I2278" s="2" t="s">
        <v>75</v>
      </c>
      <c r="J2278" s="2" t="s">
        <v>200</v>
      </c>
      <c r="K2278" s="2" t="s">
        <v>77</v>
      </c>
      <c r="L2278" s="2" t="s">
        <v>231</v>
      </c>
      <c r="M2278" s="2" t="s">
        <v>232</v>
      </c>
      <c r="N2278" s="2" t="s">
        <v>2675</v>
      </c>
      <c r="O2278" s="2" t="s">
        <v>1014</v>
      </c>
      <c r="P2278" s="2" t="str">
        <f>"2170555344                    "</f>
        <v xml:space="preserve">2170555344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6.03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3.4</v>
      </c>
      <c r="BJ2278" s="2">
        <v>1.6</v>
      </c>
      <c r="BK2278" s="2">
        <v>4</v>
      </c>
      <c r="BL2278" s="2">
        <v>58.68</v>
      </c>
      <c r="BM2278" s="2">
        <v>8.2200000000000006</v>
      </c>
      <c r="BN2278" s="2">
        <v>66.900000000000006</v>
      </c>
      <c r="BO2278" s="2">
        <v>66.900000000000006</v>
      </c>
      <c r="BP2278" s="2"/>
      <c r="BQ2278" s="2" t="s">
        <v>122</v>
      </c>
      <c r="BR2278" s="2" t="s">
        <v>204</v>
      </c>
      <c r="BS2278" s="3">
        <v>42831</v>
      </c>
      <c r="BT2278" s="4">
        <v>0.61805555555555558</v>
      </c>
      <c r="BU2278" s="2" t="s">
        <v>928</v>
      </c>
      <c r="BV2278" s="2" t="s">
        <v>86</v>
      </c>
      <c r="BW2278" s="2"/>
      <c r="BX2278" s="2"/>
      <c r="BY2278" s="2">
        <v>8098.56</v>
      </c>
      <c r="BZ2278" s="2" t="s">
        <v>27</v>
      </c>
      <c r="CA2278" s="2"/>
      <c r="CB2278" s="2"/>
      <c r="CC2278" s="2" t="s">
        <v>232</v>
      </c>
      <c r="CD2278" s="2">
        <v>250</v>
      </c>
      <c r="CE2278" s="2" t="s">
        <v>89</v>
      </c>
      <c r="CF2278" s="5">
        <v>42835</v>
      </c>
      <c r="CG2278" s="2"/>
      <c r="CH2278" s="2"/>
      <c r="CI2278" s="2">
        <v>1</v>
      </c>
      <c r="CJ2278" s="2">
        <v>1</v>
      </c>
      <c r="CK2278" s="2">
        <v>34</v>
      </c>
      <c r="CL2278" s="2" t="s">
        <v>86</v>
      </c>
      <c r="CM2278" s="2"/>
    </row>
    <row r="2279" spans="1:91">
      <c r="A2279" s="2" t="s">
        <v>71</v>
      </c>
      <c r="B2279" s="2" t="s">
        <v>72</v>
      </c>
      <c r="C2279" s="2" t="s">
        <v>73</v>
      </c>
      <c r="D2279" s="2"/>
      <c r="E2279" s="2" t="str">
        <f>"FES1162544247"</f>
        <v>FES1162544247</v>
      </c>
      <c r="F2279" s="3">
        <v>42844</v>
      </c>
      <c r="G2279" s="2">
        <v>201710</v>
      </c>
      <c r="H2279" s="2" t="s">
        <v>74</v>
      </c>
      <c r="I2279" s="2" t="s">
        <v>75</v>
      </c>
      <c r="J2279" s="2" t="s">
        <v>76</v>
      </c>
      <c r="K2279" s="2" t="s">
        <v>77</v>
      </c>
      <c r="L2279" s="2" t="s">
        <v>99</v>
      </c>
      <c r="M2279" s="2" t="s">
        <v>100</v>
      </c>
      <c r="N2279" s="2" t="s">
        <v>313</v>
      </c>
      <c r="O2279" s="2" t="s">
        <v>115</v>
      </c>
      <c r="P2279" s="2" t="str">
        <f>"2170560078                    "</f>
        <v xml:space="preserve">2170560078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5.36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2.4</v>
      </c>
      <c r="BJ2279" s="2">
        <v>1.1000000000000001</v>
      </c>
      <c r="BK2279" s="2">
        <v>2.5</v>
      </c>
      <c r="BL2279" s="2">
        <v>52.16</v>
      </c>
      <c r="BM2279" s="2">
        <v>7.3</v>
      </c>
      <c r="BN2279" s="2">
        <v>59.46</v>
      </c>
      <c r="BO2279" s="2">
        <v>59.46</v>
      </c>
      <c r="BP2279" s="2"/>
      <c r="BQ2279" s="2" t="s">
        <v>314</v>
      </c>
      <c r="BR2279" s="2" t="s">
        <v>84</v>
      </c>
      <c r="BS2279" s="3">
        <v>42845</v>
      </c>
      <c r="BT2279" s="4">
        <v>0.2986111111111111</v>
      </c>
      <c r="BU2279" s="2" t="s">
        <v>2309</v>
      </c>
      <c r="BV2279" s="2" t="s">
        <v>111</v>
      </c>
      <c r="BW2279" s="2"/>
      <c r="BX2279" s="2"/>
      <c r="BY2279" s="2">
        <v>5705.55</v>
      </c>
      <c r="BZ2279" s="2" t="s">
        <v>27</v>
      </c>
      <c r="CA2279" s="2" t="s">
        <v>106</v>
      </c>
      <c r="CB2279" s="2"/>
      <c r="CC2279" s="2" t="s">
        <v>100</v>
      </c>
      <c r="CD2279" s="2">
        <v>6012</v>
      </c>
      <c r="CE2279" s="2" t="s">
        <v>89</v>
      </c>
      <c r="CF2279" s="5">
        <v>42845</v>
      </c>
      <c r="CG2279" s="2"/>
      <c r="CH2279" s="2"/>
      <c r="CI2279" s="2">
        <v>1</v>
      </c>
      <c r="CJ2279" s="2">
        <v>1</v>
      </c>
      <c r="CK2279" s="2">
        <v>21</v>
      </c>
      <c r="CL2279" s="2" t="s">
        <v>86</v>
      </c>
      <c r="CM2279" s="2"/>
    </row>
    <row r="2280" spans="1:91">
      <c r="A2280" s="2" t="s">
        <v>71</v>
      </c>
      <c r="B2280" s="2" t="s">
        <v>72</v>
      </c>
      <c r="C2280" s="2" t="s">
        <v>73</v>
      </c>
      <c r="D2280" s="2"/>
      <c r="E2280" s="2" t="str">
        <f>"FES1162544231"</f>
        <v>FES1162544231</v>
      </c>
      <c r="F2280" s="3">
        <v>42844</v>
      </c>
      <c r="G2280" s="2">
        <v>201710</v>
      </c>
      <c r="H2280" s="2" t="s">
        <v>74</v>
      </c>
      <c r="I2280" s="2" t="s">
        <v>75</v>
      </c>
      <c r="J2280" s="2" t="s">
        <v>76</v>
      </c>
      <c r="K2280" s="2" t="s">
        <v>77</v>
      </c>
      <c r="L2280" s="2" t="s">
        <v>131</v>
      </c>
      <c r="M2280" s="2" t="s">
        <v>132</v>
      </c>
      <c r="N2280" s="2" t="s">
        <v>363</v>
      </c>
      <c r="O2280" s="2" t="s">
        <v>115</v>
      </c>
      <c r="P2280" s="2" t="str">
        <f>"2170562533                    "</f>
        <v xml:space="preserve">2170562533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4.29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1</v>
      </c>
      <c r="BJ2280" s="2">
        <v>0.2</v>
      </c>
      <c r="BK2280" s="2">
        <v>1</v>
      </c>
      <c r="BL2280" s="2">
        <v>41.73</v>
      </c>
      <c r="BM2280" s="2">
        <v>5.84</v>
      </c>
      <c r="BN2280" s="2">
        <v>47.57</v>
      </c>
      <c r="BO2280" s="2">
        <v>47.57</v>
      </c>
      <c r="BP2280" s="2"/>
      <c r="BQ2280" s="2" t="s">
        <v>170</v>
      </c>
      <c r="BR2280" s="2" t="s">
        <v>84</v>
      </c>
      <c r="BS2280" s="3">
        <v>42845</v>
      </c>
      <c r="BT2280" s="4">
        <v>0.41666666666666669</v>
      </c>
      <c r="BU2280" s="2" t="s">
        <v>2676</v>
      </c>
      <c r="BV2280" s="2" t="s">
        <v>111</v>
      </c>
      <c r="BW2280" s="2"/>
      <c r="BX2280" s="2"/>
      <c r="BY2280" s="2">
        <v>1200</v>
      </c>
      <c r="BZ2280" s="2" t="s">
        <v>27</v>
      </c>
      <c r="CA2280" s="2"/>
      <c r="CB2280" s="2"/>
      <c r="CC2280" s="2" t="s">
        <v>132</v>
      </c>
      <c r="CD2280" s="2">
        <v>7441</v>
      </c>
      <c r="CE2280" s="2" t="s">
        <v>118</v>
      </c>
      <c r="CF2280" s="5">
        <v>42846</v>
      </c>
      <c r="CG2280" s="2"/>
      <c r="CH2280" s="2"/>
      <c r="CI2280" s="2">
        <v>1</v>
      </c>
      <c r="CJ2280" s="2">
        <v>1</v>
      </c>
      <c r="CK2280" s="2">
        <v>21</v>
      </c>
      <c r="CL2280" s="2" t="s">
        <v>86</v>
      </c>
      <c r="CM2280" s="2"/>
    </row>
    <row r="2281" spans="1:91">
      <c r="A2281" s="2" t="s">
        <v>71</v>
      </c>
      <c r="B2281" s="2" t="s">
        <v>72</v>
      </c>
      <c r="C2281" s="2" t="s">
        <v>73</v>
      </c>
      <c r="D2281" s="2"/>
      <c r="E2281" s="2" t="str">
        <f>"FES1162544225"</f>
        <v>FES1162544225</v>
      </c>
      <c r="F2281" s="3">
        <v>42844</v>
      </c>
      <c r="G2281" s="2">
        <v>201710</v>
      </c>
      <c r="H2281" s="2" t="s">
        <v>74</v>
      </c>
      <c r="I2281" s="2" t="s">
        <v>75</v>
      </c>
      <c r="J2281" s="2" t="s">
        <v>76</v>
      </c>
      <c r="K2281" s="2" t="s">
        <v>77</v>
      </c>
      <c r="L2281" s="2" t="s">
        <v>220</v>
      </c>
      <c r="M2281" s="2" t="s">
        <v>221</v>
      </c>
      <c r="N2281" s="2" t="s">
        <v>222</v>
      </c>
      <c r="O2281" s="2" t="s">
        <v>115</v>
      </c>
      <c r="P2281" s="2" t="str">
        <f>"2170562823                    "</f>
        <v xml:space="preserve">2170562823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4.29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1</v>
      </c>
      <c r="BJ2281" s="2">
        <v>0.2</v>
      </c>
      <c r="BK2281" s="2">
        <v>1</v>
      </c>
      <c r="BL2281" s="2">
        <v>41.73</v>
      </c>
      <c r="BM2281" s="2">
        <v>5.84</v>
      </c>
      <c r="BN2281" s="2">
        <v>47.57</v>
      </c>
      <c r="BO2281" s="2">
        <v>47.57</v>
      </c>
      <c r="BP2281" s="2"/>
      <c r="BQ2281" s="2" t="s">
        <v>223</v>
      </c>
      <c r="BR2281" s="2" t="s">
        <v>84</v>
      </c>
      <c r="BS2281" s="3">
        <v>42845</v>
      </c>
      <c r="BT2281" s="4">
        <v>0.4375</v>
      </c>
      <c r="BU2281" s="2" t="s">
        <v>223</v>
      </c>
      <c r="BV2281" s="2" t="s">
        <v>111</v>
      </c>
      <c r="BW2281" s="2"/>
      <c r="BX2281" s="2"/>
      <c r="BY2281" s="2">
        <v>1200</v>
      </c>
      <c r="BZ2281" s="2" t="s">
        <v>27</v>
      </c>
      <c r="CA2281" s="2"/>
      <c r="CB2281" s="2"/>
      <c r="CC2281" s="2" t="s">
        <v>221</v>
      </c>
      <c r="CD2281" s="2">
        <v>6536</v>
      </c>
      <c r="CE2281" s="2" t="s">
        <v>118</v>
      </c>
      <c r="CF2281" s="5">
        <v>42846</v>
      </c>
      <c r="CG2281" s="2"/>
      <c r="CH2281" s="2"/>
      <c r="CI2281" s="2">
        <v>1</v>
      </c>
      <c r="CJ2281" s="2">
        <v>1</v>
      </c>
      <c r="CK2281" s="2">
        <v>21</v>
      </c>
      <c r="CL2281" s="2" t="s">
        <v>86</v>
      </c>
      <c r="CM2281" s="2"/>
    </row>
    <row r="2282" spans="1:91">
      <c r="A2282" s="2" t="s">
        <v>71</v>
      </c>
      <c r="B2282" s="2" t="s">
        <v>72</v>
      </c>
      <c r="C2282" s="2" t="s">
        <v>73</v>
      </c>
      <c r="D2282" s="2"/>
      <c r="E2282" s="2" t="str">
        <f>"FES1162541475"</f>
        <v>FES1162541475</v>
      </c>
      <c r="F2282" s="3">
        <v>42830</v>
      </c>
      <c r="G2282" s="2">
        <v>201710</v>
      </c>
      <c r="H2282" s="2" t="s">
        <v>74</v>
      </c>
      <c r="I2282" s="2" t="s">
        <v>75</v>
      </c>
      <c r="J2282" s="2" t="s">
        <v>200</v>
      </c>
      <c r="K2282" s="2" t="s">
        <v>77</v>
      </c>
      <c r="L2282" s="2" t="s">
        <v>190</v>
      </c>
      <c r="M2282" s="2" t="s">
        <v>191</v>
      </c>
      <c r="N2282" s="2" t="s">
        <v>192</v>
      </c>
      <c r="O2282" s="2" t="s">
        <v>1014</v>
      </c>
      <c r="P2282" s="2" t="str">
        <f>"2170560071                    "</f>
        <v xml:space="preserve">2170560071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6.03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4.3</v>
      </c>
      <c r="BJ2282" s="2">
        <v>1.3</v>
      </c>
      <c r="BK2282" s="2">
        <v>5</v>
      </c>
      <c r="BL2282" s="2">
        <v>58.68</v>
      </c>
      <c r="BM2282" s="2">
        <v>8.2200000000000006</v>
      </c>
      <c r="BN2282" s="2">
        <v>66.900000000000006</v>
      </c>
      <c r="BO2282" s="2">
        <v>66.900000000000006</v>
      </c>
      <c r="BP2282" s="2"/>
      <c r="BQ2282" s="2" t="s">
        <v>193</v>
      </c>
      <c r="BR2282" s="2" t="s">
        <v>204</v>
      </c>
      <c r="BS2282" s="3">
        <v>42831</v>
      </c>
      <c r="BT2282" s="4">
        <v>0.52083333333333337</v>
      </c>
      <c r="BU2282" s="2" t="s">
        <v>483</v>
      </c>
      <c r="BV2282" s="2" t="s">
        <v>111</v>
      </c>
      <c r="BW2282" s="2"/>
      <c r="BX2282" s="2"/>
      <c r="BY2282" s="2">
        <v>6318.43</v>
      </c>
      <c r="BZ2282" s="2" t="s">
        <v>27</v>
      </c>
      <c r="CA2282" s="2" t="s">
        <v>159</v>
      </c>
      <c r="CB2282" s="2"/>
      <c r="CC2282" s="2" t="s">
        <v>191</v>
      </c>
      <c r="CD2282" s="2">
        <v>1739</v>
      </c>
      <c r="CE2282" s="2" t="s">
        <v>89</v>
      </c>
      <c r="CF2282" s="5">
        <v>42832</v>
      </c>
      <c r="CG2282" s="2"/>
      <c r="CH2282" s="2"/>
      <c r="CI2282" s="2">
        <v>1</v>
      </c>
      <c r="CJ2282" s="2">
        <v>1</v>
      </c>
      <c r="CK2282" s="2">
        <v>34</v>
      </c>
      <c r="CL2282" s="2" t="s">
        <v>86</v>
      </c>
      <c r="CM2282" s="2"/>
    </row>
    <row r="2283" spans="1:91">
      <c r="A2283" s="2" t="s">
        <v>71</v>
      </c>
      <c r="B2283" s="2" t="s">
        <v>72</v>
      </c>
      <c r="C2283" s="2" t="s">
        <v>73</v>
      </c>
      <c r="D2283" s="2"/>
      <c r="E2283" s="2" t="str">
        <f>"FES1162544220"</f>
        <v>FES1162544220</v>
      </c>
      <c r="F2283" s="3">
        <v>42844</v>
      </c>
      <c r="G2283" s="2">
        <v>201710</v>
      </c>
      <c r="H2283" s="2" t="s">
        <v>74</v>
      </c>
      <c r="I2283" s="2" t="s">
        <v>75</v>
      </c>
      <c r="J2283" s="2" t="s">
        <v>76</v>
      </c>
      <c r="K2283" s="2" t="s">
        <v>77</v>
      </c>
      <c r="L2283" s="2" t="s">
        <v>131</v>
      </c>
      <c r="M2283" s="2" t="s">
        <v>132</v>
      </c>
      <c r="N2283" s="2" t="s">
        <v>2533</v>
      </c>
      <c r="O2283" s="2" t="s">
        <v>115</v>
      </c>
      <c r="P2283" s="2" t="str">
        <f>"2170562819                    "</f>
        <v xml:space="preserve">2170562819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4.29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1</v>
      </c>
      <c r="BJ2283" s="2">
        <v>0.2</v>
      </c>
      <c r="BK2283" s="2">
        <v>1</v>
      </c>
      <c r="BL2283" s="2">
        <v>41.73</v>
      </c>
      <c r="BM2283" s="2">
        <v>5.84</v>
      </c>
      <c r="BN2283" s="2">
        <v>47.57</v>
      </c>
      <c r="BO2283" s="2">
        <v>47.57</v>
      </c>
      <c r="BP2283" s="2"/>
      <c r="BQ2283" s="2" t="s">
        <v>2534</v>
      </c>
      <c r="BR2283" s="2" t="s">
        <v>84</v>
      </c>
      <c r="BS2283" s="3">
        <v>42845</v>
      </c>
      <c r="BT2283" s="4">
        <v>0.41666666666666669</v>
      </c>
      <c r="BU2283" s="2" t="s">
        <v>2677</v>
      </c>
      <c r="BV2283" s="2" t="s">
        <v>111</v>
      </c>
      <c r="BW2283" s="2"/>
      <c r="BX2283" s="2"/>
      <c r="BY2283" s="2">
        <v>1200</v>
      </c>
      <c r="BZ2283" s="2" t="s">
        <v>27</v>
      </c>
      <c r="CA2283" s="2" t="s">
        <v>159</v>
      </c>
      <c r="CB2283" s="2"/>
      <c r="CC2283" s="2" t="s">
        <v>132</v>
      </c>
      <c r="CD2283" s="2">
        <v>7441</v>
      </c>
      <c r="CE2283" s="2" t="s">
        <v>118</v>
      </c>
      <c r="CF2283" s="5">
        <v>42846</v>
      </c>
      <c r="CG2283" s="2"/>
      <c r="CH2283" s="2"/>
      <c r="CI2283" s="2">
        <v>1</v>
      </c>
      <c r="CJ2283" s="2">
        <v>1</v>
      </c>
      <c r="CK2283" s="2">
        <v>21</v>
      </c>
      <c r="CL2283" s="2" t="s">
        <v>86</v>
      </c>
      <c r="CM2283" s="2"/>
    </row>
    <row r="2284" spans="1:91">
      <c r="A2284" s="2" t="s">
        <v>71</v>
      </c>
      <c r="B2284" s="2" t="s">
        <v>72</v>
      </c>
      <c r="C2284" s="2" t="s">
        <v>73</v>
      </c>
      <c r="D2284" s="2"/>
      <c r="E2284" s="2" t="str">
        <f>"FES1162544253"</f>
        <v>FES1162544253</v>
      </c>
      <c r="F2284" s="3">
        <v>42844</v>
      </c>
      <c r="G2284" s="2">
        <v>201710</v>
      </c>
      <c r="H2284" s="2" t="s">
        <v>74</v>
      </c>
      <c r="I2284" s="2" t="s">
        <v>75</v>
      </c>
      <c r="J2284" s="2" t="s">
        <v>76</v>
      </c>
      <c r="K2284" s="2" t="s">
        <v>77</v>
      </c>
      <c r="L2284" s="2" t="s">
        <v>139</v>
      </c>
      <c r="M2284" s="2" t="s">
        <v>140</v>
      </c>
      <c r="N2284" s="2" t="s">
        <v>141</v>
      </c>
      <c r="O2284" s="2" t="s">
        <v>115</v>
      </c>
      <c r="P2284" s="2" t="str">
        <f>"2170562851                    "</f>
        <v xml:space="preserve">2170562851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6.43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3</v>
      </c>
      <c r="BJ2284" s="2">
        <v>2.1</v>
      </c>
      <c r="BK2284" s="2">
        <v>3</v>
      </c>
      <c r="BL2284" s="2">
        <v>62.59</v>
      </c>
      <c r="BM2284" s="2">
        <v>8.76</v>
      </c>
      <c r="BN2284" s="2">
        <v>71.349999999999994</v>
      </c>
      <c r="BO2284" s="2">
        <v>71.349999999999994</v>
      </c>
      <c r="BP2284" s="2"/>
      <c r="BQ2284" s="2" t="s">
        <v>142</v>
      </c>
      <c r="BR2284" s="2" t="s">
        <v>84</v>
      </c>
      <c r="BS2284" s="3">
        <v>42845</v>
      </c>
      <c r="BT2284" s="4">
        <v>0.39097222222222222</v>
      </c>
      <c r="BU2284" s="2" t="s">
        <v>604</v>
      </c>
      <c r="BV2284" s="2" t="s">
        <v>111</v>
      </c>
      <c r="BW2284" s="2"/>
      <c r="BX2284" s="2"/>
      <c r="BY2284" s="2">
        <v>10478</v>
      </c>
      <c r="BZ2284" s="2" t="s">
        <v>27</v>
      </c>
      <c r="CA2284" s="2"/>
      <c r="CB2284" s="2"/>
      <c r="CC2284" s="2" t="s">
        <v>140</v>
      </c>
      <c r="CD2284" s="2">
        <v>157</v>
      </c>
      <c r="CE2284" s="2" t="s">
        <v>2678</v>
      </c>
      <c r="CF2284" s="5">
        <v>42849</v>
      </c>
      <c r="CG2284" s="2"/>
      <c r="CH2284" s="2"/>
      <c r="CI2284" s="2">
        <v>0</v>
      </c>
      <c r="CJ2284" s="2">
        <v>0</v>
      </c>
      <c r="CK2284" s="2">
        <v>21</v>
      </c>
      <c r="CL2284" s="2" t="s">
        <v>86</v>
      </c>
      <c r="CM2284" s="2"/>
    </row>
    <row r="2285" spans="1:91">
      <c r="A2285" s="2" t="s">
        <v>71</v>
      </c>
      <c r="B2285" s="2" t="s">
        <v>72</v>
      </c>
      <c r="C2285" s="2" t="s">
        <v>73</v>
      </c>
      <c r="D2285" s="2"/>
      <c r="E2285" s="2" t="str">
        <f>"FES1162541474"</f>
        <v>FES1162541474</v>
      </c>
      <c r="F2285" s="3">
        <v>42829</v>
      </c>
      <c r="G2285" s="2">
        <v>201710</v>
      </c>
      <c r="H2285" s="2" t="s">
        <v>74</v>
      </c>
      <c r="I2285" s="2" t="s">
        <v>75</v>
      </c>
      <c r="J2285" s="2" t="s">
        <v>200</v>
      </c>
      <c r="K2285" s="2" t="s">
        <v>77</v>
      </c>
      <c r="L2285" s="2" t="s">
        <v>74</v>
      </c>
      <c r="M2285" s="2" t="s">
        <v>75</v>
      </c>
      <c r="N2285" s="2" t="s">
        <v>1684</v>
      </c>
      <c r="O2285" s="2" t="s">
        <v>1014</v>
      </c>
      <c r="P2285" s="2" t="str">
        <f>"2170560311                    "</f>
        <v xml:space="preserve">2170560311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3.84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8.8000000000000007</v>
      </c>
      <c r="BJ2285" s="2">
        <v>5.6</v>
      </c>
      <c r="BK2285" s="2">
        <v>9</v>
      </c>
      <c r="BL2285" s="2">
        <v>36.369999999999997</v>
      </c>
      <c r="BM2285" s="2">
        <v>5.09</v>
      </c>
      <c r="BN2285" s="2">
        <v>41.46</v>
      </c>
      <c r="BO2285" s="2">
        <v>41.46</v>
      </c>
      <c r="BP2285" s="2"/>
      <c r="BQ2285" s="2" t="s">
        <v>1685</v>
      </c>
      <c r="BR2285" s="2" t="s">
        <v>204</v>
      </c>
      <c r="BS2285" s="3">
        <v>42830</v>
      </c>
      <c r="BT2285" s="4">
        <v>0.41666666666666669</v>
      </c>
      <c r="BU2285" s="2" t="s">
        <v>2147</v>
      </c>
      <c r="BV2285" s="2" t="s">
        <v>111</v>
      </c>
      <c r="BW2285" s="2"/>
      <c r="BX2285" s="2"/>
      <c r="BY2285" s="2">
        <v>27891.35</v>
      </c>
      <c r="BZ2285" s="2" t="s">
        <v>27</v>
      </c>
      <c r="CA2285" s="2"/>
      <c r="CB2285" s="2"/>
      <c r="CC2285" s="2" t="s">
        <v>75</v>
      </c>
      <c r="CD2285" s="2">
        <v>1609</v>
      </c>
      <c r="CE2285" s="2" t="s">
        <v>89</v>
      </c>
      <c r="CF2285" s="5">
        <v>42832</v>
      </c>
      <c r="CG2285" s="2"/>
      <c r="CH2285" s="2"/>
      <c r="CI2285" s="2">
        <v>1</v>
      </c>
      <c r="CJ2285" s="2">
        <v>1</v>
      </c>
      <c r="CK2285" s="2">
        <v>32</v>
      </c>
      <c r="CL2285" s="2" t="s">
        <v>86</v>
      </c>
      <c r="CM2285" s="2"/>
    </row>
    <row r="2286" spans="1:91">
      <c r="A2286" s="2" t="s">
        <v>71</v>
      </c>
      <c r="B2286" s="2" t="s">
        <v>72</v>
      </c>
      <c r="C2286" s="2" t="s">
        <v>73</v>
      </c>
      <c r="D2286" s="2"/>
      <c r="E2286" s="2" t="str">
        <f>"FES1162544187"</f>
        <v>FES1162544187</v>
      </c>
      <c r="F2286" s="3">
        <v>42844</v>
      </c>
      <c r="G2286" s="2">
        <v>201710</v>
      </c>
      <c r="H2286" s="2" t="s">
        <v>74</v>
      </c>
      <c r="I2286" s="2" t="s">
        <v>75</v>
      </c>
      <c r="J2286" s="2" t="s">
        <v>76</v>
      </c>
      <c r="K2286" s="2" t="s">
        <v>77</v>
      </c>
      <c r="L2286" s="2" t="s">
        <v>187</v>
      </c>
      <c r="M2286" s="2" t="s">
        <v>146</v>
      </c>
      <c r="N2286" s="2" t="s">
        <v>573</v>
      </c>
      <c r="O2286" s="2" t="s">
        <v>115</v>
      </c>
      <c r="P2286" s="2" t="str">
        <f>"2170562777                    "</f>
        <v xml:space="preserve">2170562777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5.36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2.2000000000000002</v>
      </c>
      <c r="BJ2286" s="2">
        <v>0.2</v>
      </c>
      <c r="BK2286" s="2">
        <v>2.5</v>
      </c>
      <c r="BL2286" s="2">
        <v>52.16</v>
      </c>
      <c r="BM2286" s="2">
        <v>7.3</v>
      </c>
      <c r="BN2286" s="2">
        <v>59.46</v>
      </c>
      <c r="BO2286" s="2">
        <v>59.46</v>
      </c>
      <c r="BP2286" s="2"/>
      <c r="BQ2286" s="2" t="s">
        <v>750</v>
      </c>
      <c r="BR2286" s="2" t="s">
        <v>84</v>
      </c>
      <c r="BS2286" s="3">
        <v>42845</v>
      </c>
      <c r="BT2286" s="4">
        <v>0.3833333333333333</v>
      </c>
      <c r="BU2286" s="2" t="s">
        <v>2372</v>
      </c>
      <c r="BV2286" s="2" t="s">
        <v>111</v>
      </c>
      <c r="BW2286" s="2"/>
      <c r="BX2286" s="2"/>
      <c r="BY2286" s="2">
        <v>1200</v>
      </c>
      <c r="BZ2286" s="2" t="s">
        <v>27</v>
      </c>
      <c r="CA2286" s="2"/>
      <c r="CB2286" s="2"/>
      <c r="CC2286" s="2" t="s">
        <v>146</v>
      </c>
      <c r="CD2286" s="2">
        <v>82</v>
      </c>
      <c r="CE2286" s="2" t="s">
        <v>118</v>
      </c>
      <c r="CF2286" s="5">
        <v>42849</v>
      </c>
      <c r="CG2286" s="2"/>
      <c r="CH2286" s="2"/>
      <c r="CI2286" s="2">
        <v>0</v>
      </c>
      <c r="CJ2286" s="2">
        <v>0</v>
      </c>
      <c r="CK2286" s="2">
        <v>21</v>
      </c>
      <c r="CL2286" s="2" t="s">
        <v>86</v>
      </c>
      <c r="CM2286" s="2"/>
    </row>
    <row r="2287" spans="1:91">
      <c r="A2287" s="2" t="s">
        <v>71</v>
      </c>
      <c r="B2287" s="2" t="s">
        <v>72</v>
      </c>
      <c r="C2287" s="2" t="s">
        <v>73</v>
      </c>
      <c r="D2287" s="2"/>
      <c r="E2287" s="2" t="str">
        <f>"FES1162541317"</f>
        <v>FES1162541317</v>
      </c>
      <c r="F2287" s="3">
        <v>42829</v>
      </c>
      <c r="G2287" s="2">
        <v>201710</v>
      </c>
      <c r="H2287" s="2" t="s">
        <v>74</v>
      </c>
      <c r="I2287" s="2" t="s">
        <v>75</v>
      </c>
      <c r="J2287" s="2" t="s">
        <v>200</v>
      </c>
      <c r="K2287" s="2" t="s">
        <v>77</v>
      </c>
      <c r="L2287" s="2" t="s">
        <v>91</v>
      </c>
      <c r="M2287" s="2" t="s">
        <v>92</v>
      </c>
      <c r="N2287" s="2" t="s">
        <v>93</v>
      </c>
      <c r="O2287" s="2" t="s">
        <v>1014</v>
      </c>
      <c r="P2287" s="2" t="str">
        <f>"2170560391                    "</f>
        <v xml:space="preserve">2170560391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5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11.3</v>
      </c>
      <c r="BJ2287" s="2">
        <v>3.4</v>
      </c>
      <c r="BK2287" s="2">
        <v>12</v>
      </c>
      <c r="BL2287" s="2">
        <v>47.37</v>
      </c>
      <c r="BM2287" s="2">
        <v>6.63</v>
      </c>
      <c r="BN2287" s="2">
        <v>54</v>
      </c>
      <c r="BO2287" s="2">
        <v>54</v>
      </c>
      <c r="BP2287" s="2"/>
      <c r="BQ2287" s="2" t="s">
        <v>94</v>
      </c>
      <c r="BR2287" s="2" t="s">
        <v>204</v>
      </c>
      <c r="BS2287" s="3">
        <v>42830</v>
      </c>
      <c r="BT2287" s="4">
        <v>0.41666666666666669</v>
      </c>
      <c r="BU2287" s="2" t="s">
        <v>1159</v>
      </c>
      <c r="BV2287" s="2" t="s">
        <v>111</v>
      </c>
      <c r="BW2287" s="2"/>
      <c r="BX2287" s="2"/>
      <c r="BY2287" s="2">
        <v>17008.7</v>
      </c>
      <c r="BZ2287" s="2" t="s">
        <v>27</v>
      </c>
      <c r="CA2287" s="2" t="s">
        <v>159</v>
      </c>
      <c r="CB2287" s="2"/>
      <c r="CC2287" s="2" t="s">
        <v>92</v>
      </c>
      <c r="CD2287" s="2">
        <v>1401</v>
      </c>
      <c r="CE2287" s="2" t="s">
        <v>89</v>
      </c>
      <c r="CF2287" s="5">
        <v>42832</v>
      </c>
      <c r="CG2287" s="2"/>
      <c r="CH2287" s="2"/>
      <c r="CI2287" s="2">
        <v>1</v>
      </c>
      <c r="CJ2287" s="2">
        <v>1</v>
      </c>
      <c r="CK2287" s="2">
        <v>32</v>
      </c>
      <c r="CL2287" s="2" t="s">
        <v>86</v>
      </c>
      <c r="CM2287" s="2"/>
    </row>
    <row r="2288" spans="1:91">
      <c r="A2288" s="2" t="s">
        <v>71</v>
      </c>
      <c r="B2288" s="2" t="s">
        <v>72</v>
      </c>
      <c r="C2288" s="2" t="s">
        <v>73</v>
      </c>
      <c r="D2288" s="2"/>
      <c r="E2288" s="2" t="str">
        <f>"FES1162544194"</f>
        <v>FES1162544194</v>
      </c>
      <c r="F2288" s="3">
        <v>42844</v>
      </c>
      <c r="G2288" s="2">
        <v>201710</v>
      </c>
      <c r="H2288" s="2" t="s">
        <v>74</v>
      </c>
      <c r="I2288" s="2" t="s">
        <v>75</v>
      </c>
      <c r="J2288" s="2" t="s">
        <v>76</v>
      </c>
      <c r="K2288" s="2" t="s">
        <v>77</v>
      </c>
      <c r="L2288" s="2" t="s">
        <v>231</v>
      </c>
      <c r="M2288" s="2" t="s">
        <v>232</v>
      </c>
      <c r="N2288" s="2" t="s">
        <v>316</v>
      </c>
      <c r="O2288" s="2" t="s">
        <v>115</v>
      </c>
      <c r="P2288" s="2" t="str">
        <f>"2170562787                    "</f>
        <v xml:space="preserve">2170562787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6.03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1</v>
      </c>
      <c r="BJ2288" s="2">
        <v>0.2</v>
      </c>
      <c r="BK2288" s="2">
        <v>1</v>
      </c>
      <c r="BL2288" s="2">
        <v>58.68</v>
      </c>
      <c r="BM2288" s="2">
        <v>8.2200000000000006</v>
      </c>
      <c r="BN2288" s="2">
        <v>66.900000000000006</v>
      </c>
      <c r="BO2288" s="2">
        <v>66.900000000000006</v>
      </c>
      <c r="BP2288" s="2"/>
      <c r="BQ2288" s="2" t="s">
        <v>317</v>
      </c>
      <c r="BR2288" s="2" t="s">
        <v>84</v>
      </c>
      <c r="BS2288" s="3">
        <v>42845</v>
      </c>
      <c r="BT2288" s="4">
        <v>0.44791666666666669</v>
      </c>
      <c r="BU2288" s="2" t="s">
        <v>318</v>
      </c>
      <c r="BV2288" s="2" t="s">
        <v>111</v>
      </c>
      <c r="BW2288" s="2"/>
      <c r="BX2288" s="2"/>
      <c r="BY2288" s="2">
        <v>1200</v>
      </c>
      <c r="BZ2288" s="2" t="s">
        <v>27</v>
      </c>
      <c r="CA2288" s="2"/>
      <c r="CB2288" s="2"/>
      <c r="CC2288" s="2" t="s">
        <v>232</v>
      </c>
      <c r="CD2288" s="2">
        <v>250</v>
      </c>
      <c r="CE2288" s="2" t="s">
        <v>118</v>
      </c>
      <c r="CF2288" s="5">
        <v>42849</v>
      </c>
      <c r="CG2288" s="2"/>
      <c r="CH2288" s="2"/>
      <c r="CI2288" s="2">
        <v>1</v>
      </c>
      <c r="CJ2288" s="2">
        <v>1</v>
      </c>
      <c r="CK2288" s="2">
        <v>24</v>
      </c>
      <c r="CL2288" s="2" t="s">
        <v>86</v>
      </c>
      <c r="CM2288" s="2"/>
    </row>
    <row r="2289" spans="1:91">
      <c r="A2289" s="2" t="s">
        <v>71</v>
      </c>
      <c r="B2289" s="2" t="s">
        <v>72</v>
      </c>
      <c r="C2289" s="2" t="s">
        <v>73</v>
      </c>
      <c r="D2289" s="2"/>
      <c r="E2289" s="2" t="str">
        <f>"FES1162544214"</f>
        <v>FES1162544214</v>
      </c>
      <c r="F2289" s="3">
        <v>42844</v>
      </c>
      <c r="G2289" s="2">
        <v>201710</v>
      </c>
      <c r="H2289" s="2" t="s">
        <v>74</v>
      </c>
      <c r="I2289" s="2" t="s">
        <v>75</v>
      </c>
      <c r="J2289" s="2" t="s">
        <v>76</v>
      </c>
      <c r="K2289" s="2" t="s">
        <v>77</v>
      </c>
      <c r="L2289" s="2" t="s">
        <v>99</v>
      </c>
      <c r="M2289" s="2" t="s">
        <v>100</v>
      </c>
      <c r="N2289" s="2" t="s">
        <v>671</v>
      </c>
      <c r="O2289" s="2" t="s">
        <v>115</v>
      </c>
      <c r="P2289" s="2" t="str">
        <f>"2170562812                    "</f>
        <v xml:space="preserve">2170562812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4.29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</v>
      </c>
      <c r="BJ2289" s="2">
        <v>0.2</v>
      </c>
      <c r="BK2289" s="2">
        <v>1</v>
      </c>
      <c r="BL2289" s="2">
        <v>41.73</v>
      </c>
      <c r="BM2289" s="2">
        <v>5.84</v>
      </c>
      <c r="BN2289" s="2">
        <v>47.57</v>
      </c>
      <c r="BO2289" s="2">
        <v>47.57</v>
      </c>
      <c r="BP2289" s="2"/>
      <c r="BQ2289" s="2" t="s">
        <v>672</v>
      </c>
      <c r="BR2289" s="2" t="s">
        <v>84</v>
      </c>
      <c r="BS2289" s="3">
        <v>42845</v>
      </c>
      <c r="BT2289" s="4">
        <v>0.38680555555555557</v>
      </c>
      <c r="BU2289" s="2" t="s">
        <v>2679</v>
      </c>
      <c r="BV2289" s="2" t="s">
        <v>111</v>
      </c>
      <c r="BW2289" s="2"/>
      <c r="BX2289" s="2"/>
      <c r="BY2289" s="2">
        <v>1200</v>
      </c>
      <c r="BZ2289" s="2" t="s">
        <v>27</v>
      </c>
      <c r="CA2289" s="2" t="s">
        <v>106</v>
      </c>
      <c r="CB2289" s="2"/>
      <c r="CC2289" s="2" t="s">
        <v>100</v>
      </c>
      <c r="CD2289" s="2">
        <v>6001</v>
      </c>
      <c r="CE2289" s="2" t="s">
        <v>118</v>
      </c>
      <c r="CF2289" s="5">
        <v>42845</v>
      </c>
      <c r="CG2289" s="2"/>
      <c r="CH2289" s="2"/>
      <c r="CI2289" s="2">
        <v>1</v>
      </c>
      <c r="CJ2289" s="2">
        <v>1</v>
      </c>
      <c r="CK2289" s="2">
        <v>21</v>
      </c>
      <c r="CL2289" s="2" t="s">
        <v>86</v>
      </c>
      <c r="CM2289" s="2"/>
    </row>
    <row r="2290" spans="1:91">
      <c r="A2290" s="2" t="s">
        <v>71</v>
      </c>
      <c r="B2290" s="2" t="s">
        <v>72</v>
      </c>
      <c r="C2290" s="2" t="s">
        <v>73</v>
      </c>
      <c r="D2290" s="2"/>
      <c r="E2290" s="2" t="str">
        <f>"FES1162544212"</f>
        <v>FES1162544212</v>
      </c>
      <c r="F2290" s="3">
        <v>42844</v>
      </c>
      <c r="G2290" s="2">
        <v>201710</v>
      </c>
      <c r="H2290" s="2" t="s">
        <v>74</v>
      </c>
      <c r="I2290" s="2" t="s">
        <v>75</v>
      </c>
      <c r="J2290" s="2" t="s">
        <v>76</v>
      </c>
      <c r="K2290" s="2" t="s">
        <v>77</v>
      </c>
      <c r="L2290" s="2" t="s">
        <v>126</v>
      </c>
      <c r="M2290" s="2" t="s">
        <v>127</v>
      </c>
      <c r="N2290" s="2" t="s">
        <v>128</v>
      </c>
      <c r="O2290" s="2" t="s">
        <v>115</v>
      </c>
      <c r="P2290" s="2" t="str">
        <f>"2170562810                    "</f>
        <v xml:space="preserve">2170562810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4.29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1</v>
      </c>
      <c r="BJ2290" s="2">
        <v>0.2</v>
      </c>
      <c r="BK2290" s="2">
        <v>1</v>
      </c>
      <c r="BL2290" s="2">
        <v>41.73</v>
      </c>
      <c r="BM2290" s="2">
        <v>5.84</v>
      </c>
      <c r="BN2290" s="2">
        <v>47.57</v>
      </c>
      <c r="BO2290" s="2">
        <v>47.57</v>
      </c>
      <c r="BP2290" s="2"/>
      <c r="BQ2290" s="2" t="s">
        <v>129</v>
      </c>
      <c r="BR2290" s="2" t="s">
        <v>84</v>
      </c>
      <c r="BS2290" s="3">
        <v>42845</v>
      </c>
      <c r="BT2290" s="4">
        <v>0.41666666666666669</v>
      </c>
      <c r="BU2290" s="2" t="s">
        <v>2680</v>
      </c>
      <c r="BV2290" s="2" t="s">
        <v>111</v>
      </c>
      <c r="BW2290" s="2"/>
      <c r="BX2290" s="2"/>
      <c r="BY2290" s="2">
        <v>1200</v>
      </c>
      <c r="BZ2290" s="2" t="s">
        <v>27</v>
      </c>
      <c r="CA2290" s="2" t="s">
        <v>159</v>
      </c>
      <c r="CB2290" s="2"/>
      <c r="CC2290" s="2" t="s">
        <v>127</v>
      </c>
      <c r="CD2290" s="2">
        <v>6850</v>
      </c>
      <c r="CE2290" s="2" t="s">
        <v>118</v>
      </c>
      <c r="CF2290" s="5">
        <v>42846</v>
      </c>
      <c r="CG2290" s="2"/>
      <c r="CH2290" s="2"/>
      <c r="CI2290" s="2">
        <v>3</v>
      </c>
      <c r="CJ2290" s="2">
        <v>1</v>
      </c>
      <c r="CK2290" s="2">
        <v>21</v>
      </c>
      <c r="CL2290" s="2" t="s">
        <v>86</v>
      </c>
      <c r="CM2290" s="2"/>
    </row>
    <row r="2291" spans="1:91">
      <c r="A2291" s="2" t="s">
        <v>71</v>
      </c>
      <c r="B2291" s="2" t="s">
        <v>72</v>
      </c>
      <c r="C2291" s="2" t="s">
        <v>73</v>
      </c>
      <c r="D2291" s="2"/>
      <c r="E2291" s="2" t="str">
        <f>"FES1162544218"</f>
        <v>FES1162544218</v>
      </c>
      <c r="F2291" s="3">
        <v>42844</v>
      </c>
      <c r="G2291" s="2">
        <v>201710</v>
      </c>
      <c r="H2291" s="2" t="s">
        <v>74</v>
      </c>
      <c r="I2291" s="2" t="s">
        <v>75</v>
      </c>
      <c r="J2291" s="2" t="s">
        <v>76</v>
      </c>
      <c r="K2291" s="2" t="s">
        <v>77</v>
      </c>
      <c r="L2291" s="2" t="s">
        <v>1326</v>
      </c>
      <c r="M2291" s="2" t="s">
        <v>1326</v>
      </c>
      <c r="N2291" s="2" t="s">
        <v>1327</v>
      </c>
      <c r="O2291" s="2" t="s">
        <v>115</v>
      </c>
      <c r="P2291" s="2" t="str">
        <f>"2170562817                    "</f>
        <v xml:space="preserve">2170562817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8.31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2</v>
      </c>
      <c r="BJ2291" s="2">
        <v>1.7</v>
      </c>
      <c r="BK2291" s="2">
        <v>2</v>
      </c>
      <c r="BL2291" s="2">
        <v>80.849999999999994</v>
      </c>
      <c r="BM2291" s="2">
        <v>11.32</v>
      </c>
      <c r="BN2291" s="2">
        <v>92.17</v>
      </c>
      <c r="BO2291" s="2">
        <v>92.17</v>
      </c>
      <c r="BP2291" s="2"/>
      <c r="BQ2291" s="2" t="s">
        <v>116</v>
      </c>
      <c r="BR2291" s="2" t="s">
        <v>84</v>
      </c>
      <c r="BS2291" s="3">
        <v>42846</v>
      </c>
      <c r="BT2291" s="4">
        <v>0.58680555555555558</v>
      </c>
      <c r="BU2291" s="2" t="s">
        <v>2636</v>
      </c>
      <c r="BV2291" s="2" t="s">
        <v>111</v>
      </c>
      <c r="BW2291" s="2"/>
      <c r="BX2291" s="2"/>
      <c r="BY2291" s="2">
        <v>8595.15</v>
      </c>
      <c r="BZ2291" s="2" t="s">
        <v>27</v>
      </c>
      <c r="CA2291" s="2"/>
      <c r="CB2291" s="2"/>
      <c r="CC2291" s="2" t="s">
        <v>1326</v>
      </c>
      <c r="CD2291" s="2">
        <v>5470</v>
      </c>
      <c r="CE2291" s="2" t="s">
        <v>172</v>
      </c>
      <c r="CF2291" s="5">
        <v>42853</v>
      </c>
      <c r="CG2291" s="2"/>
      <c r="CH2291" s="2"/>
      <c r="CI2291" s="2">
        <v>4</v>
      </c>
      <c r="CJ2291" s="2">
        <v>2</v>
      </c>
      <c r="CK2291" s="2">
        <v>23</v>
      </c>
      <c r="CL2291" s="2" t="s">
        <v>86</v>
      </c>
      <c r="CM2291" s="2"/>
    </row>
    <row r="2292" spans="1:91">
      <c r="A2292" s="2" t="s">
        <v>71</v>
      </c>
      <c r="B2292" s="2" t="s">
        <v>72</v>
      </c>
      <c r="C2292" s="2" t="s">
        <v>73</v>
      </c>
      <c r="D2292" s="2"/>
      <c r="E2292" s="2" t="str">
        <f>"FES1162544211"</f>
        <v>FES1162544211</v>
      </c>
      <c r="F2292" s="3">
        <v>42844</v>
      </c>
      <c r="G2292" s="2">
        <v>201710</v>
      </c>
      <c r="H2292" s="2" t="s">
        <v>74</v>
      </c>
      <c r="I2292" s="2" t="s">
        <v>75</v>
      </c>
      <c r="J2292" s="2" t="s">
        <v>76</v>
      </c>
      <c r="K2292" s="2" t="s">
        <v>77</v>
      </c>
      <c r="L2292" s="2" t="s">
        <v>126</v>
      </c>
      <c r="M2292" s="2" t="s">
        <v>127</v>
      </c>
      <c r="N2292" s="2" t="s">
        <v>718</v>
      </c>
      <c r="O2292" s="2" t="s">
        <v>115</v>
      </c>
      <c r="P2292" s="2" t="str">
        <f>"2170562807                    "</f>
        <v xml:space="preserve">2170562807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4.29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2</v>
      </c>
      <c r="BJ2292" s="2">
        <v>1</v>
      </c>
      <c r="BK2292" s="2">
        <v>2</v>
      </c>
      <c r="BL2292" s="2">
        <v>41.73</v>
      </c>
      <c r="BM2292" s="2">
        <v>5.84</v>
      </c>
      <c r="BN2292" s="2">
        <v>47.57</v>
      </c>
      <c r="BO2292" s="2">
        <v>47.57</v>
      </c>
      <c r="BP2292" s="2"/>
      <c r="BQ2292" s="2" t="s">
        <v>719</v>
      </c>
      <c r="BR2292" s="2" t="s">
        <v>84</v>
      </c>
      <c r="BS2292" s="3">
        <v>42845</v>
      </c>
      <c r="BT2292" s="4">
        <v>0.41666666666666669</v>
      </c>
      <c r="BU2292" s="2" t="s">
        <v>130</v>
      </c>
      <c r="BV2292" s="2" t="s">
        <v>111</v>
      </c>
      <c r="BW2292" s="2"/>
      <c r="BX2292" s="2"/>
      <c r="BY2292" s="2">
        <v>4763.6400000000003</v>
      </c>
      <c r="BZ2292" s="2" t="s">
        <v>27</v>
      </c>
      <c r="CA2292" s="2"/>
      <c r="CB2292" s="2"/>
      <c r="CC2292" s="2" t="s">
        <v>127</v>
      </c>
      <c r="CD2292" s="2">
        <v>6850</v>
      </c>
      <c r="CE2292" s="2" t="s">
        <v>172</v>
      </c>
      <c r="CF2292" s="5">
        <v>42846</v>
      </c>
      <c r="CG2292" s="2"/>
      <c r="CH2292" s="2"/>
      <c r="CI2292" s="2">
        <v>3</v>
      </c>
      <c r="CJ2292" s="2">
        <v>1</v>
      </c>
      <c r="CK2292" s="2">
        <v>21</v>
      </c>
      <c r="CL2292" s="2" t="s">
        <v>86</v>
      </c>
      <c r="CM2292" s="2"/>
    </row>
    <row r="2293" spans="1:91">
      <c r="A2293" s="2" t="s">
        <v>71</v>
      </c>
      <c r="B2293" s="2" t="s">
        <v>72</v>
      </c>
      <c r="C2293" s="2" t="s">
        <v>73</v>
      </c>
      <c r="D2293" s="2"/>
      <c r="E2293" s="2" t="str">
        <f>"FES1162544195"</f>
        <v>FES1162544195</v>
      </c>
      <c r="F2293" s="3">
        <v>42844</v>
      </c>
      <c r="G2293" s="2">
        <v>201710</v>
      </c>
      <c r="H2293" s="2" t="s">
        <v>74</v>
      </c>
      <c r="I2293" s="2" t="s">
        <v>75</v>
      </c>
      <c r="J2293" s="2" t="s">
        <v>76</v>
      </c>
      <c r="K2293" s="2" t="s">
        <v>77</v>
      </c>
      <c r="L2293" s="2" t="s">
        <v>231</v>
      </c>
      <c r="M2293" s="2" t="s">
        <v>232</v>
      </c>
      <c r="N2293" s="2" t="s">
        <v>316</v>
      </c>
      <c r="O2293" s="2" t="s">
        <v>115</v>
      </c>
      <c r="P2293" s="2" t="str">
        <f>"2170562788                    "</f>
        <v xml:space="preserve">2170562788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6.03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1</v>
      </c>
      <c r="BJ2293" s="2">
        <v>0.2</v>
      </c>
      <c r="BK2293" s="2">
        <v>1</v>
      </c>
      <c r="BL2293" s="2">
        <v>58.68</v>
      </c>
      <c r="BM2293" s="2">
        <v>8.2200000000000006</v>
      </c>
      <c r="BN2293" s="2">
        <v>66.900000000000006</v>
      </c>
      <c r="BO2293" s="2">
        <v>66.900000000000006</v>
      </c>
      <c r="BP2293" s="2"/>
      <c r="BQ2293" s="2" t="s">
        <v>317</v>
      </c>
      <c r="BR2293" s="2" t="s">
        <v>84</v>
      </c>
      <c r="BS2293" s="3">
        <v>42845</v>
      </c>
      <c r="BT2293" s="4">
        <v>0.40972222222222227</v>
      </c>
      <c r="BU2293" s="2" t="s">
        <v>318</v>
      </c>
      <c r="BV2293" s="2" t="s">
        <v>111</v>
      </c>
      <c r="BW2293" s="2"/>
      <c r="BX2293" s="2"/>
      <c r="BY2293" s="2">
        <v>1200</v>
      </c>
      <c r="BZ2293" s="2" t="s">
        <v>27</v>
      </c>
      <c r="CA2293" s="2"/>
      <c r="CB2293" s="2"/>
      <c r="CC2293" s="2" t="s">
        <v>232</v>
      </c>
      <c r="CD2293" s="2">
        <v>250</v>
      </c>
      <c r="CE2293" s="2" t="s">
        <v>118</v>
      </c>
      <c r="CF2293" s="5">
        <v>42849</v>
      </c>
      <c r="CG2293" s="2"/>
      <c r="CH2293" s="2"/>
      <c r="CI2293" s="2">
        <v>1</v>
      </c>
      <c r="CJ2293" s="2">
        <v>1</v>
      </c>
      <c r="CK2293" s="2">
        <v>24</v>
      </c>
      <c r="CL2293" s="2" t="s">
        <v>86</v>
      </c>
      <c r="CM2293" s="2"/>
    </row>
    <row r="2294" spans="1:91">
      <c r="A2294" s="2" t="s">
        <v>71</v>
      </c>
      <c r="B2294" s="2" t="s">
        <v>72</v>
      </c>
      <c r="C2294" s="2" t="s">
        <v>73</v>
      </c>
      <c r="D2294" s="2"/>
      <c r="E2294" s="2" t="str">
        <f>"FES1162544216"</f>
        <v>FES1162544216</v>
      </c>
      <c r="F2294" s="3">
        <v>42844</v>
      </c>
      <c r="G2294" s="2">
        <v>201710</v>
      </c>
      <c r="H2294" s="2" t="s">
        <v>74</v>
      </c>
      <c r="I2294" s="2" t="s">
        <v>75</v>
      </c>
      <c r="J2294" s="2" t="s">
        <v>76</v>
      </c>
      <c r="K2294" s="2" t="s">
        <v>77</v>
      </c>
      <c r="L2294" s="2" t="s">
        <v>609</v>
      </c>
      <c r="M2294" s="2" t="s">
        <v>610</v>
      </c>
      <c r="N2294" s="2" t="s">
        <v>1263</v>
      </c>
      <c r="O2294" s="2" t="s">
        <v>115</v>
      </c>
      <c r="P2294" s="2" t="str">
        <f>"2170562813                    "</f>
        <v xml:space="preserve">2170562813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4.29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1</v>
      </c>
      <c r="BJ2294" s="2">
        <v>0.2</v>
      </c>
      <c r="BK2294" s="2">
        <v>1</v>
      </c>
      <c r="BL2294" s="2">
        <v>41.73</v>
      </c>
      <c r="BM2294" s="2">
        <v>5.84</v>
      </c>
      <c r="BN2294" s="2">
        <v>47.57</v>
      </c>
      <c r="BO2294" s="2">
        <v>47.57</v>
      </c>
      <c r="BP2294" s="2"/>
      <c r="BQ2294" s="2" t="s">
        <v>1264</v>
      </c>
      <c r="BR2294" s="2" t="s">
        <v>84</v>
      </c>
      <c r="BS2294" s="3">
        <v>42845</v>
      </c>
      <c r="BT2294" s="4">
        <v>0.41666666666666669</v>
      </c>
      <c r="BU2294" s="2" t="s">
        <v>2681</v>
      </c>
      <c r="BV2294" s="2" t="s">
        <v>111</v>
      </c>
      <c r="BW2294" s="2"/>
      <c r="BX2294" s="2"/>
      <c r="BY2294" s="2">
        <v>1200</v>
      </c>
      <c r="BZ2294" s="2" t="s">
        <v>27</v>
      </c>
      <c r="CA2294" s="2"/>
      <c r="CB2294" s="2"/>
      <c r="CC2294" s="2" t="s">
        <v>610</v>
      </c>
      <c r="CD2294" s="2">
        <v>1900</v>
      </c>
      <c r="CE2294" s="2" t="s">
        <v>118</v>
      </c>
      <c r="CF2294" s="5">
        <v>42846</v>
      </c>
      <c r="CG2294" s="2"/>
      <c r="CH2294" s="2"/>
      <c r="CI2294" s="2">
        <v>1</v>
      </c>
      <c r="CJ2294" s="2">
        <v>1</v>
      </c>
      <c r="CK2294" s="2">
        <v>21</v>
      </c>
      <c r="CL2294" s="2" t="s">
        <v>86</v>
      </c>
      <c r="CM2294" s="2"/>
    </row>
    <row r="2295" spans="1:91">
      <c r="A2295" s="2" t="s">
        <v>71</v>
      </c>
      <c r="B2295" s="2" t="s">
        <v>72</v>
      </c>
      <c r="C2295" s="2" t="s">
        <v>73</v>
      </c>
      <c r="D2295" s="2"/>
      <c r="E2295" s="2" t="str">
        <f>"FES1162544111"</f>
        <v>FES1162544111</v>
      </c>
      <c r="F2295" s="3">
        <v>42844</v>
      </c>
      <c r="G2295" s="2">
        <v>201710</v>
      </c>
      <c r="H2295" s="2" t="s">
        <v>74</v>
      </c>
      <c r="I2295" s="2" t="s">
        <v>75</v>
      </c>
      <c r="J2295" s="2" t="s">
        <v>76</v>
      </c>
      <c r="K2295" s="2" t="s">
        <v>77</v>
      </c>
      <c r="L2295" s="2" t="s">
        <v>74</v>
      </c>
      <c r="M2295" s="2" t="s">
        <v>75</v>
      </c>
      <c r="N2295" s="2" t="s">
        <v>2682</v>
      </c>
      <c r="O2295" s="2" t="s">
        <v>115</v>
      </c>
      <c r="P2295" s="2" t="str">
        <f>"2170558895                    "</f>
        <v xml:space="preserve">2170558895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3.35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1</v>
      </c>
      <c r="BJ2295" s="2">
        <v>0.2</v>
      </c>
      <c r="BK2295" s="2">
        <v>1</v>
      </c>
      <c r="BL2295" s="2">
        <v>32.6</v>
      </c>
      <c r="BM2295" s="2">
        <v>4.5599999999999996</v>
      </c>
      <c r="BN2295" s="2">
        <v>37.159999999999997</v>
      </c>
      <c r="BO2295" s="2">
        <v>37.159999999999997</v>
      </c>
      <c r="BP2295" s="2"/>
      <c r="BQ2295" s="2" t="s">
        <v>2683</v>
      </c>
      <c r="BR2295" s="2" t="s">
        <v>84</v>
      </c>
      <c r="BS2295" s="3">
        <v>42845</v>
      </c>
      <c r="BT2295" s="4">
        <v>0.33333333333333331</v>
      </c>
      <c r="BU2295" s="2" t="s">
        <v>2684</v>
      </c>
      <c r="BV2295" s="2" t="s">
        <v>111</v>
      </c>
      <c r="BW2295" s="2"/>
      <c r="BX2295" s="2"/>
      <c r="BY2295" s="2">
        <v>1200</v>
      </c>
      <c r="BZ2295" s="2" t="s">
        <v>27</v>
      </c>
      <c r="CA2295" s="2"/>
      <c r="CB2295" s="2"/>
      <c r="CC2295" s="2" t="s">
        <v>75</v>
      </c>
      <c r="CD2295" s="2">
        <v>1601</v>
      </c>
      <c r="CE2295" s="2" t="s">
        <v>118</v>
      </c>
      <c r="CF2295" s="5">
        <v>42846</v>
      </c>
      <c r="CG2295" s="2"/>
      <c r="CH2295" s="2"/>
      <c r="CI2295" s="2">
        <v>1</v>
      </c>
      <c r="CJ2295" s="2">
        <v>1</v>
      </c>
      <c r="CK2295" s="2">
        <v>22</v>
      </c>
      <c r="CL2295" s="2" t="s">
        <v>86</v>
      </c>
      <c r="CM2295" s="2"/>
    </row>
    <row r="2296" spans="1:91">
      <c r="A2296" s="2" t="s">
        <v>71</v>
      </c>
      <c r="B2296" s="2" t="s">
        <v>72</v>
      </c>
      <c r="C2296" s="2" t="s">
        <v>73</v>
      </c>
      <c r="D2296" s="2"/>
      <c r="E2296" s="2" t="str">
        <f>"FES1162544112"</f>
        <v>FES1162544112</v>
      </c>
      <c r="F2296" s="3">
        <v>42844</v>
      </c>
      <c r="G2296" s="2">
        <v>201710</v>
      </c>
      <c r="H2296" s="2" t="s">
        <v>74</v>
      </c>
      <c r="I2296" s="2" t="s">
        <v>75</v>
      </c>
      <c r="J2296" s="2" t="s">
        <v>76</v>
      </c>
      <c r="K2296" s="2" t="s">
        <v>77</v>
      </c>
      <c r="L2296" s="2" t="s">
        <v>516</v>
      </c>
      <c r="M2296" s="2" t="s">
        <v>517</v>
      </c>
      <c r="N2296" s="2" t="s">
        <v>1994</v>
      </c>
      <c r="O2296" s="2" t="s">
        <v>115</v>
      </c>
      <c r="P2296" s="2" t="str">
        <f>"217058947                     "</f>
        <v xml:space="preserve">217058947 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3.35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1</v>
      </c>
      <c r="BJ2296" s="2">
        <v>0.2</v>
      </c>
      <c r="BK2296" s="2">
        <v>1</v>
      </c>
      <c r="BL2296" s="2">
        <v>32.6</v>
      </c>
      <c r="BM2296" s="2">
        <v>4.5599999999999996</v>
      </c>
      <c r="BN2296" s="2">
        <v>37.159999999999997</v>
      </c>
      <c r="BO2296" s="2">
        <v>37.159999999999997</v>
      </c>
      <c r="BP2296" s="2"/>
      <c r="BQ2296" s="2" t="s">
        <v>1995</v>
      </c>
      <c r="BR2296" s="2" t="s">
        <v>84</v>
      </c>
      <c r="BS2296" s="3">
        <v>42845</v>
      </c>
      <c r="BT2296" s="4">
        <v>0.34027777777777773</v>
      </c>
      <c r="BU2296" s="2" t="s">
        <v>2152</v>
      </c>
      <c r="BV2296" s="2" t="s">
        <v>111</v>
      </c>
      <c r="BW2296" s="2"/>
      <c r="BX2296" s="2"/>
      <c r="BY2296" s="2">
        <v>1200</v>
      </c>
      <c r="BZ2296" s="2" t="s">
        <v>27</v>
      </c>
      <c r="CA2296" s="2" t="s">
        <v>2639</v>
      </c>
      <c r="CB2296" s="2"/>
      <c r="CC2296" s="2" t="s">
        <v>517</v>
      </c>
      <c r="CD2296" s="2">
        <v>1459</v>
      </c>
      <c r="CE2296" s="2" t="s">
        <v>118</v>
      </c>
      <c r="CF2296" s="5">
        <v>42845</v>
      </c>
      <c r="CG2296" s="2"/>
      <c r="CH2296" s="2"/>
      <c r="CI2296" s="2">
        <v>1</v>
      </c>
      <c r="CJ2296" s="2">
        <v>1</v>
      </c>
      <c r="CK2296" s="2">
        <v>22</v>
      </c>
      <c r="CL2296" s="2" t="s">
        <v>86</v>
      </c>
      <c r="CM2296" s="2"/>
    </row>
    <row r="2297" spans="1:91">
      <c r="A2297" s="2" t="s">
        <v>71</v>
      </c>
      <c r="B2297" s="2" t="s">
        <v>72</v>
      </c>
      <c r="C2297" s="2" t="s">
        <v>73</v>
      </c>
      <c r="D2297" s="2"/>
      <c r="E2297" s="2" t="str">
        <f>"FES1162543992"</f>
        <v>FES1162543992</v>
      </c>
      <c r="F2297" s="3">
        <v>42844</v>
      </c>
      <c r="G2297" s="2">
        <v>201710</v>
      </c>
      <c r="H2297" s="2" t="s">
        <v>74</v>
      </c>
      <c r="I2297" s="2" t="s">
        <v>75</v>
      </c>
      <c r="J2297" s="2" t="s">
        <v>76</v>
      </c>
      <c r="K2297" s="2" t="s">
        <v>77</v>
      </c>
      <c r="L2297" s="2" t="s">
        <v>474</v>
      </c>
      <c r="M2297" s="2" t="s">
        <v>475</v>
      </c>
      <c r="N2297" s="2" t="s">
        <v>476</v>
      </c>
      <c r="O2297" s="2" t="s">
        <v>115</v>
      </c>
      <c r="P2297" s="2" t="str">
        <f>"2170561561                    "</f>
        <v xml:space="preserve">2170561561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4.29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1</v>
      </c>
      <c r="BJ2297" s="2">
        <v>0.2</v>
      </c>
      <c r="BK2297" s="2">
        <v>1</v>
      </c>
      <c r="BL2297" s="2">
        <v>41.73</v>
      </c>
      <c r="BM2297" s="2">
        <v>5.84</v>
      </c>
      <c r="BN2297" s="2">
        <v>47.57</v>
      </c>
      <c r="BO2297" s="2">
        <v>47.57</v>
      </c>
      <c r="BP2297" s="2"/>
      <c r="BQ2297" s="2" t="s">
        <v>116</v>
      </c>
      <c r="BR2297" s="2" t="s">
        <v>84</v>
      </c>
      <c r="BS2297" s="3">
        <v>42845</v>
      </c>
      <c r="BT2297" s="4">
        <v>0.46597222222222223</v>
      </c>
      <c r="BU2297" s="2" t="s">
        <v>1773</v>
      </c>
      <c r="BV2297" s="2" t="s">
        <v>111</v>
      </c>
      <c r="BW2297" s="2"/>
      <c r="BX2297" s="2"/>
      <c r="BY2297" s="2">
        <v>1200</v>
      </c>
      <c r="BZ2297" s="2" t="s">
        <v>27</v>
      </c>
      <c r="CA2297" s="2"/>
      <c r="CB2297" s="2"/>
      <c r="CC2297" s="2" t="s">
        <v>475</v>
      </c>
      <c r="CD2297" s="2">
        <v>3280</v>
      </c>
      <c r="CE2297" s="2" t="s">
        <v>118</v>
      </c>
      <c r="CF2297" s="2"/>
      <c r="CG2297" s="2"/>
      <c r="CH2297" s="2"/>
      <c r="CI2297" s="2">
        <v>1</v>
      </c>
      <c r="CJ2297" s="2">
        <v>1</v>
      </c>
      <c r="CK2297" s="2">
        <v>21</v>
      </c>
      <c r="CL2297" s="2" t="s">
        <v>86</v>
      </c>
      <c r="CM2297" s="2"/>
    </row>
    <row r="2298" spans="1:91">
      <c r="A2298" s="2" t="s">
        <v>71</v>
      </c>
      <c r="B2298" s="2" t="s">
        <v>72</v>
      </c>
      <c r="C2298" s="2" t="s">
        <v>73</v>
      </c>
      <c r="D2298" s="2"/>
      <c r="E2298" s="2" t="str">
        <f>"FES1162544213"</f>
        <v>FES1162544213</v>
      </c>
      <c r="F2298" s="3">
        <v>42844</v>
      </c>
      <c r="G2298" s="2">
        <v>201710</v>
      </c>
      <c r="H2298" s="2" t="s">
        <v>74</v>
      </c>
      <c r="I2298" s="2" t="s">
        <v>75</v>
      </c>
      <c r="J2298" s="2" t="s">
        <v>76</v>
      </c>
      <c r="K2298" s="2" t="s">
        <v>77</v>
      </c>
      <c r="L2298" s="2" t="s">
        <v>294</v>
      </c>
      <c r="M2298" s="2" t="s">
        <v>295</v>
      </c>
      <c r="N2298" s="2" t="s">
        <v>296</v>
      </c>
      <c r="O2298" s="2" t="s">
        <v>115</v>
      </c>
      <c r="P2298" s="2" t="str">
        <f>"2170562811                    "</f>
        <v xml:space="preserve">2170562811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16.079999999999998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2</v>
      </c>
      <c r="BI2298" s="2">
        <v>7.1</v>
      </c>
      <c r="BJ2298" s="2">
        <v>3.6</v>
      </c>
      <c r="BK2298" s="2">
        <v>7.5</v>
      </c>
      <c r="BL2298" s="2">
        <v>156.47999999999999</v>
      </c>
      <c r="BM2298" s="2">
        <v>21.91</v>
      </c>
      <c r="BN2298" s="2">
        <v>178.39</v>
      </c>
      <c r="BO2298" s="2">
        <v>178.39</v>
      </c>
      <c r="BP2298" s="2"/>
      <c r="BQ2298" s="2" t="s">
        <v>297</v>
      </c>
      <c r="BR2298" s="2" t="s">
        <v>84</v>
      </c>
      <c r="BS2298" s="3">
        <v>42845</v>
      </c>
      <c r="BT2298" s="4">
        <v>0.4236111111111111</v>
      </c>
      <c r="BU2298" s="2" t="s">
        <v>1092</v>
      </c>
      <c r="BV2298" s="2" t="s">
        <v>111</v>
      </c>
      <c r="BW2298" s="2"/>
      <c r="BX2298" s="2"/>
      <c r="BY2298" s="2">
        <v>17820.86</v>
      </c>
      <c r="BZ2298" s="2" t="s">
        <v>27</v>
      </c>
      <c r="CA2298" s="2"/>
      <c r="CB2298" s="2"/>
      <c r="CC2298" s="2" t="s">
        <v>295</v>
      </c>
      <c r="CD2298" s="2">
        <v>3620</v>
      </c>
      <c r="CE2298" s="2" t="s">
        <v>89</v>
      </c>
      <c r="CF2298" s="5">
        <v>42846</v>
      </c>
      <c r="CG2298" s="2"/>
      <c r="CH2298" s="2"/>
      <c r="CI2298" s="2">
        <v>1</v>
      </c>
      <c r="CJ2298" s="2">
        <v>1</v>
      </c>
      <c r="CK2298" s="2">
        <v>21</v>
      </c>
      <c r="CL2298" s="2" t="s">
        <v>86</v>
      </c>
      <c r="CM2298" s="2"/>
    </row>
    <row r="2299" spans="1:91">
      <c r="A2299" s="2" t="s">
        <v>71</v>
      </c>
      <c r="B2299" s="2" t="s">
        <v>72</v>
      </c>
      <c r="C2299" s="2" t="s">
        <v>73</v>
      </c>
      <c r="D2299" s="2"/>
      <c r="E2299" s="2" t="str">
        <f>"FES1162544124"</f>
        <v>FES1162544124</v>
      </c>
      <c r="F2299" s="3">
        <v>42844</v>
      </c>
      <c r="G2299" s="2">
        <v>201710</v>
      </c>
      <c r="H2299" s="2" t="s">
        <v>74</v>
      </c>
      <c r="I2299" s="2" t="s">
        <v>75</v>
      </c>
      <c r="J2299" s="2" t="s">
        <v>76</v>
      </c>
      <c r="K2299" s="2" t="s">
        <v>77</v>
      </c>
      <c r="L2299" s="2" t="s">
        <v>99</v>
      </c>
      <c r="M2299" s="2" t="s">
        <v>100</v>
      </c>
      <c r="N2299" s="2" t="s">
        <v>2685</v>
      </c>
      <c r="O2299" s="2" t="s">
        <v>115</v>
      </c>
      <c r="P2299" s="2" t="str">
        <f>"2170560747                    "</f>
        <v xml:space="preserve">2170560747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4.29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</v>
      </c>
      <c r="BJ2299" s="2">
        <v>0.2</v>
      </c>
      <c r="BK2299" s="2">
        <v>1</v>
      </c>
      <c r="BL2299" s="2">
        <v>41.73</v>
      </c>
      <c r="BM2299" s="2">
        <v>5.84</v>
      </c>
      <c r="BN2299" s="2">
        <v>47.57</v>
      </c>
      <c r="BO2299" s="2">
        <v>47.57</v>
      </c>
      <c r="BP2299" s="2"/>
      <c r="BQ2299" s="2" t="s">
        <v>116</v>
      </c>
      <c r="BR2299" s="2" t="s">
        <v>84</v>
      </c>
      <c r="BS2299" s="3">
        <v>42845</v>
      </c>
      <c r="BT2299" s="4">
        <v>0.35486111111111113</v>
      </c>
      <c r="BU2299" s="2" t="s">
        <v>2686</v>
      </c>
      <c r="BV2299" s="2" t="s">
        <v>111</v>
      </c>
      <c r="BW2299" s="2"/>
      <c r="BX2299" s="2"/>
      <c r="BY2299" s="2">
        <v>1200</v>
      </c>
      <c r="BZ2299" s="2" t="s">
        <v>27</v>
      </c>
      <c r="CA2299" s="2" t="s">
        <v>106</v>
      </c>
      <c r="CB2299" s="2"/>
      <c r="CC2299" s="2" t="s">
        <v>100</v>
      </c>
      <c r="CD2299" s="2">
        <v>6001</v>
      </c>
      <c r="CE2299" s="2" t="s">
        <v>118</v>
      </c>
      <c r="CF2299" s="5">
        <v>42845</v>
      </c>
      <c r="CG2299" s="2"/>
      <c r="CH2299" s="2"/>
      <c r="CI2299" s="2">
        <v>1</v>
      </c>
      <c r="CJ2299" s="2">
        <v>1</v>
      </c>
      <c r="CK2299" s="2">
        <v>21</v>
      </c>
      <c r="CL2299" s="2" t="s">
        <v>86</v>
      </c>
      <c r="CM2299" s="2"/>
    </row>
    <row r="2300" spans="1:91">
      <c r="A2300" s="2" t="s">
        <v>71</v>
      </c>
      <c r="B2300" s="2" t="s">
        <v>72</v>
      </c>
      <c r="C2300" s="2" t="s">
        <v>73</v>
      </c>
      <c r="D2300" s="2"/>
      <c r="E2300" s="2" t="str">
        <f>"FES1162543978"</f>
        <v>FES1162543978</v>
      </c>
      <c r="F2300" s="3">
        <v>42844</v>
      </c>
      <c r="G2300" s="2">
        <v>201710</v>
      </c>
      <c r="H2300" s="2" t="s">
        <v>74</v>
      </c>
      <c r="I2300" s="2" t="s">
        <v>75</v>
      </c>
      <c r="J2300" s="2" t="s">
        <v>76</v>
      </c>
      <c r="K2300" s="2" t="s">
        <v>77</v>
      </c>
      <c r="L2300" s="2" t="s">
        <v>516</v>
      </c>
      <c r="M2300" s="2" t="s">
        <v>517</v>
      </c>
      <c r="N2300" s="2" t="s">
        <v>1017</v>
      </c>
      <c r="O2300" s="2" t="s">
        <v>115</v>
      </c>
      <c r="P2300" s="2" t="str">
        <f>"2170559812                    "</f>
        <v xml:space="preserve">2170559812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3.35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1</v>
      </c>
      <c r="BJ2300" s="2">
        <v>0.2</v>
      </c>
      <c r="BK2300" s="2">
        <v>1</v>
      </c>
      <c r="BL2300" s="2">
        <v>32.6</v>
      </c>
      <c r="BM2300" s="2">
        <v>4.5599999999999996</v>
      </c>
      <c r="BN2300" s="2">
        <v>37.159999999999997</v>
      </c>
      <c r="BO2300" s="2">
        <v>37.159999999999997</v>
      </c>
      <c r="BP2300" s="2"/>
      <c r="BQ2300" s="2" t="s">
        <v>1018</v>
      </c>
      <c r="BR2300" s="2" t="s">
        <v>84</v>
      </c>
      <c r="BS2300" s="3">
        <v>42845</v>
      </c>
      <c r="BT2300" s="4">
        <v>0.31319444444444444</v>
      </c>
      <c r="BU2300" s="2" t="s">
        <v>2152</v>
      </c>
      <c r="BV2300" s="2" t="s">
        <v>111</v>
      </c>
      <c r="BW2300" s="2"/>
      <c r="BX2300" s="2"/>
      <c r="BY2300" s="2">
        <v>1200</v>
      </c>
      <c r="BZ2300" s="2" t="s">
        <v>27</v>
      </c>
      <c r="CA2300" s="2" t="s">
        <v>2639</v>
      </c>
      <c r="CB2300" s="2"/>
      <c r="CC2300" s="2" t="s">
        <v>517</v>
      </c>
      <c r="CD2300" s="2">
        <v>1459</v>
      </c>
      <c r="CE2300" s="2" t="s">
        <v>118</v>
      </c>
      <c r="CF2300" s="5">
        <v>42845</v>
      </c>
      <c r="CG2300" s="2"/>
      <c r="CH2300" s="2"/>
      <c r="CI2300" s="2">
        <v>1</v>
      </c>
      <c r="CJ2300" s="2">
        <v>1</v>
      </c>
      <c r="CK2300" s="2">
        <v>22</v>
      </c>
      <c r="CL2300" s="2" t="s">
        <v>86</v>
      </c>
      <c r="CM2300" s="2"/>
    </row>
    <row r="2301" spans="1:91">
      <c r="A2301" s="2" t="s">
        <v>71</v>
      </c>
      <c r="B2301" s="2" t="s">
        <v>72</v>
      </c>
      <c r="C2301" s="2" t="s">
        <v>73</v>
      </c>
      <c r="D2301" s="2"/>
      <c r="E2301" s="2" t="str">
        <f>"FES1162544224"</f>
        <v>FES1162544224</v>
      </c>
      <c r="F2301" s="3">
        <v>42844</v>
      </c>
      <c r="G2301" s="2">
        <v>201710</v>
      </c>
      <c r="H2301" s="2" t="s">
        <v>74</v>
      </c>
      <c r="I2301" s="2" t="s">
        <v>75</v>
      </c>
      <c r="J2301" s="2" t="s">
        <v>76</v>
      </c>
      <c r="K2301" s="2" t="s">
        <v>77</v>
      </c>
      <c r="L2301" s="2" t="s">
        <v>180</v>
      </c>
      <c r="M2301" s="2" t="s">
        <v>181</v>
      </c>
      <c r="N2301" s="2" t="s">
        <v>855</v>
      </c>
      <c r="O2301" s="2" t="s">
        <v>115</v>
      </c>
      <c r="P2301" s="2" t="str">
        <f>"2170562822                    "</f>
        <v xml:space="preserve">2170562822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4.29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1</v>
      </c>
      <c r="BJ2301" s="2">
        <v>0.2</v>
      </c>
      <c r="BK2301" s="2">
        <v>1</v>
      </c>
      <c r="BL2301" s="2">
        <v>41.73</v>
      </c>
      <c r="BM2301" s="2">
        <v>5.84</v>
      </c>
      <c r="BN2301" s="2">
        <v>47.57</v>
      </c>
      <c r="BO2301" s="2">
        <v>47.57</v>
      </c>
      <c r="BP2301" s="2"/>
      <c r="BQ2301" s="2" t="s">
        <v>122</v>
      </c>
      <c r="BR2301" s="2" t="s">
        <v>84</v>
      </c>
      <c r="BS2301" s="3">
        <v>42845</v>
      </c>
      <c r="BT2301" s="4">
        <v>0.28125</v>
      </c>
      <c r="BU2301" s="2" t="s">
        <v>245</v>
      </c>
      <c r="BV2301" s="2" t="s">
        <v>111</v>
      </c>
      <c r="BW2301" s="2"/>
      <c r="BX2301" s="2"/>
      <c r="BY2301" s="2">
        <v>1200</v>
      </c>
      <c r="BZ2301" s="2" t="s">
        <v>27</v>
      </c>
      <c r="CA2301" s="2"/>
      <c r="CB2301" s="2"/>
      <c r="CC2301" s="2" t="s">
        <v>181</v>
      </c>
      <c r="CD2301" s="2">
        <v>4093</v>
      </c>
      <c r="CE2301" s="2" t="s">
        <v>118</v>
      </c>
      <c r="CF2301" s="5">
        <v>42846</v>
      </c>
      <c r="CG2301" s="2"/>
      <c r="CH2301" s="2"/>
      <c r="CI2301" s="2">
        <v>1</v>
      </c>
      <c r="CJ2301" s="2">
        <v>1</v>
      </c>
      <c r="CK2301" s="2">
        <v>21</v>
      </c>
      <c r="CL2301" s="2" t="s">
        <v>86</v>
      </c>
      <c r="CM2301" s="2"/>
    </row>
    <row r="2302" spans="1:91">
      <c r="A2302" s="2" t="s">
        <v>71</v>
      </c>
      <c r="B2302" s="2" t="s">
        <v>72</v>
      </c>
      <c r="C2302" s="2" t="s">
        <v>73</v>
      </c>
      <c r="D2302" s="2"/>
      <c r="E2302" s="2" t="str">
        <f>"FES1162544166"</f>
        <v>FES1162544166</v>
      </c>
      <c r="F2302" s="3">
        <v>42844</v>
      </c>
      <c r="G2302" s="2">
        <v>201710</v>
      </c>
      <c r="H2302" s="2" t="s">
        <v>74</v>
      </c>
      <c r="I2302" s="2" t="s">
        <v>75</v>
      </c>
      <c r="J2302" s="2" t="s">
        <v>76</v>
      </c>
      <c r="K2302" s="2" t="s">
        <v>77</v>
      </c>
      <c r="L2302" s="2" t="s">
        <v>99</v>
      </c>
      <c r="M2302" s="2" t="s">
        <v>100</v>
      </c>
      <c r="N2302" s="2" t="s">
        <v>843</v>
      </c>
      <c r="O2302" s="2" t="s">
        <v>115</v>
      </c>
      <c r="P2302" s="2" t="str">
        <f>"2170562756                    "</f>
        <v xml:space="preserve">2170562756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4.29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1</v>
      </c>
      <c r="BJ2302" s="2">
        <v>0.2</v>
      </c>
      <c r="BK2302" s="2">
        <v>1</v>
      </c>
      <c r="BL2302" s="2">
        <v>41.73</v>
      </c>
      <c r="BM2302" s="2">
        <v>5.84</v>
      </c>
      <c r="BN2302" s="2">
        <v>47.57</v>
      </c>
      <c r="BO2302" s="2">
        <v>47.57</v>
      </c>
      <c r="BP2302" s="2"/>
      <c r="BQ2302" s="2" t="s">
        <v>844</v>
      </c>
      <c r="BR2302" s="2" t="s">
        <v>84</v>
      </c>
      <c r="BS2302" s="3">
        <v>42845</v>
      </c>
      <c r="BT2302" s="4">
        <v>0.42430555555555555</v>
      </c>
      <c r="BU2302" s="2" t="s">
        <v>845</v>
      </c>
      <c r="BV2302" s="2" t="s">
        <v>111</v>
      </c>
      <c r="BW2302" s="2"/>
      <c r="BX2302" s="2"/>
      <c r="BY2302" s="2">
        <v>1200</v>
      </c>
      <c r="BZ2302" s="2" t="s">
        <v>27</v>
      </c>
      <c r="CA2302" s="2" t="s">
        <v>154</v>
      </c>
      <c r="CB2302" s="2"/>
      <c r="CC2302" s="2" t="s">
        <v>100</v>
      </c>
      <c r="CD2302" s="2">
        <v>6001</v>
      </c>
      <c r="CE2302" s="2" t="s">
        <v>118</v>
      </c>
      <c r="CF2302" s="5">
        <v>42845</v>
      </c>
      <c r="CG2302" s="2"/>
      <c r="CH2302" s="2"/>
      <c r="CI2302" s="2">
        <v>1</v>
      </c>
      <c r="CJ2302" s="2">
        <v>1</v>
      </c>
      <c r="CK2302" s="2">
        <v>21</v>
      </c>
      <c r="CL2302" s="2" t="s">
        <v>86</v>
      </c>
      <c r="CM2302" s="2"/>
    </row>
    <row r="2303" spans="1:91">
      <c r="A2303" s="2" t="s">
        <v>71</v>
      </c>
      <c r="B2303" s="2" t="s">
        <v>72</v>
      </c>
      <c r="C2303" s="2" t="s">
        <v>73</v>
      </c>
      <c r="D2303" s="2"/>
      <c r="E2303" s="2" t="str">
        <f>"FES1162544221"</f>
        <v>FES1162544221</v>
      </c>
      <c r="F2303" s="3">
        <v>42844</v>
      </c>
      <c r="G2303" s="2">
        <v>201710</v>
      </c>
      <c r="H2303" s="2" t="s">
        <v>74</v>
      </c>
      <c r="I2303" s="2" t="s">
        <v>75</v>
      </c>
      <c r="J2303" s="2" t="s">
        <v>76</v>
      </c>
      <c r="K2303" s="2" t="s">
        <v>77</v>
      </c>
      <c r="L2303" s="2" t="s">
        <v>503</v>
      </c>
      <c r="M2303" s="2" t="s">
        <v>504</v>
      </c>
      <c r="N2303" s="2" t="s">
        <v>2687</v>
      </c>
      <c r="O2303" s="2" t="s">
        <v>115</v>
      </c>
      <c r="P2303" s="2" t="str">
        <f>"2170562820                    "</f>
        <v xml:space="preserve">2170562820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3.35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32.6</v>
      </c>
      <c r="BM2303" s="2">
        <v>4.5599999999999996</v>
      </c>
      <c r="BN2303" s="2">
        <v>37.159999999999997</v>
      </c>
      <c r="BO2303" s="2">
        <v>37.159999999999997</v>
      </c>
      <c r="BP2303" s="2"/>
      <c r="BQ2303" s="2" t="s">
        <v>2688</v>
      </c>
      <c r="BR2303" s="2" t="s">
        <v>84</v>
      </c>
      <c r="BS2303" s="3">
        <v>42845</v>
      </c>
      <c r="BT2303" s="4">
        <v>0.37083333333333335</v>
      </c>
      <c r="BU2303" s="2" t="s">
        <v>2689</v>
      </c>
      <c r="BV2303" s="2" t="s">
        <v>111</v>
      </c>
      <c r="BW2303" s="2"/>
      <c r="BX2303" s="2"/>
      <c r="BY2303" s="2">
        <v>1200</v>
      </c>
      <c r="BZ2303" s="2" t="s">
        <v>27</v>
      </c>
      <c r="CA2303" s="2" t="s">
        <v>2690</v>
      </c>
      <c r="CB2303" s="2"/>
      <c r="CC2303" s="2" t="s">
        <v>504</v>
      </c>
      <c r="CD2303" s="2">
        <v>1501</v>
      </c>
      <c r="CE2303" s="2" t="s">
        <v>118</v>
      </c>
      <c r="CF2303" s="5">
        <v>42846</v>
      </c>
      <c r="CG2303" s="2"/>
      <c r="CH2303" s="2"/>
      <c r="CI2303" s="2">
        <v>1</v>
      </c>
      <c r="CJ2303" s="2">
        <v>1</v>
      </c>
      <c r="CK2303" s="2">
        <v>22</v>
      </c>
      <c r="CL2303" s="2" t="s">
        <v>86</v>
      </c>
      <c r="CM2303" s="2"/>
    </row>
    <row r="2304" spans="1:91">
      <c r="A2304" s="2" t="s">
        <v>71</v>
      </c>
      <c r="B2304" s="2" t="s">
        <v>72</v>
      </c>
      <c r="C2304" s="2" t="s">
        <v>73</v>
      </c>
      <c r="D2304" s="2"/>
      <c r="E2304" s="2" t="str">
        <f>"FES1162544138"</f>
        <v>FES1162544138</v>
      </c>
      <c r="F2304" s="3">
        <v>42844</v>
      </c>
      <c r="G2304" s="2">
        <v>201710</v>
      </c>
      <c r="H2304" s="2" t="s">
        <v>74</v>
      </c>
      <c r="I2304" s="2" t="s">
        <v>75</v>
      </c>
      <c r="J2304" s="2" t="s">
        <v>76</v>
      </c>
      <c r="K2304" s="2" t="s">
        <v>77</v>
      </c>
      <c r="L2304" s="2" t="s">
        <v>234</v>
      </c>
      <c r="M2304" s="2" t="s">
        <v>235</v>
      </c>
      <c r="N2304" s="2" t="s">
        <v>326</v>
      </c>
      <c r="O2304" s="2" t="s">
        <v>115</v>
      </c>
      <c r="P2304" s="2" t="str">
        <f>"2170561570                    "</f>
        <v xml:space="preserve">2170561570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4.29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1</v>
      </c>
      <c r="BJ2304" s="2">
        <v>0.2</v>
      </c>
      <c r="BK2304" s="2">
        <v>1</v>
      </c>
      <c r="BL2304" s="2">
        <v>41.73</v>
      </c>
      <c r="BM2304" s="2">
        <v>5.84</v>
      </c>
      <c r="BN2304" s="2">
        <v>47.57</v>
      </c>
      <c r="BO2304" s="2">
        <v>47.57</v>
      </c>
      <c r="BP2304" s="2"/>
      <c r="BQ2304" s="2" t="s">
        <v>442</v>
      </c>
      <c r="BR2304" s="2" t="s">
        <v>84</v>
      </c>
      <c r="BS2304" s="3">
        <v>42845</v>
      </c>
      <c r="BT2304" s="4">
        <v>0.39583333333333331</v>
      </c>
      <c r="BU2304" s="2" t="s">
        <v>2691</v>
      </c>
      <c r="BV2304" s="2" t="s">
        <v>111</v>
      </c>
      <c r="BW2304" s="2"/>
      <c r="BX2304" s="2"/>
      <c r="BY2304" s="2">
        <v>1200</v>
      </c>
      <c r="BZ2304" s="2" t="s">
        <v>27</v>
      </c>
      <c r="CA2304" s="2" t="s">
        <v>159</v>
      </c>
      <c r="CB2304" s="2"/>
      <c r="CC2304" s="2" t="s">
        <v>235</v>
      </c>
      <c r="CD2304" s="2">
        <v>6220</v>
      </c>
      <c r="CE2304" s="2" t="s">
        <v>118</v>
      </c>
      <c r="CF2304" s="5">
        <v>42846</v>
      </c>
      <c r="CG2304" s="2"/>
      <c r="CH2304" s="2"/>
      <c r="CI2304" s="2">
        <v>1</v>
      </c>
      <c r="CJ2304" s="2">
        <v>1</v>
      </c>
      <c r="CK2304" s="2">
        <v>21</v>
      </c>
      <c r="CL2304" s="2" t="s">
        <v>86</v>
      </c>
      <c r="CM2304" s="2"/>
    </row>
    <row r="2305" spans="1:91">
      <c r="A2305" s="2" t="s">
        <v>71</v>
      </c>
      <c r="B2305" s="2" t="s">
        <v>72</v>
      </c>
      <c r="C2305" s="2" t="s">
        <v>73</v>
      </c>
      <c r="D2305" s="2"/>
      <c r="E2305" s="2" t="str">
        <f>"FES1162544156"</f>
        <v>FES1162544156</v>
      </c>
      <c r="F2305" s="3">
        <v>42844</v>
      </c>
      <c r="G2305" s="2">
        <v>201710</v>
      </c>
      <c r="H2305" s="2" t="s">
        <v>74</v>
      </c>
      <c r="I2305" s="2" t="s">
        <v>75</v>
      </c>
      <c r="J2305" s="2" t="s">
        <v>76</v>
      </c>
      <c r="K2305" s="2" t="s">
        <v>77</v>
      </c>
      <c r="L2305" s="2" t="s">
        <v>358</v>
      </c>
      <c r="M2305" s="2" t="s">
        <v>359</v>
      </c>
      <c r="N2305" s="2" t="s">
        <v>800</v>
      </c>
      <c r="O2305" s="2" t="s">
        <v>115</v>
      </c>
      <c r="P2305" s="2" t="str">
        <f>"2170562735                    "</f>
        <v xml:space="preserve">2170562735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4.29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1</v>
      </c>
      <c r="BJ2305" s="2">
        <v>0.2</v>
      </c>
      <c r="BK2305" s="2">
        <v>1</v>
      </c>
      <c r="BL2305" s="2">
        <v>41.73</v>
      </c>
      <c r="BM2305" s="2">
        <v>5.84</v>
      </c>
      <c r="BN2305" s="2">
        <v>47.57</v>
      </c>
      <c r="BO2305" s="2">
        <v>47.57</v>
      </c>
      <c r="BP2305" s="2"/>
      <c r="BQ2305" s="2" t="s">
        <v>801</v>
      </c>
      <c r="BR2305" s="2" t="s">
        <v>84</v>
      </c>
      <c r="BS2305" s="3">
        <v>42845</v>
      </c>
      <c r="BT2305" s="4">
        <v>0.31388888888888888</v>
      </c>
      <c r="BU2305" s="2" t="s">
        <v>2302</v>
      </c>
      <c r="BV2305" s="2" t="s">
        <v>111</v>
      </c>
      <c r="BW2305" s="2"/>
      <c r="BX2305" s="2"/>
      <c r="BY2305" s="2">
        <v>1200</v>
      </c>
      <c r="BZ2305" s="2" t="s">
        <v>27</v>
      </c>
      <c r="CA2305" s="2"/>
      <c r="CB2305" s="2"/>
      <c r="CC2305" s="2" t="s">
        <v>359</v>
      </c>
      <c r="CD2305" s="2">
        <v>6230</v>
      </c>
      <c r="CE2305" s="2" t="s">
        <v>118</v>
      </c>
      <c r="CF2305" s="5">
        <v>42846</v>
      </c>
      <c r="CG2305" s="2"/>
      <c r="CH2305" s="2"/>
      <c r="CI2305" s="2">
        <v>1</v>
      </c>
      <c r="CJ2305" s="2">
        <v>1</v>
      </c>
      <c r="CK2305" s="2">
        <v>21</v>
      </c>
      <c r="CL2305" s="2" t="s">
        <v>86</v>
      </c>
      <c r="CM2305" s="2"/>
    </row>
    <row r="2306" spans="1:91">
      <c r="A2306" s="2" t="s">
        <v>71</v>
      </c>
      <c r="B2306" s="2" t="s">
        <v>72</v>
      </c>
      <c r="C2306" s="2" t="s">
        <v>73</v>
      </c>
      <c r="D2306" s="2"/>
      <c r="E2306" s="2" t="str">
        <f>"FES1162544178"</f>
        <v>FES1162544178</v>
      </c>
      <c r="F2306" s="3">
        <v>42844</v>
      </c>
      <c r="G2306" s="2">
        <v>201710</v>
      </c>
      <c r="H2306" s="2" t="s">
        <v>74</v>
      </c>
      <c r="I2306" s="2" t="s">
        <v>75</v>
      </c>
      <c r="J2306" s="2" t="s">
        <v>76</v>
      </c>
      <c r="K2306" s="2" t="s">
        <v>77</v>
      </c>
      <c r="L2306" s="2" t="s">
        <v>294</v>
      </c>
      <c r="M2306" s="2" t="s">
        <v>295</v>
      </c>
      <c r="N2306" s="2" t="s">
        <v>1079</v>
      </c>
      <c r="O2306" s="2" t="s">
        <v>115</v>
      </c>
      <c r="P2306" s="2" t="str">
        <f>"2170562766                    "</f>
        <v xml:space="preserve">2170562766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4.29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1</v>
      </c>
      <c r="BJ2306" s="2">
        <v>0.2</v>
      </c>
      <c r="BK2306" s="2">
        <v>1</v>
      </c>
      <c r="BL2306" s="2">
        <v>41.73</v>
      </c>
      <c r="BM2306" s="2">
        <v>5.84</v>
      </c>
      <c r="BN2306" s="2">
        <v>47.57</v>
      </c>
      <c r="BO2306" s="2">
        <v>47.57</v>
      </c>
      <c r="BP2306" s="2"/>
      <c r="BQ2306" s="2" t="s">
        <v>129</v>
      </c>
      <c r="BR2306" s="2" t="s">
        <v>84</v>
      </c>
      <c r="BS2306" s="3">
        <v>42845</v>
      </c>
      <c r="BT2306" s="4">
        <v>0.36458333333333331</v>
      </c>
      <c r="BU2306" s="2" t="s">
        <v>2692</v>
      </c>
      <c r="BV2306" s="2" t="s">
        <v>111</v>
      </c>
      <c r="BW2306" s="2"/>
      <c r="BX2306" s="2"/>
      <c r="BY2306" s="2">
        <v>1200</v>
      </c>
      <c r="BZ2306" s="2" t="s">
        <v>27</v>
      </c>
      <c r="CA2306" s="2"/>
      <c r="CB2306" s="2"/>
      <c r="CC2306" s="2" t="s">
        <v>295</v>
      </c>
      <c r="CD2306" s="2">
        <v>3610</v>
      </c>
      <c r="CE2306" s="2" t="s">
        <v>118</v>
      </c>
      <c r="CF2306" s="5">
        <v>42846</v>
      </c>
      <c r="CG2306" s="2"/>
      <c r="CH2306" s="2"/>
      <c r="CI2306" s="2">
        <v>1</v>
      </c>
      <c r="CJ2306" s="2">
        <v>1</v>
      </c>
      <c r="CK2306" s="2">
        <v>21</v>
      </c>
      <c r="CL2306" s="2" t="s">
        <v>86</v>
      </c>
      <c r="CM2306" s="2"/>
    </row>
    <row r="2307" spans="1:91">
      <c r="A2307" s="2" t="s">
        <v>71</v>
      </c>
      <c r="B2307" s="2" t="s">
        <v>72</v>
      </c>
      <c r="C2307" s="2" t="s">
        <v>73</v>
      </c>
      <c r="D2307" s="2"/>
      <c r="E2307" s="2" t="str">
        <f>"FES1162543968"</f>
        <v>FES1162543968</v>
      </c>
      <c r="F2307" s="3">
        <v>42844</v>
      </c>
      <c r="G2307" s="2">
        <v>201710</v>
      </c>
      <c r="H2307" s="2" t="s">
        <v>74</v>
      </c>
      <c r="I2307" s="2" t="s">
        <v>75</v>
      </c>
      <c r="J2307" s="2" t="s">
        <v>76</v>
      </c>
      <c r="K2307" s="2" t="s">
        <v>77</v>
      </c>
      <c r="L2307" s="2" t="s">
        <v>516</v>
      </c>
      <c r="M2307" s="2" t="s">
        <v>517</v>
      </c>
      <c r="N2307" s="2" t="s">
        <v>758</v>
      </c>
      <c r="O2307" s="2" t="s">
        <v>115</v>
      </c>
      <c r="P2307" s="2" t="str">
        <f>"2170562561                    "</f>
        <v xml:space="preserve">2170562561 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3.35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1</v>
      </c>
      <c r="BJ2307" s="2">
        <v>0.2</v>
      </c>
      <c r="BK2307" s="2">
        <v>1</v>
      </c>
      <c r="BL2307" s="2">
        <v>32.6</v>
      </c>
      <c r="BM2307" s="2">
        <v>4.5599999999999996</v>
      </c>
      <c r="BN2307" s="2">
        <v>37.159999999999997</v>
      </c>
      <c r="BO2307" s="2">
        <v>37.159999999999997</v>
      </c>
      <c r="BP2307" s="2"/>
      <c r="BQ2307" s="2" t="s">
        <v>759</v>
      </c>
      <c r="BR2307" s="2" t="s">
        <v>84</v>
      </c>
      <c r="BS2307" s="3">
        <v>42845</v>
      </c>
      <c r="BT2307" s="4">
        <v>0.35902777777777778</v>
      </c>
      <c r="BU2307" s="2" t="s">
        <v>2152</v>
      </c>
      <c r="BV2307" s="2" t="s">
        <v>111</v>
      </c>
      <c r="BW2307" s="2"/>
      <c r="BX2307" s="2"/>
      <c r="BY2307" s="2">
        <v>1200</v>
      </c>
      <c r="BZ2307" s="2" t="s">
        <v>27</v>
      </c>
      <c r="CA2307" s="2" t="s">
        <v>2639</v>
      </c>
      <c r="CB2307" s="2"/>
      <c r="CC2307" s="2" t="s">
        <v>517</v>
      </c>
      <c r="CD2307" s="2">
        <v>1459</v>
      </c>
      <c r="CE2307" s="2" t="s">
        <v>118</v>
      </c>
      <c r="CF2307" s="5">
        <v>42845</v>
      </c>
      <c r="CG2307" s="2"/>
      <c r="CH2307" s="2"/>
      <c r="CI2307" s="2">
        <v>1</v>
      </c>
      <c r="CJ2307" s="2">
        <v>1</v>
      </c>
      <c r="CK2307" s="2">
        <v>22</v>
      </c>
      <c r="CL2307" s="2" t="s">
        <v>86</v>
      </c>
      <c r="CM2307" s="2"/>
    </row>
    <row r="2308" spans="1:91">
      <c r="A2308" s="2" t="s">
        <v>71</v>
      </c>
      <c r="B2308" s="2" t="s">
        <v>72</v>
      </c>
      <c r="C2308" s="2" t="s">
        <v>73</v>
      </c>
      <c r="D2308" s="2"/>
      <c r="E2308" s="2" t="str">
        <f>"FES1162544170"</f>
        <v>FES1162544170</v>
      </c>
      <c r="F2308" s="3">
        <v>42844</v>
      </c>
      <c r="G2308" s="2">
        <v>201710</v>
      </c>
      <c r="H2308" s="2" t="s">
        <v>74</v>
      </c>
      <c r="I2308" s="2" t="s">
        <v>75</v>
      </c>
      <c r="J2308" s="2" t="s">
        <v>76</v>
      </c>
      <c r="K2308" s="2" t="s">
        <v>77</v>
      </c>
      <c r="L2308" s="2" t="s">
        <v>160</v>
      </c>
      <c r="M2308" s="2" t="s">
        <v>161</v>
      </c>
      <c r="N2308" s="2" t="s">
        <v>1489</v>
      </c>
      <c r="O2308" s="2" t="s">
        <v>115</v>
      </c>
      <c r="P2308" s="2" t="str">
        <f>"2170562759                    "</f>
        <v xml:space="preserve">2170562759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4.29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</v>
      </c>
      <c r="BJ2308" s="2">
        <v>0.2</v>
      </c>
      <c r="BK2308" s="2">
        <v>1</v>
      </c>
      <c r="BL2308" s="2">
        <v>41.73</v>
      </c>
      <c r="BM2308" s="2">
        <v>5.84</v>
      </c>
      <c r="BN2308" s="2">
        <v>47.57</v>
      </c>
      <c r="BO2308" s="2">
        <v>47.57</v>
      </c>
      <c r="BP2308" s="2"/>
      <c r="BQ2308" s="2" t="s">
        <v>129</v>
      </c>
      <c r="BR2308" s="2" t="s">
        <v>84</v>
      </c>
      <c r="BS2308" s="3">
        <v>42845</v>
      </c>
      <c r="BT2308" s="4">
        <v>0.41666666666666669</v>
      </c>
      <c r="BU2308" s="2" t="s">
        <v>2693</v>
      </c>
      <c r="BV2308" s="2" t="s">
        <v>111</v>
      </c>
      <c r="BW2308" s="2"/>
      <c r="BX2308" s="2"/>
      <c r="BY2308" s="2">
        <v>1200</v>
      </c>
      <c r="BZ2308" s="2" t="s">
        <v>27</v>
      </c>
      <c r="CA2308" s="2"/>
      <c r="CB2308" s="2"/>
      <c r="CC2308" s="2" t="s">
        <v>161</v>
      </c>
      <c r="CD2308" s="2">
        <v>5201</v>
      </c>
      <c r="CE2308" s="2" t="s">
        <v>118</v>
      </c>
      <c r="CF2308" s="5">
        <v>42849</v>
      </c>
      <c r="CG2308" s="2"/>
      <c r="CH2308" s="2"/>
      <c r="CI2308" s="2">
        <v>1</v>
      </c>
      <c r="CJ2308" s="2">
        <v>1</v>
      </c>
      <c r="CK2308" s="2">
        <v>21</v>
      </c>
      <c r="CL2308" s="2" t="s">
        <v>86</v>
      </c>
      <c r="CM2308" s="2"/>
    </row>
    <row r="2309" spans="1:91">
      <c r="A2309" s="2" t="s">
        <v>71</v>
      </c>
      <c r="B2309" s="2" t="s">
        <v>72</v>
      </c>
      <c r="C2309" s="2" t="s">
        <v>73</v>
      </c>
      <c r="D2309" s="2"/>
      <c r="E2309" s="2" t="str">
        <f>"FES1162544101"</f>
        <v>FES1162544101</v>
      </c>
      <c r="F2309" s="3">
        <v>42844</v>
      </c>
      <c r="G2309" s="2">
        <v>201710</v>
      </c>
      <c r="H2309" s="2" t="s">
        <v>74</v>
      </c>
      <c r="I2309" s="2" t="s">
        <v>75</v>
      </c>
      <c r="J2309" s="2" t="s">
        <v>76</v>
      </c>
      <c r="K2309" s="2" t="s">
        <v>77</v>
      </c>
      <c r="L2309" s="2" t="s">
        <v>358</v>
      </c>
      <c r="M2309" s="2" t="s">
        <v>359</v>
      </c>
      <c r="N2309" s="2" t="s">
        <v>800</v>
      </c>
      <c r="O2309" s="2" t="s">
        <v>115</v>
      </c>
      <c r="P2309" s="2" t="str">
        <f>"2170562714                    "</f>
        <v xml:space="preserve">2170562714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7.5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3.1</v>
      </c>
      <c r="BJ2309" s="2">
        <v>3.5</v>
      </c>
      <c r="BK2309" s="2">
        <v>3.5</v>
      </c>
      <c r="BL2309" s="2">
        <v>73.02</v>
      </c>
      <c r="BM2309" s="2">
        <v>10.220000000000001</v>
      </c>
      <c r="BN2309" s="2">
        <v>83.24</v>
      </c>
      <c r="BO2309" s="2">
        <v>83.24</v>
      </c>
      <c r="BP2309" s="2"/>
      <c r="BQ2309" s="2" t="s">
        <v>801</v>
      </c>
      <c r="BR2309" s="2" t="s">
        <v>84</v>
      </c>
      <c r="BS2309" s="3">
        <v>42845</v>
      </c>
      <c r="BT2309" s="4">
        <v>0.31388888888888888</v>
      </c>
      <c r="BU2309" s="2" t="s">
        <v>2302</v>
      </c>
      <c r="BV2309" s="2" t="s">
        <v>111</v>
      </c>
      <c r="BW2309" s="2"/>
      <c r="BX2309" s="2"/>
      <c r="BY2309" s="2">
        <v>17538.34</v>
      </c>
      <c r="BZ2309" s="2" t="s">
        <v>27</v>
      </c>
      <c r="CA2309" s="2"/>
      <c r="CB2309" s="2"/>
      <c r="CC2309" s="2" t="s">
        <v>359</v>
      </c>
      <c r="CD2309" s="2">
        <v>6230</v>
      </c>
      <c r="CE2309" s="2" t="s">
        <v>89</v>
      </c>
      <c r="CF2309" s="5">
        <v>42846</v>
      </c>
      <c r="CG2309" s="2"/>
      <c r="CH2309" s="2"/>
      <c r="CI2309" s="2">
        <v>1</v>
      </c>
      <c r="CJ2309" s="2">
        <v>1</v>
      </c>
      <c r="CK2309" s="2">
        <v>21</v>
      </c>
      <c r="CL2309" s="2" t="s">
        <v>86</v>
      </c>
      <c r="CM2309" s="2"/>
    </row>
    <row r="2310" spans="1:91">
      <c r="A2310" s="2" t="s">
        <v>71</v>
      </c>
      <c r="B2310" s="2" t="s">
        <v>72</v>
      </c>
      <c r="C2310" s="2" t="s">
        <v>73</v>
      </c>
      <c r="D2310" s="2"/>
      <c r="E2310" s="2" t="str">
        <f>"FES1162544103"</f>
        <v>FES1162544103</v>
      </c>
      <c r="F2310" s="3">
        <v>42844</v>
      </c>
      <c r="G2310" s="2">
        <v>201710</v>
      </c>
      <c r="H2310" s="2" t="s">
        <v>74</v>
      </c>
      <c r="I2310" s="2" t="s">
        <v>75</v>
      </c>
      <c r="J2310" s="2" t="s">
        <v>76</v>
      </c>
      <c r="K2310" s="2" t="s">
        <v>77</v>
      </c>
      <c r="L2310" s="2" t="s">
        <v>91</v>
      </c>
      <c r="M2310" s="2" t="s">
        <v>92</v>
      </c>
      <c r="N2310" s="2" t="s">
        <v>2694</v>
      </c>
      <c r="O2310" s="2" t="s">
        <v>115</v>
      </c>
      <c r="P2310" s="2" t="str">
        <f>"2170562721                    "</f>
        <v xml:space="preserve">2170562721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3.35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1</v>
      </c>
      <c r="BJ2310" s="2">
        <v>0.2</v>
      </c>
      <c r="BK2310" s="2">
        <v>1</v>
      </c>
      <c r="BL2310" s="2">
        <v>32.6</v>
      </c>
      <c r="BM2310" s="2">
        <v>4.5599999999999996</v>
      </c>
      <c r="BN2310" s="2">
        <v>37.159999999999997</v>
      </c>
      <c r="BO2310" s="2">
        <v>37.159999999999997</v>
      </c>
      <c r="BP2310" s="2"/>
      <c r="BQ2310" s="2" t="s">
        <v>2695</v>
      </c>
      <c r="BR2310" s="2" t="s">
        <v>84</v>
      </c>
      <c r="BS2310" s="3">
        <v>42845</v>
      </c>
      <c r="BT2310" s="4">
        <v>0.29166666666666669</v>
      </c>
      <c r="BU2310" s="2" t="s">
        <v>2696</v>
      </c>
      <c r="BV2310" s="2" t="s">
        <v>111</v>
      </c>
      <c r="BW2310" s="2"/>
      <c r="BX2310" s="2"/>
      <c r="BY2310" s="2">
        <v>1200</v>
      </c>
      <c r="BZ2310" s="2" t="s">
        <v>27</v>
      </c>
      <c r="CA2310" s="2"/>
      <c r="CB2310" s="2"/>
      <c r="CC2310" s="2" t="s">
        <v>92</v>
      </c>
      <c r="CD2310" s="2">
        <v>1406</v>
      </c>
      <c r="CE2310" s="2" t="s">
        <v>118</v>
      </c>
      <c r="CF2310" s="5">
        <v>42846</v>
      </c>
      <c r="CG2310" s="2"/>
      <c r="CH2310" s="2"/>
      <c r="CI2310" s="2">
        <v>1</v>
      </c>
      <c r="CJ2310" s="2">
        <v>1</v>
      </c>
      <c r="CK2310" s="2">
        <v>22</v>
      </c>
      <c r="CL2310" s="2" t="s">
        <v>86</v>
      </c>
      <c r="CM2310" s="2"/>
    </row>
    <row r="2311" spans="1:91">
      <c r="A2311" s="2" t="s">
        <v>71</v>
      </c>
      <c r="B2311" s="2" t="s">
        <v>72</v>
      </c>
      <c r="C2311" s="2" t="s">
        <v>73</v>
      </c>
      <c r="D2311" s="2"/>
      <c r="E2311" s="2" t="str">
        <f>"FES1162544104"</f>
        <v>FES1162544104</v>
      </c>
      <c r="F2311" s="3">
        <v>42844</v>
      </c>
      <c r="G2311" s="2">
        <v>201710</v>
      </c>
      <c r="H2311" s="2" t="s">
        <v>74</v>
      </c>
      <c r="I2311" s="2" t="s">
        <v>75</v>
      </c>
      <c r="J2311" s="2" t="s">
        <v>76</v>
      </c>
      <c r="K2311" s="2" t="s">
        <v>77</v>
      </c>
      <c r="L2311" s="2" t="s">
        <v>516</v>
      </c>
      <c r="M2311" s="2" t="s">
        <v>517</v>
      </c>
      <c r="N2311" s="2" t="s">
        <v>1300</v>
      </c>
      <c r="O2311" s="2" t="s">
        <v>115</v>
      </c>
      <c r="P2311" s="2" t="str">
        <f>"2170562722                    "</f>
        <v xml:space="preserve">2170562722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3.35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1</v>
      </c>
      <c r="BJ2311" s="2">
        <v>0.2</v>
      </c>
      <c r="BK2311" s="2">
        <v>1</v>
      </c>
      <c r="BL2311" s="2">
        <v>32.6</v>
      </c>
      <c r="BM2311" s="2">
        <v>4.5599999999999996</v>
      </c>
      <c r="BN2311" s="2">
        <v>37.159999999999997</v>
      </c>
      <c r="BO2311" s="2">
        <v>37.159999999999997</v>
      </c>
      <c r="BP2311" s="2"/>
      <c r="BQ2311" s="2" t="s">
        <v>122</v>
      </c>
      <c r="BR2311" s="2" t="s">
        <v>84</v>
      </c>
      <c r="BS2311" s="3">
        <v>42845</v>
      </c>
      <c r="BT2311" s="4">
        <v>0.40763888888888888</v>
      </c>
      <c r="BU2311" s="2" t="s">
        <v>290</v>
      </c>
      <c r="BV2311" s="2" t="s">
        <v>111</v>
      </c>
      <c r="BW2311" s="2"/>
      <c r="BX2311" s="2"/>
      <c r="BY2311" s="2">
        <v>1200</v>
      </c>
      <c r="BZ2311" s="2" t="s">
        <v>27</v>
      </c>
      <c r="CA2311" s="2"/>
      <c r="CB2311" s="2"/>
      <c r="CC2311" s="2" t="s">
        <v>517</v>
      </c>
      <c r="CD2311" s="2">
        <v>1459</v>
      </c>
      <c r="CE2311" s="2" t="s">
        <v>118</v>
      </c>
      <c r="CF2311" s="5">
        <v>42846</v>
      </c>
      <c r="CG2311" s="2"/>
      <c r="CH2311" s="2"/>
      <c r="CI2311" s="2">
        <v>1</v>
      </c>
      <c r="CJ2311" s="2">
        <v>1</v>
      </c>
      <c r="CK2311" s="2">
        <v>22</v>
      </c>
      <c r="CL2311" s="2" t="s">
        <v>86</v>
      </c>
      <c r="CM2311" s="2"/>
    </row>
    <row r="2312" spans="1:91">
      <c r="A2312" s="2" t="s">
        <v>71</v>
      </c>
      <c r="B2312" s="2" t="s">
        <v>72</v>
      </c>
      <c r="C2312" s="2" t="s">
        <v>73</v>
      </c>
      <c r="D2312" s="2"/>
      <c r="E2312" s="2" t="str">
        <f>"FES1162544202"</f>
        <v>FES1162544202</v>
      </c>
      <c r="F2312" s="3">
        <v>42844</v>
      </c>
      <c r="G2312" s="2">
        <v>201710</v>
      </c>
      <c r="H2312" s="2" t="s">
        <v>74</v>
      </c>
      <c r="I2312" s="2" t="s">
        <v>75</v>
      </c>
      <c r="J2312" s="2" t="s">
        <v>76</v>
      </c>
      <c r="K2312" s="2" t="s">
        <v>77</v>
      </c>
      <c r="L2312" s="2" t="s">
        <v>275</v>
      </c>
      <c r="M2312" s="2" t="s">
        <v>276</v>
      </c>
      <c r="N2312" s="2" t="s">
        <v>277</v>
      </c>
      <c r="O2312" s="2" t="s">
        <v>115</v>
      </c>
      <c r="P2312" s="2" t="str">
        <f>"2170562793                    "</f>
        <v xml:space="preserve">2170562793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4.29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1</v>
      </c>
      <c r="BJ2312" s="2">
        <v>0.2</v>
      </c>
      <c r="BK2312" s="2">
        <v>1</v>
      </c>
      <c r="BL2312" s="2">
        <v>41.73</v>
      </c>
      <c r="BM2312" s="2">
        <v>5.84</v>
      </c>
      <c r="BN2312" s="2">
        <v>47.57</v>
      </c>
      <c r="BO2312" s="2">
        <v>47.57</v>
      </c>
      <c r="BP2312" s="2"/>
      <c r="BQ2312" s="2" t="s">
        <v>278</v>
      </c>
      <c r="BR2312" s="2" t="s">
        <v>84</v>
      </c>
      <c r="BS2312" s="3">
        <v>42845</v>
      </c>
      <c r="BT2312" s="4">
        <v>0.34583333333333338</v>
      </c>
      <c r="BU2312" s="2" t="s">
        <v>1831</v>
      </c>
      <c r="BV2312" s="2" t="s">
        <v>111</v>
      </c>
      <c r="BW2312" s="2"/>
      <c r="BX2312" s="2"/>
      <c r="BY2312" s="2">
        <v>1200</v>
      </c>
      <c r="BZ2312" s="2" t="s">
        <v>27</v>
      </c>
      <c r="CA2312" s="2"/>
      <c r="CB2312" s="2"/>
      <c r="CC2312" s="2" t="s">
        <v>276</v>
      </c>
      <c r="CD2312" s="2">
        <v>4126</v>
      </c>
      <c r="CE2312" s="2" t="s">
        <v>118</v>
      </c>
      <c r="CF2312" s="5">
        <v>42846</v>
      </c>
      <c r="CG2312" s="2"/>
      <c r="CH2312" s="2"/>
      <c r="CI2312" s="2">
        <v>1</v>
      </c>
      <c r="CJ2312" s="2">
        <v>1</v>
      </c>
      <c r="CK2312" s="2">
        <v>21</v>
      </c>
      <c r="CL2312" s="2" t="s">
        <v>86</v>
      </c>
      <c r="CM2312" s="2"/>
    </row>
    <row r="2313" spans="1:91">
      <c r="A2313" s="2" t="s">
        <v>71</v>
      </c>
      <c r="B2313" s="2" t="s">
        <v>72</v>
      </c>
      <c r="C2313" s="2" t="s">
        <v>73</v>
      </c>
      <c r="D2313" s="2"/>
      <c r="E2313" s="2" t="str">
        <f>"FES1162544155"</f>
        <v>FES1162544155</v>
      </c>
      <c r="F2313" s="3">
        <v>42844</v>
      </c>
      <c r="G2313" s="2">
        <v>201710</v>
      </c>
      <c r="H2313" s="2" t="s">
        <v>74</v>
      </c>
      <c r="I2313" s="2" t="s">
        <v>75</v>
      </c>
      <c r="J2313" s="2" t="s">
        <v>76</v>
      </c>
      <c r="K2313" s="2" t="s">
        <v>77</v>
      </c>
      <c r="L2313" s="2" t="s">
        <v>234</v>
      </c>
      <c r="M2313" s="2" t="s">
        <v>235</v>
      </c>
      <c r="N2313" s="2" t="s">
        <v>236</v>
      </c>
      <c r="O2313" s="2" t="s">
        <v>115</v>
      </c>
      <c r="P2313" s="2" t="str">
        <f>"2170562750                    "</f>
        <v xml:space="preserve">2170562750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8.57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3.6</v>
      </c>
      <c r="BJ2313" s="2">
        <v>1</v>
      </c>
      <c r="BK2313" s="2">
        <v>4</v>
      </c>
      <c r="BL2313" s="2">
        <v>83.45</v>
      </c>
      <c r="BM2313" s="2">
        <v>11.68</v>
      </c>
      <c r="BN2313" s="2">
        <v>95.13</v>
      </c>
      <c r="BO2313" s="2">
        <v>95.13</v>
      </c>
      <c r="BP2313" s="2"/>
      <c r="BQ2313" s="2" t="s">
        <v>285</v>
      </c>
      <c r="BR2313" s="2" t="s">
        <v>84</v>
      </c>
      <c r="BS2313" s="3">
        <v>42845</v>
      </c>
      <c r="BT2313" s="4">
        <v>0.31944444444444448</v>
      </c>
      <c r="BU2313" s="2" t="s">
        <v>186</v>
      </c>
      <c r="BV2313" s="2" t="s">
        <v>111</v>
      </c>
      <c r="BW2313" s="2"/>
      <c r="BX2313" s="2"/>
      <c r="BY2313" s="2">
        <v>4992.1899999999996</v>
      </c>
      <c r="BZ2313" s="2" t="s">
        <v>27</v>
      </c>
      <c r="CA2313" s="2" t="s">
        <v>159</v>
      </c>
      <c r="CB2313" s="2"/>
      <c r="CC2313" s="2" t="s">
        <v>235</v>
      </c>
      <c r="CD2313" s="2">
        <v>6220</v>
      </c>
      <c r="CE2313" s="2" t="s">
        <v>89</v>
      </c>
      <c r="CF2313" s="5">
        <v>42846</v>
      </c>
      <c r="CG2313" s="2"/>
      <c r="CH2313" s="2"/>
      <c r="CI2313" s="2">
        <v>1</v>
      </c>
      <c r="CJ2313" s="2">
        <v>1</v>
      </c>
      <c r="CK2313" s="2">
        <v>21</v>
      </c>
      <c r="CL2313" s="2" t="s">
        <v>86</v>
      </c>
      <c r="CM2313" s="2"/>
    </row>
    <row r="2314" spans="1:91">
      <c r="A2314" s="2" t="s">
        <v>71</v>
      </c>
      <c r="B2314" s="2" t="s">
        <v>72</v>
      </c>
      <c r="C2314" s="2" t="s">
        <v>73</v>
      </c>
      <c r="D2314" s="2"/>
      <c r="E2314" s="2" t="str">
        <f>"FES1162543967"</f>
        <v>FES1162543967</v>
      </c>
      <c r="F2314" s="3">
        <v>42844</v>
      </c>
      <c r="G2314" s="2">
        <v>201710</v>
      </c>
      <c r="H2314" s="2" t="s">
        <v>74</v>
      </c>
      <c r="I2314" s="2" t="s">
        <v>75</v>
      </c>
      <c r="J2314" s="2" t="s">
        <v>76</v>
      </c>
      <c r="K2314" s="2" t="s">
        <v>77</v>
      </c>
      <c r="L2314" s="2" t="s">
        <v>166</v>
      </c>
      <c r="M2314" s="2" t="s">
        <v>167</v>
      </c>
      <c r="N2314" s="2" t="s">
        <v>2697</v>
      </c>
      <c r="O2314" s="2" t="s">
        <v>115</v>
      </c>
      <c r="P2314" s="2" t="str">
        <f>"2170562560                    "</f>
        <v xml:space="preserve">2170562560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3.35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1</v>
      </c>
      <c r="BJ2314" s="2">
        <v>0.2</v>
      </c>
      <c r="BK2314" s="2">
        <v>1</v>
      </c>
      <c r="BL2314" s="2">
        <v>32.6</v>
      </c>
      <c r="BM2314" s="2">
        <v>4.5599999999999996</v>
      </c>
      <c r="BN2314" s="2">
        <v>37.159999999999997</v>
      </c>
      <c r="BO2314" s="2">
        <v>37.159999999999997</v>
      </c>
      <c r="BP2314" s="2"/>
      <c r="BQ2314" s="2" t="s">
        <v>122</v>
      </c>
      <c r="BR2314" s="2" t="s">
        <v>84</v>
      </c>
      <c r="BS2314" s="3">
        <v>42845</v>
      </c>
      <c r="BT2314" s="4">
        <v>0.37083333333333335</v>
      </c>
      <c r="BU2314" s="2" t="s">
        <v>2698</v>
      </c>
      <c r="BV2314" s="2" t="s">
        <v>111</v>
      </c>
      <c r="BW2314" s="2"/>
      <c r="BX2314" s="2"/>
      <c r="BY2314" s="2">
        <v>1200</v>
      </c>
      <c r="BZ2314" s="2" t="s">
        <v>27</v>
      </c>
      <c r="CA2314" s="2" t="s">
        <v>2699</v>
      </c>
      <c r="CB2314" s="2"/>
      <c r="CC2314" s="2" t="s">
        <v>167</v>
      </c>
      <c r="CD2314" s="2">
        <v>2092</v>
      </c>
      <c r="CE2314" s="2" t="s">
        <v>118</v>
      </c>
      <c r="CF2314" s="5">
        <v>42845</v>
      </c>
      <c r="CG2314" s="2"/>
      <c r="CH2314" s="2"/>
      <c r="CI2314" s="2">
        <v>1</v>
      </c>
      <c r="CJ2314" s="2">
        <v>1</v>
      </c>
      <c r="CK2314" s="2">
        <v>22</v>
      </c>
      <c r="CL2314" s="2" t="s">
        <v>86</v>
      </c>
      <c r="CM2314" s="2"/>
    </row>
    <row r="2315" spans="1:91">
      <c r="A2315" s="2" t="s">
        <v>71</v>
      </c>
      <c r="B2315" s="2" t="s">
        <v>72</v>
      </c>
      <c r="C2315" s="2" t="s">
        <v>73</v>
      </c>
      <c r="D2315" s="2"/>
      <c r="E2315" s="2" t="str">
        <f>"FES1162544147"</f>
        <v>FES1162544147</v>
      </c>
      <c r="F2315" s="3">
        <v>42844</v>
      </c>
      <c r="G2315" s="2">
        <v>201710</v>
      </c>
      <c r="H2315" s="2" t="s">
        <v>74</v>
      </c>
      <c r="I2315" s="2" t="s">
        <v>75</v>
      </c>
      <c r="J2315" s="2" t="s">
        <v>76</v>
      </c>
      <c r="K2315" s="2" t="s">
        <v>77</v>
      </c>
      <c r="L2315" s="2" t="s">
        <v>322</v>
      </c>
      <c r="M2315" s="2" t="s">
        <v>323</v>
      </c>
      <c r="N2315" s="2" t="s">
        <v>1893</v>
      </c>
      <c r="O2315" s="2" t="s">
        <v>115</v>
      </c>
      <c r="P2315" s="2" t="str">
        <f>"2170562739                    "</f>
        <v xml:space="preserve">2170562739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3.35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1</v>
      </c>
      <c r="BJ2315" s="2">
        <v>0.2</v>
      </c>
      <c r="BK2315" s="2">
        <v>1</v>
      </c>
      <c r="BL2315" s="2">
        <v>32.6</v>
      </c>
      <c r="BM2315" s="2">
        <v>4.5599999999999996</v>
      </c>
      <c r="BN2315" s="2">
        <v>37.159999999999997</v>
      </c>
      <c r="BO2315" s="2">
        <v>37.159999999999997</v>
      </c>
      <c r="BP2315" s="2"/>
      <c r="BQ2315" s="2"/>
      <c r="BR2315" s="2" t="s">
        <v>84</v>
      </c>
      <c r="BS2315" s="3">
        <v>42845</v>
      </c>
      <c r="BT2315" s="4">
        <v>0.36874999999999997</v>
      </c>
      <c r="BU2315" s="2" t="s">
        <v>2700</v>
      </c>
      <c r="BV2315" s="2" t="s">
        <v>111</v>
      </c>
      <c r="BW2315" s="2"/>
      <c r="BX2315" s="2"/>
      <c r="BY2315" s="2">
        <v>1200</v>
      </c>
      <c r="BZ2315" s="2" t="s">
        <v>27</v>
      </c>
      <c r="CA2315" s="2"/>
      <c r="CB2315" s="2"/>
      <c r="CC2315" s="2" t="s">
        <v>323</v>
      </c>
      <c r="CD2315" s="2">
        <v>1682</v>
      </c>
      <c r="CE2315" s="2" t="s">
        <v>118</v>
      </c>
      <c r="CF2315" s="5">
        <v>42846</v>
      </c>
      <c r="CG2315" s="2"/>
      <c r="CH2315" s="2"/>
      <c r="CI2315" s="2">
        <v>1</v>
      </c>
      <c r="CJ2315" s="2">
        <v>1</v>
      </c>
      <c r="CK2315" s="2">
        <v>22</v>
      </c>
      <c r="CL2315" s="2" t="s">
        <v>86</v>
      </c>
      <c r="CM2315" s="2"/>
    </row>
    <row r="2316" spans="1:91">
      <c r="A2316" s="2" t="s">
        <v>71</v>
      </c>
      <c r="B2316" s="2" t="s">
        <v>72</v>
      </c>
      <c r="C2316" s="2" t="s">
        <v>73</v>
      </c>
      <c r="D2316" s="2"/>
      <c r="E2316" s="2" t="str">
        <f>"FES1162544219"</f>
        <v>FES1162544219</v>
      </c>
      <c r="F2316" s="3">
        <v>42844</v>
      </c>
      <c r="G2316" s="2">
        <v>201710</v>
      </c>
      <c r="H2316" s="2" t="s">
        <v>74</v>
      </c>
      <c r="I2316" s="2" t="s">
        <v>75</v>
      </c>
      <c r="J2316" s="2" t="s">
        <v>76</v>
      </c>
      <c r="K2316" s="2" t="s">
        <v>77</v>
      </c>
      <c r="L2316" s="2" t="s">
        <v>112</v>
      </c>
      <c r="M2316" s="2" t="s">
        <v>113</v>
      </c>
      <c r="N2316" s="2" t="s">
        <v>2217</v>
      </c>
      <c r="O2316" s="2" t="s">
        <v>115</v>
      </c>
      <c r="P2316" s="2" t="str">
        <f>"2170562818                    "</f>
        <v xml:space="preserve">2170562818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9.65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4.0999999999999996</v>
      </c>
      <c r="BJ2316" s="2">
        <v>1.6</v>
      </c>
      <c r="BK2316" s="2">
        <v>4.5</v>
      </c>
      <c r="BL2316" s="2">
        <v>93.89</v>
      </c>
      <c r="BM2316" s="2">
        <v>13.14</v>
      </c>
      <c r="BN2316" s="2">
        <v>107.03</v>
      </c>
      <c r="BO2316" s="2">
        <v>107.03</v>
      </c>
      <c r="BP2316" s="2"/>
      <c r="BQ2316" s="2" t="s">
        <v>458</v>
      </c>
      <c r="BR2316" s="2" t="s">
        <v>84</v>
      </c>
      <c r="BS2316" s="3">
        <v>42845</v>
      </c>
      <c r="BT2316" s="4">
        <v>0.38055555555555554</v>
      </c>
      <c r="BU2316" s="2" t="s">
        <v>2218</v>
      </c>
      <c r="BV2316" s="2" t="s">
        <v>111</v>
      </c>
      <c r="BW2316" s="2"/>
      <c r="BX2316" s="2"/>
      <c r="BY2316" s="2">
        <v>8233.1200000000008</v>
      </c>
      <c r="BZ2316" s="2" t="s">
        <v>27</v>
      </c>
      <c r="CA2316" s="2"/>
      <c r="CB2316" s="2"/>
      <c r="CC2316" s="2" t="s">
        <v>113</v>
      </c>
      <c r="CD2316" s="2">
        <v>3201</v>
      </c>
      <c r="CE2316" s="2" t="s">
        <v>89</v>
      </c>
      <c r="CF2316" s="5">
        <v>42846</v>
      </c>
      <c r="CG2316" s="2"/>
      <c r="CH2316" s="2"/>
      <c r="CI2316" s="2">
        <v>1</v>
      </c>
      <c r="CJ2316" s="2">
        <v>1</v>
      </c>
      <c r="CK2316" s="2">
        <v>21</v>
      </c>
      <c r="CL2316" s="2" t="s">
        <v>86</v>
      </c>
      <c r="CM2316" s="2"/>
    </row>
    <row r="2317" spans="1:91">
      <c r="A2317" s="2" t="s">
        <v>71</v>
      </c>
      <c r="B2317" s="2" t="s">
        <v>72</v>
      </c>
      <c r="C2317" s="2" t="s">
        <v>73</v>
      </c>
      <c r="D2317" s="2"/>
      <c r="E2317" s="2" t="str">
        <f>"FES1162544105"</f>
        <v>FES1162544105</v>
      </c>
      <c r="F2317" s="3">
        <v>42844</v>
      </c>
      <c r="G2317" s="2">
        <v>201710</v>
      </c>
      <c r="H2317" s="2" t="s">
        <v>74</v>
      </c>
      <c r="I2317" s="2" t="s">
        <v>75</v>
      </c>
      <c r="J2317" s="2" t="s">
        <v>76</v>
      </c>
      <c r="K2317" s="2" t="s">
        <v>77</v>
      </c>
      <c r="L2317" s="2" t="s">
        <v>131</v>
      </c>
      <c r="M2317" s="2" t="s">
        <v>132</v>
      </c>
      <c r="N2317" s="2" t="s">
        <v>2701</v>
      </c>
      <c r="O2317" s="2" t="s">
        <v>115</v>
      </c>
      <c r="P2317" s="2" t="str">
        <f>"2170562724                    "</f>
        <v xml:space="preserve">2170562724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15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7</v>
      </c>
      <c r="BJ2317" s="2">
        <v>2.1</v>
      </c>
      <c r="BK2317" s="2">
        <v>7</v>
      </c>
      <c r="BL2317" s="2">
        <v>146.04</v>
      </c>
      <c r="BM2317" s="2">
        <v>20.45</v>
      </c>
      <c r="BN2317" s="2">
        <v>166.49</v>
      </c>
      <c r="BO2317" s="2">
        <v>166.49</v>
      </c>
      <c r="BP2317" s="2"/>
      <c r="BQ2317" s="2" t="s">
        <v>2702</v>
      </c>
      <c r="BR2317" s="2" t="s">
        <v>84</v>
      </c>
      <c r="BS2317" s="3">
        <v>42845</v>
      </c>
      <c r="BT2317" s="4">
        <v>0.43472222222222223</v>
      </c>
      <c r="BU2317" s="2" t="s">
        <v>2703</v>
      </c>
      <c r="BV2317" s="2" t="s">
        <v>111</v>
      </c>
      <c r="BW2317" s="2"/>
      <c r="BX2317" s="2"/>
      <c r="BY2317" s="2">
        <v>10656</v>
      </c>
      <c r="BZ2317" s="2" t="s">
        <v>27</v>
      </c>
      <c r="CA2317" s="2"/>
      <c r="CB2317" s="2"/>
      <c r="CC2317" s="2" t="s">
        <v>132</v>
      </c>
      <c r="CD2317" s="2">
        <v>7405</v>
      </c>
      <c r="CE2317" s="2" t="s">
        <v>89</v>
      </c>
      <c r="CF2317" s="5">
        <v>42846</v>
      </c>
      <c r="CG2317" s="2"/>
      <c r="CH2317" s="2"/>
      <c r="CI2317" s="2">
        <v>1</v>
      </c>
      <c r="CJ2317" s="2">
        <v>1</v>
      </c>
      <c r="CK2317" s="2">
        <v>21</v>
      </c>
      <c r="CL2317" s="2" t="s">
        <v>86</v>
      </c>
      <c r="CM2317" s="2"/>
    </row>
    <row r="2318" spans="1:91">
      <c r="A2318" s="2" t="s">
        <v>71</v>
      </c>
      <c r="B2318" s="2" t="s">
        <v>72</v>
      </c>
      <c r="C2318" s="2" t="s">
        <v>73</v>
      </c>
      <c r="D2318" s="2"/>
      <c r="E2318" s="2" t="str">
        <f>"FES1162544137"</f>
        <v>FES1162544137</v>
      </c>
      <c r="F2318" s="3">
        <v>42844</v>
      </c>
      <c r="G2318" s="2">
        <v>201710</v>
      </c>
      <c r="H2318" s="2" t="s">
        <v>74</v>
      </c>
      <c r="I2318" s="2" t="s">
        <v>75</v>
      </c>
      <c r="J2318" s="2" t="s">
        <v>76</v>
      </c>
      <c r="K2318" s="2" t="s">
        <v>77</v>
      </c>
      <c r="L2318" s="2" t="s">
        <v>443</v>
      </c>
      <c r="M2318" s="2" t="s">
        <v>444</v>
      </c>
      <c r="N2318" s="2" t="s">
        <v>627</v>
      </c>
      <c r="O2318" s="2" t="s">
        <v>115</v>
      </c>
      <c r="P2318" s="2" t="str">
        <f>"2170561046                    "</f>
        <v xml:space="preserve">2170561046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7.5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3.2</v>
      </c>
      <c r="BJ2318" s="2">
        <v>1.7</v>
      </c>
      <c r="BK2318" s="2">
        <v>3.5</v>
      </c>
      <c r="BL2318" s="2">
        <v>73.02</v>
      </c>
      <c r="BM2318" s="2">
        <v>10.220000000000001</v>
      </c>
      <c r="BN2318" s="2">
        <v>83.24</v>
      </c>
      <c r="BO2318" s="2">
        <v>83.24</v>
      </c>
      <c r="BP2318" s="2"/>
      <c r="BQ2318" s="2" t="s">
        <v>628</v>
      </c>
      <c r="BR2318" s="2" t="s">
        <v>84</v>
      </c>
      <c r="BS2318" s="3">
        <v>42845</v>
      </c>
      <c r="BT2318" s="4">
        <v>0.34375</v>
      </c>
      <c r="BU2318" s="2" t="s">
        <v>2704</v>
      </c>
      <c r="BV2318" s="2" t="s">
        <v>111</v>
      </c>
      <c r="BW2318" s="2"/>
      <c r="BX2318" s="2"/>
      <c r="BY2318" s="2">
        <v>8473.41</v>
      </c>
      <c r="BZ2318" s="2" t="s">
        <v>27</v>
      </c>
      <c r="CA2318" s="2" t="s">
        <v>159</v>
      </c>
      <c r="CB2318" s="2"/>
      <c r="CC2318" s="2" t="s">
        <v>444</v>
      </c>
      <c r="CD2318" s="2">
        <v>7130</v>
      </c>
      <c r="CE2318" s="2" t="s">
        <v>89</v>
      </c>
      <c r="CF2318" s="5">
        <v>42846</v>
      </c>
      <c r="CG2318" s="2"/>
      <c r="CH2318" s="2"/>
      <c r="CI2318" s="2">
        <v>1</v>
      </c>
      <c r="CJ2318" s="2">
        <v>1</v>
      </c>
      <c r="CK2318" s="2">
        <v>21</v>
      </c>
      <c r="CL2318" s="2" t="s">
        <v>86</v>
      </c>
      <c r="CM2318" s="2"/>
    </row>
    <row r="2319" spans="1:91">
      <c r="A2319" s="2" t="s">
        <v>71</v>
      </c>
      <c r="B2319" s="2" t="s">
        <v>72</v>
      </c>
      <c r="C2319" s="2" t="s">
        <v>73</v>
      </c>
      <c r="D2319" s="2"/>
      <c r="E2319" s="2" t="str">
        <f>"FES1162544173"</f>
        <v>FES1162544173</v>
      </c>
      <c r="F2319" s="3">
        <v>42844</v>
      </c>
      <c r="G2319" s="2">
        <v>201710</v>
      </c>
      <c r="H2319" s="2" t="s">
        <v>74</v>
      </c>
      <c r="I2319" s="2" t="s">
        <v>75</v>
      </c>
      <c r="J2319" s="2" t="s">
        <v>76</v>
      </c>
      <c r="K2319" s="2" t="s">
        <v>77</v>
      </c>
      <c r="L2319" s="2" t="s">
        <v>99</v>
      </c>
      <c r="M2319" s="2" t="s">
        <v>100</v>
      </c>
      <c r="N2319" s="2" t="s">
        <v>876</v>
      </c>
      <c r="O2319" s="2" t="s">
        <v>115</v>
      </c>
      <c r="P2319" s="2" t="str">
        <f>"2170560527                    "</f>
        <v xml:space="preserve">2170560527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4.29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1</v>
      </c>
      <c r="BJ2319" s="2">
        <v>0.2</v>
      </c>
      <c r="BK2319" s="2">
        <v>1</v>
      </c>
      <c r="BL2319" s="2">
        <v>41.73</v>
      </c>
      <c r="BM2319" s="2">
        <v>5.84</v>
      </c>
      <c r="BN2319" s="2">
        <v>47.57</v>
      </c>
      <c r="BO2319" s="2">
        <v>47.57</v>
      </c>
      <c r="BP2319" s="2"/>
      <c r="BQ2319" s="2" t="s">
        <v>877</v>
      </c>
      <c r="BR2319" s="2" t="s">
        <v>84</v>
      </c>
      <c r="BS2319" s="3">
        <v>42845</v>
      </c>
      <c r="BT2319" s="4">
        <v>0.29166666666666669</v>
      </c>
      <c r="BU2319" s="2" t="s">
        <v>2705</v>
      </c>
      <c r="BV2319" s="2" t="s">
        <v>111</v>
      </c>
      <c r="BW2319" s="2"/>
      <c r="BX2319" s="2"/>
      <c r="BY2319" s="2">
        <v>1200</v>
      </c>
      <c r="BZ2319" s="2" t="s">
        <v>27</v>
      </c>
      <c r="CA2319" s="2" t="s">
        <v>106</v>
      </c>
      <c r="CB2319" s="2"/>
      <c r="CC2319" s="2" t="s">
        <v>100</v>
      </c>
      <c r="CD2319" s="2">
        <v>6012</v>
      </c>
      <c r="CE2319" s="2" t="s">
        <v>118</v>
      </c>
      <c r="CF2319" s="5">
        <v>42845</v>
      </c>
      <c r="CG2319" s="2"/>
      <c r="CH2319" s="2"/>
      <c r="CI2319" s="2">
        <v>1</v>
      </c>
      <c r="CJ2319" s="2">
        <v>1</v>
      </c>
      <c r="CK2319" s="2">
        <v>21</v>
      </c>
      <c r="CL2319" s="2" t="s">
        <v>86</v>
      </c>
      <c r="CM2319" s="2"/>
    </row>
    <row r="2320" spans="1:91">
      <c r="A2320" s="2" t="s">
        <v>71</v>
      </c>
      <c r="B2320" s="2" t="s">
        <v>72</v>
      </c>
      <c r="C2320" s="2" t="s">
        <v>73</v>
      </c>
      <c r="D2320" s="2"/>
      <c r="E2320" s="2" t="str">
        <f>"FES1162544192"</f>
        <v>FES1162544192</v>
      </c>
      <c r="F2320" s="3">
        <v>42844</v>
      </c>
      <c r="G2320" s="2">
        <v>201710</v>
      </c>
      <c r="H2320" s="2" t="s">
        <v>74</v>
      </c>
      <c r="I2320" s="2" t="s">
        <v>75</v>
      </c>
      <c r="J2320" s="2" t="s">
        <v>76</v>
      </c>
      <c r="K2320" s="2" t="s">
        <v>77</v>
      </c>
      <c r="L2320" s="2" t="s">
        <v>99</v>
      </c>
      <c r="M2320" s="2" t="s">
        <v>100</v>
      </c>
      <c r="N2320" s="2" t="s">
        <v>700</v>
      </c>
      <c r="O2320" s="2" t="s">
        <v>115</v>
      </c>
      <c r="P2320" s="2" t="str">
        <f>"2170562779                    "</f>
        <v xml:space="preserve">2170562779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4.29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1</v>
      </c>
      <c r="BJ2320" s="2">
        <v>0.2</v>
      </c>
      <c r="BK2320" s="2">
        <v>1</v>
      </c>
      <c r="BL2320" s="2">
        <v>41.73</v>
      </c>
      <c r="BM2320" s="2">
        <v>5.84</v>
      </c>
      <c r="BN2320" s="2">
        <v>47.57</v>
      </c>
      <c r="BO2320" s="2">
        <v>47.57</v>
      </c>
      <c r="BP2320" s="2"/>
      <c r="BQ2320" s="2" t="s">
        <v>701</v>
      </c>
      <c r="BR2320" s="2" t="s">
        <v>84</v>
      </c>
      <c r="BS2320" s="3">
        <v>42845</v>
      </c>
      <c r="BT2320" s="4">
        <v>0.39583333333333331</v>
      </c>
      <c r="BU2320" s="2" t="s">
        <v>702</v>
      </c>
      <c r="BV2320" s="2" t="s">
        <v>111</v>
      </c>
      <c r="BW2320" s="2"/>
      <c r="BX2320" s="2"/>
      <c r="BY2320" s="2">
        <v>1200</v>
      </c>
      <c r="BZ2320" s="2" t="s">
        <v>27</v>
      </c>
      <c r="CA2320" s="2" t="s">
        <v>106</v>
      </c>
      <c r="CB2320" s="2"/>
      <c r="CC2320" s="2" t="s">
        <v>100</v>
      </c>
      <c r="CD2320" s="2">
        <v>6001</v>
      </c>
      <c r="CE2320" s="2" t="s">
        <v>118</v>
      </c>
      <c r="CF2320" s="5">
        <v>42845</v>
      </c>
      <c r="CG2320" s="2"/>
      <c r="CH2320" s="2"/>
      <c r="CI2320" s="2">
        <v>1</v>
      </c>
      <c r="CJ2320" s="2">
        <v>1</v>
      </c>
      <c r="CK2320" s="2">
        <v>21</v>
      </c>
      <c r="CL2320" s="2" t="s">
        <v>86</v>
      </c>
      <c r="CM2320" s="2"/>
    </row>
    <row r="2321" spans="1:91">
      <c r="A2321" s="2" t="s">
        <v>71</v>
      </c>
      <c r="B2321" s="2" t="s">
        <v>72</v>
      </c>
      <c r="C2321" s="2" t="s">
        <v>73</v>
      </c>
      <c r="D2321" s="2"/>
      <c r="E2321" s="2" t="str">
        <f>"FES1162544150"</f>
        <v>FES1162544150</v>
      </c>
      <c r="F2321" s="3">
        <v>42844</v>
      </c>
      <c r="G2321" s="2">
        <v>201710</v>
      </c>
      <c r="H2321" s="2" t="s">
        <v>74</v>
      </c>
      <c r="I2321" s="2" t="s">
        <v>75</v>
      </c>
      <c r="J2321" s="2" t="s">
        <v>76</v>
      </c>
      <c r="K2321" s="2" t="s">
        <v>77</v>
      </c>
      <c r="L2321" s="2" t="s">
        <v>294</v>
      </c>
      <c r="M2321" s="2" t="s">
        <v>295</v>
      </c>
      <c r="N2321" s="2" t="s">
        <v>2706</v>
      </c>
      <c r="O2321" s="2" t="s">
        <v>115</v>
      </c>
      <c r="P2321" s="2" t="str">
        <f>"2170562745                    "</f>
        <v xml:space="preserve">2170562745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4.29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1.9</v>
      </c>
      <c r="BJ2321" s="2">
        <v>0.9</v>
      </c>
      <c r="BK2321" s="2">
        <v>2</v>
      </c>
      <c r="BL2321" s="2">
        <v>41.73</v>
      </c>
      <c r="BM2321" s="2">
        <v>5.84</v>
      </c>
      <c r="BN2321" s="2">
        <v>47.57</v>
      </c>
      <c r="BO2321" s="2">
        <v>47.57</v>
      </c>
      <c r="BP2321" s="2"/>
      <c r="BQ2321" s="2" t="s">
        <v>116</v>
      </c>
      <c r="BR2321" s="2" t="s">
        <v>84</v>
      </c>
      <c r="BS2321" s="3">
        <v>42845</v>
      </c>
      <c r="BT2321" s="4">
        <v>0.43402777777777773</v>
      </c>
      <c r="BU2321" s="2" t="s">
        <v>2707</v>
      </c>
      <c r="BV2321" s="2" t="s">
        <v>111</v>
      </c>
      <c r="BW2321" s="2"/>
      <c r="BX2321" s="2"/>
      <c r="BY2321" s="2">
        <v>4280.47</v>
      </c>
      <c r="BZ2321" s="2" t="s">
        <v>27</v>
      </c>
      <c r="CA2321" s="2"/>
      <c r="CB2321" s="2"/>
      <c r="CC2321" s="2" t="s">
        <v>295</v>
      </c>
      <c r="CD2321" s="2">
        <v>3610</v>
      </c>
      <c r="CE2321" s="2" t="s">
        <v>89</v>
      </c>
      <c r="CF2321" s="5">
        <v>42846</v>
      </c>
      <c r="CG2321" s="2"/>
      <c r="CH2321" s="2"/>
      <c r="CI2321" s="2">
        <v>1</v>
      </c>
      <c r="CJ2321" s="2">
        <v>1</v>
      </c>
      <c r="CK2321" s="2">
        <v>21</v>
      </c>
      <c r="CL2321" s="2" t="s">
        <v>86</v>
      </c>
      <c r="CM2321" s="2"/>
    </row>
    <row r="2322" spans="1:91">
      <c r="A2322" s="2" t="s">
        <v>71</v>
      </c>
      <c r="B2322" s="2" t="s">
        <v>72</v>
      </c>
      <c r="C2322" s="2" t="s">
        <v>73</v>
      </c>
      <c r="D2322" s="2"/>
      <c r="E2322" s="2" t="str">
        <f>"FES1162543848"</f>
        <v>FES1162543848</v>
      </c>
      <c r="F2322" s="3">
        <v>42844</v>
      </c>
      <c r="G2322" s="2">
        <v>201710</v>
      </c>
      <c r="H2322" s="2" t="s">
        <v>74</v>
      </c>
      <c r="I2322" s="2" t="s">
        <v>75</v>
      </c>
      <c r="J2322" s="2" t="s">
        <v>76</v>
      </c>
      <c r="K2322" s="2" t="s">
        <v>77</v>
      </c>
      <c r="L2322" s="2" t="s">
        <v>322</v>
      </c>
      <c r="M2322" s="2" t="s">
        <v>323</v>
      </c>
      <c r="N2322" s="2" t="s">
        <v>2708</v>
      </c>
      <c r="O2322" s="2" t="s">
        <v>115</v>
      </c>
      <c r="P2322" s="2" t="str">
        <f>"2170560608                    "</f>
        <v xml:space="preserve">2170560608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3.35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1.8</v>
      </c>
      <c r="BJ2322" s="2">
        <v>2.2000000000000002</v>
      </c>
      <c r="BK2322" s="2">
        <v>3</v>
      </c>
      <c r="BL2322" s="2">
        <v>32.6</v>
      </c>
      <c r="BM2322" s="2">
        <v>4.5599999999999996</v>
      </c>
      <c r="BN2322" s="2">
        <v>37.159999999999997</v>
      </c>
      <c r="BO2322" s="2">
        <v>37.159999999999997</v>
      </c>
      <c r="BP2322" s="2"/>
      <c r="BQ2322" s="2"/>
      <c r="BR2322" s="2" t="s">
        <v>84</v>
      </c>
      <c r="BS2322" s="3">
        <v>42845</v>
      </c>
      <c r="BT2322" s="4">
        <v>0.41666666666666669</v>
      </c>
      <c r="BU2322" s="2" t="s">
        <v>1159</v>
      </c>
      <c r="BV2322" s="2" t="s">
        <v>111</v>
      </c>
      <c r="BW2322" s="2"/>
      <c r="BX2322" s="2"/>
      <c r="BY2322" s="2">
        <v>10795.15</v>
      </c>
      <c r="BZ2322" s="2" t="s">
        <v>27</v>
      </c>
      <c r="CA2322" s="2" t="s">
        <v>159</v>
      </c>
      <c r="CB2322" s="2"/>
      <c r="CC2322" s="2" t="s">
        <v>323</v>
      </c>
      <c r="CD2322" s="2">
        <v>1682</v>
      </c>
      <c r="CE2322" s="2" t="s">
        <v>172</v>
      </c>
      <c r="CF2322" s="5">
        <v>42846</v>
      </c>
      <c r="CG2322" s="2"/>
      <c r="CH2322" s="2"/>
      <c r="CI2322" s="2">
        <v>1</v>
      </c>
      <c r="CJ2322" s="2">
        <v>1</v>
      </c>
      <c r="CK2322" s="2">
        <v>22</v>
      </c>
      <c r="CL2322" s="2" t="s">
        <v>86</v>
      </c>
      <c r="CM2322" s="2"/>
    </row>
    <row r="2323" spans="1:91">
      <c r="A2323" s="2" t="s">
        <v>71</v>
      </c>
      <c r="B2323" s="2" t="s">
        <v>72</v>
      </c>
      <c r="C2323" s="2" t="s">
        <v>73</v>
      </c>
      <c r="D2323" s="2"/>
      <c r="E2323" s="2" t="str">
        <f>"FES1162544200"</f>
        <v>FES1162544200</v>
      </c>
      <c r="F2323" s="3">
        <v>42844</v>
      </c>
      <c r="G2323" s="2">
        <v>201710</v>
      </c>
      <c r="H2323" s="2" t="s">
        <v>74</v>
      </c>
      <c r="I2323" s="2" t="s">
        <v>75</v>
      </c>
      <c r="J2323" s="2" t="s">
        <v>76</v>
      </c>
      <c r="K2323" s="2" t="s">
        <v>77</v>
      </c>
      <c r="L2323" s="2" t="s">
        <v>131</v>
      </c>
      <c r="M2323" s="2" t="s">
        <v>132</v>
      </c>
      <c r="N2323" s="2" t="s">
        <v>2709</v>
      </c>
      <c r="O2323" s="2" t="s">
        <v>115</v>
      </c>
      <c r="P2323" s="2" t="str">
        <f>"2170562790                    "</f>
        <v xml:space="preserve">2170562790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4.29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1</v>
      </c>
      <c r="BJ2323" s="2">
        <v>0.2</v>
      </c>
      <c r="BK2323" s="2">
        <v>1</v>
      </c>
      <c r="BL2323" s="2">
        <v>41.73</v>
      </c>
      <c r="BM2323" s="2">
        <v>5.84</v>
      </c>
      <c r="BN2323" s="2">
        <v>47.57</v>
      </c>
      <c r="BO2323" s="2">
        <v>47.57</v>
      </c>
      <c r="BP2323" s="2"/>
      <c r="BQ2323" s="2" t="s">
        <v>129</v>
      </c>
      <c r="BR2323" s="2" t="s">
        <v>84</v>
      </c>
      <c r="BS2323" s="3">
        <v>42845</v>
      </c>
      <c r="BT2323" s="4">
        <v>0.41666666666666669</v>
      </c>
      <c r="BU2323" s="2" t="s">
        <v>2710</v>
      </c>
      <c r="BV2323" s="2" t="s">
        <v>111</v>
      </c>
      <c r="BW2323" s="2"/>
      <c r="BX2323" s="2"/>
      <c r="BY2323" s="2">
        <v>1200</v>
      </c>
      <c r="BZ2323" s="2" t="s">
        <v>27</v>
      </c>
      <c r="CA2323" s="2"/>
      <c r="CB2323" s="2"/>
      <c r="CC2323" s="2" t="s">
        <v>132</v>
      </c>
      <c r="CD2323" s="2">
        <v>7460</v>
      </c>
      <c r="CE2323" s="2" t="s">
        <v>118</v>
      </c>
      <c r="CF2323" s="5">
        <v>42846</v>
      </c>
      <c r="CG2323" s="2"/>
      <c r="CH2323" s="2"/>
      <c r="CI2323" s="2">
        <v>1</v>
      </c>
      <c r="CJ2323" s="2">
        <v>1</v>
      </c>
      <c r="CK2323" s="2">
        <v>21</v>
      </c>
      <c r="CL2323" s="2" t="s">
        <v>86</v>
      </c>
      <c r="CM2323" s="2"/>
    </row>
    <row r="2324" spans="1:91">
      <c r="A2324" s="2" t="s">
        <v>71</v>
      </c>
      <c r="B2324" s="2" t="s">
        <v>72</v>
      </c>
      <c r="C2324" s="2" t="s">
        <v>73</v>
      </c>
      <c r="D2324" s="2"/>
      <c r="E2324" s="2" t="str">
        <f>"FES1162544110"</f>
        <v>FES1162544110</v>
      </c>
      <c r="F2324" s="3">
        <v>42844</v>
      </c>
      <c r="G2324" s="2">
        <v>201710</v>
      </c>
      <c r="H2324" s="2" t="s">
        <v>74</v>
      </c>
      <c r="I2324" s="2" t="s">
        <v>75</v>
      </c>
      <c r="J2324" s="2" t="s">
        <v>76</v>
      </c>
      <c r="K2324" s="2" t="s">
        <v>77</v>
      </c>
      <c r="L2324" s="2" t="s">
        <v>166</v>
      </c>
      <c r="M2324" s="2" t="s">
        <v>167</v>
      </c>
      <c r="N2324" s="2" t="s">
        <v>168</v>
      </c>
      <c r="O2324" s="2" t="s">
        <v>115</v>
      </c>
      <c r="P2324" s="2" t="str">
        <f>"2170557891                    "</f>
        <v xml:space="preserve">2170557891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3.35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1</v>
      </c>
      <c r="BJ2324" s="2">
        <v>0.2</v>
      </c>
      <c r="BK2324" s="2">
        <v>1</v>
      </c>
      <c r="BL2324" s="2">
        <v>32.6</v>
      </c>
      <c r="BM2324" s="2">
        <v>4.5599999999999996</v>
      </c>
      <c r="BN2324" s="2">
        <v>37.159999999999997</v>
      </c>
      <c r="BO2324" s="2">
        <v>37.159999999999997</v>
      </c>
      <c r="BP2324" s="2"/>
      <c r="BQ2324" s="2" t="s">
        <v>169</v>
      </c>
      <c r="BR2324" s="2" t="s">
        <v>84</v>
      </c>
      <c r="BS2324" s="3">
        <v>42845</v>
      </c>
      <c r="BT2324" s="4">
        <v>0.3527777777777778</v>
      </c>
      <c r="BU2324" s="2" t="s">
        <v>2311</v>
      </c>
      <c r="BV2324" s="2" t="s">
        <v>111</v>
      </c>
      <c r="BW2324" s="2"/>
      <c r="BX2324" s="2"/>
      <c r="BY2324" s="2">
        <v>1200</v>
      </c>
      <c r="BZ2324" s="2" t="s">
        <v>27</v>
      </c>
      <c r="CA2324" s="2" t="s">
        <v>2312</v>
      </c>
      <c r="CB2324" s="2"/>
      <c r="CC2324" s="2" t="s">
        <v>167</v>
      </c>
      <c r="CD2324" s="2">
        <v>2094</v>
      </c>
      <c r="CE2324" s="2" t="s">
        <v>118</v>
      </c>
      <c r="CF2324" s="5">
        <v>42845</v>
      </c>
      <c r="CG2324" s="2"/>
      <c r="CH2324" s="2"/>
      <c r="CI2324" s="2">
        <v>1</v>
      </c>
      <c r="CJ2324" s="2">
        <v>1</v>
      </c>
      <c r="CK2324" s="2">
        <v>22</v>
      </c>
      <c r="CL2324" s="2" t="s">
        <v>86</v>
      </c>
      <c r="CM2324" s="2"/>
    </row>
    <row r="2325" spans="1:91">
      <c r="A2325" s="2" t="s">
        <v>71</v>
      </c>
      <c r="B2325" s="2" t="s">
        <v>72</v>
      </c>
      <c r="C2325" s="2" t="s">
        <v>73</v>
      </c>
      <c r="D2325" s="2"/>
      <c r="E2325" s="2" t="str">
        <f>"FES1162543851"</f>
        <v>FES1162543851</v>
      </c>
      <c r="F2325" s="3">
        <v>42844</v>
      </c>
      <c r="G2325" s="2">
        <v>201710</v>
      </c>
      <c r="H2325" s="2" t="s">
        <v>74</v>
      </c>
      <c r="I2325" s="2" t="s">
        <v>75</v>
      </c>
      <c r="J2325" s="2" t="s">
        <v>76</v>
      </c>
      <c r="K2325" s="2" t="s">
        <v>77</v>
      </c>
      <c r="L2325" s="2" t="s">
        <v>166</v>
      </c>
      <c r="M2325" s="2" t="s">
        <v>167</v>
      </c>
      <c r="N2325" s="2" t="s">
        <v>168</v>
      </c>
      <c r="O2325" s="2" t="s">
        <v>115</v>
      </c>
      <c r="P2325" s="2" t="str">
        <f>"2170560653                    "</f>
        <v xml:space="preserve">2170560653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3.35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</v>
      </c>
      <c r="BJ2325" s="2">
        <v>0.2</v>
      </c>
      <c r="BK2325" s="2">
        <v>1</v>
      </c>
      <c r="BL2325" s="2">
        <v>32.6</v>
      </c>
      <c r="BM2325" s="2">
        <v>4.5599999999999996</v>
      </c>
      <c r="BN2325" s="2">
        <v>37.159999999999997</v>
      </c>
      <c r="BO2325" s="2">
        <v>37.159999999999997</v>
      </c>
      <c r="BP2325" s="2"/>
      <c r="BQ2325" s="2" t="s">
        <v>169</v>
      </c>
      <c r="BR2325" s="2" t="s">
        <v>84</v>
      </c>
      <c r="BS2325" s="3">
        <v>42845</v>
      </c>
      <c r="BT2325" s="4">
        <v>0.3527777777777778</v>
      </c>
      <c r="BU2325" s="2" t="s">
        <v>2311</v>
      </c>
      <c r="BV2325" s="2" t="s">
        <v>111</v>
      </c>
      <c r="BW2325" s="2"/>
      <c r="BX2325" s="2"/>
      <c r="BY2325" s="2">
        <v>1200</v>
      </c>
      <c r="BZ2325" s="2" t="s">
        <v>27</v>
      </c>
      <c r="CA2325" s="2" t="s">
        <v>2312</v>
      </c>
      <c r="CB2325" s="2"/>
      <c r="CC2325" s="2" t="s">
        <v>167</v>
      </c>
      <c r="CD2325" s="2">
        <v>2094</v>
      </c>
      <c r="CE2325" s="2" t="s">
        <v>118</v>
      </c>
      <c r="CF2325" s="5">
        <v>42845</v>
      </c>
      <c r="CG2325" s="2"/>
      <c r="CH2325" s="2"/>
      <c r="CI2325" s="2">
        <v>1</v>
      </c>
      <c r="CJ2325" s="2">
        <v>1</v>
      </c>
      <c r="CK2325" s="2">
        <v>22</v>
      </c>
      <c r="CL2325" s="2" t="s">
        <v>86</v>
      </c>
      <c r="CM2325" s="2"/>
    </row>
    <row r="2326" spans="1:91">
      <c r="A2326" s="2" t="s">
        <v>71</v>
      </c>
      <c r="B2326" s="2" t="s">
        <v>72</v>
      </c>
      <c r="C2326" s="2" t="s">
        <v>73</v>
      </c>
      <c r="D2326" s="2"/>
      <c r="E2326" s="2" t="str">
        <f>"FES1162544201"</f>
        <v>FES1162544201</v>
      </c>
      <c r="F2326" s="3">
        <v>42844</v>
      </c>
      <c r="G2326" s="2">
        <v>201710</v>
      </c>
      <c r="H2326" s="2" t="s">
        <v>74</v>
      </c>
      <c r="I2326" s="2" t="s">
        <v>75</v>
      </c>
      <c r="J2326" s="2" t="s">
        <v>76</v>
      </c>
      <c r="K2326" s="2" t="s">
        <v>77</v>
      </c>
      <c r="L2326" s="2" t="s">
        <v>131</v>
      </c>
      <c r="M2326" s="2" t="s">
        <v>132</v>
      </c>
      <c r="N2326" s="2" t="s">
        <v>188</v>
      </c>
      <c r="O2326" s="2" t="s">
        <v>115</v>
      </c>
      <c r="P2326" s="2" t="str">
        <f>"2170562792                    "</f>
        <v xml:space="preserve">2170562792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4.29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1</v>
      </c>
      <c r="BJ2326" s="2">
        <v>0.2</v>
      </c>
      <c r="BK2326" s="2">
        <v>1</v>
      </c>
      <c r="BL2326" s="2">
        <v>41.73</v>
      </c>
      <c r="BM2326" s="2">
        <v>5.84</v>
      </c>
      <c r="BN2326" s="2">
        <v>47.57</v>
      </c>
      <c r="BO2326" s="2">
        <v>47.57</v>
      </c>
      <c r="BP2326" s="2"/>
      <c r="BQ2326" s="2" t="s">
        <v>83</v>
      </c>
      <c r="BR2326" s="2" t="s">
        <v>84</v>
      </c>
      <c r="BS2326" s="3">
        <v>42845</v>
      </c>
      <c r="BT2326" s="4">
        <v>0.41666666666666669</v>
      </c>
      <c r="BU2326" s="2" t="s">
        <v>2711</v>
      </c>
      <c r="BV2326" s="2" t="s">
        <v>111</v>
      </c>
      <c r="BW2326" s="2"/>
      <c r="BX2326" s="2"/>
      <c r="BY2326" s="2">
        <v>1200</v>
      </c>
      <c r="BZ2326" s="2" t="s">
        <v>27</v>
      </c>
      <c r="CA2326" s="2"/>
      <c r="CB2326" s="2"/>
      <c r="CC2326" s="2" t="s">
        <v>132</v>
      </c>
      <c r="CD2326" s="2">
        <v>7460</v>
      </c>
      <c r="CE2326" s="2" t="s">
        <v>118</v>
      </c>
      <c r="CF2326" s="5">
        <v>42846</v>
      </c>
      <c r="CG2326" s="2"/>
      <c r="CH2326" s="2"/>
      <c r="CI2326" s="2">
        <v>1</v>
      </c>
      <c r="CJ2326" s="2">
        <v>1</v>
      </c>
      <c r="CK2326" s="2">
        <v>21</v>
      </c>
      <c r="CL2326" s="2" t="s">
        <v>86</v>
      </c>
      <c r="CM2326" s="2"/>
    </row>
    <row r="2327" spans="1:91">
      <c r="A2327" s="2" t="s">
        <v>71</v>
      </c>
      <c r="B2327" s="2" t="s">
        <v>72</v>
      </c>
      <c r="C2327" s="2" t="s">
        <v>73</v>
      </c>
      <c r="D2327" s="2"/>
      <c r="E2327" s="2" t="str">
        <f>"FES1162544125"</f>
        <v>FES1162544125</v>
      </c>
      <c r="F2327" s="3">
        <v>42844</v>
      </c>
      <c r="G2327" s="2">
        <v>201710</v>
      </c>
      <c r="H2327" s="2" t="s">
        <v>74</v>
      </c>
      <c r="I2327" s="2" t="s">
        <v>75</v>
      </c>
      <c r="J2327" s="2" t="s">
        <v>76</v>
      </c>
      <c r="K2327" s="2" t="s">
        <v>77</v>
      </c>
      <c r="L2327" s="2" t="s">
        <v>401</v>
      </c>
      <c r="M2327" s="2" t="s">
        <v>402</v>
      </c>
      <c r="N2327" s="2" t="s">
        <v>752</v>
      </c>
      <c r="O2327" s="2" t="s">
        <v>115</v>
      </c>
      <c r="P2327" s="2" t="str">
        <f>"2170560755                    "</f>
        <v xml:space="preserve">2170560755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65.37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10</v>
      </c>
      <c r="BJ2327" s="2">
        <v>30.4</v>
      </c>
      <c r="BK2327" s="2">
        <v>30.5</v>
      </c>
      <c r="BL2327" s="2">
        <v>636.33000000000004</v>
      </c>
      <c r="BM2327" s="2">
        <v>89.09</v>
      </c>
      <c r="BN2327" s="2">
        <v>725.42</v>
      </c>
      <c r="BO2327" s="2">
        <v>725.42</v>
      </c>
      <c r="BP2327" s="2"/>
      <c r="BQ2327" s="2" t="s">
        <v>122</v>
      </c>
      <c r="BR2327" s="2" t="s">
        <v>84</v>
      </c>
      <c r="BS2327" s="3">
        <v>42845</v>
      </c>
      <c r="BT2327" s="4">
        <v>0.41666666666666669</v>
      </c>
      <c r="BU2327" s="2" t="s">
        <v>1239</v>
      </c>
      <c r="BV2327" s="2" t="s">
        <v>111</v>
      </c>
      <c r="BW2327" s="2"/>
      <c r="BX2327" s="2"/>
      <c r="BY2327" s="2">
        <v>151965.75</v>
      </c>
      <c r="BZ2327" s="2" t="s">
        <v>27</v>
      </c>
      <c r="CA2327" s="2"/>
      <c r="CB2327" s="2"/>
      <c r="CC2327" s="2" t="s">
        <v>402</v>
      </c>
      <c r="CD2327" s="2">
        <v>4113</v>
      </c>
      <c r="CE2327" s="2" t="s">
        <v>89</v>
      </c>
      <c r="CF2327" s="5">
        <v>42846</v>
      </c>
      <c r="CG2327" s="2"/>
      <c r="CH2327" s="2"/>
      <c r="CI2327" s="2">
        <v>1</v>
      </c>
      <c r="CJ2327" s="2">
        <v>1</v>
      </c>
      <c r="CK2327" s="2">
        <v>21</v>
      </c>
      <c r="CL2327" s="2" t="s">
        <v>86</v>
      </c>
      <c r="CM2327" s="2"/>
    </row>
    <row r="2328" spans="1:91">
      <c r="A2328" s="2" t="s">
        <v>71</v>
      </c>
      <c r="B2328" s="2" t="s">
        <v>72</v>
      </c>
      <c r="C2328" s="2" t="s">
        <v>73</v>
      </c>
      <c r="D2328" s="2"/>
      <c r="E2328" s="2" t="str">
        <f>"FES1162544140"</f>
        <v>FES1162544140</v>
      </c>
      <c r="F2328" s="3">
        <v>42844</v>
      </c>
      <c r="G2328" s="2">
        <v>201710</v>
      </c>
      <c r="H2328" s="2" t="s">
        <v>74</v>
      </c>
      <c r="I2328" s="2" t="s">
        <v>75</v>
      </c>
      <c r="J2328" s="2" t="s">
        <v>76</v>
      </c>
      <c r="K2328" s="2" t="s">
        <v>77</v>
      </c>
      <c r="L2328" s="2" t="s">
        <v>294</v>
      </c>
      <c r="M2328" s="2" t="s">
        <v>295</v>
      </c>
      <c r="N2328" s="2" t="s">
        <v>813</v>
      </c>
      <c r="O2328" s="2" t="s">
        <v>115</v>
      </c>
      <c r="P2328" s="2" t="str">
        <f>"2170562457                    "</f>
        <v xml:space="preserve">2170562457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4.29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2</v>
      </c>
      <c r="BJ2328" s="2">
        <v>2</v>
      </c>
      <c r="BK2328" s="2">
        <v>2</v>
      </c>
      <c r="BL2328" s="2">
        <v>41.73</v>
      </c>
      <c r="BM2328" s="2">
        <v>5.84</v>
      </c>
      <c r="BN2328" s="2">
        <v>47.57</v>
      </c>
      <c r="BO2328" s="2">
        <v>47.57</v>
      </c>
      <c r="BP2328" s="2"/>
      <c r="BQ2328" s="2" t="s">
        <v>116</v>
      </c>
      <c r="BR2328" s="2" t="s">
        <v>84</v>
      </c>
      <c r="BS2328" s="3">
        <v>42845</v>
      </c>
      <c r="BT2328" s="4">
        <v>0.43402777777777773</v>
      </c>
      <c r="BU2328" s="2" t="s">
        <v>2707</v>
      </c>
      <c r="BV2328" s="2" t="s">
        <v>111</v>
      </c>
      <c r="BW2328" s="2"/>
      <c r="BX2328" s="2"/>
      <c r="BY2328" s="2">
        <v>9900</v>
      </c>
      <c r="BZ2328" s="2" t="s">
        <v>27</v>
      </c>
      <c r="CA2328" s="2"/>
      <c r="CB2328" s="2"/>
      <c r="CC2328" s="2" t="s">
        <v>295</v>
      </c>
      <c r="CD2328" s="2">
        <v>3610</v>
      </c>
      <c r="CE2328" s="2" t="s">
        <v>89</v>
      </c>
      <c r="CF2328" s="5">
        <v>42846</v>
      </c>
      <c r="CG2328" s="2"/>
      <c r="CH2328" s="2"/>
      <c r="CI2328" s="2">
        <v>1</v>
      </c>
      <c r="CJ2328" s="2">
        <v>1</v>
      </c>
      <c r="CK2328" s="2">
        <v>21</v>
      </c>
      <c r="CL2328" s="2" t="s">
        <v>86</v>
      </c>
      <c r="CM2328" s="2"/>
    </row>
    <row r="2329" spans="1:91">
      <c r="A2329" s="2" t="s">
        <v>71</v>
      </c>
      <c r="B2329" s="2" t="s">
        <v>72</v>
      </c>
      <c r="C2329" s="2" t="s">
        <v>73</v>
      </c>
      <c r="D2329" s="2"/>
      <c r="E2329" s="2" t="str">
        <f>"FES1162544174"</f>
        <v>FES1162544174</v>
      </c>
      <c r="F2329" s="3">
        <v>42844</v>
      </c>
      <c r="G2329" s="2">
        <v>201710</v>
      </c>
      <c r="H2329" s="2" t="s">
        <v>74</v>
      </c>
      <c r="I2329" s="2" t="s">
        <v>75</v>
      </c>
      <c r="J2329" s="2" t="s">
        <v>76</v>
      </c>
      <c r="K2329" s="2" t="s">
        <v>77</v>
      </c>
      <c r="L2329" s="2" t="s">
        <v>131</v>
      </c>
      <c r="M2329" s="2" t="s">
        <v>132</v>
      </c>
      <c r="N2329" s="2" t="s">
        <v>744</v>
      </c>
      <c r="O2329" s="2" t="s">
        <v>115</v>
      </c>
      <c r="P2329" s="2" t="str">
        <f>"2170562762                    "</f>
        <v xml:space="preserve">2170562762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4.29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1</v>
      </c>
      <c r="BI2329" s="2">
        <v>1</v>
      </c>
      <c r="BJ2329" s="2">
        <v>0.2</v>
      </c>
      <c r="BK2329" s="2">
        <v>1</v>
      </c>
      <c r="BL2329" s="2">
        <v>41.73</v>
      </c>
      <c r="BM2329" s="2">
        <v>5.84</v>
      </c>
      <c r="BN2329" s="2">
        <v>47.57</v>
      </c>
      <c r="BO2329" s="2">
        <v>47.57</v>
      </c>
      <c r="BP2329" s="2"/>
      <c r="BQ2329" s="2" t="s">
        <v>138</v>
      </c>
      <c r="BR2329" s="2" t="s">
        <v>84</v>
      </c>
      <c r="BS2329" s="3">
        <v>42845</v>
      </c>
      <c r="BT2329" s="4">
        <v>0.41666666666666669</v>
      </c>
      <c r="BU2329" s="2" t="s">
        <v>2668</v>
      </c>
      <c r="BV2329" s="2" t="s">
        <v>111</v>
      </c>
      <c r="BW2329" s="2"/>
      <c r="BX2329" s="2"/>
      <c r="BY2329" s="2">
        <v>1200</v>
      </c>
      <c r="BZ2329" s="2" t="s">
        <v>27</v>
      </c>
      <c r="CA2329" s="2"/>
      <c r="CB2329" s="2"/>
      <c r="CC2329" s="2" t="s">
        <v>132</v>
      </c>
      <c r="CD2329" s="2">
        <v>7405</v>
      </c>
      <c r="CE2329" s="2" t="s">
        <v>118</v>
      </c>
      <c r="CF2329" s="5">
        <v>42846</v>
      </c>
      <c r="CG2329" s="2"/>
      <c r="CH2329" s="2"/>
      <c r="CI2329" s="2">
        <v>1</v>
      </c>
      <c r="CJ2329" s="2">
        <v>1</v>
      </c>
      <c r="CK2329" s="2">
        <v>21</v>
      </c>
      <c r="CL2329" s="2" t="s">
        <v>86</v>
      </c>
      <c r="CM2329" s="2"/>
    </row>
    <row r="2330" spans="1:91">
      <c r="A2330" s="2" t="s">
        <v>71</v>
      </c>
      <c r="B2330" s="2" t="s">
        <v>72</v>
      </c>
      <c r="C2330" s="2" t="s">
        <v>73</v>
      </c>
      <c r="D2330" s="2"/>
      <c r="E2330" s="2" t="str">
        <f>"FES1162544139"</f>
        <v>FES1162544139</v>
      </c>
      <c r="F2330" s="3">
        <v>42844</v>
      </c>
      <c r="G2330" s="2">
        <v>201710</v>
      </c>
      <c r="H2330" s="2" t="s">
        <v>74</v>
      </c>
      <c r="I2330" s="2" t="s">
        <v>75</v>
      </c>
      <c r="J2330" s="2" t="s">
        <v>76</v>
      </c>
      <c r="K2330" s="2" t="s">
        <v>77</v>
      </c>
      <c r="L2330" s="2" t="s">
        <v>176</v>
      </c>
      <c r="M2330" s="2" t="s">
        <v>176</v>
      </c>
      <c r="N2330" s="2" t="s">
        <v>177</v>
      </c>
      <c r="O2330" s="2" t="s">
        <v>115</v>
      </c>
      <c r="P2330" s="2" t="str">
        <f>"2170562004                    "</f>
        <v xml:space="preserve">2170562004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4.29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1</v>
      </c>
      <c r="BJ2330" s="2">
        <v>0.2</v>
      </c>
      <c r="BK2330" s="2">
        <v>1</v>
      </c>
      <c r="BL2330" s="2">
        <v>41.73</v>
      </c>
      <c r="BM2330" s="2">
        <v>5.84</v>
      </c>
      <c r="BN2330" s="2">
        <v>47.57</v>
      </c>
      <c r="BO2330" s="2">
        <v>47.57</v>
      </c>
      <c r="BP2330" s="2"/>
      <c r="BQ2330" s="2" t="s">
        <v>178</v>
      </c>
      <c r="BR2330" s="2" t="s">
        <v>84</v>
      </c>
      <c r="BS2330" s="3">
        <v>42845</v>
      </c>
      <c r="BT2330" s="4">
        <v>0.52083333333333337</v>
      </c>
      <c r="BU2330" s="2" t="s">
        <v>179</v>
      </c>
      <c r="BV2330" s="2" t="s">
        <v>111</v>
      </c>
      <c r="BW2330" s="2"/>
      <c r="BX2330" s="2"/>
      <c r="BY2330" s="2">
        <v>1200</v>
      </c>
      <c r="BZ2330" s="2" t="s">
        <v>27</v>
      </c>
      <c r="CA2330" s="2"/>
      <c r="CB2330" s="2"/>
      <c r="CC2330" s="2" t="s">
        <v>176</v>
      </c>
      <c r="CD2330" s="2">
        <v>7646</v>
      </c>
      <c r="CE2330" s="2" t="s">
        <v>118</v>
      </c>
      <c r="CF2330" s="5">
        <v>42846</v>
      </c>
      <c r="CG2330" s="2"/>
      <c r="CH2330" s="2"/>
      <c r="CI2330" s="2">
        <v>1</v>
      </c>
      <c r="CJ2330" s="2">
        <v>1</v>
      </c>
      <c r="CK2330" s="2">
        <v>21</v>
      </c>
      <c r="CL2330" s="2" t="s">
        <v>86</v>
      </c>
      <c r="CM2330" s="2"/>
    </row>
    <row r="2331" spans="1:91">
      <c r="A2331" s="2" t="s">
        <v>71</v>
      </c>
      <c r="B2331" s="2" t="s">
        <v>72</v>
      </c>
      <c r="C2331" s="2" t="s">
        <v>73</v>
      </c>
      <c r="D2331" s="2"/>
      <c r="E2331" s="2" t="str">
        <f>"FES1162544171"</f>
        <v>FES1162544171</v>
      </c>
      <c r="F2331" s="3">
        <v>42844</v>
      </c>
      <c r="G2331" s="2">
        <v>201710</v>
      </c>
      <c r="H2331" s="2" t="s">
        <v>74</v>
      </c>
      <c r="I2331" s="2" t="s">
        <v>75</v>
      </c>
      <c r="J2331" s="2" t="s">
        <v>76</v>
      </c>
      <c r="K2331" s="2" t="s">
        <v>77</v>
      </c>
      <c r="L2331" s="2" t="s">
        <v>131</v>
      </c>
      <c r="M2331" s="2" t="s">
        <v>132</v>
      </c>
      <c r="N2331" s="2" t="s">
        <v>2712</v>
      </c>
      <c r="O2331" s="2" t="s">
        <v>115</v>
      </c>
      <c r="P2331" s="2" t="str">
        <f>"2170562761                    "</f>
        <v xml:space="preserve">2170562761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11.79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4</v>
      </c>
      <c r="BJ2331" s="2">
        <v>5.2</v>
      </c>
      <c r="BK2331" s="2">
        <v>5.5</v>
      </c>
      <c r="BL2331" s="2">
        <v>114.75</v>
      </c>
      <c r="BM2331" s="2">
        <v>16.07</v>
      </c>
      <c r="BN2331" s="2">
        <v>130.82</v>
      </c>
      <c r="BO2331" s="2">
        <v>130.82</v>
      </c>
      <c r="BP2331" s="2"/>
      <c r="BQ2331" s="2" t="s">
        <v>2713</v>
      </c>
      <c r="BR2331" s="2" t="s">
        <v>84</v>
      </c>
      <c r="BS2331" s="3">
        <v>42845</v>
      </c>
      <c r="BT2331" s="4">
        <v>0.41666666666666669</v>
      </c>
      <c r="BU2331" s="2" t="s">
        <v>2714</v>
      </c>
      <c r="BV2331" s="2" t="s">
        <v>111</v>
      </c>
      <c r="BW2331" s="2"/>
      <c r="BX2331" s="2"/>
      <c r="BY2331" s="2">
        <v>26136</v>
      </c>
      <c r="BZ2331" s="2" t="s">
        <v>27</v>
      </c>
      <c r="CA2331" s="2"/>
      <c r="CB2331" s="2"/>
      <c r="CC2331" s="2" t="s">
        <v>132</v>
      </c>
      <c r="CD2331" s="2">
        <v>7550</v>
      </c>
      <c r="CE2331" s="2" t="s">
        <v>172</v>
      </c>
      <c r="CF2331" s="5">
        <v>42846</v>
      </c>
      <c r="CG2331" s="2"/>
      <c r="CH2331" s="2"/>
      <c r="CI2331" s="2">
        <v>1</v>
      </c>
      <c r="CJ2331" s="2">
        <v>1</v>
      </c>
      <c r="CK2331" s="2">
        <v>21</v>
      </c>
      <c r="CL2331" s="2" t="s">
        <v>86</v>
      </c>
      <c r="CM2331" s="2"/>
    </row>
    <row r="2332" spans="1:91">
      <c r="A2332" s="2" t="s">
        <v>71</v>
      </c>
      <c r="B2332" s="2" t="s">
        <v>72</v>
      </c>
      <c r="C2332" s="2" t="s">
        <v>73</v>
      </c>
      <c r="D2332" s="2"/>
      <c r="E2332" s="2" t="str">
        <f>"FES1162544116"</f>
        <v>FES1162544116</v>
      </c>
      <c r="F2332" s="3">
        <v>42844</v>
      </c>
      <c r="G2332" s="2">
        <v>201710</v>
      </c>
      <c r="H2332" s="2" t="s">
        <v>74</v>
      </c>
      <c r="I2332" s="2" t="s">
        <v>75</v>
      </c>
      <c r="J2332" s="2" t="s">
        <v>76</v>
      </c>
      <c r="K2332" s="2" t="s">
        <v>77</v>
      </c>
      <c r="L2332" s="2" t="s">
        <v>659</v>
      </c>
      <c r="M2332" s="2" t="s">
        <v>660</v>
      </c>
      <c r="N2332" s="2" t="s">
        <v>738</v>
      </c>
      <c r="O2332" s="2" t="s">
        <v>115</v>
      </c>
      <c r="P2332" s="2" t="str">
        <f>"2170560572                    "</f>
        <v xml:space="preserve">2170560572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4.29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1</v>
      </c>
      <c r="BJ2332" s="2">
        <v>0.2</v>
      </c>
      <c r="BK2332" s="2">
        <v>1</v>
      </c>
      <c r="BL2332" s="2">
        <v>41.73</v>
      </c>
      <c r="BM2332" s="2">
        <v>5.84</v>
      </c>
      <c r="BN2332" s="2">
        <v>47.57</v>
      </c>
      <c r="BO2332" s="2">
        <v>47.57</v>
      </c>
      <c r="BP2332" s="2"/>
      <c r="BQ2332" s="2" t="s">
        <v>739</v>
      </c>
      <c r="BR2332" s="2" t="s">
        <v>84</v>
      </c>
      <c r="BS2332" s="3">
        <v>42845</v>
      </c>
      <c r="BT2332" s="4">
        <v>0.43263888888888885</v>
      </c>
      <c r="BU2332" s="2" t="s">
        <v>2715</v>
      </c>
      <c r="BV2332" s="2" t="s">
        <v>111</v>
      </c>
      <c r="BW2332" s="2"/>
      <c r="BX2332" s="2"/>
      <c r="BY2332" s="2">
        <v>1200</v>
      </c>
      <c r="BZ2332" s="2" t="s">
        <v>27</v>
      </c>
      <c r="CA2332" s="2" t="s">
        <v>159</v>
      </c>
      <c r="CB2332" s="2"/>
      <c r="CC2332" s="2" t="s">
        <v>660</v>
      </c>
      <c r="CD2332" s="2">
        <v>3310</v>
      </c>
      <c r="CE2332" s="2" t="s">
        <v>118</v>
      </c>
      <c r="CF2332" s="5">
        <v>42849</v>
      </c>
      <c r="CG2332" s="2"/>
      <c r="CH2332" s="2"/>
      <c r="CI2332" s="2">
        <v>1</v>
      </c>
      <c r="CJ2332" s="2">
        <v>1</v>
      </c>
      <c r="CK2332" s="2">
        <v>21</v>
      </c>
      <c r="CL2332" s="2" t="s">
        <v>86</v>
      </c>
      <c r="CM2332" s="2"/>
    </row>
    <row r="2333" spans="1:91">
      <c r="A2333" s="2" t="s">
        <v>71</v>
      </c>
      <c r="B2333" s="2" t="s">
        <v>72</v>
      </c>
      <c r="C2333" s="2" t="s">
        <v>73</v>
      </c>
      <c r="D2333" s="2"/>
      <c r="E2333" s="2" t="str">
        <f>"FES1162544102"</f>
        <v>FES1162544102</v>
      </c>
      <c r="F2333" s="3">
        <v>42844</v>
      </c>
      <c r="G2333" s="2">
        <v>201710</v>
      </c>
      <c r="H2333" s="2" t="s">
        <v>74</v>
      </c>
      <c r="I2333" s="2" t="s">
        <v>75</v>
      </c>
      <c r="J2333" s="2" t="s">
        <v>76</v>
      </c>
      <c r="K2333" s="2" t="s">
        <v>77</v>
      </c>
      <c r="L2333" s="2" t="s">
        <v>180</v>
      </c>
      <c r="M2333" s="2" t="s">
        <v>181</v>
      </c>
      <c r="N2333" s="2" t="s">
        <v>1090</v>
      </c>
      <c r="O2333" s="2" t="s">
        <v>115</v>
      </c>
      <c r="P2333" s="2" t="str">
        <f>"2170562719                    "</f>
        <v xml:space="preserve">2170562719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4.29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1</v>
      </c>
      <c r="BJ2333" s="2">
        <v>0.2</v>
      </c>
      <c r="BK2333" s="2">
        <v>1</v>
      </c>
      <c r="BL2333" s="2">
        <v>41.73</v>
      </c>
      <c r="BM2333" s="2">
        <v>5.84</v>
      </c>
      <c r="BN2333" s="2">
        <v>47.57</v>
      </c>
      <c r="BO2333" s="2">
        <v>47.57</v>
      </c>
      <c r="BP2333" s="2"/>
      <c r="BQ2333" s="2" t="s">
        <v>129</v>
      </c>
      <c r="BR2333" s="2" t="s">
        <v>84</v>
      </c>
      <c r="BS2333" s="3">
        <v>42845</v>
      </c>
      <c r="BT2333" s="4">
        <v>0.30555555555555552</v>
      </c>
      <c r="BU2333" s="2" t="s">
        <v>2716</v>
      </c>
      <c r="BV2333" s="2" t="s">
        <v>111</v>
      </c>
      <c r="BW2333" s="2"/>
      <c r="BX2333" s="2"/>
      <c r="BY2333" s="2">
        <v>1200</v>
      </c>
      <c r="BZ2333" s="2" t="s">
        <v>27</v>
      </c>
      <c r="CA2333" s="2"/>
      <c r="CB2333" s="2"/>
      <c r="CC2333" s="2" t="s">
        <v>181</v>
      </c>
      <c r="CD2333" s="2">
        <v>4052</v>
      </c>
      <c r="CE2333" s="2" t="s">
        <v>118</v>
      </c>
      <c r="CF2333" s="5">
        <v>42846</v>
      </c>
      <c r="CG2333" s="2"/>
      <c r="CH2333" s="2"/>
      <c r="CI2333" s="2">
        <v>1</v>
      </c>
      <c r="CJ2333" s="2">
        <v>1</v>
      </c>
      <c r="CK2333" s="2">
        <v>21</v>
      </c>
      <c r="CL2333" s="2" t="s">
        <v>86</v>
      </c>
      <c r="CM2333" s="2"/>
    </row>
    <row r="2334" spans="1:91">
      <c r="A2334" s="2" t="s">
        <v>71</v>
      </c>
      <c r="B2334" s="2" t="s">
        <v>72</v>
      </c>
      <c r="C2334" s="2" t="s">
        <v>73</v>
      </c>
      <c r="D2334" s="2"/>
      <c r="E2334" s="2" t="str">
        <f>"FES1162544162"</f>
        <v>FES1162544162</v>
      </c>
      <c r="F2334" s="3">
        <v>42844</v>
      </c>
      <c r="G2334" s="2">
        <v>201710</v>
      </c>
      <c r="H2334" s="2" t="s">
        <v>74</v>
      </c>
      <c r="I2334" s="2" t="s">
        <v>75</v>
      </c>
      <c r="J2334" s="2" t="s">
        <v>76</v>
      </c>
      <c r="K2334" s="2" t="s">
        <v>77</v>
      </c>
      <c r="L2334" s="2" t="s">
        <v>294</v>
      </c>
      <c r="M2334" s="2" t="s">
        <v>295</v>
      </c>
      <c r="N2334" s="2" t="s">
        <v>1071</v>
      </c>
      <c r="O2334" s="2" t="s">
        <v>115</v>
      </c>
      <c r="P2334" s="2" t="str">
        <f>"2170562751                    "</f>
        <v xml:space="preserve">2170562751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4.29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1</v>
      </c>
      <c r="BJ2334" s="2">
        <v>0.2</v>
      </c>
      <c r="BK2334" s="2">
        <v>1</v>
      </c>
      <c r="BL2334" s="2">
        <v>41.73</v>
      </c>
      <c r="BM2334" s="2">
        <v>5.84</v>
      </c>
      <c r="BN2334" s="2">
        <v>47.57</v>
      </c>
      <c r="BO2334" s="2">
        <v>47.57</v>
      </c>
      <c r="BP2334" s="2"/>
      <c r="BQ2334" s="2" t="s">
        <v>129</v>
      </c>
      <c r="BR2334" s="2" t="s">
        <v>84</v>
      </c>
      <c r="BS2334" s="3">
        <v>42845</v>
      </c>
      <c r="BT2334" s="4">
        <v>0.42291666666666666</v>
      </c>
      <c r="BU2334" s="2" t="s">
        <v>1072</v>
      </c>
      <c r="BV2334" s="2" t="s">
        <v>111</v>
      </c>
      <c r="BW2334" s="2"/>
      <c r="BX2334" s="2"/>
      <c r="BY2334" s="2">
        <v>1200</v>
      </c>
      <c r="BZ2334" s="2" t="s">
        <v>27</v>
      </c>
      <c r="CA2334" s="2"/>
      <c r="CB2334" s="2"/>
      <c r="CC2334" s="2" t="s">
        <v>295</v>
      </c>
      <c r="CD2334" s="2">
        <v>3610</v>
      </c>
      <c r="CE2334" s="2" t="s">
        <v>118</v>
      </c>
      <c r="CF2334" s="5">
        <v>42846</v>
      </c>
      <c r="CG2334" s="2"/>
      <c r="CH2334" s="2"/>
      <c r="CI2334" s="2">
        <v>1</v>
      </c>
      <c r="CJ2334" s="2">
        <v>1</v>
      </c>
      <c r="CK2334" s="2">
        <v>21</v>
      </c>
      <c r="CL2334" s="2" t="s">
        <v>86</v>
      </c>
      <c r="CM2334" s="2"/>
    </row>
    <row r="2335" spans="1:91">
      <c r="A2335" s="2" t="s">
        <v>71</v>
      </c>
      <c r="B2335" s="2" t="s">
        <v>72</v>
      </c>
      <c r="C2335" s="2" t="s">
        <v>73</v>
      </c>
      <c r="D2335" s="2"/>
      <c r="E2335" s="2" t="str">
        <f>"FES1162544118"</f>
        <v>FES1162544118</v>
      </c>
      <c r="F2335" s="3">
        <v>42844</v>
      </c>
      <c r="G2335" s="2">
        <v>201710</v>
      </c>
      <c r="H2335" s="2" t="s">
        <v>74</v>
      </c>
      <c r="I2335" s="2" t="s">
        <v>75</v>
      </c>
      <c r="J2335" s="2" t="s">
        <v>76</v>
      </c>
      <c r="K2335" s="2" t="s">
        <v>77</v>
      </c>
      <c r="L2335" s="2" t="s">
        <v>1322</v>
      </c>
      <c r="M2335" s="2" t="s">
        <v>1323</v>
      </c>
      <c r="N2335" s="2" t="s">
        <v>2055</v>
      </c>
      <c r="O2335" s="2" t="s">
        <v>115</v>
      </c>
      <c r="P2335" s="2" t="str">
        <f>"2170560666                    "</f>
        <v xml:space="preserve">2170560666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8.31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1</v>
      </c>
      <c r="BJ2335" s="2">
        <v>0.2</v>
      </c>
      <c r="BK2335" s="2">
        <v>1</v>
      </c>
      <c r="BL2335" s="2">
        <v>80.849999999999994</v>
      </c>
      <c r="BM2335" s="2">
        <v>11.32</v>
      </c>
      <c r="BN2335" s="2">
        <v>92.17</v>
      </c>
      <c r="BO2335" s="2">
        <v>92.17</v>
      </c>
      <c r="BP2335" s="2"/>
      <c r="BQ2335" s="2" t="s">
        <v>116</v>
      </c>
      <c r="BR2335" s="2" t="s">
        <v>84</v>
      </c>
      <c r="BS2335" s="3">
        <v>42845</v>
      </c>
      <c r="BT2335" s="4">
        <v>0.54166666666666663</v>
      </c>
      <c r="BU2335" s="2" t="s">
        <v>1136</v>
      </c>
      <c r="BV2335" s="2" t="s">
        <v>111</v>
      </c>
      <c r="BW2335" s="2"/>
      <c r="BX2335" s="2"/>
      <c r="BY2335" s="2">
        <v>1200</v>
      </c>
      <c r="BZ2335" s="2" t="s">
        <v>27</v>
      </c>
      <c r="CA2335" s="2"/>
      <c r="CB2335" s="2"/>
      <c r="CC2335" s="2" t="s">
        <v>1323</v>
      </c>
      <c r="CD2335" s="2">
        <v>4170</v>
      </c>
      <c r="CE2335" s="2" t="s">
        <v>118</v>
      </c>
      <c r="CF2335" s="5">
        <v>42846</v>
      </c>
      <c r="CG2335" s="2"/>
      <c r="CH2335" s="2"/>
      <c r="CI2335" s="2">
        <v>1</v>
      </c>
      <c r="CJ2335" s="2">
        <v>1</v>
      </c>
      <c r="CK2335" s="2">
        <v>23</v>
      </c>
      <c r="CL2335" s="2" t="s">
        <v>86</v>
      </c>
      <c r="CM2335" s="2"/>
    </row>
    <row r="2336" spans="1:91">
      <c r="A2336" s="2" t="s">
        <v>71</v>
      </c>
      <c r="B2336" s="2" t="s">
        <v>72</v>
      </c>
      <c r="C2336" s="2" t="s">
        <v>73</v>
      </c>
      <c r="D2336" s="2"/>
      <c r="E2336" s="2" t="str">
        <f>"FES1162544169"</f>
        <v>FES1162544169</v>
      </c>
      <c r="F2336" s="3">
        <v>42844</v>
      </c>
      <c r="G2336" s="2">
        <v>201710</v>
      </c>
      <c r="H2336" s="2" t="s">
        <v>74</v>
      </c>
      <c r="I2336" s="2" t="s">
        <v>75</v>
      </c>
      <c r="J2336" s="2" t="s">
        <v>76</v>
      </c>
      <c r="K2336" s="2" t="s">
        <v>77</v>
      </c>
      <c r="L2336" s="2" t="s">
        <v>1333</v>
      </c>
      <c r="M2336" s="2" t="s">
        <v>1334</v>
      </c>
      <c r="N2336" s="2" t="s">
        <v>1335</v>
      </c>
      <c r="O2336" s="2" t="s">
        <v>115</v>
      </c>
      <c r="P2336" s="2" t="str">
        <f>"2170562732                    "</f>
        <v xml:space="preserve">2170562732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8.31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</v>
      </c>
      <c r="BJ2336" s="2">
        <v>0.2</v>
      </c>
      <c r="BK2336" s="2">
        <v>1</v>
      </c>
      <c r="BL2336" s="2">
        <v>80.849999999999994</v>
      </c>
      <c r="BM2336" s="2">
        <v>11.32</v>
      </c>
      <c r="BN2336" s="2">
        <v>92.17</v>
      </c>
      <c r="BO2336" s="2">
        <v>92.17</v>
      </c>
      <c r="BP2336" s="2"/>
      <c r="BQ2336" s="2" t="s">
        <v>116</v>
      </c>
      <c r="BR2336" s="2" t="s">
        <v>84</v>
      </c>
      <c r="BS2336" s="3">
        <v>42845</v>
      </c>
      <c r="BT2336" s="4">
        <v>0.54166666666666663</v>
      </c>
      <c r="BU2336" s="2" t="s">
        <v>1367</v>
      </c>
      <c r="BV2336" s="2" t="s">
        <v>111</v>
      </c>
      <c r="BW2336" s="2"/>
      <c r="BX2336" s="2"/>
      <c r="BY2336" s="2">
        <v>1200</v>
      </c>
      <c r="BZ2336" s="2" t="s">
        <v>27</v>
      </c>
      <c r="CA2336" s="2"/>
      <c r="CB2336" s="2"/>
      <c r="CC2336" s="2" t="s">
        <v>1334</v>
      </c>
      <c r="CD2336" s="2">
        <v>4449</v>
      </c>
      <c r="CE2336" s="2" t="s">
        <v>118</v>
      </c>
      <c r="CF2336" s="5">
        <v>42846</v>
      </c>
      <c r="CG2336" s="2"/>
      <c r="CH2336" s="2"/>
      <c r="CI2336" s="2">
        <v>1</v>
      </c>
      <c r="CJ2336" s="2">
        <v>1</v>
      </c>
      <c r="CK2336" s="2">
        <v>23</v>
      </c>
      <c r="CL2336" s="2" t="s">
        <v>86</v>
      </c>
      <c r="CM2336" s="2"/>
    </row>
    <row r="2337" spans="1:91">
      <c r="A2337" s="2" t="s">
        <v>71</v>
      </c>
      <c r="B2337" s="2" t="s">
        <v>72</v>
      </c>
      <c r="C2337" s="2" t="s">
        <v>73</v>
      </c>
      <c r="D2337" s="2"/>
      <c r="E2337" s="2" t="str">
        <f>"FES1162544099"</f>
        <v>FES1162544099</v>
      </c>
      <c r="F2337" s="3">
        <v>42844</v>
      </c>
      <c r="G2337" s="2">
        <v>201710</v>
      </c>
      <c r="H2337" s="2" t="s">
        <v>74</v>
      </c>
      <c r="I2337" s="2" t="s">
        <v>75</v>
      </c>
      <c r="J2337" s="2" t="s">
        <v>76</v>
      </c>
      <c r="K2337" s="2" t="s">
        <v>77</v>
      </c>
      <c r="L2337" s="2" t="s">
        <v>180</v>
      </c>
      <c r="M2337" s="2" t="s">
        <v>181</v>
      </c>
      <c r="N2337" s="2" t="s">
        <v>1981</v>
      </c>
      <c r="O2337" s="2" t="s">
        <v>115</v>
      </c>
      <c r="P2337" s="2" t="str">
        <f>"2170562718                    "</f>
        <v xml:space="preserve">2170562718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4.29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1</v>
      </c>
      <c r="BJ2337" s="2">
        <v>0.2</v>
      </c>
      <c r="BK2337" s="2">
        <v>1</v>
      </c>
      <c r="BL2337" s="2">
        <v>41.73</v>
      </c>
      <c r="BM2337" s="2">
        <v>5.84</v>
      </c>
      <c r="BN2337" s="2">
        <v>47.57</v>
      </c>
      <c r="BO2337" s="2">
        <v>47.57</v>
      </c>
      <c r="BP2337" s="2"/>
      <c r="BQ2337" s="2">
        <v>1162544099</v>
      </c>
      <c r="BR2337" s="2" t="s">
        <v>84</v>
      </c>
      <c r="BS2337" s="3">
        <v>42845</v>
      </c>
      <c r="BT2337" s="4">
        <v>0.4236111111111111</v>
      </c>
      <c r="BU2337" s="2" t="s">
        <v>385</v>
      </c>
      <c r="BV2337" s="2" t="s">
        <v>111</v>
      </c>
      <c r="BW2337" s="2"/>
      <c r="BX2337" s="2"/>
      <c r="BY2337" s="2">
        <v>1200</v>
      </c>
      <c r="BZ2337" s="2" t="s">
        <v>27</v>
      </c>
      <c r="CA2337" s="2"/>
      <c r="CB2337" s="2"/>
      <c r="CC2337" s="2" t="s">
        <v>181</v>
      </c>
      <c r="CD2337" s="2">
        <v>4001</v>
      </c>
      <c r="CE2337" s="2" t="s">
        <v>118</v>
      </c>
      <c r="CF2337" s="5">
        <v>42846</v>
      </c>
      <c r="CG2337" s="2"/>
      <c r="CH2337" s="2"/>
      <c r="CI2337" s="2">
        <v>1</v>
      </c>
      <c r="CJ2337" s="2">
        <v>1</v>
      </c>
      <c r="CK2337" s="2">
        <v>21</v>
      </c>
      <c r="CL2337" s="2" t="s">
        <v>86</v>
      </c>
      <c r="CM2337" s="2"/>
    </row>
    <row r="2338" spans="1:91">
      <c r="A2338" s="2" t="s">
        <v>71</v>
      </c>
      <c r="B2338" s="2" t="s">
        <v>72</v>
      </c>
      <c r="C2338" s="2" t="s">
        <v>73</v>
      </c>
      <c r="D2338" s="2"/>
      <c r="E2338" s="2" t="str">
        <f>"FES1162544158"</f>
        <v>FES1162544158</v>
      </c>
      <c r="F2338" s="3">
        <v>42844</v>
      </c>
      <c r="G2338" s="2">
        <v>201710</v>
      </c>
      <c r="H2338" s="2" t="s">
        <v>74</v>
      </c>
      <c r="I2338" s="2" t="s">
        <v>75</v>
      </c>
      <c r="J2338" s="2" t="s">
        <v>76</v>
      </c>
      <c r="K2338" s="2" t="s">
        <v>77</v>
      </c>
      <c r="L2338" s="2" t="s">
        <v>131</v>
      </c>
      <c r="M2338" s="2" t="s">
        <v>132</v>
      </c>
      <c r="N2338" s="2" t="s">
        <v>363</v>
      </c>
      <c r="O2338" s="2" t="s">
        <v>115</v>
      </c>
      <c r="P2338" s="2" t="str">
        <f>"2170562749                    "</f>
        <v xml:space="preserve">2170562749 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4.29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1</v>
      </c>
      <c r="BJ2338" s="2">
        <v>0.2</v>
      </c>
      <c r="BK2338" s="2">
        <v>1</v>
      </c>
      <c r="BL2338" s="2">
        <v>41.73</v>
      </c>
      <c r="BM2338" s="2">
        <v>5.84</v>
      </c>
      <c r="BN2338" s="2">
        <v>47.57</v>
      </c>
      <c r="BO2338" s="2">
        <v>47.57</v>
      </c>
      <c r="BP2338" s="2"/>
      <c r="BQ2338" s="2" t="s">
        <v>170</v>
      </c>
      <c r="BR2338" s="2" t="s">
        <v>84</v>
      </c>
      <c r="BS2338" s="3">
        <v>42845</v>
      </c>
      <c r="BT2338" s="4">
        <v>0.41666666666666669</v>
      </c>
      <c r="BU2338" s="2" t="s">
        <v>2717</v>
      </c>
      <c r="BV2338" s="2" t="s">
        <v>111</v>
      </c>
      <c r="BW2338" s="2"/>
      <c r="BX2338" s="2"/>
      <c r="BY2338" s="2">
        <v>1200</v>
      </c>
      <c r="BZ2338" s="2" t="s">
        <v>27</v>
      </c>
      <c r="CA2338" s="2" t="s">
        <v>159</v>
      </c>
      <c r="CB2338" s="2"/>
      <c r="CC2338" s="2" t="s">
        <v>132</v>
      </c>
      <c r="CD2338" s="2">
        <v>7441</v>
      </c>
      <c r="CE2338" s="2" t="s">
        <v>118</v>
      </c>
      <c r="CF2338" s="5">
        <v>42846</v>
      </c>
      <c r="CG2338" s="2"/>
      <c r="CH2338" s="2"/>
      <c r="CI2338" s="2">
        <v>1</v>
      </c>
      <c r="CJ2338" s="2">
        <v>1</v>
      </c>
      <c r="CK2338" s="2">
        <v>21</v>
      </c>
      <c r="CL2338" s="2" t="s">
        <v>86</v>
      </c>
      <c r="CM2338" s="2"/>
    </row>
    <row r="2339" spans="1:91">
      <c r="A2339" s="2" t="s">
        <v>71</v>
      </c>
      <c r="B2339" s="2" t="s">
        <v>72</v>
      </c>
      <c r="C2339" s="2" t="s">
        <v>73</v>
      </c>
      <c r="D2339" s="2"/>
      <c r="E2339" s="2" t="str">
        <f>"FES1162544141"</f>
        <v>FES1162544141</v>
      </c>
      <c r="F2339" s="3">
        <v>42844</v>
      </c>
      <c r="G2339" s="2">
        <v>201710</v>
      </c>
      <c r="H2339" s="2" t="s">
        <v>74</v>
      </c>
      <c r="I2339" s="2" t="s">
        <v>75</v>
      </c>
      <c r="J2339" s="2" t="s">
        <v>76</v>
      </c>
      <c r="K2339" s="2" t="s">
        <v>77</v>
      </c>
      <c r="L2339" s="2" t="s">
        <v>176</v>
      </c>
      <c r="M2339" s="2" t="s">
        <v>176</v>
      </c>
      <c r="N2339" s="2" t="s">
        <v>177</v>
      </c>
      <c r="O2339" s="2" t="s">
        <v>115</v>
      </c>
      <c r="P2339" s="2" t="str">
        <f>"2170562638                    "</f>
        <v xml:space="preserve">2170562638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4.29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1</v>
      </c>
      <c r="BJ2339" s="2">
        <v>0.2</v>
      </c>
      <c r="BK2339" s="2">
        <v>1</v>
      </c>
      <c r="BL2339" s="2">
        <v>41.73</v>
      </c>
      <c r="BM2339" s="2">
        <v>5.84</v>
      </c>
      <c r="BN2339" s="2">
        <v>47.57</v>
      </c>
      <c r="BO2339" s="2">
        <v>47.57</v>
      </c>
      <c r="BP2339" s="2"/>
      <c r="BQ2339" s="2" t="s">
        <v>178</v>
      </c>
      <c r="BR2339" s="2" t="s">
        <v>84</v>
      </c>
      <c r="BS2339" s="3">
        <v>42845</v>
      </c>
      <c r="BT2339" s="4">
        <v>0.52083333333333337</v>
      </c>
      <c r="BU2339" s="2" t="s">
        <v>179</v>
      </c>
      <c r="BV2339" s="2" t="s">
        <v>111</v>
      </c>
      <c r="BW2339" s="2"/>
      <c r="BX2339" s="2"/>
      <c r="BY2339" s="2">
        <v>1200</v>
      </c>
      <c r="BZ2339" s="2" t="s">
        <v>27</v>
      </c>
      <c r="CA2339" s="2"/>
      <c r="CB2339" s="2"/>
      <c r="CC2339" s="2" t="s">
        <v>176</v>
      </c>
      <c r="CD2339" s="2">
        <v>7646</v>
      </c>
      <c r="CE2339" s="2" t="s">
        <v>118</v>
      </c>
      <c r="CF2339" s="5">
        <v>42846</v>
      </c>
      <c r="CG2339" s="2"/>
      <c r="CH2339" s="2"/>
      <c r="CI2339" s="2">
        <v>1</v>
      </c>
      <c r="CJ2339" s="2">
        <v>1</v>
      </c>
      <c r="CK2339" s="2">
        <v>21</v>
      </c>
      <c r="CL2339" s="2" t="s">
        <v>86</v>
      </c>
      <c r="CM2339" s="2"/>
    </row>
    <row r="2340" spans="1:91">
      <c r="A2340" s="2" t="s">
        <v>71</v>
      </c>
      <c r="B2340" s="2" t="s">
        <v>72</v>
      </c>
      <c r="C2340" s="2" t="s">
        <v>73</v>
      </c>
      <c r="D2340" s="2"/>
      <c r="E2340" s="2" t="str">
        <f>"FES1162544152"</f>
        <v>FES1162544152</v>
      </c>
      <c r="F2340" s="3">
        <v>42844</v>
      </c>
      <c r="G2340" s="2">
        <v>201710</v>
      </c>
      <c r="H2340" s="2" t="s">
        <v>74</v>
      </c>
      <c r="I2340" s="2" t="s">
        <v>75</v>
      </c>
      <c r="J2340" s="2" t="s">
        <v>76</v>
      </c>
      <c r="K2340" s="2" t="s">
        <v>77</v>
      </c>
      <c r="L2340" s="2" t="s">
        <v>176</v>
      </c>
      <c r="M2340" s="2" t="s">
        <v>176</v>
      </c>
      <c r="N2340" s="2" t="s">
        <v>460</v>
      </c>
      <c r="O2340" s="2" t="s">
        <v>115</v>
      </c>
      <c r="P2340" s="2" t="str">
        <f>"2170562747                    "</f>
        <v xml:space="preserve">2170562747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4.29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1</v>
      </c>
      <c r="BJ2340" s="2">
        <v>0.2</v>
      </c>
      <c r="BK2340" s="2">
        <v>1</v>
      </c>
      <c r="BL2340" s="2">
        <v>41.73</v>
      </c>
      <c r="BM2340" s="2">
        <v>5.84</v>
      </c>
      <c r="BN2340" s="2">
        <v>47.57</v>
      </c>
      <c r="BO2340" s="2">
        <v>47.57</v>
      </c>
      <c r="BP2340" s="2"/>
      <c r="BQ2340" s="2" t="s">
        <v>461</v>
      </c>
      <c r="BR2340" s="2" t="s">
        <v>84</v>
      </c>
      <c r="BS2340" s="3">
        <v>42845</v>
      </c>
      <c r="BT2340" s="4">
        <v>0.52777777777777779</v>
      </c>
      <c r="BU2340" s="2" t="s">
        <v>2642</v>
      </c>
      <c r="BV2340" s="2" t="s">
        <v>111</v>
      </c>
      <c r="BW2340" s="2"/>
      <c r="BX2340" s="2"/>
      <c r="BY2340" s="2">
        <v>1200</v>
      </c>
      <c r="BZ2340" s="2" t="s">
        <v>27</v>
      </c>
      <c r="CA2340" s="2"/>
      <c r="CB2340" s="2"/>
      <c r="CC2340" s="2" t="s">
        <v>176</v>
      </c>
      <c r="CD2340" s="2">
        <v>7646</v>
      </c>
      <c r="CE2340" s="2" t="s">
        <v>118</v>
      </c>
      <c r="CF2340" s="5">
        <v>42846</v>
      </c>
      <c r="CG2340" s="2"/>
      <c r="CH2340" s="2"/>
      <c r="CI2340" s="2">
        <v>1</v>
      </c>
      <c r="CJ2340" s="2">
        <v>1</v>
      </c>
      <c r="CK2340" s="2">
        <v>21</v>
      </c>
      <c r="CL2340" s="2" t="s">
        <v>86</v>
      </c>
      <c r="CM2340" s="2"/>
    </row>
    <row r="2341" spans="1:91">
      <c r="A2341" s="2" t="s">
        <v>71</v>
      </c>
      <c r="B2341" s="2" t="s">
        <v>72</v>
      </c>
      <c r="C2341" s="2" t="s">
        <v>73</v>
      </c>
      <c r="D2341" s="2"/>
      <c r="E2341" s="2" t="str">
        <f>"FES1162544151"</f>
        <v>FES1162544151</v>
      </c>
      <c r="F2341" s="3">
        <v>42844</v>
      </c>
      <c r="G2341" s="2">
        <v>201710</v>
      </c>
      <c r="H2341" s="2" t="s">
        <v>74</v>
      </c>
      <c r="I2341" s="2" t="s">
        <v>75</v>
      </c>
      <c r="J2341" s="2" t="s">
        <v>76</v>
      </c>
      <c r="K2341" s="2" t="s">
        <v>77</v>
      </c>
      <c r="L2341" s="2" t="s">
        <v>991</v>
      </c>
      <c r="M2341" s="2" t="s">
        <v>992</v>
      </c>
      <c r="N2341" s="2" t="s">
        <v>993</v>
      </c>
      <c r="O2341" s="2" t="s">
        <v>115</v>
      </c>
      <c r="P2341" s="2" t="str">
        <f>"2170562746                    "</f>
        <v xml:space="preserve">2170562746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4.29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1</v>
      </c>
      <c r="BJ2341" s="2">
        <v>0.2</v>
      </c>
      <c r="BK2341" s="2">
        <v>1</v>
      </c>
      <c r="BL2341" s="2">
        <v>41.73</v>
      </c>
      <c r="BM2341" s="2">
        <v>5.84</v>
      </c>
      <c r="BN2341" s="2">
        <v>47.57</v>
      </c>
      <c r="BO2341" s="2">
        <v>47.57</v>
      </c>
      <c r="BP2341" s="2"/>
      <c r="BQ2341" s="2" t="s">
        <v>994</v>
      </c>
      <c r="BR2341" s="2" t="s">
        <v>84</v>
      </c>
      <c r="BS2341" s="3">
        <v>42845</v>
      </c>
      <c r="BT2341" s="4">
        <v>0.57638888888888895</v>
      </c>
      <c r="BU2341" s="2" t="s">
        <v>2718</v>
      </c>
      <c r="BV2341" s="2" t="s">
        <v>111</v>
      </c>
      <c r="BW2341" s="2"/>
      <c r="BX2341" s="2"/>
      <c r="BY2341" s="2">
        <v>1200</v>
      </c>
      <c r="BZ2341" s="2" t="s">
        <v>27</v>
      </c>
      <c r="CA2341" s="2"/>
      <c r="CB2341" s="2"/>
      <c r="CC2341" s="2" t="s">
        <v>992</v>
      </c>
      <c r="CD2341" s="2">
        <v>7655</v>
      </c>
      <c r="CE2341" s="2" t="s">
        <v>118</v>
      </c>
      <c r="CF2341" s="5">
        <v>42846</v>
      </c>
      <c r="CG2341" s="2"/>
      <c r="CH2341" s="2"/>
      <c r="CI2341" s="2">
        <v>1</v>
      </c>
      <c r="CJ2341" s="2">
        <v>1</v>
      </c>
      <c r="CK2341" s="2">
        <v>21</v>
      </c>
      <c r="CL2341" s="2" t="s">
        <v>86</v>
      </c>
      <c r="CM2341" s="2"/>
    </row>
    <row r="2342" spans="1:91">
      <c r="A2342" s="2" t="s">
        <v>71</v>
      </c>
      <c r="B2342" s="2" t="s">
        <v>72</v>
      </c>
      <c r="C2342" s="2" t="s">
        <v>73</v>
      </c>
      <c r="D2342" s="2"/>
      <c r="E2342" s="2" t="str">
        <f>"FES1162544089"</f>
        <v>FES1162544089</v>
      </c>
      <c r="F2342" s="3">
        <v>42844</v>
      </c>
      <c r="G2342" s="2">
        <v>201710</v>
      </c>
      <c r="H2342" s="2" t="s">
        <v>74</v>
      </c>
      <c r="I2342" s="2" t="s">
        <v>75</v>
      </c>
      <c r="J2342" s="2" t="s">
        <v>76</v>
      </c>
      <c r="K2342" s="2" t="s">
        <v>77</v>
      </c>
      <c r="L2342" s="2" t="s">
        <v>609</v>
      </c>
      <c r="M2342" s="2" t="s">
        <v>610</v>
      </c>
      <c r="N2342" s="2" t="s">
        <v>982</v>
      </c>
      <c r="O2342" s="2" t="s">
        <v>115</v>
      </c>
      <c r="P2342" s="2" t="str">
        <f>"2170562686                    "</f>
        <v xml:space="preserve">2170562686 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4.29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2</v>
      </c>
      <c r="BJ2342" s="2">
        <v>0.2</v>
      </c>
      <c r="BK2342" s="2">
        <v>2</v>
      </c>
      <c r="BL2342" s="2">
        <v>41.73</v>
      </c>
      <c r="BM2342" s="2">
        <v>5.84</v>
      </c>
      <c r="BN2342" s="2">
        <v>47.57</v>
      </c>
      <c r="BO2342" s="2">
        <v>47.57</v>
      </c>
      <c r="BP2342" s="2"/>
      <c r="BQ2342" s="2" t="s">
        <v>129</v>
      </c>
      <c r="BR2342" s="2" t="s">
        <v>84</v>
      </c>
      <c r="BS2342" s="3">
        <v>42845</v>
      </c>
      <c r="BT2342" s="4">
        <v>0.41666666666666669</v>
      </c>
      <c r="BU2342" s="2" t="s">
        <v>2719</v>
      </c>
      <c r="BV2342" s="2" t="s">
        <v>111</v>
      </c>
      <c r="BW2342" s="2"/>
      <c r="BX2342" s="2"/>
      <c r="BY2342" s="2">
        <v>1200</v>
      </c>
      <c r="BZ2342" s="2" t="s">
        <v>27</v>
      </c>
      <c r="CA2342" s="2"/>
      <c r="CB2342" s="2"/>
      <c r="CC2342" s="2" t="s">
        <v>610</v>
      </c>
      <c r="CD2342" s="2">
        <v>1911</v>
      </c>
      <c r="CE2342" s="2" t="s">
        <v>118</v>
      </c>
      <c r="CF2342" s="5">
        <v>42846</v>
      </c>
      <c r="CG2342" s="2"/>
      <c r="CH2342" s="2"/>
      <c r="CI2342" s="2">
        <v>1</v>
      </c>
      <c r="CJ2342" s="2">
        <v>1</v>
      </c>
      <c r="CK2342" s="2">
        <v>21</v>
      </c>
      <c r="CL2342" s="2" t="s">
        <v>86</v>
      </c>
      <c r="CM2342" s="2"/>
    </row>
    <row r="2343" spans="1:91">
      <c r="A2343" s="2" t="s">
        <v>71</v>
      </c>
      <c r="B2343" s="2" t="s">
        <v>72</v>
      </c>
      <c r="C2343" s="2" t="s">
        <v>73</v>
      </c>
      <c r="D2343" s="2"/>
      <c r="E2343" s="2" t="str">
        <f>"FES1162544135"</f>
        <v>FES1162544135</v>
      </c>
      <c r="F2343" s="3">
        <v>42844</v>
      </c>
      <c r="G2343" s="2">
        <v>201710</v>
      </c>
      <c r="H2343" s="2" t="s">
        <v>74</v>
      </c>
      <c r="I2343" s="2" t="s">
        <v>75</v>
      </c>
      <c r="J2343" s="2" t="s">
        <v>76</v>
      </c>
      <c r="K2343" s="2" t="s">
        <v>77</v>
      </c>
      <c r="L2343" s="2" t="s">
        <v>525</v>
      </c>
      <c r="M2343" s="2" t="s">
        <v>526</v>
      </c>
      <c r="N2343" s="2" t="s">
        <v>527</v>
      </c>
      <c r="O2343" s="2" t="s">
        <v>115</v>
      </c>
      <c r="P2343" s="2" t="str">
        <f>"2170560877                    "</f>
        <v xml:space="preserve">2170560877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6.03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1</v>
      </c>
      <c r="BJ2343" s="2">
        <v>0.2</v>
      </c>
      <c r="BK2343" s="2">
        <v>1</v>
      </c>
      <c r="BL2343" s="2">
        <v>58.68</v>
      </c>
      <c r="BM2343" s="2">
        <v>8.2200000000000006</v>
      </c>
      <c r="BN2343" s="2">
        <v>66.900000000000006</v>
      </c>
      <c r="BO2343" s="2">
        <v>66.900000000000006</v>
      </c>
      <c r="BP2343" s="2"/>
      <c r="BQ2343" s="2" t="s">
        <v>528</v>
      </c>
      <c r="BR2343" s="2" t="s">
        <v>84</v>
      </c>
      <c r="BS2343" s="3">
        <v>42845</v>
      </c>
      <c r="BT2343" s="4">
        <v>0.41666666666666669</v>
      </c>
      <c r="BU2343" s="2" t="s">
        <v>266</v>
      </c>
      <c r="BV2343" s="2" t="s">
        <v>111</v>
      </c>
      <c r="BW2343" s="2"/>
      <c r="BX2343" s="2"/>
      <c r="BY2343" s="2">
        <v>1200</v>
      </c>
      <c r="BZ2343" s="2" t="s">
        <v>27</v>
      </c>
      <c r="CA2343" s="2"/>
      <c r="CB2343" s="2"/>
      <c r="CC2343" s="2" t="s">
        <v>526</v>
      </c>
      <c r="CD2343" s="2">
        <v>2210</v>
      </c>
      <c r="CE2343" s="2" t="s">
        <v>118</v>
      </c>
      <c r="CF2343" s="5">
        <v>42846</v>
      </c>
      <c r="CG2343" s="2"/>
      <c r="CH2343" s="2"/>
      <c r="CI2343" s="2">
        <v>1</v>
      </c>
      <c r="CJ2343" s="2">
        <v>1</v>
      </c>
      <c r="CK2343" s="2">
        <v>24</v>
      </c>
      <c r="CL2343" s="2" t="s">
        <v>86</v>
      </c>
      <c r="CM2343" s="2"/>
    </row>
    <row r="2344" spans="1:91">
      <c r="A2344" s="2" t="s">
        <v>71</v>
      </c>
      <c r="B2344" s="2" t="s">
        <v>72</v>
      </c>
      <c r="C2344" s="2" t="s">
        <v>73</v>
      </c>
      <c r="D2344" s="2"/>
      <c r="E2344" s="2" t="str">
        <f>"FES1162544145"</f>
        <v>FES1162544145</v>
      </c>
      <c r="F2344" s="3">
        <v>42844</v>
      </c>
      <c r="G2344" s="2">
        <v>201710</v>
      </c>
      <c r="H2344" s="2" t="s">
        <v>74</v>
      </c>
      <c r="I2344" s="2" t="s">
        <v>75</v>
      </c>
      <c r="J2344" s="2" t="s">
        <v>76</v>
      </c>
      <c r="K2344" s="2" t="s">
        <v>77</v>
      </c>
      <c r="L2344" s="2" t="s">
        <v>2720</v>
      </c>
      <c r="M2344" s="2" t="s">
        <v>2721</v>
      </c>
      <c r="N2344" s="2" t="s">
        <v>2722</v>
      </c>
      <c r="O2344" s="2" t="s">
        <v>115</v>
      </c>
      <c r="P2344" s="2" t="str">
        <f>"217052734                     "</f>
        <v xml:space="preserve">217052734 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6.03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1</v>
      </c>
      <c r="BJ2344" s="2">
        <v>0.2</v>
      </c>
      <c r="BK2344" s="2">
        <v>1</v>
      </c>
      <c r="BL2344" s="2">
        <v>58.68</v>
      </c>
      <c r="BM2344" s="2">
        <v>8.2200000000000006</v>
      </c>
      <c r="BN2344" s="2">
        <v>66.900000000000006</v>
      </c>
      <c r="BO2344" s="2">
        <v>66.900000000000006</v>
      </c>
      <c r="BP2344" s="2"/>
      <c r="BQ2344" s="2" t="s">
        <v>2723</v>
      </c>
      <c r="BR2344" s="2" t="s">
        <v>84</v>
      </c>
      <c r="BS2344" s="3">
        <v>42845</v>
      </c>
      <c r="BT2344" s="4">
        <v>0.6875</v>
      </c>
      <c r="BU2344" s="2" t="s">
        <v>2724</v>
      </c>
      <c r="BV2344" s="2" t="s">
        <v>86</v>
      </c>
      <c r="BW2344" s="2" t="s">
        <v>87</v>
      </c>
      <c r="BX2344" s="2" t="s">
        <v>2725</v>
      </c>
      <c r="BY2344" s="2">
        <v>1200</v>
      </c>
      <c r="BZ2344" s="2" t="s">
        <v>27</v>
      </c>
      <c r="CA2344" s="2"/>
      <c r="CB2344" s="2"/>
      <c r="CC2344" s="2" t="s">
        <v>2721</v>
      </c>
      <c r="CD2344" s="2">
        <v>2370</v>
      </c>
      <c r="CE2344" s="2" t="s">
        <v>118</v>
      </c>
      <c r="CF2344" s="5">
        <v>42850</v>
      </c>
      <c r="CG2344" s="2"/>
      <c r="CH2344" s="2"/>
      <c r="CI2344" s="2">
        <v>1</v>
      </c>
      <c r="CJ2344" s="2">
        <v>1</v>
      </c>
      <c r="CK2344" s="2">
        <v>24</v>
      </c>
      <c r="CL2344" s="2" t="s">
        <v>86</v>
      </c>
      <c r="CM2344" s="2"/>
    </row>
    <row r="2345" spans="1:91">
      <c r="A2345" s="2" t="s">
        <v>71</v>
      </c>
      <c r="B2345" s="2" t="s">
        <v>72</v>
      </c>
      <c r="C2345" s="2" t="s">
        <v>73</v>
      </c>
      <c r="D2345" s="2"/>
      <c r="E2345" s="2" t="str">
        <f>"FES1162544123"</f>
        <v>FES1162544123</v>
      </c>
      <c r="F2345" s="3">
        <v>42844</v>
      </c>
      <c r="G2345" s="2">
        <v>201710</v>
      </c>
      <c r="H2345" s="2" t="s">
        <v>74</v>
      </c>
      <c r="I2345" s="2" t="s">
        <v>75</v>
      </c>
      <c r="J2345" s="2" t="s">
        <v>76</v>
      </c>
      <c r="K2345" s="2" t="s">
        <v>77</v>
      </c>
      <c r="L2345" s="2" t="s">
        <v>187</v>
      </c>
      <c r="M2345" s="2" t="s">
        <v>146</v>
      </c>
      <c r="N2345" s="2" t="s">
        <v>2065</v>
      </c>
      <c r="O2345" s="2" t="s">
        <v>115</v>
      </c>
      <c r="P2345" s="2" t="str">
        <f>"2170560742                    "</f>
        <v xml:space="preserve">2170560742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4.29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1</v>
      </c>
      <c r="BJ2345" s="2">
        <v>0.2</v>
      </c>
      <c r="BK2345" s="2">
        <v>1</v>
      </c>
      <c r="BL2345" s="2">
        <v>41.73</v>
      </c>
      <c r="BM2345" s="2">
        <v>5.84</v>
      </c>
      <c r="BN2345" s="2">
        <v>47.57</v>
      </c>
      <c r="BO2345" s="2">
        <v>47.57</v>
      </c>
      <c r="BP2345" s="2"/>
      <c r="BQ2345" s="2" t="s">
        <v>2066</v>
      </c>
      <c r="BR2345" s="2" t="s">
        <v>84</v>
      </c>
      <c r="BS2345" s="3">
        <v>42845</v>
      </c>
      <c r="BT2345" s="4">
        <v>0.375</v>
      </c>
      <c r="BU2345" s="2" t="s">
        <v>2726</v>
      </c>
      <c r="BV2345" s="2" t="s">
        <v>111</v>
      </c>
      <c r="BW2345" s="2"/>
      <c r="BX2345" s="2"/>
      <c r="BY2345" s="2">
        <v>1200</v>
      </c>
      <c r="BZ2345" s="2" t="s">
        <v>27</v>
      </c>
      <c r="CA2345" s="2"/>
      <c r="CB2345" s="2"/>
      <c r="CC2345" s="2" t="s">
        <v>146</v>
      </c>
      <c r="CD2345" s="2">
        <v>182</v>
      </c>
      <c r="CE2345" s="2" t="s">
        <v>118</v>
      </c>
      <c r="CF2345" s="5">
        <v>42851</v>
      </c>
      <c r="CG2345" s="2"/>
      <c r="CH2345" s="2"/>
      <c r="CI2345" s="2">
        <v>0</v>
      </c>
      <c r="CJ2345" s="2">
        <v>0</v>
      </c>
      <c r="CK2345" s="2">
        <v>21</v>
      </c>
      <c r="CL2345" s="2" t="s">
        <v>86</v>
      </c>
      <c r="CM2345" s="2"/>
    </row>
    <row r="2346" spans="1:91">
      <c r="A2346" s="2" t="s">
        <v>71</v>
      </c>
      <c r="B2346" s="2" t="s">
        <v>72</v>
      </c>
      <c r="C2346" s="2" t="s">
        <v>73</v>
      </c>
      <c r="D2346" s="2"/>
      <c r="E2346" s="2" t="str">
        <f>"FES1162544090"</f>
        <v>FES1162544090</v>
      </c>
      <c r="F2346" s="3">
        <v>42844</v>
      </c>
      <c r="G2346" s="2">
        <v>201710</v>
      </c>
      <c r="H2346" s="2" t="s">
        <v>74</v>
      </c>
      <c r="I2346" s="2" t="s">
        <v>75</v>
      </c>
      <c r="J2346" s="2" t="s">
        <v>76</v>
      </c>
      <c r="K2346" s="2" t="s">
        <v>77</v>
      </c>
      <c r="L2346" s="2" t="s">
        <v>609</v>
      </c>
      <c r="M2346" s="2" t="s">
        <v>610</v>
      </c>
      <c r="N2346" s="2" t="s">
        <v>982</v>
      </c>
      <c r="O2346" s="2" t="s">
        <v>115</v>
      </c>
      <c r="P2346" s="2" t="str">
        <f>"2170562688                    "</f>
        <v xml:space="preserve">2170562688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4.29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1</v>
      </c>
      <c r="BJ2346" s="2">
        <v>0.2</v>
      </c>
      <c r="BK2346" s="2">
        <v>1</v>
      </c>
      <c r="BL2346" s="2">
        <v>41.73</v>
      </c>
      <c r="BM2346" s="2">
        <v>5.84</v>
      </c>
      <c r="BN2346" s="2">
        <v>47.57</v>
      </c>
      <c r="BO2346" s="2">
        <v>47.57</v>
      </c>
      <c r="BP2346" s="2"/>
      <c r="BQ2346" s="2" t="s">
        <v>129</v>
      </c>
      <c r="BR2346" s="2" t="s">
        <v>84</v>
      </c>
      <c r="BS2346" s="3">
        <v>42845</v>
      </c>
      <c r="BT2346" s="4">
        <v>0.41666666666666669</v>
      </c>
      <c r="BU2346" s="2" t="s">
        <v>2719</v>
      </c>
      <c r="BV2346" s="2" t="s">
        <v>111</v>
      </c>
      <c r="BW2346" s="2"/>
      <c r="BX2346" s="2"/>
      <c r="BY2346" s="2">
        <v>1200</v>
      </c>
      <c r="BZ2346" s="2" t="s">
        <v>27</v>
      </c>
      <c r="CA2346" s="2"/>
      <c r="CB2346" s="2"/>
      <c r="CC2346" s="2" t="s">
        <v>610</v>
      </c>
      <c r="CD2346" s="2">
        <v>1911</v>
      </c>
      <c r="CE2346" s="2" t="s">
        <v>118</v>
      </c>
      <c r="CF2346" s="5">
        <v>42846</v>
      </c>
      <c r="CG2346" s="2"/>
      <c r="CH2346" s="2"/>
      <c r="CI2346" s="2">
        <v>1</v>
      </c>
      <c r="CJ2346" s="2">
        <v>1</v>
      </c>
      <c r="CK2346" s="2">
        <v>21</v>
      </c>
      <c r="CL2346" s="2" t="s">
        <v>86</v>
      </c>
      <c r="CM2346" s="2"/>
    </row>
    <row r="2347" spans="1:91">
      <c r="A2347" s="2" t="s">
        <v>71</v>
      </c>
      <c r="B2347" s="2" t="s">
        <v>72</v>
      </c>
      <c r="C2347" s="2" t="s">
        <v>73</v>
      </c>
      <c r="D2347" s="2"/>
      <c r="E2347" s="2" t="str">
        <f>"FES1162544097"</f>
        <v>FES1162544097</v>
      </c>
      <c r="F2347" s="3">
        <v>42844</v>
      </c>
      <c r="G2347" s="2">
        <v>201710</v>
      </c>
      <c r="H2347" s="2" t="s">
        <v>74</v>
      </c>
      <c r="I2347" s="2" t="s">
        <v>75</v>
      </c>
      <c r="J2347" s="2" t="s">
        <v>76</v>
      </c>
      <c r="K2347" s="2" t="s">
        <v>77</v>
      </c>
      <c r="L2347" s="2" t="s">
        <v>633</v>
      </c>
      <c r="M2347" s="2" t="s">
        <v>634</v>
      </c>
      <c r="N2347" s="2" t="s">
        <v>635</v>
      </c>
      <c r="O2347" s="2" t="s">
        <v>115</v>
      </c>
      <c r="P2347" s="2" t="str">
        <f>"2170562658                    "</f>
        <v xml:space="preserve">2170562658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6.03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1</v>
      </c>
      <c r="BJ2347" s="2">
        <v>0.2</v>
      </c>
      <c r="BK2347" s="2">
        <v>1</v>
      </c>
      <c r="BL2347" s="2">
        <v>58.68</v>
      </c>
      <c r="BM2347" s="2">
        <v>8.2200000000000006</v>
      </c>
      <c r="BN2347" s="2">
        <v>66.900000000000006</v>
      </c>
      <c r="BO2347" s="2">
        <v>66.900000000000006</v>
      </c>
      <c r="BP2347" s="2"/>
      <c r="BQ2347" s="2" t="s">
        <v>636</v>
      </c>
      <c r="BR2347" s="2" t="s">
        <v>84</v>
      </c>
      <c r="BS2347" s="3">
        <v>42845</v>
      </c>
      <c r="BT2347" s="4">
        <v>0.41666666666666669</v>
      </c>
      <c r="BU2347" s="2" t="s">
        <v>2727</v>
      </c>
      <c r="BV2347" s="2" t="s">
        <v>111</v>
      </c>
      <c r="BW2347" s="2"/>
      <c r="BX2347" s="2"/>
      <c r="BY2347" s="2">
        <v>1200</v>
      </c>
      <c r="BZ2347" s="2" t="s">
        <v>27</v>
      </c>
      <c r="CA2347" s="2" t="s">
        <v>159</v>
      </c>
      <c r="CB2347" s="2"/>
      <c r="CC2347" s="2" t="s">
        <v>634</v>
      </c>
      <c r="CD2347" s="2">
        <v>1759</v>
      </c>
      <c r="CE2347" s="2" t="s">
        <v>118</v>
      </c>
      <c r="CF2347" s="5">
        <v>42845</v>
      </c>
      <c r="CG2347" s="2"/>
      <c r="CH2347" s="2"/>
      <c r="CI2347" s="2">
        <v>1</v>
      </c>
      <c r="CJ2347" s="2">
        <v>1</v>
      </c>
      <c r="CK2347" s="2">
        <v>24</v>
      </c>
      <c r="CL2347" s="2" t="s">
        <v>86</v>
      </c>
      <c r="CM2347" s="2"/>
    </row>
    <row r="2348" spans="1:91">
      <c r="A2348" s="2" t="s">
        <v>71</v>
      </c>
      <c r="B2348" s="2" t="s">
        <v>72</v>
      </c>
      <c r="C2348" s="2" t="s">
        <v>73</v>
      </c>
      <c r="D2348" s="2"/>
      <c r="E2348" s="2" t="str">
        <f>"FES1162544120"</f>
        <v>FES1162544120</v>
      </c>
      <c r="F2348" s="3">
        <v>42844</v>
      </c>
      <c r="G2348" s="2">
        <v>201710</v>
      </c>
      <c r="H2348" s="2" t="s">
        <v>74</v>
      </c>
      <c r="I2348" s="2" t="s">
        <v>75</v>
      </c>
      <c r="J2348" s="2" t="s">
        <v>76</v>
      </c>
      <c r="K2348" s="2" t="s">
        <v>77</v>
      </c>
      <c r="L2348" s="2" t="s">
        <v>139</v>
      </c>
      <c r="M2348" s="2" t="s">
        <v>140</v>
      </c>
      <c r="N2348" s="2" t="s">
        <v>2728</v>
      </c>
      <c r="O2348" s="2" t="s">
        <v>115</v>
      </c>
      <c r="P2348" s="2" t="str">
        <f>"2170560695                    "</f>
        <v xml:space="preserve">2170560695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4.29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1</v>
      </c>
      <c r="BJ2348" s="2">
        <v>0.2</v>
      </c>
      <c r="BK2348" s="2">
        <v>1</v>
      </c>
      <c r="BL2348" s="2">
        <v>41.73</v>
      </c>
      <c r="BM2348" s="2">
        <v>5.84</v>
      </c>
      <c r="BN2348" s="2">
        <v>47.57</v>
      </c>
      <c r="BO2348" s="2">
        <v>47.57</v>
      </c>
      <c r="BP2348" s="2"/>
      <c r="BQ2348" s="2"/>
      <c r="BR2348" s="2" t="s">
        <v>84</v>
      </c>
      <c r="BS2348" s="3">
        <v>42845</v>
      </c>
      <c r="BT2348" s="4">
        <v>0.3611111111111111</v>
      </c>
      <c r="BU2348" s="2" t="s">
        <v>2729</v>
      </c>
      <c r="BV2348" s="2" t="s">
        <v>111</v>
      </c>
      <c r="BW2348" s="2"/>
      <c r="BX2348" s="2"/>
      <c r="BY2348" s="2">
        <v>1200</v>
      </c>
      <c r="BZ2348" s="2" t="s">
        <v>27</v>
      </c>
      <c r="CA2348" s="2"/>
      <c r="CB2348" s="2"/>
      <c r="CC2348" s="2" t="s">
        <v>140</v>
      </c>
      <c r="CD2348" s="2">
        <v>157</v>
      </c>
      <c r="CE2348" s="2" t="s">
        <v>118</v>
      </c>
      <c r="CF2348" s="5">
        <v>42849</v>
      </c>
      <c r="CG2348" s="2"/>
      <c r="CH2348" s="2"/>
      <c r="CI2348" s="2">
        <v>0</v>
      </c>
      <c r="CJ2348" s="2">
        <v>0</v>
      </c>
      <c r="CK2348" s="2">
        <v>21</v>
      </c>
      <c r="CL2348" s="2" t="s">
        <v>86</v>
      </c>
      <c r="CM2348" s="2"/>
    </row>
    <row r="2349" spans="1:91">
      <c r="A2349" s="2" t="s">
        <v>71</v>
      </c>
      <c r="B2349" s="2" t="s">
        <v>72</v>
      </c>
      <c r="C2349" s="2" t="s">
        <v>73</v>
      </c>
      <c r="D2349" s="2"/>
      <c r="E2349" s="2" t="str">
        <f>"FES1162544114"</f>
        <v>FES1162544114</v>
      </c>
      <c r="F2349" s="3">
        <v>42844</v>
      </c>
      <c r="G2349" s="2">
        <v>201710</v>
      </c>
      <c r="H2349" s="2" t="s">
        <v>74</v>
      </c>
      <c r="I2349" s="2" t="s">
        <v>75</v>
      </c>
      <c r="J2349" s="2" t="s">
        <v>76</v>
      </c>
      <c r="K2349" s="2" t="s">
        <v>77</v>
      </c>
      <c r="L2349" s="2" t="s">
        <v>131</v>
      </c>
      <c r="M2349" s="2" t="s">
        <v>132</v>
      </c>
      <c r="N2349" s="2" t="s">
        <v>384</v>
      </c>
      <c r="O2349" s="2" t="s">
        <v>115</v>
      </c>
      <c r="P2349" s="2" t="str">
        <f>"2170560051                    "</f>
        <v xml:space="preserve">2170560051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4.29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1</v>
      </c>
      <c r="BJ2349" s="2">
        <v>0.2</v>
      </c>
      <c r="BK2349" s="2">
        <v>1</v>
      </c>
      <c r="BL2349" s="2">
        <v>41.73</v>
      </c>
      <c r="BM2349" s="2">
        <v>5.84</v>
      </c>
      <c r="BN2349" s="2">
        <v>47.57</v>
      </c>
      <c r="BO2349" s="2">
        <v>47.57</v>
      </c>
      <c r="BP2349" s="2"/>
      <c r="BQ2349" s="2" t="s">
        <v>1272</v>
      </c>
      <c r="BR2349" s="2" t="s">
        <v>84</v>
      </c>
      <c r="BS2349" s="3">
        <v>42845</v>
      </c>
      <c r="BT2349" s="4">
        <v>0.40972222222222227</v>
      </c>
      <c r="BU2349" s="2" t="s">
        <v>1516</v>
      </c>
      <c r="BV2349" s="2" t="s">
        <v>111</v>
      </c>
      <c r="BW2349" s="2"/>
      <c r="BX2349" s="2"/>
      <c r="BY2349" s="2">
        <v>1200</v>
      </c>
      <c r="BZ2349" s="2" t="s">
        <v>27</v>
      </c>
      <c r="CA2349" s="2"/>
      <c r="CB2349" s="2"/>
      <c r="CC2349" s="2" t="s">
        <v>132</v>
      </c>
      <c r="CD2349" s="2">
        <v>7530</v>
      </c>
      <c r="CE2349" s="2" t="s">
        <v>118</v>
      </c>
      <c r="CF2349" s="5">
        <v>42846</v>
      </c>
      <c r="CG2349" s="2"/>
      <c r="CH2349" s="2"/>
      <c r="CI2349" s="2">
        <v>1</v>
      </c>
      <c r="CJ2349" s="2">
        <v>1</v>
      </c>
      <c r="CK2349" s="2">
        <v>21</v>
      </c>
      <c r="CL2349" s="2" t="s">
        <v>86</v>
      </c>
      <c r="CM2349" s="2"/>
    </row>
    <row r="2350" spans="1:91">
      <c r="A2350" s="2" t="s">
        <v>71</v>
      </c>
      <c r="B2350" s="2" t="s">
        <v>72</v>
      </c>
      <c r="C2350" s="2" t="s">
        <v>73</v>
      </c>
      <c r="D2350" s="2"/>
      <c r="E2350" s="2" t="str">
        <f>"FES1162544148"</f>
        <v>FES1162544148</v>
      </c>
      <c r="F2350" s="3">
        <v>42844</v>
      </c>
      <c r="G2350" s="2">
        <v>201710</v>
      </c>
      <c r="H2350" s="2" t="s">
        <v>74</v>
      </c>
      <c r="I2350" s="2" t="s">
        <v>75</v>
      </c>
      <c r="J2350" s="2" t="s">
        <v>76</v>
      </c>
      <c r="K2350" s="2" t="s">
        <v>77</v>
      </c>
      <c r="L2350" s="2" t="s">
        <v>304</v>
      </c>
      <c r="M2350" s="2" t="s">
        <v>305</v>
      </c>
      <c r="N2350" s="2" t="s">
        <v>1593</v>
      </c>
      <c r="O2350" s="2" t="s">
        <v>115</v>
      </c>
      <c r="P2350" s="2" t="str">
        <f>"2170562740                    "</f>
        <v xml:space="preserve">2170562740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6.03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1</v>
      </c>
      <c r="BI2350" s="2">
        <v>1.1000000000000001</v>
      </c>
      <c r="BJ2350" s="2">
        <v>1.9</v>
      </c>
      <c r="BK2350" s="2">
        <v>2</v>
      </c>
      <c r="BL2350" s="2">
        <v>58.68</v>
      </c>
      <c r="BM2350" s="2">
        <v>8.2200000000000006</v>
      </c>
      <c r="BN2350" s="2">
        <v>66.900000000000006</v>
      </c>
      <c r="BO2350" s="2">
        <v>66.900000000000006</v>
      </c>
      <c r="BP2350" s="2"/>
      <c r="BQ2350" s="2" t="s">
        <v>1594</v>
      </c>
      <c r="BR2350" s="2" t="s">
        <v>84</v>
      </c>
      <c r="BS2350" s="3">
        <v>42845</v>
      </c>
      <c r="BT2350" s="4">
        <v>0.41666666666666669</v>
      </c>
      <c r="BU2350" s="2" t="s">
        <v>2730</v>
      </c>
      <c r="BV2350" s="2" t="s">
        <v>111</v>
      </c>
      <c r="BW2350" s="2"/>
      <c r="BX2350" s="2"/>
      <c r="BY2350" s="2">
        <v>9570</v>
      </c>
      <c r="BZ2350" s="2" t="s">
        <v>27</v>
      </c>
      <c r="CA2350" s="2"/>
      <c r="CB2350" s="2"/>
      <c r="CC2350" s="2" t="s">
        <v>305</v>
      </c>
      <c r="CD2350" s="2">
        <v>1441</v>
      </c>
      <c r="CE2350" s="2" t="s">
        <v>172</v>
      </c>
      <c r="CF2350" s="5">
        <v>42846</v>
      </c>
      <c r="CG2350" s="2"/>
      <c r="CH2350" s="2"/>
      <c r="CI2350" s="2">
        <v>1</v>
      </c>
      <c r="CJ2350" s="2">
        <v>1</v>
      </c>
      <c r="CK2350" s="2">
        <v>24</v>
      </c>
      <c r="CL2350" s="2" t="s">
        <v>86</v>
      </c>
      <c r="CM2350" s="2"/>
    </row>
    <row r="2351" spans="1:91">
      <c r="A2351" s="2" t="s">
        <v>71</v>
      </c>
      <c r="B2351" s="2" t="s">
        <v>72</v>
      </c>
      <c r="C2351" s="2" t="s">
        <v>73</v>
      </c>
      <c r="D2351" s="2"/>
      <c r="E2351" s="2" t="str">
        <f>"FES1162544149"</f>
        <v>FES1162544149</v>
      </c>
      <c r="F2351" s="3">
        <v>42844</v>
      </c>
      <c r="G2351" s="2">
        <v>201710</v>
      </c>
      <c r="H2351" s="2" t="s">
        <v>74</v>
      </c>
      <c r="I2351" s="2" t="s">
        <v>75</v>
      </c>
      <c r="J2351" s="2" t="s">
        <v>76</v>
      </c>
      <c r="K2351" s="2" t="s">
        <v>77</v>
      </c>
      <c r="L2351" s="2" t="s">
        <v>131</v>
      </c>
      <c r="M2351" s="2" t="s">
        <v>132</v>
      </c>
      <c r="N2351" s="2" t="s">
        <v>1925</v>
      </c>
      <c r="O2351" s="2" t="s">
        <v>115</v>
      </c>
      <c r="P2351" s="2" t="str">
        <f>"2170562741                    "</f>
        <v xml:space="preserve">2170562741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4.29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1.3</v>
      </c>
      <c r="BJ2351" s="2">
        <v>1.9</v>
      </c>
      <c r="BK2351" s="2">
        <v>2</v>
      </c>
      <c r="BL2351" s="2">
        <v>41.73</v>
      </c>
      <c r="BM2351" s="2">
        <v>5.84</v>
      </c>
      <c r="BN2351" s="2">
        <v>47.57</v>
      </c>
      <c r="BO2351" s="2">
        <v>47.57</v>
      </c>
      <c r="BP2351" s="2"/>
      <c r="BQ2351" s="2" t="s">
        <v>1926</v>
      </c>
      <c r="BR2351" s="2" t="s">
        <v>84</v>
      </c>
      <c r="BS2351" s="3">
        <v>42845</v>
      </c>
      <c r="BT2351" s="4">
        <v>0.40625</v>
      </c>
      <c r="BU2351" s="2" t="s">
        <v>138</v>
      </c>
      <c r="BV2351" s="2" t="s">
        <v>111</v>
      </c>
      <c r="BW2351" s="2"/>
      <c r="BX2351" s="2"/>
      <c r="BY2351" s="2">
        <v>9690.98</v>
      </c>
      <c r="BZ2351" s="2" t="s">
        <v>27</v>
      </c>
      <c r="CA2351" s="2"/>
      <c r="CB2351" s="2"/>
      <c r="CC2351" s="2" t="s">
        <v>132</v>
      </c>
      <c r="CD2351" s="2">
        <v>7530</v>
      </c>
      <c r="CE2351" s="2" t="s">
        <v>89</v>
      </c>
      <c r="CF2351" s="5">
        <v>42846</v>
      </c>
      <c r="CG2351" s="2"/>
      <c r="CH2351" s="2"/>
      <c r="CI2351" s="2">
        <v>1</v>
      </c>
      <c r="CJ2351" s="2">
        <v>1</v>
      </c>
      <c r="CK2351" s="2">
        <v>21</v>
      </c>
      <c r="CL2351" s="2" t="s">
        <v>86</v>
      </c>
      <c r="CM2351" s="2"/>
    </row>
    <row r="2352" spans="1:91">
      <c r="A2352" s="2" t="s">
        <v>71</v>
      </c>
      <c r="B2352" s="2" t="s">
        <v>72</v>
      </c>
      <c r="C2352" s="2" t="s">
        <v>73</v>
      </c>
      <c r="D2352" s="2"/>
      <c r="E2352" s="2" t="str">
        <f>"FES1162544153"</f>
        <v>FES1162544153</v>
      </c>
      <c r="F2352" s="3">
        <v>42844</v>
      </c>
      <c r="G2352" s="2">
        <v>201710</v>
      </c>
      <c r="H2352" s="2" t="s">
        <v>74</v>
      </c>
      <c r="I2352" s="2" t="s">
        <v>75</v>
      </c>
      <c r="J2352" s="2" t="s">
        <v>76</v>
      </c>
      <c r="K2352" s="2" t="s">
        <v>77</v>
      </c>
      <c r="L2352" s="2" t="s">
        <v>131</v>
      </c>
      <c r="M2352" s="2" t="s">
        <v>132</v>
      </c>
      <c r="N2352" s="2" t="s">
        <v>744</v>
      </c>
      <c r="O2352" s="2" t="s">
        <v>115</v>
      </c>
      <c r="P2352" s="2" t="str">
        <f>"2170559595                    "</f>
        <v xml:space="preserve">2170559595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9.65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4.2</v>
      </c>
      <c r="BJ2352" s="2">
        <v>3.3</v>
      </c>
      <c r="BK2352" s="2">
        <v>4.5</v>
      </c>
      <c r="BL2352" s="2">
        <v>93.89</v>
      </c>
      <c r="BM2352" s="2">
        <v>13.14</v>
      </c>
      <c r="BN2352" s="2">
        <v>107.03</v>
      </c>
      <c r="BO2352" s="2">
        <v>107.03</v>
      </c>
      <c r="BP2352" s="2"/>
      <c r="BQ2352" s="2" t="s">
        <v>138</v>
      </c>
      <c r="BR2352" s="2" t="s">
        <v>84</v>
      </c>
      <c r="BS2352" s="3">
        <v>42845</v>
      </c>
      <c r="BT2352" s="4">
        <v>0.41666666666666669</v>
      </c>
      <c r="BU2352" s="2" t="s">
        <v>2668</v>
      </c>
      <c r="BV2352" s="2" t="s">
        <v>111</v>
      </c>
      <c r="BW2352" s="2"/>
      <c r="BX2352" s="2"/>
      <c r="BY2352" s="2">
        <v>16384.03</v>
      </c>
      <c r="BZ2352" s="2" t="s">
        <v>27</v>
      </c>
      <c r="CA2352" s="2"/>
      <c r="CB2352" s="2"/>
      <c r="CC2352" s="2" t="s">
        <v>132</v>
      </c>
      <c r="CD2352" s="2">
        <v>7405</v>
      </c>
      <c r="CE2352" s="2" t="s">
        <v>172</v>
      </c>
      <c r="CF2352" s="5">
        <v>42846</v>
      </c>
      <c r="CG2352" s="2"/>
      <c r="CH2352" s="2"/>
      <c r="CI2352" s="2">
        <v>1</v>
      </c>
      <c r="CJ2352" s="2">
        <v>1</v>
      </c>
      <c r="CK2352" s="2">
        <v>21</v>
      </c>
      <c r="CL2352" s="2" t="s">
        <v>86</v>
      </c>
      <c r="CM2352" s="2"/>
    </row>
    <row r="2353" spans="1:91">
      <c r="A2353" s="2" t="s">
        <v>71</v>
      </c>
      <c r="B2353" s="2" t="s">
        <v>72</v>
      </c>
      <c r="C2353" s="2" t="s">
        <v>73</v>
      </c>
      <c r="D2353" s="2"/>
      <c r="E2353" s="2" t="str">
        <f>"FES1162544131"</f>
        <v>FES1162544131</v>
      </c>
      <c r="F2353" s="3">
        <v>42844</v>
      </c>
      <c r="G2353" s="2">
        <v>201710</v>
      </c>
      <c r="H2353" s="2" t="s">
        <v>74</v>
      </c>
      <c r="I2353" s="2" t="s">
        <v>75</v>
      </c>
      <c r="J2353" s="2" t="s">
        <v>76</v>
      </c>
      <c r="K2353" s="2" t="s">
        <v>77</v>
      </c>
      <c r="L2353" s="2" t="s">
        <v>112</v>
      </c>
      <c r="M2353" s="2" t="s">
        <v>113</v>
      </c>
      <c r="N2353" s="2" t="s">
        <v>336</v>
      </c>
      <c r="O2353" s="2" t="s">
        <v>115</v>
      </c>
      <c r="P2353" s="2" t="str">
        <f>"2170560845                    "</f>
        <v xml:space="preserve">2170560845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4.29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1</v>
      </c>
      <c r="BJ2353" s="2">
        <v>0.2</v>
      </c>
      <c r="BK2353" s="2">
        <v>1</v>
      </c>
      <c r="BL2353" s="2">
        <v>41.73</v>
      </c>
      <c r="BM2353" s="2">
        <v>5.84</v>
      </c>
      <c r="BN2353" s="2">
        <v>47.57</v>
      </c>
      <c r="BO2353" s="2">
        <v>47.57</v>
      </c>
      <c r="BP2353" s="2"/>
      <c r="BQ2353" s="2" t="s">
        <v>449</v>
      </c>
      <c r="BR2353" s="2" t="s">
        <v>84</v>
      </c>
      <c r="BS2353" s="3">
        <v>42845</v>
      </c>
      <c r="BT2353" s="4">
        <v>0.36458333333333331</v>
      </c>
      <c r="BU2353" s="2" t="s">
        <v>2731</v>
      </c>
      <c r="BV2353" s="2" t="s">
        <v>111</v>
      </c>
      <c r="BW2353" s="2"/>
      <c r="BX2353" s="2"/>
      <c r="BY2353" s="2">
        <v>1200</v>
      </c>
      <c r="BZ2353" s="2" t="s">
        <v>27</v>
      </c>
      <c r="CA2353" s="2"/>
      <c r="CB2353" s="2"/>
      <c r="CC2353" s="2" t="s">
        <v>113</v>
      </c>
      <c r="CD2353" s="2">
        <v>3201</v>
      </c>
      <c r="CE2353" s="2" t="s">
        <v>118</v>
      </c>
      <c r="CF2353" s="5">
        <v>42846</v>
      </c>
      <c r="CG2353" s="2"/>
      <c r="CH2353" s="2"/>
      <c r="CI2353" s="2">
        <v>1</v>
      </c>
      <c r="CJ2353" s="2">
        <v>1</v>
      </c>
      <c r="CK2353" s="2">
        <v>21</v>
      </c>
      <c r="CL2353" s="2" t="s">
        <v>86</v>
      </c>
      <c r="CM2353" s="2"/>
    </row>
    <row r="2354" spans="1:91">
      <c r="A2354" s="2" t="s">
        <v>71</v>
      </c>
      <c r="B2354" s="2" t="s">
        <v>72</v>
      </c>
      <c r="C2354" s="2" t="s">
        <v>73</v>
      </c>
      <c r="D2354" s="2"/>
      <c r="E2354" s="2" t="str">
        <f>"FES1162544119"</f>
        <v>FES1162544119</v>
      </c>
      <c r="F2354" s="3">
        <v>42844</v>
      </c>
      <c r="G2354" s="2">
        <v>201710</v>
      </c>
      <c r="H2354" s="2" t="s">
        <v>74</v>
      </c>
      <c r="I2354" s="2" t="s">
        <v>75</v>
      </c>
      <c r="J2354" s="2" t="s">
        <v>76</v>
      </c>
      <c r="K2354" s="2" t="s">
        <v>77</v>
      </c>
      <c r="L2354" s="2" t="s">
        <v>549</v>
      </c>
      <c r="M2354" s="2" t="s">
        <v>550</v>
      </c>
      <c r="N2354" s="2" t="s">
        <v>2359</v>
      </c>
      <c r="O2354" s="2" t="s">
        <v>115</v>
      </c>
      <c r="P2354" s="2" t="str">
        <f>"2170560675                    "</f>
        <v xml:space="preserve">2170560675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4.29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1</v>
      </c>
      <c r="BJ2354" s="2">
        <v>0.2</v>
      </c>
      <c r="BK2354" s="2">
        <v>1</v>
      </c>
      <c r="BL2354" s="2">
        <v>41.73</v>
      </c>
      <c r="BM2354" s="2">
        <v>5.84</v>
      </c>
      <c r="BN2354" s="2">
        <v>47.57</v>
      </c>
      <c r="BO2354" s="2">
        <v>47.57</v>
      </c>
      <c r="BP2354" s="2"/>
      <c r="BQ2354" s="2" t="s">
        <v>116</v>
      </c>
      <c r="BR2354" s="2" t="s">
        <v>84</v>
      </c>
      <c r="BS2354" s="3">
        <v>42845</v>
      </c>
      <c r="BT2354" s="4">
        <v>0.4291666666666667</v>
      </c>
      <c r="BU2354" s="2" t="s">
        <v>2732</v>
      </c>
      <c r="BV2354" s="2" t="s">
        <v>111</v>
      </c>
      <c r="BW2354" s="2"/>
      <c r="BX2354" s="2"/>
      <c r="BY2354" s="2">
        <v>1200</v>
      </c>
      <c r="BZ2354" s="2" t="s">
        <v>27</v>
      </c>
      <c r="CA2354" s="2"/>
      <c r="CB2354" s="2"/>
      <c r="CC2354" s="2" t="s">
        <v>550</v>
      </c>
      <c r="CD2354" s="2">
        <v>3699</v>
      </c>
      <c r="CE2354" s="2" t="s">
        <v>118</v>
      </c>
      <c r="CF2354" s="2"/>
      <c r="CG2354" s="2"/>
      <c r="CH2354" s="2"/>
      <c r="CI2354" s="2">
        <v>1</v>
      </c>
      <c r="CJ2354" s="2">
        <v>1</v>
      </c>
      <c r="CK2354" s="2">
        <v>21</v>
      </c>
      <c r="CL2354" s="2" t="s">
        <v>86</v>
      </c>
      <c r="CM2354" s="2"/>
    </row>
    <row r="2355" spans="1:91">
      <c r="A2355" s="2" t="s">
        <v>71</v>
      </c>
      <c r="B2355" s="2" t="s">
        <v>72</v>
      </c>
      <c r="C2355" s="2" t="s">
        <v>73</v>
      </c>
      <c r="D2355" s="2"/>
      <c r="E2355" s="2" t="str">
        <f>"FES1162544100"</f>
        <v>FES1162544100</v>
      </c>
      <c r="F2355" s="3">
        <v>42844</v>
      </c>
      <c r="G2355" s="2">
        <v>201710</v>
      </c>
      <c r="H2355" s="2" t="s">
        <v>74</v>
      </c>
      <c r="I2355" s="2" t="s">
        <v>75</v>
      </c>
      <c r="J2355" s="2" t="s">
        <v>76</v>
      </c>
      <c r="K2355" s="2" t="s">
        <v>77</v>
      </c>
      <c r="L2355" s="2" t="s">
        <v>180</v>
      </c>
      <c r="M2355" s="2" t="s">
        <v>181</v>
      </c>
      <c r="N2355" s="2" t="s">
        <v>1678</v>
      </c>
      <c r="O2355" s="2" t="s">
        <v>115</v>
      </c>
      <c r="P2355" s="2" t="str">
        <f>"2170557811                    "</f>
        <v xml:space="preserve">2170557811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35.369999999999997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9.1999999999999993</v>
      </c>
      <c r="BJ2355" s="2">
        <v>16.399999999999999</v>
      </c>
      <c r="BK2355" s="2">
        <v>16.5</v>
      </c>
      <c r="BL2355" s="2">
        <v>344.25</v>
      </c>
      <c r="BM2355" s="2">
        <v>48.2</v>
      </c>
      <c r="BN2355" s="2">
        <v>392.45</v>
      </c>
      <c r="BO2355" s="2">
        <v>392.45</v>
      </c>
      <c r="BP2355" s="2"/>
      <c r="BQ2355" s="2"/>
      <c r="BR2355" s="2" t="s">
        <v>84</v>
      </c>
      <c r="BS2355" s="3">
        <v>42845</v>
      </c>
      <c r="BT2355" s="4">
        <v>0.33333333333333331</v>
      </c>
      <c r="BU2355" s="2" t="s">
        <v>1679</v>
      </c>
      <c r="BV2355" s="2" t="s">
        <v>111</v>
      </c>
      <c r="BW2355" s="2"/>
      <c r="BX2355" s="2"/>
      <c r="BY2355" s="2">
        <v>81900.259999999995</v>
      </c>
      <c r="BZ2355" s="2" t="s">
        <v>27</v>
      </c>
      <c r="CA2355" s="2"/>
      <c r="CB2355" s="2"/>
      <c r="CC2355" s="2" t="s">
        <v>181</v>
      </c>
      <c r="CD2355" s="2">
        <v>4001</v>
      </c>
      <c r="CE2355" s="2" t="s">
        <v>172</v>
      </c>
      <c r="CF2355" s="5">
        <v>42846</v>
      </c>
      <c r="CG2355" s="2"/>
      <c r="CH2355" s="2"/>
      <c r="CI2355" s="2">
        <v>1</v>
      </c>
      <c r="CJ2355" s="2">
        <v>1</v>
      </c>
      <c r="CK2355" s="2">
        <v>21</v>
      </c>
      <c r="CL2355" s="2" t="s">
        <v>86</v>
      </c>
      <c r="CM2355" s="2"/>
    </row>
    <row r="2356" spans="1:91">
      <c r="A2356" s="2" t="s">
        <v>71</v>
      </c>
      <c r="B2356" s="2" t="s">
        <v>72</v>
      </c>
      <c r="C2356" s="2" t="s">
        <v>73</v>
      </c>
      <c r="D2356" s="2"/>
      <c r="E2356" s="2" t="str">
        <f>"FES1162544134"</f>
        <v>FES1162544134</v>
      </c>
      <c r="F2356" s="3">
        <v>42844</v>
      </c>
      <c r="G2356" s="2">
        <v>201710</v>
      </c>
      <c r="H2356" s="2" t="s">
        <v>74</v>
      </c>
      <c r="I2356" s="2" t="s">
        <v>75</v>
      </c>
      <c r="J2356" s="2" t="s">
        <v>76</v>
      </c>
      <c r="K2356" s="2" t="s">
        <v>77</v>
      </c>
      <c r="L2356" s="2" t="s">
        <v>369</v>
      </c>
      <c r="M2356" s="2" t="s">
        <v>370</v>
      </c>
      <c r="N2356" s="2" t="s">
        <v>465</v>
      </c>
      <c r="O2356" s="2" t="s">
        <v>115</v>
      </c>
      <c r="P2356" s="2" t="str">
        <f>"2170560872                    "</f>
        <v xml:space="preserve">2170560872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8.31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</v>
      </c>
      <c r="BJ2356" s="2">
        <v>0.2</v>
      </c>
      <c r="BK2356" s="2">
        <v>1</v>
      </c>
      <c r="BL2356" s="2">
        <v>80.849999999999994</v>
      </c>
      <c r="BM2356" s="2">
        <v>11.32</v>
      </c>
      <c r="BN2356" s="2">
        <v>92.17</v>
      </c>
      <c r="BO2356" s="2">
        <v>92.17</v>
      </c>
      <c r="BP2356" s="2"/>
      <c r="BQ2356" s="2" t="s">
        <v>466</v>
      </c>
      <c r="BR2356" s="2" t="s">
        <v>84</v>
      </c>
      <c r="BS2356" s="3">
        <v>42845</v>
      </c>
      <c r="BT2356" s="4">
        <v>0.54166666666666663</v>
      </c>
      <c r="BU2356" s="2" t="s">
        <v>2733</v>
      </c>
      <c r="BV2356" s="2" t="s">
        <v>111</v>
      </c>
      <c r="BW2356" s="2"/>
      <c r="BX2356" s="2"/>
      <c r="BY2356" s="2">
        <v>1200</v>
      </c>
      <c r="BZ2356" s="2" t="s">
        <v>27</v>
      </c>
      <c r="CA2356" s="2"/>
      <c r="CB2356" s="2"/>
      <c r="CC2356" s="2" t="s">
        <v>370</v>
      </c>
      <c r="CD2356" s="2">
        <v>4252</v>
      </c>
      <c r="CE2356" s="2" t="s">
        <v>118</v>
      </c>
      <c r="CF2356" s="5">
        <v>42846</v>
      </c>
      <c r="CG2356" s="2"/>
      <c r="CH2356" s="2"/>
      <c r="CI2356" s="2">
        <v>1</v>
      </c>
      <c r="CJ2356" s="2">
        <v>1</v>
      </c>
      <c r="CK2356" s="2">
        <v>23</v>
      </c>
      <c r="CL2356" s="2" t="s">
        <v>86</v>
      </c>
      <c r="CM2356" s="2"/>
    </row>
    <row r="2357" spans="1:91">
      <c r="A2357" s="2" t="s">
        <v>71</v>
      </c>
      <c r="B2357" s="2" t="s">
        <v>72</v>
      </c>
      <c r="C2357" s="2" t="s">
        <v>73</v>
      </c>
      <c r="D2357" s="2"/>
      <c r="E2357" s="2" t="str">
        <f>"FES1162544076"</f>
        <v>FES1162544076</v>
      </c>
      <c r="F2357" s="3">
        <v>42844</v>
      </c>
      <c r="G2357" s="2">
        <v>201710</v>
      </c>
      <c r="H2357" s="2" t="s">
        <v>74</v>
      </c>
      <c r="I2357" s="2" t="s">
        <v>75</v>
      </c>
      <c r="J2357" s="2" t="s">
        <v>76</v>
      </c>
      <c r="K2357" s="2" t="s">
        <v>77</v>
      </c>
      <c r="L2357" s="2" t="s">
        <v>474</v>
      </c>
      <c r="M2357" s="2" t="s">
        <v>475</v>
      </c>
      <c r="N2357" s="2" t="s">
        <v>2734</v>
      </c>
      <c r="O2357" s="2" t="s">
        <v>115</v>
      </c>
      <c r="P2357" s="2" t="str">
        <f>"2170562677                    "</f>
        <v xml:space="preserve">2170562677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4.29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0.2</v>
      </c>
      <c r="BK2357" s="2">
        <v>1</v>
      </c>
      <c r="BL2357" s="2">
        <v>41.73</v>
      </c>
      <c r="BM2357" s="2">
        <v>5.84</v>
      </c>
      <c r="BN2357" s="2">
        <v>47.57</v>
      </c>
      <c r="BO2357" s="2">
        <v>47.57</v>
      </c>
      <c r="BP2357" s="2"/>
      <c r="BQ2357" s="2" t="s">
        <v>2735</v>
      </c>
      <c r="BR2357" s="2" t="s">
        <v>84</v>
      </c>
      <c r="BS2357" s="3">
        <v>42845</v>
      </c>
      <c r="BT2357" s="4">
        <v>0.40625</v>
      </c>
      <c r="BU2357" s="2" t="s">
        <v>2736</v>
      </c>
      <c r="BV2357" s="2" t="s">
        <v>111</v>
      </c>
      <c r="BW2357" s="2"/>
      <c r="BX2357" s="2"/>
      <c r="BY2357" s="2">
        <v>1200</v>
      </c>
      <c r="BZ2357" s="2" t="s">
        <v>27</v>
      </c>
      <c r="CA2357" s="2"/>
      <c r="CB2357" s="2"/>
      <c r="CC2357" s="2" t="s">
        <v>475</v>
      </c>
      <c r="CD2357" s="2">
        <v>3290</v>
      </c>
      <c r="CE2357" s="2" t="s">
        <v>118</v>
      </c>
      <c r="CF2357" s="2"/>
      <c r="CG2357" s="2"/>
      <c r="CH2357" s="2"/>
      <c r="CI2357" s="2">
        <v>1</v>
      </c>
      <c r="CJ2357" s="2">
        <v>1</v>
      </c>
      <c r="CK2357" s="2">
        <v>21</v>
      </c>
      <c r="CL2357" s="2" t="s">
        <v>86</v>
      </c>
      <c r="CM2357" s="2"/>
    </row>
    <row r="2358" spans="1:91">
      <c r="A2358" s="2" t="s">
        <v>71</v>
      </c>
      <c r="B2358" s="2" t="s">
        <v>72</v>
      </c>
      <c r="C2358" s="2" t="s">
        <v>73</v>
      </c>
      <c r="D2358" s="2"/>
      <c r="E2358" s="2" t="str">
        <f>"FES1162544324"</f>
        <v>FES1162544324</v>
      </c>
      <c r="F2358" s="3">
        <v>42844</v>
      </c>
      <c r="G2358" s="2">
        <v>201710</v>
      </c>
      <c r="H2358" s="2" t="s">
        <v>74</v>
      </c>
      <c r="I2358" s="2" t="s">
        <v>75</v>
      </c>
      <c r="J2358" s="2" t="s">
        <v>76</v>
      </c>
      <c r="K2358" s="2" t="s">
        <v>77</v>
      </c>
      <c r="L2358" s="2" t="s">
        <v>598</v>
      </c>
      <c r="M2358" s="2" t="s">
        <v>599</v>
      </c>
      <c r="N2358" s="2" t="s">
        <v>600</v>
      </c>
      <c r="O2358" s="2" t="s">
        <v>115</v>
      </c>
      <c r="P2358" s="2" t="str">
        <f>"2170562929                    "</f>
        <v xml:space="preserve">2170562929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8.31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1</v>
      </c>
      <c r="BJ2358" s="2">
        <v>0.2</v>
      </c>
      <c r="BK2358" s="2">
        <v>1</v>
      </c>
      <c r="BL2358" s="2">
        <v>80.849999999999994</v>
      </c>
      <c r="BM2358" s="2">
        <v>11.32</v>
      </c>
      <c r="BN2358" s="2">
        <v>92.17</v>
      </c>
      <c r="BO2358" s="2">
        <v>92.17</v>
      </c>
      <c r="BP2358" s="2"/>
      <c r="BQ2358" s="2" t="s">
        <v>601</v>
      </c>
      <c r="BR2358" s="2" t="s">
        <v>84</v>
      </c>
      <c r="BS2358" s="3">
        <v>42845</v>
      </c>
      <c r="BT2358" s="4">
        <v>0.59861111111111109</v>
      </c>
      <c r="BU2358" s="2" t="s">
        <v>602</v>
      </c>
      <c r="BV2358" s="2" t="s">
        <v>111</v>
      </c>
      <c r="BW2358" s="2"/>
      <c r="BX2358" s="2"/>
      <c r="BY2358" s="2">
        <v>1200</v>
      </c>
      <c r="BZ2358" s="2" t="s">
        <v>27</v>
      </c>
      <c r="CA2358" s="2"/>
      <c r="CB2358" s="2"/>
      <c r="CC2358" s="2" t="s">
        <v>599</v>
      </c>
      <c r="CD2358" s="2">
        <v>3370</v>
      </c>
      <c r="CE2358" s="2" t="s">
        <v>118</v>
      </c>
      <c r="CF2358" s="5">
        <v>42849</v>
      </c>
      <c r="CG2358" s="2"/>
      <c r="CH2358" s="2"/>
      <c r="CI2358" s="2">
        <v>3</v>
      </c>
      <c r="CJ2358" s="2">
        <v>1</v>
      </c>
      <c r="CK2358" s="2">
        <v>23</v>
      </c>
      <c r="CL2358" s="2" t="s">
        <v>86</v>
      </c>
      <c r="CM2358" s="2"/>
    </row>
    <row r="2359" spans="1:91">
      <c r="A2359" s="2" t="s">
        <v>71</v>
      </c>
      <c r="B2359" s="2" t="s">
        <v>72</v>
      </c>
      <c r="C2359" s="2" t="s">
        <v>73</v>
      </c>
      <c r="D2359" s="2"/>
      <c r="E2359" s="2" t="str">
        <f>"FES1162544280"</f>
        <v>FES1162544280</v>
      </c>
      <c r="F2359" s="3">
        <v>42844</v>
      </c>
      <c r="G2359" s="2">
        <v>201710</v>
      </c>
      <c r="H2359" s="2" t="s">
        <v>74</v>
      </c>
      <c r="I2359" s="2" t="s">
        <v>75</v>
      </c>
      <c r="J2359" s="2" t="s">
        <v>76</v>
      </c>
      <c r="K2359" s="2" t="s">
        <v>77</v>
      </c>
      <c r="L2359" s="2" t="s">
        <v>1161</v>
      </c>
      <c r="M2359" s="2" t="s">
        <v>1162</v>
      </c>
      <c r="N2359" s="2" t="s">
        <v>1163</v>
      </c>
      <c r="O2359" s="2" t="s">
        <v>115</v>
      </c>
      <c r="P2359" s="2" t="str">
        <f>"2170562879                    "</f>
        <v xml:space="preserve">2170562879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6.03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1</v>
      </c>
      <c r="BJ2359" s="2">
        <v>0.2</v>
      </c>
      <c r="BK2359" s="2">
        <v>1</v>
      </c>
      <c r="BL2359" s="2">
        <v>58.68</v>
      </c>
      <c r="BM2359" s="2">
        <v>8.2200000000000006</v>
      </c>
      <c r="BN2359" s="2">
        <v>66.900000000000006</v>
      </c>
      <c r="BO2359" s="2">
        <v>66.900000000000006</v>
      </c>
      <c r="BP2359" s="2"/>
      <c r="BQ2359" s="2" t="s">
        <v>122</v>
      </c>
      <c r="BR2359" s="2" t="s">
        <v>84</v>
      </c>
      <c r="BS2359" s="3">
        <v>42845</v>
      </c>
      <c r="BT2359" s="4">
        <v>0.57291666666666663</v>
      </c>
      <c r="BU2359" s="2" t="s">
        <v>2737</v>
      </c>
      <c r="BV2359" s="2" t="s">
        <v>111</v>
      </c>
      <c r="BW2359" s="2"/>
      <c r="BX2359" s="2"/>
      <c r="BY2359" s="2">
        <v>1200</v>
      </c>
      <c r="BZ2359" s="2" t="s">
        <v>27</v>
      </c>
      <c r="CA2359" s="2" t="s">
        <v>159</v>
      </c>
      <c r="CB2359" s="2"/>
      <c r="CC2359" s="2" t="s">
        <v>1162</v>
      </c>
      <c r="CD2359" s="2">
        <v>1028</v>
      </c>
      <c r="CE2359" s="2" t="s">
        <v>118</v>
      </c>
      <c r="CF2359" s="5">
        <v>42851</v>
      </c>
      <c r="CG2359" s="2"/>
      <c r="CH2359" s="2"/>
      <c r="CI2359" s="2">
        <v>0</v>
      </c>
      <c r="CJ2359" s="2">
        <v>0</v>
      </c>
      <c r="CK2359" s="2">
        <v>24</v>
      </c>
      <c r="CL2359" s="2" t="s">
        <v>86</v>
      </c>
      <c r="CM2359" s="2"/>
    </row>
    <row r="2360" spans="1:91">
      <c r="A2360" s="2" t="s">
        <v>71</v>
      </c>
      <c r="B2360" s="2" t="s">
        <v>72</v>
      </c>
      <c r="C2360" s="2" t="s">
        <v>73</v>
      </c>
      <c r="D2360" s="2"/>
      <c r="E2360" s="2" t="str">
        <f>"FES1162544305"</f>
        <v>FES1162544305</v>
      </c>
      <c r="F2360" s="3">
        <v>42844</v>
      </c>
      <c r="G2360" s="2">
        <v>201710</v>
      </c>
      <c r="H2360" s="2" t="s">
        <v>74</v>
      </c>
      <c r="I2360" s="2" t="s">
        <v>75</v>
      </c>
      <c r="J2360" s="2" t="s">
        <v>76</v>
      </c>
      <c r="K2360" s="2" t="s">
        <v>77</v>
      </c>
      <c r="L2360" s="2" t="s">
        <v>99</v>
      </c>
      <c r="M2360" s="2" t="s">
        <v>100</v>
      </c>
      <c r="N2360" s="2" t="s">
        <v>2738</v>
      </c>
      <c r="O2360" s="2" t="s">
        <v>115</v>
      </c>
      <c r="P2360" s="2" t="str">
        <f>"2170562912                    "</f>
        <v xml:space="preserve">2170562912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4.29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1</v>
      </c>
      <c r="BJ2360" s="2">
        <v>0.2</v>
      </c>
      <c r="BK2360" s="2">
        <v>1</v>
      </c>
      <c r="BL2360" s="2">
        <v>41.73</v>
      </c>
      <c r="BM2360" s="2">
        <v>5.84</v>
      </c>
      <c r="BN2360" s="2">
        <v>47.57</v>
      </c>
      <c r="BO2360" s="2">
        <v>47.57</v>
      </c>
      <c r="BP2360" s="2"/>
      <c r="BQ2360" s="2" t="s">
        <v>2739</v>
      </c>
      <c r="BR2360" s="2" t="s">
        <v>84</v>
      </c>
      <c r="BS2360" s="3">
        <v>42845</v>
      </c>
      <c r="BT2360" s="4">
        <v>0.3263888888888889</v>
      </c>
      <c r="BU2360" s="2" t="s">
        <v>2740</v>
      </c>
      <c r="BV2360" s="2" t="s">
        <v>111</v>
      </c>
      <c r="BW2360" s="2"/>
      <c r="BX2360" s="2"/>
      <c r="BY2360" s="2">
        <v>1200</v>
      </c>
      <c r="BZ2360" s="2" t="s">
        <v>27</v>
      </c>
      <c r="CA2360" s="2" t="s">
        <v>1008</v>
      </c>
      <c r="CB2360" s="2"/>
      <c r="CC2360" s="2" t="s">
        <v>100</v>
      </c>
      <c r="CD2360" s="2">
        <v>6045</v>
      </c>
      <c r="CE2360" s="2" t="s">
        <v>118</v>
      </c>
      <c r="CF2360" s="5">
        <v>42845</v>
      </c>
      <c r="CG2360" s="2"/>
      <c r="CH2360" s="2"/>
      <c r="CI2360" s="2">
        <v>1</v>
      </c>
      <c r="CJ2360" s="2">
        <v>1</v>
      </c>
      <c r="CK2360" s="2">
        <v>21</v>
      </c>
      <c r="CL2360" s="2" t="s">
        <v>86</v>
      </c>
      <c r="CM2360" s="2"/>
    </row>
    <row r="2361" spans="1:91">
      <c r="A2361" s="2" t="s">
        <v>71</v>
      </c>
      <c r="B2361" s="2" t="s">
        <v>72</v>
      </c>
      <c r="C2361" s="2" t="s">
        <v>73</v>
      </c>
      <c r="D2361" s="2"/>
      <c r="E2361" s="2" t="str">
        <f>"FES1162544328"</f>
        <v>FES1162544328</v>
      </c>
      <c r="F2361" s="3">
        <v>42844</v>
      </c>
      <c r="G2361" s="2">
        <v>201710</v>
      </c>
      <c r="H2361" s="2" t="s">
        <v>74</v>
      </c>
      <c r="I2361" s="2" t="s">
        <v>75</v>
      </c>
      <c r="J2361" s="2" t="s">
        <v>76</v>
      </c>
      <c r="K2361" s="2" t="s">
        <v>77</v>
      </c>
      <c r="L2361" s="2" t="s">
        <v>99</v>
      </c>
      <c r="M2361" s="2" t="s">
        <v>100</v>
      </c>
      <c r="N2361" s="2" t="s">
        <v>583</v>
      </c>
      <c r="O2361" s="2" t="s">
        <v>115</v>
      </c>
      <c r="P2361" s="2" t="str">
        <f>"217062935                     "</f>
        <v xml:space="preserve">217062935 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4.29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1</v>
      </c>
      <c r="BJ2361" s="2">
        <v>0.2</v>
      </c>
      <c r="BK2361" s="2">
        <v>1</v>
      </c>
      <c r="BL2361" s="2">
        <v>41.73</v>
      </c>
      <c r="BM2361" s="2">
        <v>5.84</v>
      </c>
      <c r="BN2361" s="2">
        <v>47.57</v>
      </c>
      <c r="BO2361" s="2">
        <v>47.57</v>
      </c>
      <c r="BP2361" s="2"/>
      <c r="BQ2361" s="2" t="s">
        <v>584</v>
      </c>
      <c r="BR2361" s="2" t="s">
        <v>84</v>
      </c>
      <c r="BS2361" s="3">
        <v>42845</v>
      </c>
      <c r="BT2361" s="4">
        <v>0.31180555555555556</v>
      </c>
      <c r="BU2361" s="2" t="s">
        <v>585</v>
      </c>
      <c r="BV2361" s="2" t="s">
        <v>111</v>
      </c>
      <c r="BW2361" s="2"/>
      <c r="BX2361" s="2"/>
      <c r="BY2361" s="2">
        <v>1200</v>
      </c>
      <c r="BZ2361" s="2" t="s">
        <v>27</v>
      </c>
      <c r="CA2361" s="2" t="s">
        <v>154</v>
      </c>
      <c r="CB2361" s="2"/>
      <c r="CC2361" s="2" t="s">
        <v>100</v>
      </c>
      <c r="CD2361" s="2">
        <v>6001</v>
      </c>
      <c r="CE2361" s="2" t="s">
        <v>118</v>
      </c>
      <c r="CF2361" s="5">
        <v>42845</v>
      </c>
      <c r="CG2361" s="2"/>
      <c r="CH2361" s="2"/>
      <c r="CI2361" s="2">
        <v>1</v>
      </c>
      <c r="CJ2361" s="2">
        <v>1</v>
      </c>
      <c r="CK2361" s="2">
        <v>21</v>
      </c>
      <c r="CL2361" s="2" t="s">
        <v>86</v>
      </c>
      <c r="CM2361" s="2"/>
    </row>
    <row r="2362" spans="1:91">
      <c r="A2362" s="2" t="s">
        <v>71</v>
      </c>
      <c r="B2362" s="2" t="s">
        <v>72</v>
      </c>
      <c r="C2362" s="2" t="s">
        <v>73</v>
      </c>
      <c r="D2362" s="2"/>
      <c r="E2362" s="2" t="str">
        <f>"FES1162544301"</f>
        <v>FES1162544301</v>
      </c>
      <c r="F2362" s="3">
        <v>42844</v>
      </c>
      <c r="G2362" s="2">
        <v>201710</v>
      </c>
      <c r="H2362" s="2" t="s">
        <v>74</v>
      </c>
      <c r="I2362" s="2" t="s">
        <v>75</v>
      </c>
      <c r="J2362" s="2" t="s">
        <v>76</v>
      </c>
      <c r="K2362" s="2" t="s">
        <v>77</v>
      </c>
      <c r="L2362" s="2" t="s">
        <v>160</v>
      </c>
      <c r="M2362" s="2" t="s">
        <v>161</v>
      </c>
      <c r="N2362" s="2" t="s">
        <v>741</v>
      </c>
      <c r="O2362" s="2" t="s">
        <v>115</v>
      </c>
      <c r="P2362" s="2" t="str">
        <f>"2170551232                    "</f>
        <v xml:space="preserve">2170551232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4.29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</v>
      </c>
      <c r="BJ2362" s="2">
        <v>0.2</v>
      </c>
      <c r="BK2362" s="2">
        <v>1</v>
      </c>
      <c r="BL2362" s="2">
        <v>41.73</v>
      </c>
      <c r="BM2362" s="2">
        <v>5.84</v>
      </c>
      <c r="BN2362" s="2">
        <v>47.57</v>
      </c>
      <c r="BO2362" s="2">
        <v>47.57</v>
      </c>
      <c r="BP2362" s="2"/>
      <c r="BQ2362" s="2" t="s">
        <v>742</v>
      </c>
      <c r="BR2362" s="2" t="s">
        <v>84</v>
      </c>
      <c r="BS2362" s="3">
        <v>42845</v>
      </c>
      <c r="BT2362" s="4">
        <v>0.43055555555555558</v>
      </c>
      <c r="BU2362" s="2" t="s">
        <v>2741</v>
      </c>
      <c r="BV2362" s="2" t="s">
        <v>111</v>
      </c>
      <c r="BW2362" s="2"/>
      <c r="BX2362" s="2"/>
      <c r="BY2362" s="2">
        <v>1200</v>
      </c>
      <c r="BZ2362" s="2" t="s">
        <v>27</v>
      </c>
      <c r="CA2362" s="2"/>
      <c r="CB2362" s="2"/>
      <c r="CC2362" s="2" t="s">
        <v>161</v>
      </c>
      <c r="CD2362" s="2">
        <v>5201</v>
      </c>
      <c r="CE2362" s="2" t="s">
        <v>118</v>
      </c>
      <c r="CF2362" s="5">
        <v>42849</v>
      </c>
      <c r="CG2362" s="2"/>
      <c r="CH2362" s="2"/>
      <c r="CI2362" s="2">
        <v>1</v>
      </c>
      <c r="CJ2362" s="2">
        <v>1</v>
      </c>
      <c r="CK2362" s="2">
        <v>21</v>
      </c>
      <c r="CL2362" s="2" t="s">
        <v>86</v>
      </c>
      <c r="CM2362" s="2"/>
    </row>
    <row r="2363" spans="1:91">
      <c r="A2363" s="2" t="s">
        <v>71</v>
      </c>
      <c r="B2363" s="2" t="s">
        <v>72</v>
      </c>
      <c r="C2363" s="2" t="s">
        <v>73</v>
      </c>
      <c r="D2363" s="2"/>
      <c r="E2363" s="2" t="str">
        <f>"FES1162544274"</f>
        <v>FES1162544274</v>
      </c>
      <c r="F2363" s="3">
        <v>42844</v>
      </c>
      <c r="G2363" s="2">
        <v>201710</v>
      </c>
      <c r="H2363" s="2" t="s">
        <v>74</v>
      </c>
      <c r="I2363" s="2" t="s">
        <v>75</v>
      </c>
      <c r="J2363" s="2" t="s">
        <v>76</v>
      </c>
      <c r="K2363" s="2" t="s">
        <v>77</v>
      </c>
      <c r="L2363" s="2" t="s">
        <v>131</v>
      </c>
      <c r="M2363" s="2" t="s">
        <v>132</v>
      </c>
      <c r="N2363" s="2" t="s">
        <v>363</v>
      </c>
      <c r="O2363" s="2" t="s">
        <v>115</v>
      </c>
      <c r="P2363" s="2" t="str">
        <f>"2170562876                    "</f>
        <v xml:space="preserve">2170562876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19.29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2</v>
      </c>
      <c r="BI2363" s="2">
        <v>9</v>
      </c>
      <c r="BJ2363" s="2">
        <v>4.0999999999999996</v>
      </c>
      <c r="BK2363" s="2">
        <v>9</v>
      </c>
      <c r="BL2363" s="2">
        <v>187.77</v>
      </c>
      <c r="BM2363" s="2">
        <v>26.29</v>
      </c>
      <c r="BN2363" s="2">
        <v>214.06</v>
      </c>
      <c r="BO2363" s="2">
        <v>214.06</v>
      </c>
      <c r="BP2363" s="2"/>
      <c r="BQ2363" s="2" t="s">
        <v>170</v>
      </c>
      <c r="BR2363" s="2" t="s">
        <v>84</v>
      </c>
      <c r="BS2363" s="3">
        <v>42845</v>
      </c>
      <c r="BT2363" s="4">
        <v>0.41666666666666669</v>
      </c>
      <c r="BU2363" s="2" t="s">
        <v>2717</v>
      </c>
      <c r="BV2363" s="2" t="s">
        <v>111</v>
      </c>
      <c r="BW2363" s="2"/>
      <c r="BX2363" s="2"/>
      <c r="BY2363" s="2">
        <v>20277</v>
      </c>
      <c r="BZ2363" s="2" t="s">
        <v>27</v>
      </c>
      <c r="CA2363" s="2" t="s">
        <v>159</v>
      </c>
      <c r="CB2363" s="2"/>
      <c r="CC2363" s="2" t="s">
        <v>132</v>
      </c>
      <c r="CD2363" s="2">
        <v>7441</v>
      </c>
      <c r="CE2363" s="2" t="s">
        <v>2742</v>
      </c>
      <c r="CF2363" s="5">
        <v>42846</v>
      </c>
      <c r="CG2363" s="2"/>
      <c r="CH2363" s="2"/>
      <c r="CI2363" s="2">
        <v>1</v>
      </c>
      <c r="CJ2363" s="2">
        <v>1</v>
      </c>
      <c r="CK2363" s="2">
        <v>21</v>
      </c>
      <c r="CL2363" s="2" t="s">
        <v>86</v>
      </c>
      <c r="CM2363" s="2"/>
    </row>
    <row r="2364" spans="1:91">
      <c r="A2364" s="2" t="s">
        <v>71</v>
      </c>
      <c r="B2364" s="2" t="s">
        <v>72</v>
      </c>
      <c r="C2364" s="2" t="s">
        <v>73</v>
      </c>
      <c r="D2364" s="2"/>
      <c r="E2364" s="2" t="str">
        <f>"FES1162544295"</f>
        <v>FES1162544295</v>
      </c>
      <c r="F2364" s="3">
        <v>42844</v>
      </c>
      <c r="G2364" s="2">
        <v>201710</v>
      </c>
      <c r="H2364" s="2" t="s">
        <v>74</v>
      </c>
      <c r="I2364" s="2" t="s">
        <v>75</v>
      </c>
      <c r="J2364" s="2" t="s">
        <v>76</v>
      </c>
      <c r="K2364" s="2" t="s">
        <v>77</v>
      </c>
      <c r="L2364" s="2" t="s">
        <v>187</v>
      </c>
      <c r="M2364" s="2" t="s">
        <v>146</v>
      </c>
      <c r="N2364" s="2" t="s">
        <v>1810</v>
      </c>
      <c r="O2364" s="2" t="s">
        <v>115</v>
      </c>
      <c r="P2364" s="2" t="str">
        <f>"2170562900                    "</f>
        <v xml:space="preserve">2170562900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4.29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1</v>
      </c>
      <c r="BJ2364" s="2">
        <v>0.2</v>
      </c>
      <c r="BK2364" s="2">
        <v>1</v>
      </c>
      <c r="BL2364" s="2">
        <v>41.73</v>
      </c>
      <c r="BM2364" s="2">
        <v>5.84</v>
      </c>
      <c r="BN2364" s="2">
        <v>47.57</v>
      </c>
      <c r="BO2364" s="2">
        <v>47.57</v>
      </c>
      <c r="BP2364" s="2"/>
      <c r="BQ2364" s="2" t="s">
        <v>116</v>
      </c>
      <c r="BR2364" s="2" t="s">
        <v>84</v>
      </c>
      <c r="BS2364" s="3">
        <v>42845</v>
      </c>
      <c r="BT2364" s="4">
        <v>0.35486111111111113</v>
      </c>
      <c r="BU2364" s="2" t="s">
        <v>2743</v>
      </c>
      <c r="BV2364" s="2" t="s">
        <v>111</v>
      </c>
      <c r="BW2364" s="2"/>
      <c r="BX2364" s="2"/>
      <c r="BY2364" s="2">
        <v>1200</v>
      </c>
      <c r="BZ2364" s="2" t="s">
        <v>27</v>
      </c>
      <c r="CA2364" s="2"/>
      <c r="CB2364" s="2"/>
      <c r="CC2364" s="2" t="s">
        <v>146</v>
      </c>
      <c r="CD2364" s="2">
        <v>159</v>
      </c>
      <c r="CE2364" s="2" t="s">
        <v>118</v>
      </c>
      <c r="CF2364" s="5">
        <v>42851</v>
      </c>
      <c r="CG2364" s="2"/>
      <c r="CH2364" s="2"/>
      <c r="CI2364" s="2">
        <v>0</v>
      </c>
      <c r="CJ2364" s="2">
        <v>0</v>
      </c>
      <c r="CK2364" s="2">
        <v>21</v>
      </c>
      <c r="CL2364" s="2" t="s">
        <v>86</v>
      </c>
      <c r="CM2364" s="2"/>
    </row>
    <row r="2365" spans="1:91">
      <c r="A2365" s="2" t="s">
        <v>71</v>
      </c>
      <c r="B2365" s="2" t="s">
        <v>72</v>
      </c>
      <c r="C2365" s="2" t="s">
        <v>73</v>
      </c>
      <c r="D2365" s="2"/>
      <c r="E2365" s="2" t="str">
        <f>"FES1162544316"</f>
        <v>FES1162544316</v>
      </c>
      <c r="F2365" s="3">
        <v>42844</v>
      </c>
      <c r="G2365" s="2">
        <v>201710</v>
      </c>
      <c r="H2365" s="2" t="s">
        <v>74</v>
      </c>
      <c r="I2365" s="2" t="s">
        <v>75</v>
      </c>
      <c r="J2365" s="2" t="s">
        <v>76</v>
      </c>
      <c r="K2365" s="2" t="s">
        <v>77</v>
      </c>
      <c r="L2365" s="2" t="s">
        <v>131</v>
      </c>
      <c r="M2365" s="2" t="s">
        <v>132</v>
      </c>
      <c r="N2365" s="2" t="s">
        <v>649</v>
      </c>
      <c r="O2365" s="2" t="s">
        <v>115</v>
      </c>
      <c r="P2365" s="2" t="str">
        <f>"2170562924                    "</f>
        <v xml:space="preserve">2170562924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9.65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4</v>
      </c>
      <c r="BJ2365" s="2">
        <v>4.0999999999999996</v>
      </c>
      <c r="BK2365" s="2">
        <v>4.5</v>
      </c>
      <c r="BL2365" s="2">
        <v>93.89</v>
      </c>
      <c r="BM2365" s="2">
        <v>13.14</v>
      </c>
      <c r="BN2365" s="2">
        <v>107.03</v>
      </c>
      <c r="BO2365" s="2">
        <v>107.03</v>
      </c>
      <c r="BP2365" s="2"/>
      <c r="BQ2365" s="2" t="s">
        <v>650</v>
      </c>
      <c r="BR2365" s="2" t="s">
        <v>84</v>
      </c>
      <c r="BS2365" s="3">
        <v>42845</v>
      </c>
      <c r="BT2365" s="4">
        <v>0.41666666666666669</v>
      </c>
      <c r="BU2365" s="2" t="s">
        <v>837</v>
      </c>
      <c r="BV2365" s="2" t="s">
        <v>111</v>
      </c>
      <c r="BW2365" s="2"/>
      <c r="BX2365" s="2"/>
      <c r="BY2365" s="2">
        <v>20358</v>
      </c>
      <c r="BZ2365" s="2" t="s">
        <v>27</v>
      </c>
      <c r="CA2365" s="2"/>
      <c r="CB2365" s="2"/>
      <c r="CC2365" s="2" t="s">
        <v>132</v>
      </c>
      <c r="CD2365" s="2">
        <v>7405</v>
      </c>
      <c r="CE2365" s="2" t="s">
        <v>89</v>
      </c>
      <c r="CF2365" s="5">
        <v>42846</v>
      </c>
      <c r="CG2365" s="2"/>
      <c r="CH2365" s="2"/>
      <c r="CI2365" s="2">
        <v>1</v>
      </c>
      <c r="CJ2365" s="2">
        <v>1</v>
      </c>
      <c r="CK2365" s="2">
        <v>21</v>
      </c>
      <c r="CL2365" s="2" t="s">
        <v>86</v>
      </c>
      <c r="CM2365" s="2"/>
    </row>
    <row r="2366" spans="1:91">
      <c r="A2366" s="2" t="s">
        <v>71</v>
      </c>
      <c r="B2366" s="2" t="s">
        <v>72</v>
      </c>
      <c r="C2366" s="2" t="s">
        <v>73</v>
      </c>
      <c r="D2366" s="2"/>
      <c r="E2366" s="2" t="str">
        <f>"FES1162544300"</f>
        <v>FES1162544300</v>
      </c>
      <c r="F2366" s="3">
        <v>42844</v>
      </c>
      <c r="G2366" s="2">
        <v>201710</v>
      </c>
      <c r="H2366" s="2" t="s">
        <v>74</v>
      </c>
      <c r="I2366" s="2" t="s">
        <v>75</v>
      </c>
      <c r="J2366" s="2" t="s">
        <v>76</v>
      </c>
      <c r="K2366" s="2" t="s">
        <v>77</v>
      </c>
      <c r="L2366" s="2" t="s">
        <v>187</v>
      </c>
      <c r="M2366" s="2" t="s">
        <v>146</v>
      </c>
      <c r="N2366" s="2" t="s">
        <v>218</v>
      </c>
      <c r="O2366" s="2" t="s">
        <v>115</v>
      </c>
      <c r="P2366" s="2" t="str">
        <f>"2170562908                    "</f>
        <v xml:space="preserve">2170562908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4.29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1</v>
      </c>
      <c r="BJ2366" s="2">
        <v>0.2</v>
      </c>
      <c r="BK2366" s="2">
        <v>1</v>
      </c>
      <c r="BL2366" s="2">
        <v>41.73</v>
      </c>
      <c r="BM2366" s="2">
        <v>5.84</v>
      </c>
      <c r="BN2366" s="2">
        <v>47.57</v>
      </c>
      <c r="BO2366" s="2">
        <v>47.57</v>
      </c>
      <c r="BP2366" s="2"/>
      <c r="BQ2366" s="2" t="s">
        <v>219</v>
      </c>
      <c r="BR2366" s="2" t="s">
        <v>84</v>
      </c>
      <c r="BS2366" s="3">
        <v>42845</v>
      </c>
      <c r="BT2366" s="4">
        <v>0.375</v>
      </c>
      <c r="BU2366" s="2" t="s">
        <v>2744</v>
      </c>
      <c r="BV2366" s="2" t="s">
        <v>111</v>
      </c>
      <c r="BW2366" s="2"/>
      <c r="BX2366" s="2"/>
      <c r="BY2366" s="2">
        <v>1200</v>
      </c>
      <c r="BZ2366" s="2" t="s">
        <v>27</v>
      </c>
      <c r="CA2366" s="2"/>
      <c r="CB2366" s="2"/>
      <c r="CC2366" s="2" t="s">
        <v>146</v>
      </c>
      <c r="CD2366" s="2">
        <v>200</v>
      </c>
      <c r="CE2366" s="2" t="s">
        <v>118</v>
      </c>
      <c r="CF2366" s="5">
        <v>42851</v>
      </c>
      <c r="CG2366" s="2"/>
      <c r="CH2366" s="2"/>
      <c r="CI2366" s="2">
        <v>0</v>
      </c>
      <c r="CJ2366" s="2">
        <v>0</v>
      </c>
      <c r="CK2366" s="2">
        <v>21</v>
      </c>
      <c r="CL2366" s="2" t="s">
        <v>86</v>
      </c>
      <c r="CM2366" s="2"/>
    </row>
    <row r="2367" spans="1:91">
      <c r="A2367" s="2" t="s">
        <v>71</v>
      </c>
      <c r="B2367" s="2" t="s">
        <v>72</v>
      </c>
      <c r="C2367" s="2" t="s">
        <v>73</v>
      </c>
      <c r="D2367" s="2"/>
      <c r="E2367" s="2" t="str">
        <f>"FES1162544291"</f>
        <v>FES1162544291</v>
      </c>
      <c r="F2367" s="3">
        <v>42844</v>
      </c>
      <c r="G2367" s="2">
        <v>201710</v>
      </c>
      <c r="H2367" s="2" t="s">
        <v>74</v>
      </c>
      <c r="I2367" s="2" t="s">
        <v>75</v>
      </c>
      <c r="J2367" s="2" t="s">
        <v>76</v>
      </c>
      <c r="K2367" s="2" t="s">
        <v>77</v>
      </c>
      <c r="L2367" s="2" t="s">
        <v>131</v>
      </c>
      <c r="M2367" s="2" t="s">
        <v>132</v>
      </c>
      <c r="N2367" s="2" t="s">
        <v>1255</v>
      </c>
      <c r="O2367" s="2" t="s">
        <v>115</v>
      </c>
      <c r="P2367" s="2" t="str">
        <f>"2170562864                    "</f>
        <v xml:space="preserve">2170562864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4.29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1</v>
      </c>
      <c r="BJ2367" s="2">
        <v>0.2</v>
      </c>
      <c r="BK2367" s="2">
        <v>1</v>
      </c>
      <c r="BL2367" s="2">
        <v>41.73</v>
      </c>
      <c r="BM2367" s="2">
        <v>5.84</v>
      </c>
      <c r="BN2367" s="2">
        <v>47.57</v>
      </c>
      <c r="BO2367" s="2">
        <v>47.57</v>
      </c>
      <c r="BP2367" s="2"/>
      <c r="BQ2367" s="2" t="s">
        <v>1256</v>
      </c>
      <c r="BR2367" s="2" t="s">
        <v>84</v>
      </c>
      <c r="BS2367" s="3">
        <v>42845</v>
      </c>
      <c r="BT2367" s="4">
        <v>0.34375</v>
      </c>
      <c r="BU2367" s="2" t="s">
        <v>2745</v>
      </c>
      <c r="BV2367" s="2" t="s">
        <v>111</v>
      </c>
      <c r="BW2367" s="2"/>
      <c r="BX2367" s="2"/>
      <c r="BY2367" s="2">
        <v>1200</v>
      </c>
      <c r="BZ2367" s="2" t="s">
        <v>27</v>
      </c>
      <c r="CA2367" s="2"/>
      <c r="CB2367" s="2"/>
      <c r="CC2367" s="2" t="s">
        <v>132</v>
      </c>
      <c r="CD2367" s="2">
        <v>7493</v>
      </c>
      <c r="CE2367" s="2" t="s">
        <v>118</v>
      </c>
      <c r="CF2367" s="5">
        <v>42846</v>
      </c>
      <c r="CG2367" s="2"/>
      <c r="CH2367" s="2"/>
      <c r="CI2367" s="2">
        <v>1</v>
      </c>
      <c r="CJ2367" s="2">
        <v>1</v>
      </c>
      <c r="CK2367" s="2">
        <v>21</v>
      </c>
      <c r="CL2367" s="2" t="s">
        <v>86</v>
      </c>
      <c r="CM2367" s="2"/>
    </row>
    <row r="2368" spans="1:91">
      <c r="A2368" s="2" t="s">
        <v>71</v>
      </c>
      <c r="B2368" s="2" t="s">
        <v>72</v>
      </c>
      <c r="C2368" s="2" t="s">
        <v>73</v>
      </c>
      <c r="D2368" s="2"/>
      <c r="E2368" s="2" t="str">
        <f>"FES1162544298"</f>
        <v>FES1162544298</v>
      </c>
      <c r="F2368" s="3">
        <v>42844</v>
      </c>
      <c r="G2368" s="2">
        <v>201710</v>
      </c>
      <c r="H2368" s="2" t="s">
        <v>74</v>
      </c>
      <c r="I2368" s="2" t="s">
        <v>75</v>
      </c>
      <c r="J2368" s="2" t="s">
        <v>76</v>
      </c>
      <c r="K2368" s="2" t="s">
        <v>77</v>
      </c>
      <c r="L2368" s="2" t="s">
        <v>187</v>
      </c>
      <c r="M2368" s="2" t="s">
        <v>146</v>
      </c>
      <c r="N2368" s="2" t="s">
        <v>1810</v>
      </c>
      <c r="O2368" s="2" t="s">
        <v>115</v>
      </c>
      <c r="P2368" s="2" t="str">
        <f>"2170562906                    "</f>
        <v xml:space="preserve">2170562906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4.29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</v>
      </c>
      <c r="BJ2368" s="2">
        <v>0.2</v>
      </c>
      <c r="BK2368" s="2">
        <v>1</v>
      </c>
      <c r="BL2368" s="2">
        <v>41.73</v>
      </c>
      <c r="BM2368" s="2">
        <v>5.84</v>
      </c>
      <c r="BN2368" s="2">
        <v>47.57</v>
      </c>
      <c r="BO2368" s="2">
        <v>47.57</v>
      </c>
      <c r="BP2368" s="2"/>
      <c r="BQ2368" s="2" t="s">
        <v>116</v>
      </c>
      <c r="BR2368" s="2" t="s">
        <v>84</v>
      </c>
      <c r="BS2368" s="3">
        <v>42845</v>
      </c>
      <c r="BT2368" s="4">
        <v>0.35486111111111113</v>
      </c>
      <c r="BU2368" s="2" t="s">
        <v>2743</v>
      </c>
      <c r="BV2368" s="2" t="s">
        <v>111</v>
      </c>
      <c r="BW2368" s="2"/>
      <c r="BX2368" s="2"/>
      <c r="BY2368" s="2">
        <v>1200</v>
      </c>
      <c r="BZ2368" s="2" t="s">
        <v>27</v>
      </c>
      <c r="CA2368" s="2"/>
      <c r="CB2368" s="2"/>
      <c r="CC2368" s="2" t="s">
        <v>146</v>
      </c>
      <c r="CD2368" s="2">
        <v>159</v>
      </c>
      <c r="CE2368" s="2" t="s">
        <v>118</v>
      </c>
      <c r="CF2368" s="5">
        <v>42851</v>
      </c>
      <c r="CG2368" s="2"/>
      <c r="CH2368" s="2"/>
      <c r="CI2368" s="2">
        <v>0</v>
      </c>
      <c r="CJ2368" s="2">
        <v>0</v>
      </c>
      <c r="CK2368" s="2">
        <v>21</v>
      </c>
      <c r="CL2368" s="2" t="s">
        <v>86</v>
      </c>
      <c r="CM2368" s="2"/>
    </row>
    <row r="2369" spans="1:91">
      <c r="A2369" s="2" t="s">
        <v>71</v>
      </c>
      <c r="B2369" s="2" t="s">
        <v>72</v>
      </c>
      <c r="C2369" s="2" t="s">
        <v>73</v>
      </c>
      <c r="D2369" s="2"/>
      <c r="E2369" s="2" t="str">
        <f>"FES1162544303"</f>
        <v>FES1162544303</v>
      </c>
      <c r="F2369" s="3">
        <v>42844</v>
      </c>
      <c r="G2369" s="2">
        <v>201710</v>
      </c>
      <c r="H2369" s="2" t="s">
        <v>74</v>
      </c>
      <c r="I2369" s="2" t="s">
        <v>75</v>
      </c>
      <c r="J2369" s="2" t="s">
        <v>76</v>
      </c>
      <c r="K2369" s="2" t="s">
        <v>77</v>
      </c>
      <c r="L2369" s="2" t="s">
        <v>176</v>
      </c>
      <c r="M2369" s="2" t="s">
        <v>176</v>
      </c>
      <c r="N2369" s="2" t="s">
        <v>177</v>
      </c>
      <c r="O2369" s="2" t="s">
        <v>115</v>
      </c>
      <c r="P2369" s="2" t="str">
        <f>"2170562634                    "</f>
        <v xml:space="preserve">2170562634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4.29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1</v>
      </c>
      <c r="BJ2369" s="2">
        <v>0.2</v>
      </c>
      <c r="BK2369" s="2">
        <v>1</v>
      </c>
      <c r="BL2369" s="2">
        <v>41.73</v>
      </c>
      <c r="BM2369" s="2">
        <v>5.84</v>
      </c>
      <c r="BN2369" s="2">
        <v>47.57</v>
      </c>
      <c r="BO2369" s="2">
        <v>47.57</v>
      </c>
      <c r="BP2369" s="2"/>
      <c r="BQ2369" s="2" t="s">
        <v>178</v>
      </c>
      <c r="BR2369" s="2" t="s">
        <v>84</v>
      </c>
      <c r="BS2369" s="3">
        <v>42845</v>
      </c>
      <c r="BT2369" s="4">
        <v>0.52083333333333337</v>
      </c>
      <c r="BU2369" s="2" t="s">
        <v>179</v>
      </c>
      <c r="BV2369" s="2" t="s">
        <v>111</v>
      </c>
      <c r="BW2369" s="2"/>
      <c r="BX2369" s="2"/>
      <c r="BY2369" s="2">
        <v>1200</v>
      </c>
      <c r="BZ2369" s="2" t="s">
        <v>27</v>
      </c>
      <c r="CA2369" s="2"/>
      <c r="CB2369" s="2"/>
      <c r="CC2369" s="2" t="s">
        <v>176</v>
      </c>
      <c r="CD2369" s="2">
        <v>7646</v>
      </c>
      <c r="CE2369" s="2" t="s">
        <v>118</v>
      </c>
      <c r="CF2369" s="5">
        <v>42846</v>
      </c>
      <c r="CG2369" s="2"/>
      <c r="CH2369" s="2"/>
      <c r="CI2369" s="2">
        <v>1</v>
      </c>
      <c r="CJ2369" s="2">
        <v>1</v>
      </c>
      <c r="CK2369" s="2">
        <v>21</v>
      </c>
      <c r="CL2369" s="2" t="s">
        <v>86</v>
      </c>
      <c r="CM2369" s="2"/>
    </row>
    <row r="2370" spans="1:91">
      <c r="A2370" s="2" t="s">
        <v>71</v>
      </c>
      <c r="B2370" s="2" t="s">
        <v>72</v>
      </c>
      <c r="C2370" s="2" t="s">
        <v>73</v>
      </c>
      <c r="D2370" s="2"/>
      <c r="E2370" s="2" t="str">
        <f>"FES1162544293"</f>
        <v>FES1162544293</v>
      </c>
      <c r="F2370" s="3">
        <v>42844</v>
      </c>
      <c r="G2370" s="2">
        <v>201710</v>
      </c>
      <c r="H2370" s="2" t="s">
        <v>74</v>
      </c>
      <c r="I2370" s="2" t="s">
        <v>75</v>
      </c>
      <c r="J2370" s="2" t="s">
        <v>76</v>
      </c>
      <c r="K2370" s="2" t="s">
        <v>77</v>
      </c>
      <c r="L2370" s="2" t="s">
        <v>176</v>
      </c>
      <c r="M2370" s="2" t="s">
        <v>176</v>
      </c>
      <c r="N2370" s="2" t="s">
        <v>339</v>
      </c>
      <c r="O2370" s="2" t="s">
        <v>115</v>
      </c>
      <c r="P2370" s="2" t="str">
        <f>"2170562897                    "</f>
        <v xml:space="preserve">2170562897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4.29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1</v>
      </c>
      <c r="BJ2370" s="2">
        <v>0.2</v>
      </c>
      <c r="BK2370" s="2">
        <v>1</v>
      </c>
      <c r="BL2370" s="2">
        <v>41.73</v>
      </c>
      <c r="BM2370" s="2">
        <v>5.84</v>
      </c>
      <c r="BN2370" s="2">
        <v>47.57</v>
      </c>
      <c r="BO2370" s="2">
        <v>47.57</v>
      </c>
      <c r="BP2370" s="2"/>
      <c r="BQ2370" s="2" t="s">
        <v>340</v>
      </c>
      <c r="BR2370" s="2" t="s">
        <v>84</v>
      </c>
      <c r="BS2370" s="3">
        <v>42845</v>
      </c>
      <c r="BT2370" s="4">
        <v>0.53541666666666665</v>
      </c>
      <c r="BU2370" s="2" t="s">
        <v>899</v>
      </c>
      <c r="BV2370" s="2" t="s">
        <v>111</v>
      </c>
      <c r="BW2370" s="2"/>
      <c r="BX2370" s="2"/>
      <c r="BY2370" s="2">
        <v>1200</v>
      </c>
      <c r="BZ2370" s="2" t="s">
        <v>27</v>
      </c>
      <c r="CA2370" s="2"/>
      <c r="CB2370" s="2"/>
      <c r="CC2370" s="2" t="s">
        <v>176</v>
      </c>
      <c r="CD2370" s="2">
        <v>7646</v>
      </c>
      <c r="CE2370" s="2" t="s">
        <v>118</v>
      </c>
      <c r="CF2370" s="5">
        <v>42846</v>
      </c>
      <c r="CG2370" s="2"/>
      <c r="CH2370" s="2"/>
      <c r="CI2370" s="2">
        <v>1</v>
      </c>
      <c r="CJ2370" s="2">
        <v>1</v>
      </c>
      <c r="CK2370" s="2">
        <v>21</v>
      </c>
      <c r="CL2370" s="2" t="s">
        <v>86</v>
      </c>
      <c r="CM2370" s="2"/>
    </row>
    <row r="2371" spans="1:91">
      <c r="A2371" s="2" t="s">
        <v>71</v>
      </c>
      <c r="B2371" s="2" t="s">
        <v>72</v>
      </c>
      <c r="C2371" s="2" t="s">
        <v>73</v>
      </c>
      <c r="D2371" s="2"/>
      <c r="E2371" s="2" t="str">
        <f>"FES1162544334"</f>
        <v>FES1162544334</v>
      </c>
      <c r="F2371" s="3">
        <v>42844</v>
      </c>
      <c r="G2371" s="2">
        <v>201710</v>
      </c>
      <c r="H2371" s="2" t="s">
        <v>74</v>
      </c>
      <c r="I2371" s="2" t="s">
        <v>75</v>
      </c>
      <c r="J2371" s="2" t="s">
        <v>76</v>
      </c>
      <c r="K2371" s="2" t="s">
        <v>77</v>
      </c>
      <c r="L2371" s="2" t="s">
        <v>112</v>
      </c>
      <c r="M2371" s="2" t="s">
        <v>113</v>
      </c>
      <c r="N2371" s="2" t="s">
        <v>336</v>
      </c>
      <c r="O2371" s="2" t="s">
        <v>115</v>
      </c>
      <c r="P2371" s="2" t="str">
        <f>"2170560308                    "</f>
        <v xml:space="preserve">2170560308 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4.29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1</v>
      </c>
      <c r="BJ2371" s="2">
        <v>0.2</v>
      </c>
      <c r="BK2371" s="2">
        <v>1</v>
      </c>
      <c r="BL2371" s="2">
        <v>41.73</v>
      </c>
      <c r="BM2371" s="2">
        <v>5.84</v>
      </c>
      <c r="BN2371" s="2">
        <v>47.57</v>
      </c>
      <c r="BO2371" s="2">
        <v>47.57</v>
      </c>
      <c r="BP2371" s="2"/>
      <c r="BQ2371" s="2" t="s">
        <v>449</v>
      </c>
      <c r="BR2371" s="2" t="s">
        <v>84</v>
      </c>
      <c r="BS2371" s="3">
        <v>42845</v>
      </c>
      <c r="BT2371" s="4">
        <v>0.36458333333333331</v>
      </c>
      <c r="BU2371" s="2" t="s">
        <v>2731</v>
      </c>
      <c r="BV2371" s="2" t="s">
        <v>111</v>
      </c>
      <c r="BW2371" s="2"/>
      <c r="BX2371" s="2"/>
      <c r="BY2371" s="2">
        <v>1200</v>
      </c>
      <c r="BZ2371" s="2" t="s">
        <v>27</v>
      </c>
      <c r="CA2371" s="2"/>
      <c r="CB2371" s="2"/>
      <c r="CC2371" s="2" t="s">
        <v>113</v>
      </c>
      <c r="CD2371" s="2">
        <v>3201</v>
      </c>
      <c r="CE2371" s="2" t="s">
        <v>118</v>
      </c>
      <c r="CF2371" s="5">
        <v>42846</v>
      </c>
      <c r="CG2371" s="2"/>
      <c r="CH2371" s="2"/>
      <c r="CI2371" s="2">
        <v>1</v>
      </c>
      <c r="CJ2371" s="2">
        <v>1</v>
      </c>
      <c r="CK2371" s="2">
        <v>21</v>
      </c>
      <c r="CL2371" s="2" t="s">
        <v>86</v>
      </c>
      <c r="CM2371" s="2"/>
    </row>
    <row r="2372" spans="1:91">
      <c r="A2372" s="2" t="s">
        <v>71</v>
      </c>
      <c r="B2372" s="2" t="s">
        <v>72</v>
      </c>
      <c r="C2372" s="2" t="s">
        <v>73</v>
      </c>
      <c r="D2372" s="2"/>
      <c r="E2372" s="2" t="str">
        <f>"FES1162544004"</f>
        <v>FES1162544004</v>
      </c>
      <c r="F2372" s="3">
        <v>42844</v>
      </c>
      <c r="G2372" s="2">
        <v>201710</v>
      </c>
      <c r="H2372" s="2" t="s">
        <v>74</v>
      </c>
      <c r="I2372" s="2" t="s">
        <v>75</v>
      </c>
      <c r="J2372" s="2" t="s">
        <v>76</v>
      </c>
      <c r="K2372" s="2" t="s">
        <v>77</v>
      </c>
      <c r="L2372" s="2" t="s">
        <v>74</v>
      </c>
      <c r="M2372" s="2" t="s">
        <v>75</v>
      </c>
      <c r="N2372" s="2" t="s">
        <v>1684</v>
      </c>
      <c r="O2372" s="2" t="s">
        <v>115</v>
      </c>
      <c r="P2372" s="2" t="str">
        <f>"2170561337                    "</f>
        <v xml:space="preserve">2170561337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3.35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3</v>
      </c>
      <c r="BJ2372" s="2">
        <v>4.4000000000000004</v>
      </c>
      <c r="BK2372" s="2">
        <v>5</v>
      </c>
      <c r="BL2372" s="2">
        <v>32.6</v>
      </c>
      <c r="BM2372" s="2">
        <v>4.5599999999999996</v>
      </c>
      <c r="BN2372" s="2">
        <v>37.159999999999997</v>
      </c>
      <c r="BO2372" s="2">
        <v>37.159999999999997</v>
      </c>
      <c r="BP2372" s="2"/>
      <c r="BQ2372" s="2" t="s">
        <v>1685</v>
      </c>
      <c r="BR2372" s="2" t="s">
        <v>84</v>
      </c>
      <c r="BS2372" s="3">
        <v>42845</v>
      </c>
      <c r="BT2372" s="4">
        <v>0.34375</v>
      </c>
      <c r="BU2372" s="2" t="s">
        <v>2662</v>
      </c>
      <c r="BV2372" s="2" t="s">
        <v>111</v>
      </c>
      <c r="BW2372" s="2"/>
      <c r="BX2372" s="2"/>
      <c r="BY2372" s="2">
        <v>22140</v>
      </c>
      <c r="BZ2372" s="2" t="s">
        <v>27</v>
      </c>
      <c r="CA2372" s="2" t="s">
        <v>1687</v>
      </c>
      <c r="CB2372" s="2"/>
      <c r="CC2372" s="2" t="s">
        <v>75</v>
      </c>
      <c r="CD2372" s="2">
        <v>1609</v>
      </c>
      <c r="CE2372" s="2" t="s">
        <v>775</v>
      </c>
      <c r="CF2372" s="5">
        <v>42845</v>
      </c>
      <c r="CG2372" s="2"/>
      <c r="CH2372" s="2"/>
      <c r="CI2372" s="2">
        <v>1</v>
      </c>
      <c r="CJ2372" s="2">
        <v>1</v>
      </c>
      <c r="CK2372" s="2">
        <v>22</v>
      </c>
      <c r="CL2372" s="2" t="s">
        <v>86</v>
      </c>
      <c r="CM2372" s="2"/>
    </row>
    <row r="2373" spans="1:91">
      <c r="A2373" s="2" t="s">
        <v>71</v>
      </c>
      <c r="B2373" s="2" t="s">
        <v>72</v>
      </c>
      <c r="C2373" s="2" t="s">
        <v>73</v>
      </c>
      <c r="D2373" s="2"/>
      <c r="E2373" s="2" t="str">
        <f>"FES1162544353"</f>
        <v>FES1162544353</v>
      </c>
      <c r="F2373" s="3">
        <v>42844</v>
      </c>
      <c r="G2373" s="2">
        <v>201710</v>
      </c>
      <c r="H2373" s="2" t="s">
        <v>74</v>
      </c>
      <c r="I2373" s="2" t="s">
        <v>75</v>
      </c>
      <c r="J2373" s="2" t="s">
        <v>76</v>
      </c>
      <c r="K2373" s="2" t="s">
        <v>77</v>
      </c>
      <c r="L2373" s="2" t="s">
        <v>160</v>
      </c>
      <c r="M2373" s="2" t="s">
        <v>161</v>
      </c>
      <c r="N2373" s="2" t="s">
        <v>894</v>
      </c>
      <c r="O2373" s="2" t="s">
        <v>115</v>
      </c>
      <c r="P2373" s="2" t="str">
        <f>"2170562959                    "</f>
        <v xml:space="preserve">2170562959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4.29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</v>
      </c>
      <c r="BJ2373" s="2">
        <v>0.2</v>
      </c>
      <c r="BK2373" s="2">
        <v>1</v>
      </c>
      <c r="BL2373" s="2">
        <v>41.73</v>
      </c>
      <c r="BM2373" s="2">
        <v>5.84</v>
      </c>
      <c r="BN2373" s="2">
        <v>47.57</v>
      </c>
      <c r="BO2373" s="2">
        <v>47.57</v>
      </c>
      <c r="BP2373" s="2"/>
      <c r="BQ2373" s="2" t="s">
        <v>895</v>
      </c>
      <c r="BR2373" s="2" t="s">
        <v>84</v>
      </c>
      <c r="BS2373" s="3">
        <v>42845</v>
      </c>
      <c r="BT2373" s="4">
        <v>0.41666666666666669</v>
      </c>
      <c r="BU2373" s="2" t="s">
        <v>896</v>
      </c>
      <c r="BV2373" s="2" t="s">
        <v>111</v>
      </c>
      <c r="BW2373" s="2"/>
      <c r="BX2373" s="2"/>
      <c r="BY2373" s="2">
        <v>1200</v>
      </c>
      <c r="BZ2373" s="2"/>
      <c r="CA2373" s="2"/>
      <c r="CB2373" s="2"/>
      <c r="CC2373" s="2" t="s">
        <v>161</v>
      </c>
      <c r="CD2373" s="2">
        <v>5201</v>
      </c>
      <c r="CE2373" s="2" t="s">
        <v>118</v>
      </c>
      <c r="CF2373" s="5">
        <v>42849</v>
      </c>
      <c r="CG2373" s="2"/>
      <c r="CH2373" s="2"/>
      <c r="CI2373" s="2">
        <v>1</v>
      </c>
      <c r="CJ2373" s="2">
        <v>1</v>
      </c>
      <c r="CK2373" s="2">
        <v>21</v>
      </c>
      <c r="CL2373" s="2" t="s">
        <v>86</v>
      </c>
      <c r="CM2373" s="2"/>
    </row>
    <row r="2374" spans="1:91">
      <c r="A2374" s="2" t="s">
        <v>71</v>
      </c>
      <c r="B2374" s="2" t="s">
        <v>72</v>
      </c>
      <c r="C2374" s="2" t="s">
        <v>73</v>
      </c>
      <c r="D2374" s="2"/>
      <c r="E2374" s="2" t="str">
        <f>"FES1162544108"</f>
        <v>FES1162544108</v>
      </c>
      <c r="F2374" s="3">
        <v>42844</v>
      </c>
      <c r="G2374" s="2">
        <v>201710</v>
      </c>
      <c r="H2374" s="2" t="s">
        <v>74</v>
      </c>
      <c r="I2374" s="2" t="s">
        <v>75</v>
      </c>
      <c r="J2374" s="2" t="s">
        <v>76</v>
      </c>
      <c r="K2374" s="2" t="s">
        <v>77</v>
      </c>
      <c r="L2374" s="2" t="s">
        <v>516</v>
      </c>
      <c r="M2374" s="2" t="s">
        <v>517</v>
      </c>
      <c r="N2374" s="2" t="s">
        <v>2746</v>
      </c>
      <c r="O2374" s="2" t="s">
        <v>115</v>
      </c>
      <c r="P2374" s="2" t="str">
        <f>"2170562729                    "</f>
        <v xml:space="preserve">2170562729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3.35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1</v>
      </c>
      <c r="BJ2374" s="2">
        <v>0.2</v>
      </c>
      <c r="BK2374" s="2">
        <v>1</v>
      </c>
      <c r="BL2374" s="2">
        <v>32.6</v>
      </c>
      <c r="BM2374" s="2">
        <v>4.5599999999999996</v>
      </c>
      <c r="BN2374" s="2">
        <v>37.159999999999997</v>
      </c>
      <c r="BO2374" s="2">
        <v>37.159999999999997</v>
      </c>
      <c r="BP2374" s="2"/>
      <c r="BQ2374" s="2" t="s">
        <v>122</v>
      </c>
      <c r="BR2374" s="2" t="s">
        <v>84</v>
      </c>
      <c r="BS2374" s="3">
        <v>42845</v>
      </c>
      <c r="BT2374" s="4">
        <v>0.40416666666666662</v>
      </c>
      <c r="BU2374" s="2" t="s">
        <v>2152</v>
      </c>
      <c r="BV2374" s="2" t="s">
        <v>111</v>
      </c>
      <c r="BW2374" s="2"/>
      <c r="BX2374" s="2"/>
      <c r="BY2374" s="2">
        <v>1200</v>
      </c>
      <c r="BZ2374" s="2"/>
      <c r="CA2374" s="2" t="s">
        <v>2639</v>
      </c>
      <c r="CB2374" s="2"/>
      <c r="CC2374" s="2" t="s">
        <v>517</v>
      </c>
      <c r="CD2374" s="2">
        <v>1459</v>
      </c>
      <c r="CE2374" s="2" t="s">
        <v>118</v>
      </c>
      <c r="CF2374" s="5">
        <v>42845</v>
      </c>
      <c r="CG2374" s="2"/>
      <c r="CH2374" s="2"/>
      <c r="CI2374" s="2">
        <v>1</v>
      </c>
      <c r="CJ2374" s="2">
        <v>1</v>
      </c>
      <c r="CK2374" s="2">
        <v>22</v>
      </c>
      <c r="CL2374" s="2" t="s">
        <v>86</v>
      </c>
      <c r="CM2374" s="2"/>
    </row>
    <row r="2375" spans="1:91">
      <c r="A2375" s="2" t="s">
        <v>71</v>
      </c>
      <c r="B2375" s="2" t="s">
        <v>72</v>
      </c>
      <c r="C2375" s="2" t="s">
        <v>73</v>
      </c>
      <c r="D2375" s="2"/>
      <c r="E2375" s="2" t="str">
        <f>"FES1162544362"</f>
        <v>FES1162544362</v>
      </c>
      <c r="F2375" s="3">
        <v>42844</v>
      </c>
      <c r="G2375" s="2">
        <v>201710</v>
      </c>
      <c r="H2375" s="2" t="s">
        <v>74</v>
      </c>
      <c r="I2375" s="2" t="s">
        <v>75</v>
      </c>
      <c r="J2375" s="2" t="s">
        <v>76</v>
      </c>
      <c r="K2375" s="2" t="s">
        <v>77</v>
      </c>
      <c r="L2375" s="2" t="s">
        <v>112</v>
      </c>
      <c r="M2375" s="2" t="s">
        <v>113</v>
      </c>
      <c r="N2375" s="2" t="s">
        <v>114</v>
      </c>
      <c r="O2375" s="2" t="s">
        <v>115</v>
      </c>
      <c r="P2375" s="2" t="str">
        <f>"2170562966                    "</f>
        <v xml:space="preserve">2170562966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4.29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</v>
      </c>
      <c r="BJ2375" s="2">
        <v>0.2</v>
      </c>
      <c r="BK2375" s="2">
        <v>1</v>
      </c>
      <c r="BL2375" s="2">
        <v>41.73</v>
      </c>
      <c r="BM2375" s="2">
        <v>5.84</v>
      </c>
      <c r="BN2375" s="2">
        <v>47.57</v>
      </c>
      <c r="BO2375" s="2">
        <v>47.57</v>
      </c>
      <c r="BP2375" s="2"/>
      <c r="BQ2375" s="2" t="s">
        <v>116</v>
      </c>
      <c r="BR2375" s="2" t="s">
        <v>84</v>
      </c>
      <c r="BS2375" s="3">
        <v>42845</v>
      </c>
      <c r="BT2375" s="4">
        <v>0.39583333333333331</v>
      </c>
      <c r="BU2375" s="2" t="s">
        <v>2747</v>
      </c>
      <c r="BV2375" s="2" t="s">
        <v>111</v>
      </c>
      <c r="BW2375" s="2"/>
      <c r="BX2375" s="2"/>
      <c r="BY2375" s="2">
        <v>1200</v>
      </c>
      <c r="BZ2375" s="2"/>
      <c r="CA2375" s="2"/>
      <c r="CB2375" s="2"/>
      <c r="CC2375" s="2" t="s">
        <v>113</v>
      </c>
      <c r="CD2375" s="2">
        <v>3201</v>
      </c>
      <c r="CE2375" s="2" t="s">
        <v>118</v>
      </c>
      <c r="CF2375" s="5">
        <v>42846</v>
      </c>
      <c r="CG2375" s="2"/>
      <c r="CH2375" s="2"/>
      <c r="CI2375" s="2">
        <v>1</v>
      </c>
      <c r="CJ2375" s="2">
        <v>1</v>
      </c>
      <c r="CK2375" s="2">
        <v>21</v>
      </c>
      <c r="CL2375" s="2" t="s">
        <v>86</v>
      </c>
      <c r="CM2375" s="2"/>
    </row>
    <row r="2376" spans="1:91">
      <c r="A2376" s="2" t="s">
        <v>71</v>
      </c>
      <c r="B2376" s="2" t="s">
        <v>72</v>
      </c>
      <c r="C2376" s="2" t="s">
        <v>73</v>
      </c>
      <c r="D2376" s="2"/>
      <c r="E2376" s="2" t="str">
        <f>"FES1162544350"</f>
        <v>FES1162544350</v>
      </c>
      <c r="F2376" s="3">
        <v>42844</v>
      </c>
      <c r="G2376" s="2">
        <v>201710</v>
      </c>
      <c r="H2376" s="2" t="s">
        <v>74</v>
      </c>
      <c r="I2376" s="2" t="s">
        <v>75</v>
      </c>
      <c r="J2376" s="2" t="s">
        <v>76</v>
      </c>
      <c r="K2376" s="2" t="s">
        <v>77</v>
      </c>
      <c r="L2376" s="2" t="s">
        <v>294</v>
      </c>
      <c r="M2376" s="2" t="s">
        <v>295</v>
      </c>
      <c r="N2376" s="2" t="s">
        <v>1282</v>
      </c>
      <c r="O2376" s="2" t="s">
        <v>115</v>
      </c>
      <c r="P2376" s="2" t="str">
        <f>"2170562955                    "</f>
        <v xml:space="preserve">2170562955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6.43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2.8</v>
      </c>
      <c r="BJ2376" s="2">
        <v>1</v>
      </c>
      <c r="BK2376" s="2">
        <v>3</v>
      </c>
      <c r="BL2376" s="2">
        <v>62.59</v>
      </c>
      <c r="BM2376" s="2">
        <v>8.76</v>
      </c>
      <c r="BN2376" s="2">
        <v>71.349999999999994</v>
      </c>
      <c r="BO2376" s="2">
        <v>71.349999999999994</v>
      </c>
      <c r="BP2376" s="2"/>
      <c r="BQ2376" s="2" t="s">
        <v>116</v>
      </c>
      <c r="BR2376" s="2" t="s">
        <v>84</v>
      </c>
      <c r="BS2376" s="3">
        <v>42845</v>
      </c>
      <c r="BT2376" s="4">
        <v>0.41666666666666669</v>
      </c>
      <c r="BU2376" s="2" t="s">
        <v>130</v>
      </c>
      <c r="BV2376" s="2" t="s">
        <v>111</v>
      </c>
      <c r="BW2376" s="2"/>
      <c r="BX2376" s="2"/>
      <c r="BY2376" s="2">
        <v>4937.63</v>
      </c>
      <c r="BZ2376" s="2"/>
      <c r="CA2376" s="2"/>
      <c r="CB2376" s="2"/>
      <c r="CC2376" s="2" t="s">
        <v>295</v>
      </c>
      <c r="CD2376" s="2">
        <v>3610</v>
      </c>
      <c r="CE2376" s="2" t="s">
        <v>89</v>
      </c>
      <c r="CF2376" s="5">
        <v>42846</v>
      </c>
      <c r="CG2376" s="2"/>
      <c r="CH2376" s="2"/>
      <c r="CI2376" s="2">
        <v>1</v>
      </c>
      <c r="CJ2376" s="2">
        <v>1</v>
      </c>
      <c r="CK2376" s="2">
        <v>21</v>
      </c>
      <c r="CL2376" s="2" t="s">
        <v>86</v>
      </c>
      <c r="CM2376" s="2"/>
    </row>
    <row r="2377" spans="1:91">
      <c r="A2377" s="2" t="s">
        <v>71</v>
      </c>
      <c r="B2377" s="2" t="s">
        <v>72</v>
      </c>
      <c r="C2377" s="2" t="s">
        <v>73</v>
      </c>
      <c r="D2377" s="2"/>
      <c r="E2377" s="2" t="str">
        <f>"FES1162544349"</f>
        <v>FES1162544349</v>
      </c>
      <c r="F2377" s="3">
        <v>42844</v>
      </c>
      <c r="G2377" s="2">
        <v>201710</v>
      </c>
      <c r="H2377" s="2" t="s">
        <v>74</v>
      </c>
      <c r="I2377" s="2" t="s">
        <v>75</v>
      </c>
      <c r="J2377" s="2" t="s">
        <v>76</v>
      </c>
      <c r="K2377" s="2" t="s">
        <v>77</v>
      </c>
      <c r="L2377" s="2" t="s">
        <v>166</v>
      </c>
      <c r="M2377" s="2" t="s">
        <v>167</v>
      </c>
      <c r="N2377" s="2" t="s">
        <v>283</v>
      </c>
      <c r="O2377" s="2" t="s">
        <v>115</v>
      </c>
      <c r="P2377" s="2" t="str">
        <f>"2170562954                    "</f>
        <v xml:space="preserve">2170562954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3.35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1</v>
      </c>
      <c r="BJ2377" s="2">
        <v>0.2</v>
      </c>
      <c r="BK2377" s="2">
        <v>1</v>
      </c>
      <c r="BL2377" s="2">
        <v>32.6</v>
      </c>
      <c r="BM2377" s="2">
        <v>4.5599999999999996</v>
      </c>
      <c r="BN2377" s="2">
        <v>37.159999999999997</v>
      </c>
      <c r="BO2377" s="2">
        <v>37.159999999999997</v>
      </c>
      <c r="BP2377" s="2"/>
      <c r="BQ2377" s="2" t="s">
        <v>122</v>
      </c>
      <c r="BR2377" s="2" t="s">
        <v>84</v>
      </c>
      <c r="BS2377" s="3">
        <v>42845</v>
      </c>
      <c r="BT2377" s="4">
        <v>0.34375</v>
      </c>
      <c r="BU2377" s="2" t="s">
        <v>1484</v>
      </c>
      <c r="BV2377" s="2" t="s">
        <v>111</v>
      </c>
      <c r="BW2377" s="2"/>
      <c r="BX2377" s="2"/>
      <c r="BY2377" s="2">
        <v>1200</v>
      </c>
      <c r="BZ2377" s="2"/>
      <c r="CA2377" s="2" t="s">
        <v>2312</v>
      </c>
      <c r="CB2377" s="2"/>
      <c r="CC2377" s="2" t="s">
        <v>167</v>
      </c>
      <c r="CD2377" s="2">
        <v>2011</v>
      </c>
      <c r="CE2377" s="2" t="s">
        <v>118</v>
      </c>
      <c r="CF2377" s="5">
        <v>42845</v>
      </c>
      <c r="CG2377" s="2"/>
      <c r="CH2377" s="2"/>
      <c r="CI2377" s="2">
        <v>1</v>
      </c>
      <c r="CJ2377" s="2">
        <v>1</v>
      </c>
      <c r="CK2377" s="2">
        <v>22</v>
      </c>
      <c r="CL2377" s="2" t="s">
        <v>86</v>
      </c>
      <c r="CM2377" s="2"/>
    </row>
    <row r="2378" spans="1:91">
      <c r="A2378" s="2" t="s">
        <v>71</v>
      </c>
      <c r="B2378" s="2" t="s">
        <v>72</v>
      </c>
      <c r="C2378" s="2" t="s">
        <v>73</v>
      </c>
      <c r="D2378" s="2"/>
      <c r="E2378" s="2" t="str">
        <f>"FES1162544364"</f>
        <v>FES1162544364</v>
      </c>
      <c r="F2378" s="3">
        <v>42844</v>
      </c>
      <c r="G2378" s="2">
        <v>201710</v>
      </c>
      <c r="H2378" s="2" t="s">
        <v>74</v>
      </c>
      <c r="I2378" s="2" t="s">
        <v>75</v>
      </c>
      <c r="J2378" s="2" t="s">
        <v>76</v>
      </c>
      <c r="K2378" s="2" t="s">
        <v>77</v>
      </c>
      <c r="L2378" s="2" t="s">
        <v>112</v>
      </c>
      <c r="M2378" s="2" t="s">
        <v>113</v>
      </c>
      <c r="N2378" s="2" t="s">
        <v>114</v>
      </c>
      <c r="O2378" s="2" t="s">
        <v>115</v>
      </c>
      <c r="P2378" s="2" t="str">
        <f>"2170562696                    "</f>
        <v xml:space="preserve">2170562696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4.29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1</v>
      </c>
      <c r="BJ2378" s="2">
        <v>0.2</v>
      </c>
      <c r="BK2378" s="2">
        <v>1</v>
      </c>
      <c r="BL2378" s="2">
        <v>41.73</v>
      </c>
      <c r="BM2378" s="2">
        <v>5.84</v>
      </c>
      <c r="BN2378" s="2">
        <v>47.57</v>
      </c>
      <c r="BO2378" s="2">
        <v>47.57</v>
      </c>
      <c r="BP2378" s="2"/>
      <c r="BQ2378" s="2" t="s">
        <v>116</v>
      </c>
      <c r="BR2378" s="2" t="s">
        <v>84</v>
      </c>
      <c r="BS2378" s="3">
        <v>42845</v>
      </c>
      <c r="BT2378" s="4">
        <v>0.39583333333333331</v>
      </c>
      <c r="BU2378" s="2" t="s">
        <v>533</v>
      </c>
      <c r="BV2378" s="2" t="s">
        <v>111</v>
      </c>
      <c r="BW2378" s="2"/>
      <c r="BX2378" s="2"/>
      <c r="BY2378" s="2">
        <v>1200</v>
      </c>
      <c r="BZ2378" s="2"/>
      <c r="CA2378" s="2"/>
      <c r="CB2378" s="2"/>
      <c r="CC2378" s="2" t="s">
        <v>113</v>
      </c>
      <c r="CD2378" s="2">
        <v>3201</v>
      </c>
      <c r="CE2378" s="2" t="s">
        <v>118</v>
      </c>
      <c r="CF2378" s="5">
        <v>42846</v>
      </c>
      <c r="CG2378" s="2"/>
      <c r="CH2378" s="2"/>
      <c r="CI2378" s="2">
        <v>1</v>
      </c>
      <c r="CJ2378" s="2">
        <v>1</v>
      </c>
      <c r="CK2378" s="2">
        <v>21</v>
      </c>
      <c r="CL2378" s="2" t="s">
        <v>86</v>
      </c>
      <c r="CM2378" s="2"/>
    </row>
    <row r="2379" spans="1:91">
      <c r="A2379" s="2" t="s">
        <v>71</v>
      </c>
      <c r="B2379" s="2" t="s">
        <v>72</v>
      </c>
      <c r="C2379" s="2" t="s">
        <v>73</v>
      </c>
      <c r="D2379" s="2"/>
      <c r="E2379" s="2" t="str">
        <f>"FES1162544452"</f>
        <v>FES1162544452</v>
      </c>
      <c r="F2379" s="3">
        <v>42844</v>
      </c>
      <c r="G2379" s="2">
        <v>201710</v>
      </c>
      <c r="H2379" s="2" t="s">
        <v>74</v>
      </c>
      <c r="I2379" s="2" t="s">
        <v>75</v>
      </c>
      <c r="J2379" s="2" t="s">
        <v>76</v>
      </c>
      <c r="K2379" s="2" t="s">
        <v>77</v>
      </c>
      <c r="L2379" s="2" t="s">
        <v>99</v>
      </c>
      <c r="M2379" s="2" t="s">
        <v>100</v>
      </c>
      <c r="N2379" s="2" t="s">
        <v>876</v>
      </c>
      <c r="O2379" s="2" t="s">
        <v>115</v>
      </c>
      <c r="P2379" s="2" t="str">
        <f>"2170563051                    "</f>
        <v xml:space="preserve">2170563051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4.29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1</v>
      </c>
      <c r="BJ2379" s="2">
        <v>0.2</v>
      </c>
      <c r="BK2379" s="2">
        <v>1</v>
      </c>
      <c r="BL2379" s="2">
        <v>41.73</v>
      </c>
      <c r="BM2379" s="2">
        <v>5.84</v>
      </c>
      <c r="BN2379" s="2">
        <v>47.57</v>
      </c>
      <c r="BO2379" s="2">
        <v>47.57</v>
      </c>
      <c r="BP2379" s="2"/>
      <c r="BQ2379" s="2" t="s">
        <v>877</v>
      </c>
      <c r="BR2379" s="2" t="s">
        <v>84</v>
      </c>
      <c r="BS2379" s="3">
        <v>42845</v>
      </c>
      <c r="BT2379" s="4">
        <v>0.29166666666666669</v>
      </c>
      <c r="BU2379" s="2" t="s">
        <v>2705</v>
      </c>
      <c r="BV2379" s="2" t="s">
        <v>111</v>
      </c>
      <c r="BW2379" s="2"/>
      <c r="BX2379" s="2"/>
      <c r="BY2379" s="2">
        <v>1200</v>
      </c>
      <c r="BZ2379" s="2"/>
      <c r="CA2379" s="2" t="s">
        <v>106</v>
      </c>
      <c r="CB2379" s="2"/>
      <c r="CC2379" s="2" t="s">
        <v>100</v>
      </c>
      <c r="CD2379" s="2">
        <v>6012</v>
      </c>
      <c r="CE2379" s="2" t="s">
        <v>118</v>
      </c>
      <c r="CF2379" s="5">
        <v>42845</v>
      </c>
      <c r="CG2379" s="2"/>
      <c r="CH2379" s="2"/>
      <c r="CI2379" s="2">
        <v>1</v>
      </c>
      <c r="CJ2379" s="2">
        <v>1</v>
      </c>
      <c r="CK2379" s="2">
        <v>21</v>
      </c>
      <c r="CL2379" s="2" t="s">
        <v>86</v>
      </c>
      <c r="CM2379" s="2"/>
    </row>
    <row r="2380" spans="1:91">
      <c r="A2380" s="2" t="s">
        <v>71</v>
      </c>
      <c r="B2380" s="2" t="s">
        <v>72</v>
      </c>
      <c r="C2380" s="2" t="s">
        <v>73</v>
      </c>
      <c r="D2380" s="2"/>
      <c r="E2380" s="2" t="str">
        <f>"FES1162544319"</f>
        <v>FES1162544319</v>
      </c>
      <c r="F2380" s="3">
        <v>42844</v>
      </c>
      <c r="G2380" s="2">
        <v>201710</v>
      </c>
      <c r="H2380" s="2" t="s">
        <v>74</v>
      </c>
      <c r="I2380" s="2" t="s">
        <v>75</v>
      </c>
      <c r="J2380" s="2" t="s">
        <v>76</v>
      </c>
      <c r="K2380" s="2" t="s">
        <v>77</v>
      </c>
      <c r="L2380" s="2" t="s">
        <v>139</v>
      </c>
      <c r="M2380" s="2" t="s">
        <v>140</v>
      </c>
      <c r="N2380" s="2" t="s">
        <v>2095</v>
      </c>
      <c r="O2380" s="2" t="s">
        <v>115</v>
      </c>
      <c r="P2380" s="2" t="str">
        <f>"2170562930                    "</f>
        <v xml:space="preserve">2170562930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4.29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1</v>
      </c>
      <c r="BJ2380" s="2">
        <v>0.2</v>
      </c>
      <c r="BK2380" s="2">
        <v>1</v>
      </c>
      <c r="BL2380" s="2">
        <v>41.73</v>
      </c>
      <c r="BM2380" s="2">
        <v>5.84</v>
      </c>
      <c r="BN2380" s="2">
        <v>47.57</v>
      </c>
      <c r="BO2380" s="2">
        <v>47.57</v>
      </c>
      <c r="BP2380" s="2"/>
      <c r="BQ2380" s="2" t="s">
        <v>2096</v>
      </c>
      <c r="BR2380" s="2" t="s">
        <v>84</v>
      </c>
      <c r="BS2380" s="3">
        <v>42845</v>
      </c>
      <c r="BT2380" s="4">
        <v>0.41250000000000003</v>
      </c>
      <c r="BU2380" s="2" t="s">
        <v>2748</v>
      </c>
      <c r="BV2380" s="2" t="s">
        <v>111</v>
      </c>
      <c r="BW2380" s="2"/>
      <c r="BX2380" s="2"/>
      <c r="BY2380" s="2">
        <v>1200</v>
      </c>
      <c r="BZ2380" s="2"/>
      <c r="CA2380" s="2" t="s">
        <v>2749</v>
      </c>
      <c r="CB2380" s="2"/>
      <c r="CC2380" s="2" t="s">
        <v>140</v>
      </c>
      <c r="CD2380" s="2">
        <v>157</v>
      </c>
      <c r="CE2380" s="2" t="s">
        <v>118</v>
      </c>
      <c r="CF2380" s="5">
        <v>42849</v>
      </c>
      <c r="CG2380" s="2"/>
      <c r="CH2380" s="2"/>
      <c r="CI2380" s="2">
        <v>0</v>
      </c>
      <c r="CJ2380" s="2">
        <v>0</v>
      </c>
      <c r="CK2380" s="2">
        <v>21</v>
      </c>
      <c r="CL2380" s="2" t="s">
        <v>86</v>
      </c>
      <c r="CM2380" s="2"/>
    </row>
    <row r="2381" spans="1:91">
      <c r="A2381" s="2" t="s">
        <v>71</v>
      </c>
      <c r="B2381" s="2" t="s">
        <v>72</v>
      </c>
      <c r="C2381" s="2" t="s">
        <v>73</v>
      </c>
      <c r="D2381" s="2"/>
      <c r="E2381" s="2" t="str">
        <f>"FES1162544341"</f>
        <v>FES1162544341</v>
      </c>
      <c r="F2381" s="3">
        <v>42844</v>
      </c>
      <c r="G2381" s="2">
        <v>201710</v>
      </c>
      <c r="H2381" s="2" t="s">
        <v>74</v>
      </c>
      <c r="I2381" s="2" t="s">
        <v>75</v>
      </c>
      <c r="J2381" s="2" t="s">
        <v>76</v>
      </c>
      <c r="K2381" s="2" t="s">
        <v>77</v>
      </c>
      <c r="L2381" s="2" t="s">
        <v>267</v>
      </c>
      <c r="M2381" s="2" t="s">
        <v>268</v>
      </c>
      <c r="N2381" s="2" t="s">
        <v>2653</v>
      </c>
      <c r="O2381" s="2" t="s">
        <v>115</v>
      </c>
      <c r="P2381" s="2" t="str">
        <f>"2170562945                    "</f>
        <v xml:space="preserve">2170562945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3.35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1</v>
      </c>
      <c r="BJ2381" s="2">
        <v>0.2</v>
      </c>
      <c r="BK2381" s="2">
        <v>1</v>
      </c>
      <c r="BL2381" s="2">
        <v>32.6</v>
      </c>
      <c r="BM2381" s="2">
        <v>4.5599999999999996</v>
      </c>
      <c r="BN2381" s="2">
        <v>37.159999999999997</v>
      </c>
      <c r="BO2381" s="2">
        <v>37.159999999999997</v>
      </c>
      <c r="BP2381" s="2"/>
      <c r="BQ2381" s="2" t="s">
        <v>2654</v>
      </c>
      <c r="BR2381" s="2" t="s">
        <v>84</v>
      </c>
      <c r="BS2381" s="3">
        <v>42845</v>
      </c>
      <c r="BT2381" s="4">
        <v>0.41666666666666669</v>
      </c>
      <c r="BU2381" s="2" t="s">
        <v>2655</v>
      </c>
      <c r="BV2381" s="2" t="s">
        <v>111</v>
      </c>
      <c r="BW2381" s="2"/>
      <c r="BX2381" s="2"/>
      <c r="BY2381" s="2">
        <v>1200</v>
      </c>
      <c r="BZ2381" s="2"/>
      <c r="CA2381" s="2" t="s">
        <v>159</v>
      </c>
      <c r="CB2381" s="2"/>
      <c r="CC2381" s="2" t="s">
        <v>268</v>
      </c>
      <c r="CD2381" s="2">
        <v>1700</v>
      </c>
      <c r="CE2381" s="2" t="s">
        <v>118</v>
      </c>
      <c r="CF2381" s="5">
        <v>42846</v>
      </c>
      <c r="CG2381" s="2"/>
      <c r="CH2381" s="2"/>
      <c r="CI2381" s="2">
        <v>1</v>
      </c>
      <c r="CJ2381" s="2">
        <v>1</v>
      </c>
      <c r="CK2381" s="2">
        <v>22</v>
      </c>
      <c r="CL2381" s="2" t="s">
        <v>86</v>
      </c>
      <c r="CM2381" s="2"/>
    </row>
    <row r="2382" spans="1:91">
      <c r="A2382" s="2" t="s">
        <v>71</v>
      </c>
      <c r="B2382" s="2" t="s">
        <v>72</v>
      </c>
      <c r="C2382" s="2" t="s">
        <v>73</v>
      </c>
      <c r="D2382" s="2"/>
      <c r="E2382" s="2" t="str">
        <f>"FES1162544361"</f>
        <v>FES1162544361</v>
      </c>
      <c r="F2382" s="3">
        <v>42844</v>
      </c>
      <c r="G2382" s="2">
        <v>201710</v>
      </c>
      <c r="H2382" s="2" t="s">
        <v>74</v>
      </c>
      <c r="I2382" s="2" t="s">
        <v>75</v>
      </c>
      <c r="J2382" s="2" t="s">
        <v>76</v>
      </c>
      <c r="K2382" s="2" t="s">
        <v>77</v>
      </c>
      <c r="L2382" s="2" t="s">
        <v>139</v>
      </c>
      <c r="M2382" s="2" t="s">
        <v>140</v>
      </c>
      <c r="N2382" s="2" t="s">
        <v>645</v>
      </c>
      <c r="O2382" s="2" t="s">
        <v>115</v>
      </c>
      <c r="P2382" s="2" t="str">
        <f>"2170562962                    "</f>
        <v xml:space="preserve">2170562962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4.29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1</v>
      </c>
      <c r="BJ2382" s="2">
        <v>0.2</v>
      </c>
      <c r="BK2382" s="2">
        <v>1</v>
      </c>
      <c r="BL2382" s="2">
        <v>41.73</v>
      </c>
      <c r="BM2382" s="2">
        <v>5.84</v>
      </c>
      <c r="BN2382" s="2">
        <v>47.57</v>
      </c>
      <c r="BO2382" s="2">
        <v>47.57</v>
      </c>
      <c r="BP2382" s="2"/>
      <c r="BQ2382" s="2" t="s">
        <v>646</v>
      </c>
      <c r="BR2382" s="2" t="s">
        <v>84</v>
      </c>
      <c r="BS2382" s="3">
        <v>42845</v>
      </c>
      <c r="BT2382" s="4">
        <v>0.39652777777777781</v>
      </c>
      <c r="BU2382" s="2" t="s">
        <v>647</v>
      </c>
      <c r="BV2382" s="2" t="s">
        <v>111</v>
      </c>
      <c r="BW2382" s="2"/>
      <c r="BX2382" s="2"/>
      <c r="BY2382" s="2">
        <v>1200</v>
      </c>
      <c r="BZ2382" s="2"/>
      <c r="CA2382" s="2"/>
      <c r="CB2382" s="2"/>
      <c r="CC2382" s="2" t="s">
        <v>140</v>
      </c>
      <c r="CD2382" s="2">
        <v>157</v>
      </c>
      <c r="CE2382" s="2" t="s">
        <v>118</v>
      </c>
      <c r="CF2382" s="5">
        <v>42849</v>
      </c>
      <c r="CG2382" s="2"/>
      <c r="CH2382" s="2"/>
      <c r="CI2382" s="2">
        <v>0</v>
      </c>
      <c r="CJ2382" s="2">
        <v>0</v>
      </c>
      <c r="CK2382" s="2">
        <v>21</v>
      </c>
      <c r="CL2382" s="2" t="s">
        <v>86</v>
      </c>
      <c r="CM2382" s="2"/>
    </row>
    <row r="2383" spans="1:91">
      <c r="A2383" s="2" t="s">
        <v>71</v>
      </c>
      <c r="B2383" s="2" t="s">
        <v>72</v>
      </c>
      <c r="C2383" s="2" t="s">
        <v>73</v>
      </c>
      <c r="D2383" s="2"/>
      <c r="E2383" s="2" t="str">
        <f>"FES1162544386"</f>
        <v>FES1162544386</v>
      </c>
      <c r="F2383" s="3">
        <v>42844</v>
      </c>
      <c r="G2383" s="2">
        <v>201710</v>
      </c>
      <c r="H2383" s="2" t="s">
        <v>74</v>
      </c>
      <c r="I2383" s="2" t="s">
        <v>75</v>
      </c>
      <c r="J2383" s="2" t="s">
        <v>76</v>
      </c>
      <c r="K2383" s="2" t="s">
        <v>77</v>
      </c>
      <c r="L2383" s="2" t="s">
        <v>99</v>
      </c>
      <c r="M2383" s="2" t="s">
        <v>100</v>
      </c>
      <c r="N2383" s="2" t="s">
        <v>108</v>
      </c>
      <c r="O2383" s="2" t="s">
        <v>115</v>
      </c>
      <c r="P2383" s="2" t="str">
        <f>"2170556464                    "</f>
        <v xml:space="preserve">2170556464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20.36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5.7</v>
      </c>
      <c r="BJ2383" s="2">
        <v>9.1999999999999993</v>
      </c>
      <c r="BK2383" s="2">
        <v>9.5</v>
      </c>
      <c r="BL2383" s="2">
        <v>198.2</v>
      </c>
      <c r="BM2383" s="2">
        <v>27.75</v>
      </c>
      <c r="BN2383" s="2">
        <v>225.95</v>
      </c>
      <c r="BO2383" s="2">
        <v>225.95</v>
      </c>
      <c r="BP2383" s="2"/>
      <c r="BQ2383" s="2" t="s">
        <v>109</v>
      </c>
      <c r="BR2383" s="2" t="s">
        <v>84</v>
      </c>
      <c r="BS2383" s="3">
        <v>42845</v>
      </c>
      <c r="BT2383" s="4">
        <v>0.37847222222222227</v>
      </c>
      <c r="BU2383" s="2" t="s">
        <v>109</v>
      </c>
      <c r="BV2383" s="2" t="s">
        <v>111</v>
      </c>
      <c r="BW2383" s="2"/>
      <c r="BX2383" s="2"/>
      <c r="BY2383" s="2">
        <v>45875.56</v>
      </c>
      <c r="BZ2383" s="2"/>
      <c r="CA2383" s="2"/>
      <c r="CB2383" s="2"/>
      <c r="CC2383" s="2" t="s">
        <v>100</v>
      </c>
      <c r="CD2383" s="2">
        <v>6001</v>
      </c>
      <c r="CE2383" s="2" t="s">
        <v>89</v>
      </c>
      <c r="CF2383" s="5">
        <v>42846</v>
      </c>
      <c r="CG2383" s="2"/>
      <c r="CH2383" s="2"/>
      <c r="CI2383" s="2">
        <v>1</v>
      </c>
      <c r="CJ2383" s="2">
        <v>1</v>
      </c>
      <c r="CK2383" s="2">
        <v>21</v>
      </c>
      <c r="CL2383" s="2" t="s">
        <v>86</v>
      </c>
      <c r="CM2383" s="2"/>
    </row>
    <row r="2384" spans="1:91">
      <c r="A2384" s="2" t="s">
        <v>71</v>
      </c>
      <c r="B2384" s="2" t="s">
        <v>72</v>
      </c>
      <c r="C2384" s="2" t="s">
        <v>73</v>
      </c>
      <c r="D2384" s="2"/>
      <c r="E2384" s="2" t="str">
        <f>"FES1162544337"</f>
        <v>FES1162544337</v>
      </c>
      <c r="F2384" s="3">
        <v>42844</v>
      </c>
      <c r="G2384" s="2">
        <v>201710</v>
      </c>
      <c r="H2384" s="2" t="s">
        <v>74</v>
      </c>
      <c r="I2384" s="2" t="s">
        <v>75</v>
      </c>
      <c r="J2384" s="2" t="s">
        <v>76</v>
      </c>
      <c r="K2384" s="2" t="s">
        <v>77</v>
      </c>
      <c r="L2384" s="2" t="s">
        <v>260</v>
      </c>
      <c r="M2384" s="2" t="s">
        <v>261</v>
      </c>
      <c r="N2384" s="2" t="s">
        <v>470</v>
      </c>
      <c r="O2384" s="2" t="s">
        <v>115</v>
      </c>
      <c r="P2384" s="2" t="str">
        <f>"2170562913                    "</f>
        <v xml:space="preserve">2170562913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3.35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1</v>
      </c>
      <c r="BJ2384" s="2">
        <v>0.2</v>
      </c>
      <c r="BK2384" s="2">
        <v>1</v>
      </c>
      <c r="BL2384" s="2">
        <v>32.6</v>
      </c>
      <c r="BM2384" s="2">
        <v>4.5599999999999996</v>
      </c>
      <c r="BN2384" s="2">
        <v>37.159999999999997</v>
      </c>
      <c r="BO2384" s="2">
        <v>37.159999999999997</v>
      </c>
      <c r="BP2384" s="2"/>
      <c r="BQ2384" s="2" t="s">
        <v>471</v>
      </c>
      <c r="BR2384" s="2" t="s">
        <v>84</v>
      </c>
      <c r="BS2384" s="3">
        <v>42845</v>
      </c>
      <c r="BT2384" s="4">
        <v>0.3125</v>
      </c>
      <c r="BU2384" s="2" t="s">
        <v>2750</v>
      </c>
      <c r="BV2384" s="2" t="s">
        <v>111</v>
      </c>
      <c r="BW2384" s="2"/>
      <c r="BX2384" s="2"/>
      <c r="BY2384" s="2">
        <v>1200</v>
      </c>
      <c r="BZ2384" s="2"/>
      <c r="CA2384" s="2"/>
      <c r="CB2384" s="2"/>
      <c r="CC2384" s="2" t="s">
        <v>261</v>
      </c>
      <c r="CD2384" s="2">
        <v>1449</v>
      </c>
      <c r="CE2384" s="2" t="s">
        <v>118</v>
      </c>
      <c r="CF2384" s="5">
        <v>42846</v>
      </c>
      <c r="CG2384" s="2"/>
      <c r="CH2384" s="2"/>
      <c r="CI2384" s="2">
        <v>1</v>
      </c>
      <c r="CJ2384" s="2">
        <v>1</v>
      </c>
      <c r="CK2384" s="2">
        <v>22</v>
      </c>
      <c r="CL2384" s="2" t="s">
        <v>86</v>
      </c>
      <c r="CM2384" s="2"/>
    </row>
    <row r="2385" spans="1:91">
      <c r="A2385" s="2" t="s">
        <v>71</v>
      </c>
      <c r="B2385" s="2" t="s">
        <v>72</v>
      </c>
      <c r="C2385" s="2" t="s">
        <v>73</v>
      </c>
      <c r="D2385" s="2"/>
      <c r="E2385" s="2" t="str">
        <f>"FES1162544439"</f>
        <v>FES1162544439</v>
      </c>
      <c r="F2385" s="3">
        <v>42844</v>
      </c>
      <c r="G2385" s="2">
        <v>201710</v>
      </c>
      <c r="H2385" s="2" t="s">
        <v>74</v>
      </c>
      <c r="I2385" s="2" t="s">
        <v>75</v>
      </c>
      <c r="J2385" s="2" t="s">
        <v>76</v>
      </c>
      <c r="K2385" s="2" t="s">
        <v>77</v>
      </c>
      <c r="L2385" s="2" t="s">
        <v>99</v>
      </c>
      <c r="M2385" s="2" t="s">
        <v>100</v>
      </c>
      <c r="N2385" s="2" t="s">
        <v>876</v>
      </c>
      <c r="O2385" s="2" t="s">
        <v>115</v>
      </c>
      <c r="P2385" s="2" t="str">
        <f>"2170563034                    "</f>
        <v xml:space="preserve">2170563034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12.86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5.7</v>
      </c>
      <c r="BJ2385" s="2">
        <v>4.7</v>
      </c>
      <c r="BK2385" s="2">
        <v>6</v>
      </c>
      <c r="BL2385" s="2">
        <v>125.18</v>
      </c>
      <c r="BM2385" s="2">
        <v>17.53</v>
      </c>
      <c r="BN2385" s="2">
        <v>142.71</v>
      </c>
      <c r="BO2385" s="2">
        <v>142.71</v>
      </c>
      <c r="BP2385" s="2"/>
      <c r="BQ2385" s="2" t="s">
        <v>877</v>
      </c>
      <c r="BR2385" s="2" t="s">
        <v>84</v>
      </c>
      <c r="BS2385" s="3">
        <v>42845</v>
      </c>
      <c r="BT2385" s="4">
        <v>0.29166666666666669</v>
      </c>
      <c r="BU2385" s="2" t="s">
        <v>2751</v>
      </c>
      <c r="BV2385" s="2" t="s">
        <v>111</v>
      </c>
      <c r="BW2385" s="2"/>
      <c r="BX2385" s="2"/>
      <c r="BY2385" s="2">
        <v>23504.42</v>
      </c>
      <c r="BZ2385" s="2"/>
      <c r="CA2385" s="2" t="s">
        <v>106</v>
      </c>
      <c r="CB2385" s="2"/>
      <c r="CC2385" s="2" t="s">
        <v>100</v>
      </c>
      <c r="CD2385" s="2">
        <v>6012</v>
      </c>
      <c r="CE2385" s="2" t="s">
        <v>89</v>
      </c>
      <c r="CF2385" s="5">
        <v>42845</v>
      </c>
      <c r="CG2385" s="2"/>
      <c r="CH2385" s="2"/>
      <c r="CI2385" s="2">
        <v>1</v>
      </c>
      <c r="CJ2385" s="2">
        <v>1</v>
      </c>
      <c r="CK2385" s="2">
        <v>21</v>
      </c>
      <c r="CL2385" s="2" t="s">
        <v>86</v>
      </c>
      <c r="CM2385" s="2"/>
    </row>
    <row r="2386" spans="1:91">
      <c r="A2386" s="2" t="s">
        <v>71</v>
      </c>
      <c r="B2386" s="2" t="s">
        <v>72</v>
      </c>
      <c r="C2386" s="2" t="s">
        <v>73</v>
      </c>
      <c r="D2386" s="2"/>
      <c r="E2386" s="2" t="str">
        <f>"FES1162544329"</f>
        <v>FES1162544329</v>
      </c>
      <c r="F2386" s="3">
        <v>42844</v>
      </c>
      <c r="G2386" s="2">
        <v>201710</v>
      </c>
      <c r="H2386" s="2" t="s">
        <v>74</v>
      </c>
      <c r="I2386" s="2" t="s">
        <v>75</v>
      </c>
      <c r="J2386" s="2" t="s">
        <v>76</v>
      </c>
      <c r="K2386" s="2" t="s">
        <v>77</v>
      </c>
      <c r="L2386" s="2" t="s">
        <v>358</v>
      </c>
      <c r="M2386" s="2" t="s">
        <v>359</v>
      </c>
      <c r="N2386" s="2" t="s">
        <v>1672</v>
      </c>
      <c r="O2386" s="2" t="s">
        <v>255</v>
      </c>
      <c r="P2386" s="2" t="str">
        <f>"1162544354                    "</f>
        <v xml:space="preserve">1162544354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351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44.48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1</v>
      </c>
      <c r="BJ2386" s="2">
        <v>0.2</v>
      </c>
      <c r="BK2386" s="2">
        <v>1</v>
      </c>
      <c r="BL2386" s="2">
        <v>432.92</v>
      </c>
      <c r="BM2386" s="2">
        <v>60.61</v>
      </c>
      <c r="BN2386" s="2">
        <v>493.53</v>
      </c>
      <c r="BO2386" s="2">
        <v>493.53</v>
      </c>
      <c r="BP2386" s="2" t="s">
        <v>2752</v>
      </c>
      <c r="BQ2386" s="2" t="s">
        <v>2753</v>
      </c>
      <c r="BR2386" s="2" t="s">
        <v>84</v>
      </c>
      <c r="BS2386" s="3">
        <v>42844</v>
      </c>
      <c r="BT2386" s="4">
        <v>0.88194444444444453</v>
      </c>
      <c r="BU2386" s="2" t="s">
        <v>2754</v>
      </c>
      <c r="BV2386" s="2" t="s">
        <v>111</v>
      </c>
      <c r="BW2386" s="2"/>
      <c r="BX2386" s="2"/>
      <c r="BY2386" s="2">
        <v>1200</v>
      </c>
      <c r="BZ2386" s="2" t="s">
        <v>24</v>
      </c>
      <c r="CA2386" s="2"/>
      <c r="CB2386" s="2"/>
      <c r="CC2386" s="2" t="s">
        <v>359</v>
      </c>
      <c r="CD2386" s="2">
        <v>6230</v>
      </c>
      <c r="CE2386" s="2" t="s">
        <v>118</v>
      </c>
      <c r="CF2386" s="5">
        <v>42846</v>
      </c>
      <c r="CG2386" s="2"/>
      <c r="CH2386" s="2"/>
      <c r="CI2386" s="2">
        <v>0</v>
      </c>
      <c r="CJ2386" s="2">
        <v>0</v>
      </c>
      <c r="CK2386" s="2">
        <v>21</v>
      </c>
      <c r="CL2386" s="2" t="s">
        <v>86</v>
      </c>
      <c r="CM2386" s="2"/>
    </row>
    <row r="2387" spans="1:91">
      <c r="A2387" s="2" t="s">
        <v>71</v>
      </c>
      <c r="B2387" s="2" t="s">
        <v>72</v>
      </c>
      <c r="C2387" s="2" t="s">
        <v>73</v>
      </c>
      <c r="D2387" s="2"/>
      <c r="E2387" s="2" t="str">
        <f>"FES1162544441"</f>
        <v>FES1162544441</v>
      </c>
      <c r="F2387" s="3">
        <v>42844</v>
      </c>
      <c r="G2387" s="2">
        <v>201710</v>
      </c>
      <c r="H2387" s="2" t="s">
        <v>74</v>
      </c>
      <c r="I2387" s="2" t="s">
        <v>75</v>
      </c>
      <c r="J2387" s="2" t="s">
        <v>76</v>
      </c>
      <c r="K2387" s="2" t="s">
        <v>77</v>
      </c>
      <c r="L2387" s="2" t="s">
        <v>99</v>
      </c>
      <c r="M2387" s="2" t="s">
        <v>100</v>
      </c>
      <c r="N2387" s="2" t="s">
        <v>876</v>
      </c>
      <c r="O2387" s="2" t="s">
        <v>115</v>
      </c>
      <c r="P2387" s="2" t="str">
        <f>"2170563037                    "</f>
        <v xml:space="preserve">2170563037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4.29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1</v>
      </c>
      <c r="BJ2387" s="2">
        <v>0.2</v>
      </c>
      <c r="BK2387" s="2">
        <v>1</v>
      </c>
      <c r="BL2387" s="2">
        <v>41.73</v>
      </c>
      <c r="BM2387" s="2">
        <v>5.84</v>
      </c>
      <c r="BN2387" s="2">
        <v>47.57</v>
      </c>
      <c r="BO2387" s="2">
        <v>47.57</v>
      </c>
      <c r="BP2387" s="2"/>
      <c r="BQ2387" s="2" t="s">
        <v>877</v>
      </c>
      <c r="BR2387" s="2" t="s">
        <v>84</v>
      </c>
      <c r="BS2387" s="3">
        <v>42845</v>
      </c>
      <c r="BT2387" s="4">
        <v>0.29166666666666669</v>
      </c>
      <c r="BU2387" s="2" t="s">
        <v>2705</v>
      </c>
      <c r="BV2387" s="2" t="s">
        <v>111</v>
      </c>
      <c r="BW2387" s="2"/>
      <c r="BX2387" s="2"/>
      <c r="BY2387" s="2">
        <v>1200</v>
      </c>
      <c r="BZ2387" s="2"/>
      <c r="CA2387" s="2" t="s">
        <v>106</v>
      </c>
      <c r="CB2387" s="2"/>
      <c r="CC2387" s="2" t="s">
        <v>100</v>
      </c>
      <c r="CD2387" s="2">
        <v>6012</v>
      </c>
      <c r="CE2387" s="2" t="s">
        <v>118</v>
      </c>
      <c r="CF2387" s="5">
        <v>42845</v>
      </c>
      <c r="CG2387" s="2"/>
      <c r="CH2387" s="2"/>
      <c r="CI2387" s="2">
        <v>1</v>
      </c>
      <c r="CJ2387" s="2">
        <v>1</v>
      </c>
      <c r="CK2387" s="2">
        <v>21</v>
      </c>
      <c r="CL2387" s="2" t="s">
        <v>86</v>
      </c>
      <c r="CM2387" s="2"/>
    </row>
    <row r="2388" spans="1:91">
      <c r="A2388" s="2" t="s">
        <v>71</v>
      </c>
      <c r="B2388" s="2" t="s">
        <v>72</v>
      </c>
      <c r="C2388" s="2" t="s">
        <v>73</v>
      </c>
      <c r="D2388" s="2"/>
      <c r="E2388" s="2" t="str">
        <f>"FES1162544387"</f>
        <v>FES1162544387</v>
      </c>
      <c r="F2388" s="3">
        <v>42844</v>
      </c>
      <c r="G2388" s="2">
        <v>201710</v>
      </c>
      <c r="H2388" s="2" t="s">
        <v>74</v>
      </c>
      <c r="I2388" s="2" t="s">
        <v>75</v>
      </c>
      <c r="J2388" s="2" t="s">
        <v>76</v>
      </c>
      <c r="K2388" s="2" t="s">
        <v>77</v>
      </c>
      <c r="L2388" s="2" t="s">
        <v>99</v>
      </c>
      <c r="M2388" s="2" t="s">
        <v>100</v>
      </c>
      <c r="N2388" s="2" t="s">
        <v>108</v>
      </c>
      <c r="O2388" s="2" t="s">
        <v>115</v>
      </c>
      <c r="P2388" s="2" t="str">
        <f>"2170557070                    "</f>
        <v xml:space="preserve">2170557070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49.3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9.4</v>
      </c>
      <c r="BJ2388" s="2">
        <v>22.6</v>
      </c>
      <c r="BK2388" s="2">
        <v>23</v>
      </c>
      <c r="BL2388" s="2">
        <v>479.86</v>
      </c>
      <c r="BM2388" s="2">
        <v>67.180000000000007</v>
      </c>
      <c r="BN2388" s="2">
        <v>547.04</v>
      </c>
      <c r="BO2388" s="2">
        <v>547.04</v>
      </c>
      <c r="BP2388" s="2"/>
      <c r="BQ2388" s="2" t="s">
        <v>109</v>
      </c>
      <c r="BR2388" s="2" t="s">
        <v>84</v>
      </c>
      <c r="BS2388" s="3">
        <v>42845</v>
      </c>
      <c r="BT2388" s="4">
        <v>0.37847222222222227</v>
      </c>
      <c r="BU2388" s="2" t="s">
        <v>109</v>
      </c>
      <c r="BV2388" s="2" t="s">
        <v>111</v>
      </c>
      <c r="BW2388" s="2"/>
      <c r="BX2388" s="2"/>
      <c r="BY2388" s="2">
        <v>112908</v>
      </c>
      <c r="BZ2388" s="2"/>
      <c r="CA2388" s="2"/>
      <c r="CB2388" s="2"/>
      <c r="CC2388" s="2" t="s">
        <v>100</v>
      </c>
      <c r="CD2388" s="2">
        <v>6001</v>
      </c>
      <c r="CE2388" s="2" t="s">
        <v>89</v>
      </c>
      <c r="CF2388" s="5">
        <v>42846</v>
      </c>
      <c r="CG2388" s="2"/>
      <c r="CH2388" s="2"/>
      <c r="CI2388" s="2">
        <v>1</v>
      </c>
      <c r="CJ2388" s="2">
        <v>1</v>
      </c>
      <c r="CK2388" s="2">
        <v>21</v>
      </c>
      <c r="CL2388" s="2" t="s">
        <v>86</v>
      </c>
      <c r="CM2388" s="2"/>
    </row>
    <row r="2389" spans="1:91">
      <c r="A2389" s="2" t="s">
        <v>71</v>
      </c>
      <c r="B2389" s="2" t="s">
        <v>72</v>
      </c>
      <c r="C2389" s="2" t="s">
        <v>73</v>
      </c>
      <c r="D2389" s="2"/>
      <c r="E2389" s="2" t="str">
        <f>"FES1162544402"</f>
        <v>FES1162544402</v>
      </c>
      <c r="F2389" s="3">
        <v>42844</v>
      </c>
      <c r="G2389" s="2">
        <v>201710</v>
      </c>
      <c r="H2389" s="2" t="s">
        <v>74</v>
      </c>
      <c r="I2389" s="2" t="s">
        <v>75</v>
      </c>
      <c r="J2389" s="2" t="s">
        <v>76</v>
      </c>
      <c r="K2389" s="2" t="s">
        <v>77</v>
      </c>
      <c r="L2389" s="2" t="s">
        <v>99</v>
      </c>
      <c r="M2389" s="2" t="s">
        <v>100</v>
      </c>
      <c r="N2389" s="2" t="s">
        <v>914</v>
      </c>
      <c r="O2389" s="2" t="s">
        <v>115</v>
      </c>
      <c r="P2389" s="2" t="str">
        <f>"2170557920                    "</f>
        <v xml:space="preserve">2170557920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13.93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2</v>
      </c>
      <c r="BI2389" s="2">
        <v>6.2</v>
      </c>
      <c r="BJ2389" s="2">
        <v>4.7</v>
      </c>
      <c r="BK2389" s="2">
        <v>6.5</v>
      </c>
      <c r="BL2389" s="2">
        <v>135.61000000000001</v>
      </c>
      <c r="BM2389" s="2">
        <v>18.989999999999998</v>
      </c>
      <c r="BN2389" s="2">
        <v>154.6</v>
      </c>
      <c r="BO2389" s="2">
        <v>154.6</v>
      </c>
      <c r="BP2389" s="2"/>
      <c r="BQ2389" s="2" t="s">
        <v>915</v>
      </c>
      <c r="BR2389" s="2" t="s">
        <v>84</v>
      </c>
      <c r="BS2389" s="3">
        <v>42845</v>
      </c>
      <c r="BT2389" s="4">
        <v>0.38125000000000003</v>
      </c>
      <c r="BU2389" s="2" t="s">
        <v>2755</v>
      </c>
      <c r="BV2389" s="2" t="s">
        <v>111</v>
      </c>
      <c r="BW2389" s="2"/>
      <c r="BX2389" s="2"/>
      <c r="BY2389" s="2">
        <v>23431.360000000001</v>
      </c>
      <c r="BZ2389" s="2"/>
      <c r="CA2389" s="2" t="s">
        <v>154</v>
      </c>
      <c r="CB2389" s="2"/>
      <c r="CC2389" s="2" t="s">
        <v>100</v>
      </c>
      <c r="CD2389" s="2">
        <v>6001</v>
      </c>
      <c r="CE2389" s="2" t="s">
        <v>89</v>
      </c>
      <c r="CF2389" s="5">
        <v>42845</v>
      </c>
      <c r="CG2389" s="2"/>
      <c r="CH2389" s="2"/>
      <c r="CI2389" s="2">
        <v>1</v>
      </c>
      <c r="CJ2389" s="2">
        <v>1</v>
      </c>
      <c r="CK2389" s="2">
        <v>21</v>
      </c>
      <c r="CL2389" s="2" t="s">
        <v>86</v>
      </c>
      <c r="CM2389" s="2"/>
    </row>
    <row r="2390" spans="1:91">
      <c r="A2390" s="2" t="s">
        <v>71</v>
      </c>
      <c r="B2390" s="2" t="s">
        <v>72</v>
      </c>
      <c r="C2390" s="2" t="s">
        <v>73</v>
      </c>
      <c r="D2390" s="2"/>
      <c r="E2390" s="2" t="str">
        <f>"FES1162544432"</f>
        <v>FES1162544432</v>
      </c>
      <c r="F2390" s="3">
        <v>42844</v>
      </c>
      <c r="G2390" s="2">
        <v>201710</v>
      </c>
      <c r="H2390" s="2" t="s">
        <v>74</v>
      </c>
      <c r="I2390" s="2" t="s">
        <v>75</v>
      </c>
      <c r="J2390" s="2" t="s">
        <v>76</v>
      </c>
      <c r="K2390" s="2" t="s">
        <v>77</v>
      </c>
      <c r="L2390" s="2" t="s">
        <v>160</v>
      </c>
      <c r="M2390" s="2" t="s">
        <v>161</v>
      </c>
      <c r="N2390" s="2" t="s">
        <v>1619</v>
      </c>
      <c r="O2390" s="2" t="s">
        <v>115</v>
      </c>
      <c r="P2390" s="2" t="str">
        <f>"2170563036                    "</f>
        <v xml:space="preserve">2170563036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4.29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1</v>
      </c>
      <c r="BJ2390" s="2">
        <v>0.2</v>
      </c>
      <c r="BK2390" s="2">
        <v>1</v>
      </c>
      <c r="BL2390" s="2">
        <v>41.73</v>
      </c>
      <c r="BM2390" s="2">
        <v>5.84</v>
      </c>
      <c r="BN2390" s="2">
        <v>47.57</v>
      </c>
      <c r="BO2390" s="2">
        <v>47.57</v>
      </c>
      <c r="BP2390" s="2"/>
      <c r="BQ2390" s="2" t="s">
        <v>129</v>
      </c>
      <c r="BR2390" s="2" t="s">
        <v>84</v>
      </c>
      <c r="BS2390" s="3">
        <v>42845</v>
      </c>
      <c r="BT2390" s="4">
        <v>0.41666666666666669</v>
      </c>
      <c r="BU2390" s="2" t="s">
        <v>1518</v>
      </c>
      <c r="BV2390" s="2" t="s">
        <v>111</v>
      </c>
      <c r="BW2390" s="2"/>
      <c r="BX2390" s="2"/>
      <c r="BY2390" s="2">
        <v>1200</v>
      </c>
      <c r="BZ2390" s="2"/>
      <c r="CA2390" s="2"/>
      <c r="CB2390" s="2"/>
      <c r="CC2390" s="2" t="s">
        <v>161</v>
      </c>
      <c r="CD2390" s="2">
        <v>5201</v>
      </c>
      <c r="CE2390" s="2" t="s">
        <v>118</v>
      </c>
      <c r="CF2390" s="5">
        <v>42849</v>
      </c>
      <c r="CG2390" s="2"/>
      <c r="CH2390" s="2"/>
      <c r="CI2390" s="2">
        <v>1</v>
      </c>
      <c r="CJ2390" s="2">
        <v>1</v>
      </c>
      <c r="CK2390" s="2">
        <v>21</v>
      </c>
      <c r="CL2390" s="2" t="s">
        <v>86</v>
      </c>
      <c r="CM2390" s="2"/>
    </row>
    <row r="2391" spans="1:91">
      <c r="A2391" s="2" t="s">
        <v>71</v>
      </c>
      <c r="B2391" s="2" t="s">
        <v>72</v>
      </c>
      <c r="C2391" s="2" t="s">
        <v>73</v>
      </c>
      <c r="D2391" s="2"/>
      <c r="E2391" s="2" t="str">
        <f>"FES1162544385"</f>
        <v>FES1162544385</v>
      </c>
      <c r="F2391" s="3">
        <v>42844</v>
      </c>
      <c r="G2391" s="2">
        <v>201710</v>
      </c>
      <c r="H2391" s="2" t="s">
        <v>74</v>
      </c>
      <c r="I2391" s="2" t="s">
        <v>75</v>
      </c>
      <c r="J2391" s="2" t="s">
        <v>76</v>
      </c>
      <c r="K2391" s="2" t="s">
        <v>77</v>
      </c>
      <c r="L2391" s="2" t="s">
        <v>99</v>
      </c>
      <c r="M2391" s="2" t="s">
        <v>100</v>
      </c>
      <c r="N2391" s="2" t="s">
        <v>108</v>
      </c>
      <c r="O2391" s="2" t="s">
        <v>115</v>
      </c>
      <c r="P2391" s="2" t="str">
        <f>"2170554775                    "</f>
        <v xml:space="preserve">2170554775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16.079999999999998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4</v>
      </c>
      <c r="BJ2391" s="2">
        <v>7.1</v>
      </c>
      <c r="BK2391" s="2">
        <v>7.5</v>
      </c>
      <c r="BL2391" s="2">
        <v>156.47999999999999</v>
      </c>
      <c r="BM2391" s="2">
        <v>21.91</v>
      </c>
      <c r="BN2391" s="2">
        <v>178.39</v>
      </c>
      <c r="BO2391" s="2">
        <v>178.39</v>
      </c>
      <c r="BP2391" s="2"/>
      <c r="BQ2391" s="2" t="s">
        <v>109</v>
      </c>
      <c r="BR2391" s="2" t="s">
        <v>84</v>
      </c>
      <c r="BS2391" s="3">
        <v>42845</v>
      </c>
      <c r="BT2391" s="4">
        <v>0.37847222222222227</v>
      </c>
      <c r="BU2391" s="2" t="s">
        <v>109</v>
      </c>
      <c r="BV2391" s="2" t="s">
        <v>111</v>
      </c>
      <c r="BW2391" s="2"/>
      <c r="BX2391" s="2"/>
      <c r="BY2391" s="2">
        <v>35420</v>
      </c>
      <c r="BZ2391" s="2"/>
      <c r="CA2391" s="2"/>
      <c r="CB2391" s="2"/>
      <c r="CC2391" s="2" t="s">
        <v>100</v>
      </c>
      <c r="CD2391" s="2">
        <v>6001</v>
      </c>
      <c r="CE2391" s="2" t="s">
        <v>89</v>
      </c>
      <c r="CF2391" s="5">
        <v>42846</v>
      </c>
      <c r="CG2391" s="2"/>
      <c r="CH2391" s="2"/>
      <c r="CI2391" s="2">
        <v>1</v>
      </c>
      <c r="CJ2391" s="2">
        <v>1</v>
      </c>
      <c r="CK2391" s="2">
        <v>21</v>
      </c>
      <c r="CL2391" s="2" t="s">
        <v>86</v>
      </c>
      <c r="CM2391" s="2"/>
    </row>
    <row r="2392" spans="1:91">
      <c r="A2392" s="2" t="s">
        <v>71</v>
      </c>
      <c r="B2392" s="2" t="s">
        <v>72</v>
      </c>
      <c r="C2392" s="2" t="s">
        <v>73</v>
      </c>
      <c r="D2392" s="2"/>
      <c r="E2392" s="2" t="str">
        <f>"FES1162544428"</f>
        <v>FES1162544428</v>
      </c>
      <c r="F2392" s="3">
        <v>42844</v>
      </c>
      <c r="G2392" s="2">
        <v>201710</v>
      </c>
      <c r="H2392" s="2" t="s">
        <v>74</v>
      </c>
      <c r="I2392" s="2" t="s">
        <v>75</v>
      </c>
      <c r="J2392" s="2" t="s">
        <v>76</v>
      </c>
      <c r="K2392" s="2" t="s">
        <v>77</v>
      </c>
      <c r="L2392" s="2" t="s">
        <v>234</v>
      </c>
      <c r="M2392" s="2" t="s">
        <v>235</v>
      </c>
      <c r="N2392" s="2" t="s">
        <v>236</v>
      </c>
      <c r="O2392" s="2" t="s">
        <v>115</v>
      </c>
      <c r="P2392" s="2" t="str">
        <f>"2170562225                    "</f>
        <v xml:space="preserve">2170562225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4.29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1</v>
      </c>
      <c r="BJ2392" s="2">
        <v>0.2</v>
      </c>
      <c r="BK2392" s="2">
        <v>1</v>
      </c>
      <c r="BL2392" s="2">
        <v>41.73</v>
      </c>
      <c r="BM2392" s="2">
        <v>5.84</v>
      </c>
      <c r="BN2392" s="2">
        <v>47.57</v>
      </c>
      <c r="BO2392" s="2">
        <v>47.57</v>
      </c>
      <c r="BP2392" s="2"/>
      <c r="BQ2392" s="2" t="s">
        <v>285</v>
      </c>
      <c r="BR2392" s="2" t="s">
        <v>84</v>
      </c>
      <c r="BS2392" s="3">
        <v>42845</v>
      </c>
      <c r="BT2392" s="4">
        <v>0.33333333333333331</v>
      </c>
      <c r="BU2392" s="2" t="s">
        <v>2756</v>
      </c>
      <c r="BV2392" s="2" t="s">
        <v>111</v>
      </c>
      <c r="BW2392" s="2"/>
      <c r="BX2392" s="2"/>
      <c r="BY2392" s="2">
        <v>1200</v>
      </c>
      <c r="BZ2392" s="2"/>
      <c r="CA2392" s="2" t="s">
        <v>159</v>
      </c>
      <c r="CB2392" s="2"/>
      <c r="CC2392" s="2" t="s">
        <v>235</v>
      </c>
      <c r="CD2392" s="2">
        <v>6220</v>
      </c>
      <c r="CE2392" s="2" t="s">
        <v>118</v>
      </c>
      <c r="CF2392" s="5">
        <v>42846</v>
      </c>
      <c r="CG2392" s="2"/>
      <c r="CH2392" s="2"/>
      <c r="CI2392" s="2">
        <v>1</v>
      </c>
      <c r="CJ2392" s="2">
        <v>1</v>
      </c>
      <c r="CK2392" s="2">
        <v>21</v>
      </c>
      <c r="CL2392" s="2" t="s">
        <v>86</v>
      </c>
      <c r="CM2392" s="2"/>
    </row>
    <row r="2393" spans="1:91">
      <c r="A2393" s="2" t="s">
        <v>71</v>
      </c>
      <c r="B2393" s="2" t="s">
        <v>72</v>
      </c>
      <c r="C2393" s="2" t="s">
        <v>73</v>
      </c>
      <c r="D2393" s="2"/>
      <c r="E2393" s="2" t="str">
        <f>"FES1162544440"</f>
        <v>FES1162544440</v>
      </c>
      <c r="F2393" s="3">
        <v>42844</v>
      </c>
      <c r="G2393" s="2">
        <v>201710</v>
      </c>
      <c r="H2393" s="2" t="s">
        <v>74</v>
      </c>
      <c r="I2393" s="2" t="s">
        <v>75</v>
      </c>
      <c r="J2393" s="2" t="s">
        <v>76</v>
      </c>
      <c r="K2393" s="2" t="s">
        <v>77</v>
      </c>
      <c r="L2393" s="2" t="s">
        <v>139</v>
      </c>
      <c r="M2393" s="2" t="s">
        <v>140</v>
      </c>
      <c r="N2393" s="2" t="s">
        <v>2129</v>
      </c>
      <c r="O2393" s="2" t="s">
        <v>115</v>
      </c>
      <c r="P2393" s="2" t="str">
        <f>"2170563035                    "</f>
        <v xml:space="preserve">2170563035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4.29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</v>
      </c>
      <c r="BJ2393" s="2">
        <v>0.2</v>
      </c>
      <c r="BK2393" s="2">
        <v>1</v>
      </c>
      <c r="BL2393" s="2">
        <v>41.73</v>
      </c>
      <c r="BM2393" s="2">
        <v>5.84</v>
      </c>
      <c r="BN2393" s="2">
        <v>47.57</v>
      </c>
      <c r="BO2393" s="2">
        <v>47.57</v>
      </c>
      <c r="BP2393" s="2"/>
      <c r="BQ2393" s="2" t="s">
        <v>2130</v>
      </c>
      <c r="BR2393" s="2" t="s">
        <v>84</v>
      </c>
      <c r="BS2393" s="3">
        <v>42845</v>
      </c>
      <c r="BT2393" s="4">
        <v>0.40625</v>
      </c>
      <c r="BU2393" s="2" t="s">
        <v>238</v>
      </c>
      <c r="BV2393" s="2" t="s">
        <v>111</v>
      </c>
      <c r="BW2393" s="2"/>
      <c r="BX2393" s="2"/>
      <c r="BY2393" s="2">
        <v>1200</v>
      </c>
      <c r="BZ2393" s="2"/>
      <c r="CA2393" s="2"/>
      <c r="CB2393" s="2"/>
      <c r="CC2393" s="2" t="s">
        <v>140</v>
      </c>
      <c r="CD2393" s="2">
        <v>157</v>
      </c>
      <c r="CE2393" s="2" t="s">
        <v>118</v>
      </c>
      <c r="CF2393" s="5">
        <v>42849</v>
      </c>
      <c r="CG2393" s="2"/>
      <c r="CH2393" s="2"/>
      <c r="CI2393" s="2">
        <v>0</v>
      </c>
      <c r="CJ2393" s="2">
        <v>0</v>
      </c>
      <c r="CK2393" s="2">
        <v>21</v>
      </c>
      <c r="CL2393" s="2" t="s">
        <v>86</v>
      </c>
      <c r="CM2393" s="2"/>
    </row>
    <row r="2394" spans="1:91">
      <c r="A2394" s="2" t="s">
        <v>71</v>
      </c>
      <c r="B2394" s="2" t="s">
        <v>72</v>
      </c>
      <c r="C2394" s="2" t="s">
        <v>73</v>
      </c>
      <c r="D2394" s="2"/>
      <c r="E2394" s="2" t="str">
        <f>"FES1162544122"</f>
        <v>FES1162544122</v>
      </c>
      <c r="F2394" s="3">
        <v>42844</v>
      </c>
      <c r="G2394" s="2">
        <v>201710</v>
      </c>
      <c r="H2394" s="2" t="s">
        <v>74</v>
      </c>
      <c r="I2394" s="2" t="s">
        <v>75</v>
      </c>
      <c r="J2394" s="2" t="s">
        <v>76</v>
      </c>
      <c r="K2394" s="2" t="s">
        <v>77</v>
      </c>
      <c r="L2394" s="2" t="s">
        <v>166</v>
      </c>
      <c r="M2394" s="2" t="s">
        <v>167</v>
      </c>
      <c r="N2394" s="2" t="s">
        <v>441</v>
      </c>
      <c r="O2394" s="2" t="s">
        <v>115</v>
      </c>
      <c r="P2394" s="2" t="str">
        <f>"2170560729                    "</f>
        <v xml:space="preserve">2170560729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3.35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1</v>
      </c>
      <c r="BJ2394" s="2">
        <v>0.2</v>
      </c>
      <c r="BK2394" s="2">
        <v>1</v>
      </c>
      <c r="BL2394" s="2">
        <v>32.6</v>
      </c>
      <c r="BM2394" s="2">
        <v>4.5599999999999996</v>
      </c>
      <c r="BN2394" s="2">
        <v>37.159999999999997</v>
      </c>
      <c r="BO2394" s="2">
        <v>37.159999999999997</v>
      </c>
      <c r="BP2394" s="2"/>
      <c r="BQ2394" s="2" t="s">
        <v>442</v>
      </c>
      <c r="BR2394" s="2" t="s">
        <v>84</v>
      </c>
      <c r="BS2394" s="3">
        <v>42845</v>
      </c>
      <c r="BT2394" s="4">
        <v>0.41666666666666669</v>
      </c>
      <c r="BU2394" s="2" t="s">
        <v>2152</v>
      </c>
      <c r="BV2394" s="2" t="s">
        <v>111</v>
      </c>
      <c r="BW2394" s="2"/>
      <c r="BX2394" s="2"/>
      <c r="BY2394" s="2">
        <v>1200</v>
      </c>
      <c r="BZ2394" s="2"/>
      <c r="CA2394" s="2"/>
      <c r="CB2394" s="2"/>
      <c r="CC2394" s="2" t="s">
        <v>167</v>
      </c>
      <c r="CD2394" s="2">
        <v>2091</v>
      </c>
      <c r="CE2394" s="2" t="s">
        <v>118</v>
      </c>
      <c r="CF2394" s="5">
        <v>42846</v>
      </c>
      <c r="CG2394" s="2"/>
      <c r="CH2394" s="2"/>
      <c r="CI2394" s="2">
        <v>1</v>
      </c>
      <c r="CJ2394" s="2">
        <v>1</v>
      </c>
      <c r="CK2394" s="2">
        <v>22</v>
      </c>
      <c r="CL2394" s="2" t="s">
        <v>86</v>
      </c>
      <c r="CM2394" s="2"/>
    </row>
    <row r="2395" spans="1:91">
      <c r="A2395" s="2" t="s">
        <v>71</v>
      </c>
      <c r="B2395" s="2" t="s">
        <v>72</v>
      </c>
      <c r="C2395" s="2" t="s">
        <v>73</v>
      </c>
      <c r="D2395" s="2"/>
      <c r="E2395" s="2" t="str">
        <f>"FES1162544423"</f>
        <v>FES1162544423</v>
      </c>
      <c r="F2395" s="3">
        <v>42844</v>
      </c>
      <c r="G2395" s="2">
        <v>201710</v>
      </c>
      <c r="H2395" s="2" t="s">
        <v>74</v>
      </c>
      <c r="I2395" s="2" t="s">
        <v>75</v>
      </c>
      <c r="J2395" s="2" t="s">
        <v>76</v>
      </c>
      <c r="K2395" s="2" t="s">
        <v>77</v>
      </c>
      <c r="L2395" s="2" t="s">
        <v>401</v>
      </c>
      <c r="M2395" s="2" t="s">
        <v>402</v>
      </c>
      <c r="N2395" s="2" t="s">
        <v>2757</v>
      </c>
      <c r="O2395" s="2" t="s">
        <v>115</v>
      </c>
      <c r="P2395" s="2" t="str">
        <f>"2170563021                    "</f>
        <v xml:space="preserve">2170563021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4.29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2</v>
      </c>
      <c r="BJ2395" s="2">
        <v>1</v>
      </c>
      <c r="BK2395" s="2">
        <v>2</v>
      </c>
      <c r="BL2395" s="2">
        <v>41.73</v>
      </c>
      <c r="BM2395" s="2">
        <v>5.84</v>
      </c>
      <c r="BN2395" s="2">
        <v>47.57</v>
      </c>
      <c r="BO2395" s="2">
        <v>47.57</v>
      </c>
      <c r="BP2395" s="2"/>
      <c r="BQ2395" s="2" t="s">
        <v>116</v>
      </c>
      <c r="BR2395" s="2" t="s">
        <v>84</v>
      </c>
      <c r="BS2395" s="3">
        <v>42845</v>
      </c>
      <c r="BT2395" s="4">
        <v>0.41666666666666669</v>
      </c>
      <c r="BU2395" s="2" t="s">
        <v>2758</v>
      </c>
      <c r="BV2395" s="2" t="s">
        <v>111</v>
      </c>
      <c r="BW2395" s="2"/>
      <c r="BX2395" s="2"/>
      <c r="BY2395" s="2">
        <v>4882.8999999999996</v>
      </c>
      <c r="BZ2395" s="2"/>
      <c r="CA2395" s="2"/>
      <c r="CB2395" s="2"/>
      <c r="CC2395" s="2" t="s">
        <v>402</v>
      </c>
      <c r="CD2395" s="2">
        <v>4113</v>
      </c>
      <c r="CE2395" s="2" t="s">
        <v>118</v>
      </c>
      <c r="CF2395" s="5">
        <v>42846</v>
      </c>
      <c r="CG2395" s="2"/>
      <c r="CH2395" s="2"/>
      <c r="CI2395" s="2">
        <v>1</v>
      </c>
      <c r="CJ2395" s="2">
        <v>1</v>
      </c>
      <c r="CK2395" s="2">
        <v>21</v>
      </c>
      <c r="CL2395" s="2" t="s">
        <v>86</v>
      </c>
      <c r="CM2395" s="2"/>
    </row>
    <row r="2396" spans="1:91">
      <c r="A2396" s="2" t="s">
        <v>71</v>
      </c>
      <c r="B2396" s="2" t="s">
        <v>72</v>
      </c>
      <c r="C2396" s="2" t="s">
        <v>73</v>
      </c>
      <c r="D2396" s="2"/>
      <c r="E2396" s="2" t="str">
        <f>"FES1162544409"</f>
        <v>FES1162544409</v>
      </c>
      <c r="F2396" s="3">
        <v>42844</v>
      </c>
      <c r="G2396" s="2">
        <v>201710</v>
      </c>
      <c r="H2396" s="2" t="s">
        <v>74</v>
      </c>
      <c r="I2396" s="2" t="s">
        <v>75</v>
      </c>
      <c r="J2396" s="2" t="s">
        <v>76</v>
      </c>
      <c r="K2396" s="2" t="s">
        <v>77</v>
      </c>
      <c r="L2396" s="2" t="s">
        <v>131</v>
      </c>
      <c r="M2396" s="2" t="s">
        <v>132</v>
      </c>
      <c r="N2396" s="2" t="s">
        <v>1439</v>
      </c>
      <c r="O2396" s="2" t="s">
        <v>115</v>
      </c>
      <c r="P2396" s="2" t="str">
        <f>"2170558316                    "</f>
        <v xml:space="preserve">2170558316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32.15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15</v>
      </c>
      <c r="BJ2396" s="2">
        <v>13.1</v>
      </c>
      <c r="BK2396" s="2">
        <v>15</v>
      </c>
      <c r="BL2396" s="2">
        <v>312.95</v>
      </c>
      <c r="BM2396" s="2">
        <v>43.81</v>
      </c>
      <c r="BN2396" s="2">
        <v>356.76</v>
      </c>
      <c r="BO2396" s="2">
        <v>356.76</v>
      </c>
      <c r="BP2396" s="2"/>
      <c r="BQ2396" s="2" t="s">
        <v>1440</v>
      </c>
      <c r="BR2396" s="2" t="s">
        <v>84</v>
      </c>
      <c r="BS2396" s="3">
        <v>42845</v>
      </c>
      <c r="BT2396" s="4">
        <v>0.36458333333333331</v>
      </c>
      <c r="BU2396" s="2" t="s">
        <v>2759</v>
      </c>
      <c r="BV2396" s="2" t="s">
        <v>111</v>
      </c>
      <c r="BW2396" s="2"/>
      <c r="BX2396" s="2"/>
      <c r="BY2396" s="2">
        <v>65569</v>
      </c>
      <c r="BZ2396" s="2"/>
      <c r="CA2396" s="2" t="s">
        <v>2760</v>
      </c>
      <c r="CB2396" s="2"/>
      <c r="CC2396" s="2" t="s">
        <v>132</v>
      </c>
      <c r="CD2396" s="2">
        <v>7490</v>
      </c>
      <c r="CE2396" s="2" t="s">
        <v>89</v>
      </c>
      <c r="CF2396" s="5">
        <v>42845</v>
      </c>
      <c r="CG2396" s="2"/>
      <c r="CH2396" s="2"/>
      <c r="CI2396" s="2">
        <v>1</v>
      </c>
      <c r="CJ2396" s="2">
        <v>1</v>
      </c>
      <c r="CK2396" s="2">
        <v>21</v>
      </c>
      <c r="CL2396" s="2" t="s">
        <v>86</v>
      </c>
      <c r="CM2396" s="2"/>
    </row>
    <row r="2397" spans="1:91">
      <c r="A2397" s="2" t="s">
        <v>71</v>
      </c>
      <c r="B2397" s="2" t="s">
        <v>72</v>
      </c>
      <c r="C2397" s="2" t="s">
        <v>73</v>
      </c>
      <c r="D2397" s="2"/>
      <c r="E2397" s="2" t="str">
        <f>"FES1162544384"</f>
        <v>FES1162544384</v>
      </c>
      <c r="F2397" s="3">
        <v>42844</v>
      </c>
      <c r="G2397" s="2">
        <v>201710</v>
      </c>
      <c r="H2397" s="2" t="s">
        <v>74</v>
      </c>
      <c r="I2397" s="2" t="s">
        <v>75</v>
      </c>
      <c r="J2397" s="2" t="s">
        <v>76</v>
      </c>
      <c r="K2397" s="2" t="s">
        <v>77</v>
      </c>
      <c r="L2397" s="2" t="s">
        <v>99</v>
      </c>
      <c r="M2397" s="2" t="s">
        <v>100</v>
      </c>
      <c r="N2397" s="2" t="s">
        <v>108</v>
      </c>
      <c r="O2397" s="2" t="s">
        <v>115</v>
      </c>
      <c r="P2397" s="2" t="str">
        <f>"2170554761                    "</f>
        <v xml:space="preserve">2170554761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30.01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6.5</v>
      </c>
      <c r="BJ2397" s="2">
        <v>13.9</v>
      </c>
      <c r="BK2397" s="2">
        <v>14</v>
      </c>
      <c r="BL2397" s="2">
        <v>292.08999999999997</v>
      </c>
      <c r="BM2397" s="2">
        <v>40.89</v>
      </c>
      <c r="BN2397" s="2">
        <v>332.98</v>
      </c>
      <c r="BO2397" s="2">
        <v>332.98</v>
      </c>
      <c r="BP2397" s="2"/>
      <c r="BQ2397" s="2" t="s">
        <v>109</v>
      </c>
      <c r="BR2397" s="2" t="s">
        <v>84</v>
      </c>
      <c r="BS2397" s="3">
        <v>42845</v>
      </c>
      <c r="BT2397" s="4">
        <v>0.37847222222222227</v>
      </c>
      <c r="BU2397" s="2" t="s">
        <v>109</v>
      </c>
      <c r="BV2397" s="2" t="s">
        <v>111</v>
      </c>
      <c r="BW2397" s="2"/>
      <c r="BX2397" s="2"/>
      <c r="BY2397" s="2">
        <v>69567.8</v>
      </c>
      <c r="BZ2397" s="2"/>
      <c r="CA2397" s="2"/>
      <c r="CB2397" s="2"/>
      <c r="CC2397" s="2" t="s">
        <v>100</v>
      </c>
      <c r="CD2397" s="2">
        <v>6001</v>
      </c>
      <c r="CE2397" s="2" t="s">
        <v>172</v>
      </c>
      <c r="CF2397" s="5">
        <v>42846</v>
      </c>
      <c r="CG2397" s="2"/>
      <c r="CH2397" s="2"/>
      <c r="CI2397" s="2">
        <v>1</v>
      </c>
      <c r="CJ2397" s="2">
        <v>1</v>
      </c>
      <c r="CK2397" s="2">
        <v>21</v>
      </c>
      <c r="CL2397" s="2" t="s">
        <v>86</v>
      </c>
      <c r="CM2397" s="2"/>
    </row>
    <row r="2398" spans="1:91">
      <c r="A2398" s="2" t="s">
        <v>71</v>
      </c>
      <c r="B2398" s="2" t="s">
        <v>72</v>
      </c>
      <c r="C2398" s="2" t="s">
        <v>73</v>
      </c>
      <c r="D2398" s="2"/>
      <c r="E2398" s="2" t="str">
        <f>"FES1162544393"</f>
        <v>FES1162544393</v>
      </c>
      <c r="F2398" s="3">
        <v>42844</v>
      </c>
      <c r="G2398" s="2">
        <v>201710</v>
      </c>
      <c r="H2398" s="2" t="s">
        <v>74</v>
      </c>
      <c r="I2398" s="2" t="s">
        <v>75</v>
      </c>
      <c r="J2398" s="2" t="s">
        <v>76</v>
      </c>
      <c r="K2398" s="2" t="s">
        <v>77</v>
      </c>
      <c r="L2398" s="2" t="s">
        <v>234</v>
      </c>
      <c r="M2398" s="2" t="s">
        <v>235</v>
      </c>
      <c r="N2398" s="2" t="s">
        <v>236</v>
      </c>
      <c r="O2398" s="2" t="s">
        <v>115</v>
      </c>
      <c r="P2398" s="2" t="str">
        <f>"2170558740                    "</f>
        <v xml:space="preserve">2170558740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32.15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15</v>
      </c>
      <c r="BJ2398" s="2">
        <v>13</v>
      </c>
      <c r="BK2398" s="2">
        <v>15</v>
      </c>
      <c r="BL2398" s="2">
        <v>312.95</v>
      </c>
      <c r="BM2398" s="2">
        <v>43.81</v>
      </c>
      <c r="BN2398" s="2">
        <v>356.76</v>
      </c>
      <c r="BO2398" s="2">
        <v>356.76</v>
      </c>
      <c r="BP2398" s="2"/>
      <c r="BQ2398" s="2" t="s">
        <v>285</v>
      </c>
      <c r="BR2398" s="2" t="s">
        <v>84</v>
      </c>
      <c r="BS2398" s="3">
        <v>42845</v>
      </c>
      <c r="BT2398" s="4">
        <v>0.33333333333333331</v>
      </c>
      <c r="BU2398" s="2" t="s">
        <v>186</v>
      </c>
      <c r="BV2398" s="2" t="s">
        <v>111</v>
      </c>
      <c r="BW2398" s="2"/>
      <c r="BX2398" s="2"/>
      <c r="BY2398" s="2">
        <v>64800</v>
      </c>
      <c r="BZ2398" s="2"/>
      <c r="CA2398" s="2" t="s">
        <v>159</v>
      </c>
      <c r="CB2398" s="2"/>
      <c r="CC2398" s="2" t="s">
        <v>235</v>
      </c>
      <c r="CD2398" s="2">
        <v>6220</v>
      </c>
      <c r="CE2398" s="2" t="s">
        <v>172</v>
      </c>
      <c r="CF2398" s="5">
        <v>42846</v>
      </c>
      <c r="CG2398" s="2"/>
      <c r="CH2398" s="2"/>
      <c r="CI2398" s="2">
        <v>1</v>
      </c>
      <c r="CJ2398" s="2">
        <v>1</v>
      </c>
      <c r="CK2398" s="2">
        <v>21</v>
      </c>
      <c r="CL2398" s="2" t="s">
        <v>86</v>
      </c>
      <c r="CM2398" s="2"/>
    </row>
    <row r="2399" spans="1:91">
      <c r="A2399" s="2" t="s">
        <v>71</v>
      </c>
      <c r="B2399" s="2" t="s">
        <v>72</v>
      </c>
      <c r="C2399" s="2" t="s">
        <v>73</v>
      </c>
      <c r="D2399" s="2"/>
      <c r="E2399" s="2" t="str">
        <f>"FES1162544410"</f>
        <v>FES1162544410</v>
      </c>
      <c r="F2399" s="3">
        <v>42844</v>
      </c>
      <c r="G2399" s="2">
        <v>201710</v>
      </c>
      <c r="H2399" s="2" t="s">
        <v>74</v>
      </c>
      <c r="I2399" s="2" t="s">
        <v>75</v>
      </c>
      <c r="J2399" s="2" t="s">
        <v>76</v>
      </c>
      <c r="K2399" s="2" t="s">
        <v>77</v>
      </c>
      <c r="L2399" s="2" t="s">
        <v>180</v>
      </c>
      <c r="M2399" s="2" t="s">
        <v>181</v>
      </c>
      <c r="N2399" s="2" t="s">
        <v>424</v>
      </c>
      <c r="O2399" s="2" t="s">
        <v>115</v>
      </c>
      <c r="P2399" s="2" t="str">
        <f>"2170562737                    "</f>
        <v xml:space="preserve">2170562737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45.01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20.8</v>
      </c>
      <c r="BJ2399" s="2">
        <v>17.8</v>
      </c>
      <c r="BK2399" s="2">
        <v>21</v>
      </c>
      <c r="BL2399" s="2">
        <v>438.13</v>
      </c>
      <c r="BM2399" s="2">
        <v>61.34</v>
      </c>
      <c r="BN2399" s="2">
        <v>499.47</v>
      </c>
      <c r="BO2399" s="2">
        <v>499.47</v>
      </c>
      <c r="BP2399" s="2"/>
      <c r="BQ2399" s="2" t="s">
        <v>425</v>
      </c>
      <c r="BR2399" s="2" t="s">
        <v>84</v>
      </c>
      <c r="BS2399" s="3">
        <v>42845</v>
      </c>
      <c r="BT2399" s="4">
        <v>0.4375</v>
      </c>
      <c r="BU2399" s="2" t="s">
        <v>2761</v>
      </c>
      <c r="BV2399" s="2" t="s">
        <v>111</v>
      </c>
      <c r="BW2399" s="2"/>
      <c r="BX2399" s="2"/>
      <c r="BY2399" s="2">
        <v>89089.35</v>
      </c>
      <c r="BZ2399" s="2"/>
      <c r="CA2399" s="2"/>
      <c r="CB2399" s="2"/>
      <c r="CC2399" s="2" t="s">
        <v>181</v>
      </c>
      <c r="CD2399" s="2">
        <v>4001</v>
      </c>
      <c r="CE2399" s="2" t="s">
        <v>89</v>
      </c>
      <c r="CF2399" s="5">
        <v>42846</v>
      </c>
      <c r="CG2399" s="2"/>
      <c r="CH2399" s="2"/>
      <c r="CI2399" s="2">
        <v>1</v>
      </c>
      <c r="CJ2399" s="2">
        <v>1</v>
      </c>
      <c r="CK2399" s="2">
        <v>21</v>
      </c>
      <c r="CL2399" s="2" t="s">
        <v>86</v>
      </c>
      <c r="CM2399" s="2"/>
    </row>
    <row r="2400" spans="1:91">
      <c r="A2400" s="2" t="s">
        <v>71</v>
      </c>
      <c r="B2400" s="2" t="s">
        <v>72</v>
      </c>
      <c r="C2400" s="2" t="s">
        <v>73</v>
      </c>
      <c r="D2400" s="2"/>
      <c r="E2400" s="2" t="str">
        <f>"FES1162544417"</f>
        <v>FES1162544417</v>
      </c>
      <c r="F2400" s="3">
        <v>42844</v>
      </c>
      <c r="G2400" s="2">
        <v>201710</v>
      </c>
      <c r="H2400" s="2" t="s">
        <v>74</v>
      </c>
      <c r="I2400" s="2" t="s">
        <v>75</v>
      </c>
      <c r="J2400" s="2" t="s">
        <v>76</v>
      </c>
      <c r="K2400" s="2" t="s">
        <v>77</v>
      </c>
      <c r="L2400" s="2" t="s">
        <v>180</v>
      </c>
      <c r="M2400" s="2" t="s">
        <v>181</v>
      </c>
      <c r="N2400" s="2" t="s">
        <v>424</v>
      </c>
      <c r="O2400" s="2" t="s">
        <v>115</v>
      </c>
      <c r="P2400" s="2" t="str">
        <f>"2170563018                    "</f>
        <v xml:space="preserve">2170563018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4.29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1</v>
      </c>
      <c r="BJ2400" s="2">
        <v>0.2</v>
      </c>
      <c r="BK2400" s="2">
        <v>1</v>
      </c>
      <c r="BL2400" s="2">
        <v>41.73</v>
      </c>
      <c r="BM2400" s="2">
        <v>5.84</v>
      </c>
      <c r="BN2400" s="2">
        <v>47.57</v>
      </c>
      <c r="BO2400" s="2">
        <v>47.57</v>
      </c>
      <c r="BP2400" s="2"/>
      <c r="BQ2400" s="2" t="s">
        <v>425</v>
      </c>
      <c r="BR2400" s="2" t="s">
        <v>84</v>
      </c>
      <c r="BS2400" s="3">
        <v>42845</v>
      </c>
      <c r="BT2400" s="4">
        <v>0.41875000000000001</v>
      </c>
      <c r="BU2400" s="2" t="s">
        <v>2761</v>
      </c>
      <c r="BV2400" s="2" t="s">
        <v>111</v>
      </c>
      <c r="BW2400" s="2"/>
      <c r="BX2400" s="2"/>
      <c r="BY2400" s="2">
        <v>1200</v>
      </c>
      <c r="BZ2400" s="2"/>
      <c r="CA2400" s="2"/>
      <c r="CB2400" s="2"/>
      <c r="CC2400" s="2" t="s">
        <v>181</v>
      </c>
      <c r="CD2400" s="2">
        <v>4001</v>
      </c>
      <c r="CE2400" s="2" t="s">
        <v>118</v>
      </c>
      <c r="CF2400" s="5">
        <v>42846</v>
      </c>
      <c r="CG2400" s="2"/>
      <c r="CH2400" s="2"/>
      <c r="CI2400" s="2">
        <v>1</v>
      </c>
      <c r="CJ2400" s="2">
        <v>1</v>
      </c>
      <c r="CK2400" s="2">
        <v>21</v>
      </c>
      <c r="CL2400" s="2" t="s">
        <v>86</v>
      </c>
      <c r="CM2400" s="2"/>
    </row>
    <row r="2401" spans="1:91">
      <c r="A2401" s="2" t="s">
        <v>71</v>
      </c>
      <c r="B2401" s="2" t="s">
        <v>72</v>
      </c>
      <c r="C2401" s="2" t="s">
        <v>73</v>
      </c>
      <c r="D2401" s="2"/>
      <c r="E2401" s="2" t="str">
        <f>"FES1162544380"</f>
        <v>FES1162544380</v>
      </c>
      <c r="F2401" s="3">
        <v>42844</v>
      </c>
      <c r="G2401" s="2">
        <v>201710</v>
      </c>
      <c r="H2401" s="2" t="s">
        <v>74</v>
      </c>
      <c r="I2401" s="2" t="s">
        <v>75</v>
      </c>
      <c r="J2401" s="2" t="s">
        <v>76</v>
      </c>
      <c r="K2401" s="2" t="s">
        <v>77</v>
      </c>
      <c r="L2401" s="2" t="s">
        <v>496</v>
      </c>
      <c r="M2401" s="2" t="s">
        <v>497</v>
      </c>
      <c r="N2401" s="2" t="s">
        <v>498</v>
      </c>
      <c r="O2401" s="2" t="s">
        <v>115</v>
      </c>
      <c r="P2401" s="2" t="str">
        <f>"2170562984                    "</f>
        <v xml:space="preserve">2170562984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3.35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1.8</v>
      </c>
      <c r="BJ2401" s="2">
        <v>0.2</v>
      </c>
      <c r="BK2401" s="2">
        <v>2</v>
      </c>
      <c r="BL2401" s="2">
        <v>32.6</v>
      </c>
      <c r="BM2401" s="2">
        <v>4.5599999999999996</v>
      </c>
      <c r="BN2401" s="2">
        <v>37.159999999999997</v>
      </c>
      <c r="BO2401" s="2">
        <v>37.159999999999997</v>
      </c>
      <c r="BP2401" s="2"/>
      <c r="BQ2401" s="2" t="s">
        <v>122</v>
      </c>
      <c r="BR2401" s="2" t="s">
        <v>84</v>
      </c>
      <c r="BS2401" s="3">
        <v>42845</v>
      </c>
      <c r="BT2401" s="4">
        <v>0.41666666666666669</v>
      </c>
      <c r="BU2401" s="2" t="s">
        <v>2762</v>
      </c>
      <c r="BV2401" s="2" t="s">
        <v>111</v>
      </c>
      <c r="BW2401" s="2"/>
      <c r="BX2401" s="2"/>
      <c r="BY2401" s="2">
        <v>1200</v>
      </c>
      <c r="BZ2401" s="2"/>
      <c r="CA2401" s="2"/>
      <c r="CB2401" s="2"/>
      <c r="CC2401" s="2" t="s">
        <v>497</v>
      </c>
      <c r="CD2401" s="2">
        <v>1559</v>
      </c>
      <c r="CE2401" s="2" t="s">
        <v>118</v>
      </c>
      <c r="CF2401" s="5">
        <v>42846</v>
      </c>
      <c r="CG2401" s="2"/>
      <c r="CH2401" s="2"/>
      <c r="CI2401" s="2">
        <v>1</v>
      </c>
      <c r="CJ2401" s="2">
        <v>1</v>
      </c>
      <c r="CK2401" s="2">
        <v>22</v>
      </c>
      <c r="CL2401" s="2" t="s">
        <v>86</v>
      </c>
      <c r="CM2401" s="2"/>
    </row>
    <row r="2402" spans="1:91">
      <c r="A2402" s="2" t="s">
        <v>71</v>
      </c>
      <c r="B2402" s="2" t="s">
        <v>72</v>
      </c>
      <c r="C2402" s="2" t="s">
        <v>73</v>
      </c>
      <c r="D2402" s="2"/>
      <c r="E2402" s="2" t="str">
        <f>"FES1162544275"</f>
        <v>FES1162544275</v>
      </c>
      <c r="F2402" s="3">
        <v>42844</v>
      </c>
      <c r="G2402" s="2">
        <v>201710</v>
      </c>
      <c r="H2402" s="2" t="s">
        <v>74</v>
      </c>
      <c r="I2402" s="2" t="s">
        <v>75</v>
      </c>
      <c r="J2402" s="2" t="s">
        <v>76</v>
      </c>
      <c r="K2402" s="2" t="s">
        <v>77</v>
      </c>
      <c r="L2402" s="2" t="s">
        <v>267</v>
      </c>
      <c r="M2402" s="2" t="s">
        <v>268</v>
      </c>
      <c r="N2402" s="2" t="s">
        <v>2763</v>
      </c>
      <c r="O2402" s="2" t="s">
        <v>115</v>
      </c>
      <c r="P2402" s="2" t="str">
        <f>"2170562877                    "</f>
        <v xml:space="preserve">2170562877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3.35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1</v>
      </c>
      <c r="BJ2402" s="2">
        <v>0.2</v>
      </c>
      <c r="BK2402" s="2">
        <v>1</v>
      </c>
      <c r="BL2402" s="2">
        <v>32.6</v>
      </c>
      <c r="BM2402" s="2">
        <v>4.5599999999999996</v>
      </c>
      <c r="BN2402" s="2">
        <v>37.159999999999997</v>
      </c>
      <c r="BO2402" s="2">
        <v>37.159999999999997</v>
      </c>
      <c r="BP2402" s="2"/>
      <c r="BQ2402" s="2" t="s">
        <v>122</v>
      </c>
      <c r="BR2402" s="2" t="s">
        <v>84</v>
      </c>
      <c r="BS2402" s="3">
        <v>42845</v>
      </c>
      <c r="BT2402" s="4">
        <v>0.41666666666666669</v>
      </c>
      <c r="BU2402" s="2" t="s">
        <v>2764</v>
      </c>
      <c r="BV2402" s="2" t="s">
        <v>111</v>
      </c>
      <c r="BW2402" s="2"/>
      <c r="BX2402" s="2"/>
      <c r="BY2402" s="2">
        <v>1200</v>
      </c>
      <c r="BZ2402" s="2"/>
      <c r="CA2402" s="2" t="s">
        <v>159</v>
      </c>
      <c r="CB2402" s="2"/>
      <c r="CC2402" s="2" t="s">
        <v>268</v>
      </c>
      <c r="CD2402" s="2">
        <v>1725</v>
      </c>
      <c r="CE2402" s="2" t="s">
        <v>118</v>
      </c>
      <c r="CF2402" s="5">
        <v>42846</v>
      </c>
      <c r="CG2402" s="2"/>
      <c r="CH2402" s="2"/>
      <c r="CI2402" s="2">
        <v>1</v>
      </c>
      <c r="CJ2402" s="2">
        <v>1</v>
      </c>
      <c r="CK2402" s="2">
        <v>22</v>
      </c>
      <c r="CL2402" s="2" t="s">
        <v>86</v>
      </c>
      <c r="CM2402" s="2"/>
    </row>
    <row r="2403" spans="1:91">
      <c r="A2403" s="2" t="s">
        <v>71</v>
      </c>
      <c r="B2403" s="2" t="s">
        <v>72</v>
      </c>
      <c r="C2403" s="2" t="s">
        <v>73</v>
      </c>
      <c r="D2403" s="2"/>
      <c r="E2403" s="2" t="str">
        <f>"009932187244"</f>
        <v>009932187244</v>
      </c>
      <c r="F2403" s="3">
        <v>42844</v>
      </c>
      <c r="G2403" s="2">
        <v>201710</v>
      </c>
      <c r="H2403" s="2" t="s">
        <v>74</v>
      </c>
      <c r="I2403" s="2" t="s">
        <v>75</v>
      </c>
      <c r="J2403" s="2" t="s">
        <v>76</v>
      </c>
      <c r="K2403" s="2" t="s">
        <v>77</v>
      </c>
      <c r="L2403" s="2" t="s">
        <v>180</v>
      </c>
      <c r="M2403" s="2" t="s">
        <v>181</v>
      </c>
      <c r="N2403" s="2" t="s">
        <v>1625</v>
      </c>
      <c r="O2403" s="2" t="s">
        <v>115</v>
      </c>
      <c r="P2403" s="2" t="str">
        <f>"k muller                      "</f>
        <v xml:space="preserve">k muller  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4.29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1</v>
      </c>
      <c r="BJ2403" s="2">
        <v>0.2</v>
      </c>
      <c r="BK2403" s="2">
        <v>1</v>
      </c>
      <c r="BL2403" s="2">
        <v>41.73</v>
      </c>
      <c r="BM2403" s="2">
        <v>5.84</v>
      </c>
      <c r="BN2403" s="2">
        <v>47.57</v>
      </c>
      <c r="BO2403" s="2">
        <v>47.57</v>
      </c>
      <c r="BP2403" s="2"/>
      <c r="BQ2403" s="2" t="s">
        <v>1627</v>
      </c>
      <c r="BR2403" s="2" t="s">
        <v>84</v>
      </c>
      <c r="BS2403" s="3">
        <v>42845</v>
      </c>
      <c r="BT2403" s="4">
        <v>0.33333333333333331</v>
      </c>
      <c r="BU2403" s="2" t="s">
        <v>2765</v>
      </c>
      <c r="BV2403" s="2" t="s">
        <v>111</v>
      </c>
      <c r="BW2403" s="2"/>
      <c r="BX2403" s="2"/>
      <c r="BY2403" s="2">
        <v>1200</v>
      </c>
      <c r="BZ2403" s="2"/>
      <c r="CA2403" s="2"/>
      <c r="CB2403" s="2"/>
      <c r="CC2403" s="2" t="s">
        <v>181</v>
      </c>
      <c r="CD2403" s="2">
        <v>4001</v>
      </c>
      <c r="CE2403" s="2" t="s">
        <v>118</v>
      </c>
      <c r="CF2403" s="5">
        <v>42846</v>
      </c>
      <c r="CG2403" s="2"/>
      <c r="CH2403" s="2"/>
      <c r="CI2403" s="2">
        <v>1</v>
      </c>
      <c r="CJ2403" s="2">
        <v>1</v>
      </c>
      <c r="CK2403" s="2">
        <v>21</v>
      </c>
      <c r="CL2403" s="2" t="s">
        <v>86</v>
      </c>
      <c r="CM2403" s="2"/>
    </row>
    <row r="2404" spans="1:91">
      <c r="A2404" s="2" t="s">
        <v>71</v>
      </c>
      <c r="B2404" s="2" t="s">
        <v>72</v>
      </c>
      <c r="C2404" s="2" t="s">
        <v>73</v>
      </c>
      <c r="D2404" s="2"/>
      <c r="E2404" s="2" t="str">
        <f>"FES1162544355"</f>
        <v>FES1162544355</v>
      </c>
      <c r="F2404" s="3">
        <v>42844</v>
      </c>
      <c r="G2404" s="2">
        <v>201710</v>
      </c>
      <c r="H2404" s="2" t="s">
        <v>74</v>
      </c>
      <c r="I2404" s="2" t="s">
        <v>75</v>
      </c>
      <c r="J2404" s="2" t="s">
        <v>76</v>
      </c>
      <c r="K2404" s="2" t="s">
        <v>77</v>
      </c>
      <c r="L2404" s="2" t="s">
        <v>187</v>
      </c>
      <c r="M2404" s="2" t="s">
        <v>146</v>
      </c>
      <c r="N2404" s="2" t="s">
        <v>768</v>
      </c>
      <c r="O2404" s="2" t="s">
        <v>115</v>
      </c>
      <c r="P2404" s="2" t="str">
        <f>"2170562964                    "</f>
        <v xml:space="preserve">2170562964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4.29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1</v>
      </c>
      <c r="BJ2404" s="2">
        <v>0.2</v>
      </c>
      <c r="BK2404" s="2">
        <v>1</v>
      </c>
      <c r="BL2404" s="2">
        <v>41.73</v>
      </c>
      <c r="BM2404" s="2">
        <v>5.84</v>
      </c>
      <c r="BN2404" s="2">
        <v>47.57</v>
      </c>
      <c r="BO2404" s="2">
        <v>47.57</v>
      </c>
      <c r="BP2404" s="2"/>
      <c r="BQ2404" s="2" t="s">
        <v>769</v>
      </c>
      <c r="BR2404" s="2" t="s">
        <v>84</v>
      </c>
      <c r="BS2404" s="3">
        <v>42845</v>
      </c>
      <c r="BT2404" s="4">
        <v>0.38194444444444442</v>
      </c>
      <c r="BU2404" s="2" t="s">
        <v>2620</v>
      </c>
      <c r="BV2404" s="2" t="s">
        <v>111</v>
      </c>
      <c r="BW2404" s="2"/>
      <c r="BX2404" s="2"/>
      <c r="BY2404" s="2">
        <v>1200</v>
      </c>
      <c r="BZ2404" s="2"/>
      <c r="CA2404" s="2"/>
      <c r="CB2404" s="2"/>
      <c r="CC2404" s="2" t="s">
        <v>146</v>
      </c>
      <c r="CD2404" s="2">
        <v>182</v>
      </c>
      <c r="CE2404" s="2" t="s">
        <v>118</v>
      </c>
      <c r="CF2404" s="5">
        <v>42851</v>
      </c>
      <c r="CG2404" s="2"/>
      <c r="CH2404" s="2"/>
      <c r="CI2404" s="2">
        <v>0</v>
      </c>
      <c r="CJ2404" s="2">
        <v>0</v>
      </c>
      <c r="CK2404" s="2">
        <v>21</v>
      </c>
      <c r="CL2404" s="2" t="s">
        <v>86</v>
      </c>
      <c r="CM2404" s="2"/>
    </row>
    <row r="2405" spans="1:91">
      <c r="A2405" s="2" t="s">
        <v>71</v>
      </c>
      <c r="B2405" s="2" t="s">
        <v>72</v>
      </c>
      <c r="C2405" s="2" t="s">
        <v>73</v>
      </c>
      <c r="D2405" s="2"/>
      <c r="E2405" s="2" t="str">
        <f>"FES1162544346"</f>
        <v>FES1162544346</v>
      </c>
      <c r="F2405" s="3">
        <v>42844</v>
      </c>
      <c r="G2405" s="2">
        <v>201710</v>
      </c>
      <c r="H2405" s="2" t="s">
        <v>74</v>
      </c>
      <c r="I2405" s="2" t="s">
        <v>75</v>
      </c>
      <c r="J2405" s="2" t="s">
        <v>76</v>
      </c>
      <c r="K2405" s="2" t="s">
        <v>77</v>
      </c>
      <c r="L2405" s="2" t="s">
        <v>358</v>
      </c>
      <c r="M2405" s="2" t="s">
        <v>359</v>
      </c>
      <c r="N2405" s="2" t="s">
        <v>800</v>
      </c>
      <c r="O2405" s="2" t="s">
        <v>115</v>
      </c>
      <c r="P2405" s="2" t="str">
        <f>"2170562951                    "</f>
        <v xml:space="preserve">2170562951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4.29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1</v>
      </c>
      <c r="BJ2405" s="2">
        <v>0.2</v>
      </c>
      <c r="BK2405" s="2">
        <v>1</v>
      </c>
      <c r="BL2405" s="2">
        <v>41.73</v>
      </c>
      <c r="BM2405" s="2">
        <v>5.84</v>
      </c>
      <c r="BN2405" s="2">
        <v>47.57</v>
      </c>
      <c r="BO2405" s="2">
        <v>47.57</v>
      </c>
      <c r="BP2405" s="2"/>
      <c r="BQ2405" s="2" t="s">
        <v>801</v>
      </c>
      <c r="BR2405" s="2" t="s">
        <v>84</v>
      </c>
      <c r="BS2405" s="3">
        <v>42845</v>
      </c>
      <c r="BT2405" s="4">
        <v>0.31388888888888888</v>
      </c>
      <c r="BU2405" s="2" t="s">
        <v>2302</v>
      </c>
      <c r="BV2405" s="2" t="s">
        <v>111</v>
      </c>
      <c r="BW2405" s="2"/>
      <c r="BX2405" s="2"/>
      <c r="BY2405" s="2">
        <v>1200</v>
      </c>
      <c r="BZ2405" s="2"/>
      <c r="CA2405" s="2"/>
      <c r="CB2405" s="2"/>
      <c r="CC2405" s="2" t="s">
        <v>359</v>
      </c>
      <c r="CD2405" s="2">
        <v>6230</v>
      </c>
      <c r="CE2405" s="2" t="s">
        <v>118</v>
      </c>
      <c r="CF2405" s="5">
        <v>42846</v>
      </c>
      <c r="CG2405" s="2"/>
      <c r="CH2405" s="2"/>
      <c r="CI2405" s="2">
        <v>1</v>
      </c>
      <c r="CJ2405" s="2">
        <v>1</v>
      </c>
      <c r="CK2405" s="2">
        <v>21</v>
      </c>
      <c r="CL2405" s="2" t="s">
        <v>86</v>
      </c>
      <c r="CM2405" s="2"/>
    </row>
    <row r="2406" spans="1:91">
      <c r="A2406" s="2" t="s">
        <v>71</v>
      </c>
      <c r="B2406" s="2" t="s">
        <v>72</v>
      </c>
      <c r="C2406" s="2" t="s">
        <v>73</v>
      </c>
      <c r="D2406" s="2"/>
      <c r="E2406" s="2" t="str">
        <f>"FES1162544370"</f>
        <v>FES1162544370</v>
      </c>
      <c r="F2406" s="3">
        <v>42844</v>
      </c>
      <c r="G2406" s="2">
        <v>201710</v>
      </c>
      <c r="H2406" s="2" t="s">
        <v>74</v>
      </c>
      <c r="I2406" s="2" t="s">
        <v>75</v>
      </c>
      <c r="J2406" s="2" t="s">
        <v>76</v>
      </c>
      <c r="K2406" s="2" t="s">
        <v>77</v>
      </c>
      <c r="L2406" s="2" t="s">
        <v>166</v>
      </c>
      <c r="M2406" s="2" t="s">
        <v>167</v>
      </c>
      <c r="N2406" s="2" t="s">
        <v>1285</v>
      </c>
      <c r="O2406" s="2" t="s">
        <v>115</v>
      </c>
      <c r="P2406" s="2" t="str">
        <f>"2170557136                    "</f>
        <v xml:space="preserve">2170557136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3.35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0.4</v>
      </c>
      <c r="BJ2406" s="2">
        <v>1.3</v>
      </c>
      <c r="BK2406" s="2">
        <v>2</v>
      </c>
      <c r="BL2406" s="2">
        <v>32.6</v>
      </c>
      <c r="BM2406" s="2">
        <v>4.5599999999999996</v>
      </c>
      <c r="BN2406" s="2">
        <v>37.159999999999997</v>
      </c>
      <c r="BO2406" s="2">
        <v>37.159999999999997</v>
      </c>
      <c r="BP2406" s="2"/>
      <c r="BQ2406" s="2" t="s">
        <v>122</v>
      </c>
      <c r="BR2406" s="2" t="s">
        <v>84</v>
      </c>
      <c r="BS2406" s="3">
        <v>42845</v>
      </c>
      <c r="BT2406" s="4">
        <v>0.4284722222222222</v>
      </c>
      <c r="BU2406" s="2" t="s">
        <v>394</v>
      </c>
      <c r="BV2406" s="2" t="s">
        <v>111</v>
      </c>
      <c r="BW2406" s="2"/>
      <c r="BX2406" s="2"/>
      <c r="BY2406" s="2">
        <v>6313.42</v>
      </c>
      <c r="BZ2406" s="2"/>
      <c r="CA2406" s="2" t="s">
        <v>2312</v>
      </c>
      <c r="CB2406" s="2"/>
      <c r="CC2406" s="2" t="s">
        <v>167</v>
      </c>
      <c r="CD2406" s="2">
        <v>2197</v>
      </c>
      <c r="CE2406" s="2" t="s">
        <v>172</v>
      </c>
      <c r="CF2406" s="5">
        <v>42845</v>
      </c>
      <c r="CG2406" s="2"/>
      <c r="CH2406" s="2"/>
      <c r="CI2406" s="2">
        <v>1</v>
      </c>
      <c r="CJ2406" s="2">
        <v>1</v>
      </c>
      <c r="CK2406" s="2">
        <v>22</v>
      </c>
      <c r="CL2406" s="2" t="s">
        <v>86</v>
      </c>
      <c r="CM2406" s="2"/>
    </row>
    <row r="2407" spans="1:91">
      <c r="A2407" s="2" t="s">
        <v>71</v>
      </c>
      <c r="B2407" s="2" t="s">
        <v>72</v>
      </c>
      <c r="C2407" s="2" t="s">
        <v>73</v>
      </c>
      <c r="D2407" s="2"/>
      <c r="E2407" s="2" t="str">
        <f>"FES1162544406"</f>
        <v>FES1162544406</v>
      </c>
      <c r="F2407" s="3">
        <v>42844</v>
      </c>
      <c r="G2407" s="2">
        <v>201710</v>
      </c>
      <c r="H2407" s="2" t="s">
        <v>74</v>
      </c>
      <c r="I2407" s="2" t="s">
        <v>75</v>
      </c>
      <c r="J2407" s="2" t="s">
        <v>76</v>
      </c>
      <c r="K2407" s="2" t="s">
        <v>77</v>
      </c>
      <c r="L2407" s="2" t="s">
        <v>180</v>
      </c>
      <c r="M2407" s="2" t="s">
        <v>181</v>
      </c>
      <c r="N2407" s="2" t="s">
        <v>1793</v>
      </c>
      <c r="O2407" s="2" t="s">
        <v>115</v>
      </c>
      <c r="P2407" s="2" t="str">
        <f>"2170563008                    "</f>
        <v xml:space="preserve">2170563008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7.5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1</v>
      </c>
      <c r="BI2407" s="2">
        <v>1.8</v>
      </c>
      <c r="BJ2407" s="2">
        <v>3.1</v>
      </c>
      <c r="BK2407" s="2">
        <v>3.5</v>
      </c>
      <c r="BL2407" s="2">
        <v>73.02</v>
      </c>
      <c r="BM2407" s="2">
        <v>10.220000000000001</v>
      </c>
      <c r="BN2407" s="2">
        <v>83.24</v>
      </c>
      <c r="BO2407" s="2">
        <v>83.24</v>
      </c>
      <c r="BP2407" s="2"/>
      <c r="BQ2407" s="2" t="s">
        <v>129</v>
      </c>
      <c r="BR2407" s="2" t="s">
        <v>84</v>
      </c>
      <c r="BS2407" s="3">
        <v>42845</v>
      </c>
      <c r="BT2407" s="4">
        <v>0.41666666666666669</v>
      </c>
      <c r="BU2407" s="2" t="s">
        <v>1794</v>
      </c>
      <c r="BV2407" s="2" t="s">
        <v>111</v>
      </c>
      <c r="BW2407" s="2"/>
      <c r="BX2407" s="2"/>
      <c r="BY2407" s="2">
        <v>15421.32</v>
      </c>
      <c r="BZ2407" s="2"/>
      <c r="CA2407" s="2"/>
      <c r="CB2407" s="2"/>
      <c r="CC2407" s="2" t="s">
        <v>181</v>
      </c>
      <c r="CD2407" s="2">
        <v>4068</v>
      </c>
      <c r="CE2407" s="2" t="s">
        <v>172</v>
      </c>
      <c r="CF2407" s="5">
        <v>42846</v>
      </c>
      <c r="CG2407" s="2"/>
      <c r="CH2407" s="2"/>
      <c r="CI2407" s="2">
        <v>1</v>
      </c>
      <c r="CJ2407" s="2">
        <v>1</v>
      </c>
      <c r="CK2407" s="2">
        <v>21</v>
      </c>
      <c r="CL2407" s="2" t="s">
        <v>86</v>
      </c>
      <c r="CM2407" s="2"/>
    </row>
    <row r="2408" spans="1:91">
      <c r="A2408" s="2" t="s">
        <v>71</v>
      </c>
      <c r="B2408" s="2" t="s">
        <v>72</v>
      </c>
      <c r="C2408" s="2" t="s">
        <v>73</v>
      </c>
      <c r="D2408" s="2"/>
      <c r="E2408" s="2" t="str">
        <f>"FES1162544373"</f>
        <v>FES1162544373</v>
      </c>
      <c r="F2408" s="3">
        <v>42844</v>
      </c>
      <c r="G2408" s="2">
        <v>201710</v>
      </c>
      <c r="H2408" s="2" t="s">
        <v>74</v>
      </c>
      <c r="I2408" s="2" t="s">
        <v>75</v>
      </c>
      <c r="J2408" s="2" t="s">
        <v>76</v>
      </c>
      <c r="K2408" s="2" t="s">
        <v>77</v>
      </c>
      <c r="L2408" s="2" t="s">
        <v>99</v>
      </c>
      <c r="M2408" s="2" t="s">
        <v>100</v>
      </c>
      <c r="N2408" s="2" t="s">
        <v>700</v>
      </c>
      <c r="O2408" s="2" t="s">
        <v>115</v>
      </c>
      <c r="P2408" s="2" t="str">
        <f>"2170559302                    "</f>
        <v xml:space="preserve">2170559302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13.93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6.1</v>
      </c>
      <c r="BJ2408" s="2">
        <v>3.8</v>
      </c>
      <c r="BK2408" s="2">
        <v>6.5</v>
      </c>
      <c r="BL2408" s="2">
        <v>135.61000000000001</v>
      </c>
      <c r="BM2408" s="2">
        <v>18.989999999999998</v>
      </c>
      <c r="BN2408" s="2">
        <v>154.6</v>
      </c>
      <c r="BO2408" s="2">
        <v>154.6</v>
      </c>
      <c r="BP2408" s="2"/>
      <c r="BQ2408" s="2" t="s">
        <v>701</v>
      </c>
      <c r="BR2408" s="2" t="s">
        <v>84</v>
      </c>
      <c r="BS2408" s="3">
        <v>42845</v>
      </c>
      <c r="BT2408" s="4">
        <v>0.35416666666666669</v>
      </c>
      <c r="BU2408" s="2" t="s">
        <v>702</v>
      </c>
      <c r="BV2408" s="2" t="s">
        <v>111</v>
      </c>
      <c r="BW2408" s="2"/>
      <c r="BX2408" s="2"/>
      <c r="BY2408" s="2">
        <v>18911.689999999999</v>
      </c>
      <c r="BZ2408" s="2"/>
      <c r="CA2408" s="2" t="s">
        <v>106</v>
      </c>
      <c r="CB2408" s="2"/>
      <c r="CC2408" s="2" t="s">
        <v>100</v>
      </c>
      <c r="CD2408" s="2">
        <v>6001</v>
      </c>
      <c r="CE2408" s="2" t="s">
        <v>172</v>
      </c>
      <c r="CF2408" s="5">
        <v>42845</v>
      </c>
      <c r="CG2408" s="2"/>
      <c r="CH2408" s="2"/>
      <c r="CI2408" s="2">
        <v>1</v>
      </c>
      <c r="CJ2408" s="2">
        <v>1</v>
      </c>
      <c r="CK2408" s="2">
        <v>21</v>
      </c>
      <c r="CL2408" s="2" t="s">
        <v>86</v>
      </c>
      <c r="CM2408" s="2"/>
    </row>
    <row r="2409" spans="1:91">
      <c r="A2409" s="2" t="s">
        <v>71</v>
      </c>
      <c r="B2409" s="2" t="s">
        <v>72</v>
      </c>
      <c r="C2409" s="2" t="s">
        <v>73</v>
      </c>
      <c r="D2409" s="2"/>
      <c r="E2409" s="2" t="str">
        <f>"FES1162544207"</f>
        <v>FES1162544207</v>
      </c>
      <c r="F2409" s="3">
        <v>42844</v>
      </c>
      <c r="G2409" s="2">
        <v>201710</v>
      </c>
      <c r="H2409" s="2" t="s">
        <v>74</v>
      </c>
      <c r="I2409" s="2" t="s">
        <v>75</v>
      </c>
      <c r="J2409" s="2" t="s">
        <v>76</v>
      </c>
      <c r="K2409" s="2" t="s">
        <v>77</v>
      </c>
      <c r="L2409" s="2" t="s">
        <v>139</v>
      </c>
      <c r="M2409" s="2" t="s">
        <v>140</v>
      </c>
      <c r="N2409" s="2" t="s">
        <v>1713</v>
      </c>
      <c r="O2409" s="2" t="s">
        <v>115</v>
      </c>
      <c r="P2409" s="2" t="str">
        <f>"2170562800                    "</f>
        <v xml:space="preserve">2170562800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4.29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1</v>
      </c>
      <c r="BJ2409" s="2">
        <v>0.2</v>
      </c>
      <c r="BK2409" s="2">
        <v>1</v>
      </c>
      <c r="BL2409" s="2">
        <v>41.73</v>
      </c>
      <c r="BM2409" s="2">
        <v>5.84</v>
      </c>
      <c r="BN2409" s="2">
        <v>47.57</v>
      </c>
      <c r="BO2409" s="2">
        <v>47.57</v>
      </c>
      <c r="BP2409" s="2"/>
      <c r="BQ2409" s="2" t="s">
        <v>1714</v>
      </c>
      <c r="BR2409" s="2" t="s">
        <v>84</v>
      </c>
      <c r="BS2409" s="3">
        <v>42845</v>
      </c>
      <c r="BT2409" s="4">
        <v>0.45833333333333331</v>
      </c>
      <c r="BU2409" s="2" t="s">
        <v>1715</v>
      </c>
      <c r="BV2409" s="2" t="s">
        <v>86</v>
      </c>
      <c r="BW2409" s="2" t="s">
        <v>164</v>
      </c>
      <c r="BX2409" s="2" t="s">
        <v>786</v>
      </c>
      <c r="BY2409" s="2">
        <v>1200</v>
      </c>
      <c r="BZ2409" s="2"/>
      <c r="CA2409" s="2"/>
      <c r="CB2409" s="2"/>
      <c r="CC2409" s="2" t="s">
        <v>140</v>
      </c>
      <c r="CD2409" s="2">
        <v>157</v>
      </c>
      <c r="CE2409" s="2" t="s">
        <v>118</v>
      </c>
      <c r="CF2409" s="5">
        <v>42849</v>
      </c>
      <c r="CG2409" s="2"/>
      <c r="CH2409" s="2"/>
      <c r="CI2409" s="2">
        <v>0</v>
      </c>
      <c r="CJ2409" s="2">
        <v>0</v>
      </c>
      <c r="CK2409" s="2">
        <v>21</v>
      </c>
      <c r="CL2409" s="2" t="s">
        <v>86</v>
      </c>
      <c r="CM2409" s="2"/>
    </row>
    <row r="2410" spans="1:91">
      <c r="A2410" s="2" t="s">
        <v>71</v>
      </c>
      <c r="B2410" s="2" t="s">
        <v>72</v>
      </c>
      <c r="C2410" s="2" t="s">
        <v>73</v>
      </c>
      <c r="D2410" s="2"/>
      <c r="E2410" s="2" t="str">
        <f>"FES1162544383"</f>
        <v>FES1162544383</v>
      </c>
      <c r="F2410" s="3">
        <v>42844</v>
      </c>
      <c r="G2410" s="2">
        <v>201710</v>
      </c>
      <c r="H2410" s="2" t="s">
        <v>74</v>
      </c>
      <c r="I2410" s="2" t="s">
        <v>75</v>
      </c>
      <c r="J2410" s="2" t="s">
        <v>76</v>
      </c>
      <c r="K2410" s="2" t="s">
        <v>77</v>
      </c>
      <c r="L2410" s="2" t="s">
        <v>99</v>
      </c>
      <c r="M2410" s="2" t="s">
        <v>100</v>
      </c>
      <c r="N2410" s="2" t="s">
        <v>108</v>
      </c>
      <c r="O2410" s="2" t="s">
        <v>115</v>
      </c>
      <c r="P2410" s="2" t="str">
        <f>"2170556518                    "</f>
        <v xml:space="preserve">2170556518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65.37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2</v>
      </c>
      <c r="BI2410" s="2">
        <v>14.6</v>
      </c>
      <c r="BJ2410" s="2">
        <v>30.4</v>
      </c>
      <c r="BK2410" s="2">
        <v>30.5</v>
      </c>
      <c r="BL2410" s="2">
        <v>636.33000000000004</v>
      </c>
      <c r="BM2410" s="2">
        <v>89.09</v>
      </c>
      <c r="BN2410" s="2">
        <v>725.42</v>
      </c>
      <c r="BO2410" s="2">
        <v>725.42</v>
      </c>
      <c r="BP2410" s="2"/>
      <c r="BQ2410" s="2" t="s">
        <v>109</v>
      </c>
      <c r="BR2410" s="2" t="s">
        <v>84</v>
      </c>
      <c r="BS2410" s="3">
        <v>42845</v>
      </c>
      <c r="BT2410" s="4">
        <v>0.37847222222222227</v>
      </c>
      <c r="BU2410" s="2" t="s">
        <v>109</v>
      </c>
      <c r="BV2410" s="2" t="s">
        <v>111</v>
      </c>
      <c r="BW2410" s="2"/>
      <c r="BX2410" s="2"/>
      <c r="BY2410" s="2">
        <v>151770.01</v>
      </c>
      <c r="BZ2410" s="2"/>
      <c r="CA2410" s="2"/>
      <c r="CB2410" s="2"/>
      <c r="CC2410" s="2" t="s">
        <v>100</v>
      </c>
      <c r="CD2410" s="2">
        <v>6001</v>
      </c>
      <c r="CE2410" s="2" t="s">
        <v>172</v>
      </c>
      <c r="CF2410" s="5">
        <v>42846</v>
      </c>
      <c r="CG2410" s="2"/>
      <c r="CH2410" s="2"/>
      <c r="CI2410" s="2">
        <v>1</v>
      </c>
      <c r="CJ2410" s="2">
        <v>1</v>
      </c>
      <c r="CK2410" s="2">
        <v>21</v>
      </c>
      <c r="CL2410" s="2" t="s">
        <v>86</v>
      </c>
      <c r="CM2410" s="2"/>
    </row>
    <row r="2411" spans="1:91">
      <c r="A2411" s="2" t="s">
        <v>71</v>
      </c>
      <c r="B2411" s="2" t="s">
        <v>72</v>
      </c>
      <c r="C2411" s="2" t="s">
        <v>73</v>
      </c>
      <c r="D2411" s="2"/>
      <c r="E2411" s="2" t="str">
        <f>"FES1162544411"</f>
        <v>FES1162544411</v>
      </c>
      <c r="F2411" s="3">
        <v>42844</v>
      </c>
      <c r="G2411" s="2">
        <v>201710</v>
      </c>
      <c r="H2411" s="2" t="s">
        <v>74</v>
      </c>
      <c r="I2411" s="2" t="s">
        <v>75</v>
      </c>
      <c r="J2411" s="2" t="s">
        <v>76</v>
      </c>
      <c r="K2411" s="2" t="s">
        <v>77</v>
      </c>
      <c r="L2411" s="2" t="s">
        <v>187</v>
      </c>
      <c r="M2411" s="2" t="s">
        <v>146</v>
      </c>
      <c r="N2411" s="2" t="s">
        <v>147</v>
      </c>
      <c r="O2411" s="2" t="s">
        <v>115</v>
      </c>
      <c r="P2411" s="2" t="str">
        <f>"2170561038                    "</f>
        <v xml:space="preserve">2170561038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4.29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</v>
      </c>
      <c r="BJ2411" s="2">
        <v>0.2</v>
      </c>
      <c r="BK2411" s="2">
        <v>1</v>
      </c>
      <c r="BL2411" s="2">
        <v>41.73</v>
      </c>
      <c r="BM2411" s="2">
        <v>5.84</v>
      </c>
      <c r="BN2411" s="2">
        <v>47.57</v>
      </c>
      <c r="BO2411" s="2">
        <v>47.57</v>
      </c>
      <c r="BP2411" s="2"/>
      <c r="BQ2411" s="2" t="s">
        <v>148</v>
      </c>
      <c r="BR2411" s="2" t="s">
        <v>84</v>
      </c>
      <c r="BS2411" s="3">
        <v>42845</v>
      </c>
      <c r="BT2411" s="4">
        <v>0.34861111111111115</v>
      </c>
      <c r="BU2411" s="2" t="s">
        <v>149</v>
      </c>
      <c r="BV2411" s="2" t="s">
        <v>111</v>
      </c>
      <c r="BW2411" s="2"/>
      <c r="BX2411" s="2"/>
      <c r="BY2411" s="2">
        <v>1200</v>
      </c>
      <c r="BZ2411" s="2"/>
      <c r="CA2411" s="2"/>
      <c r="CB2411" s="2"/>
      <c r="CC2411" s="2" t="s">
        <v>146</v>
      </c>
      <c r="CD2411" s="2">
        <v>1</v>
      </c>
      <c r="CE2411" s="2" t="s">
        <v>118</v>
      </c>
      <c r="CF2411" s="5">
        <v>42849</v>
      </c>
      <c r="CG2411" s="2"/>
      <c r="CH2411" s="2"/>
      <c r="CI2411" s="2">
        <v>0</v>
      </c>
      <c r="CJ2411" s="2">
        <v>0</v>
      </c>
      <c r="CK2411" s="2">
        <v>21</v>
      </c>
      <c r="CL2411" s="2" t="s">
        <v>86</v>
      </c>
      <c r="CM2411" s="2"/>
    </row>
    <row r="2412" spans="1:91">
      <c r="A2412" s="2" t="s">
        <v>71</v>
      </c>
      <c r="B2412" s="2" t="s">
        <v>72</v>
      </c>
      <c r="C2412" s="2" t="s">
        <v>73</v>
      </c>
      <c r="D2412" s="2"/>
      <c r="E2412" s="2" t="str">
        <f>"FES1162544069"</f>
        <v>FES1162544069</v>
      </c>
      <c r="F2412" s="3">
        <v>42844</v>
      </c>
      <c r="G2412" s="2">
        <v>201710</v>
      </c>
      <c r="H2412" s="2" t="s">
        <v>74</v>
      </c>
      <c r="I2412" s="2" t="s">
        <v>75</v>
      </c>
      <c r="J2412" s="2" t="s">
        <v>76</v>
      </c>
      <c r="K2412" s="2" t="s">
        <v>77</v>
      </c>
      <c r="L2412" s="2" t="s">
        <v>119</v>
      </c>
      <c r="M2412" s="2" t="s">
        <v>120</v>
      </c>
      <c r="N2412" s="2" t="s">
        <v>1767</v>
      </c>
      <c r="O2412" s="2" t="s">
        <v>115</v>
      </c>
      <c r="P2412" s="2" t="str">
        <f>"2170562665                    "</f>
        <v xml:space="preserve">2170562665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3.35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1</v>
      </c>
      <c r="BJ2412" s="2">
        <v>0.2</v>
      </c>
      <c r="BK2412" s="2">
        <v>1</v>
      </c>
      <c r="BL2412" s="2">
        <v>32.6</v>
      </c>
      <c r="BM2412" s="2">
        <v>4.5599999999999996</v>
      </c>
      <c r="BN2412" s="2">
        <v>37.159999999999997</v>
      </c>
      <c r="BO2412" s="2">
        <v>37.159999999999997</v>
      </c>
      <c r="BP2412" s="2"/>
      <c r="BQ2412" s="2" t="s">
        <v>122</v>
      </c>
      <c r="BR2412" s="2" t="s">
        <v>84</v>
      </c>
      <c r="BS2412" s="3">
        <v>42845</v>
      </c>
      <c r="BT2412" s="4">
        <v>0.70624999999999993</v>
      </c>
      <c r="BU2412" s="2" t="s">
        <v>2766</v>
      </c>
      <c r="BV2412" s="2" t="s">
        <v>86</v>
      </c>
      <c r="BW2412" s="2" t="s">
        <v>96</v>
      </c>
      <c r="BX2412" s="2" t="s">
        <v>939</v>
      </c>
      <c r="BY2412" s="2">
        <v>1200</v>
      </c>
      <c r="BZ2412" s="2"/>
      <c r="CA2412" s="2"/>
      <c r="CB2412" s="2"/>
      <c r="CC2412" s="2" t="s">
        <v>120</v>
      </c>
      <c r="CD2412" s="2">
        <v>2163</v>
      </c>
      <c r="CE2412" s="2" t="s">
        <v>118</v>
      </c>
      <c r="CF2412" s="5">
        <v>42845</v>
      </c>
      <c r="CG2412" s="2"/>
      <c r="CH2412" s="2"/>
      <c r="CI2412" s="2">
        <v>1</v>
      </c>
      <c r="CJ2412" s="2">
        <v>1</v>
      </c>
      <c r="CK2412" s="2">
        <v>22</v>
      </c>
      <c r="CL2412" s="2" t="s">
        <v>86</v>
      </c>
      <c r="CM2412" s="2"/>
    </row>
    <row r="2413" spans="1:91">
      <c r="A2413" s="2" t="s">
        <v>71</v>
      </c>
      <c r="B2413" s="2" t="s">
        <v>72</v>
      </c>
      <c r="C2413" s="2" t="s">
        <v>73</v>
      </c>
      <c r="D2413" s="2"/>
      <c r="E2413" s="2" t="str">
        <f>"FES1162544306"</f>
        <v>FES1162544306</v>
      </c>
      <c r="F2413" s="3">
        <v>42844</v>
      </c>
      <c r="G2413" s="2">
        <v>201710</v>
      </c>
      <c r="H2413" s="2" t="s">
        <v>74</v>
      </c>
      <c r="I2413" s="2" t="s">
        <v>75</v>
      </c>
      <c r="J2413" s="2" t="s">
        <v>76</v>
      </c>
      <c r="K2413" s="2" t="s">
        <v>77</v>
      </c>
      <c r="L2413" s="2" t="s">
        <v>166</v>
      </c>
      <c r="M2413" s="2" t="s">
        <v>167</v>
      </c>
      <c r="N2413" s="2" t="s">
        <v>573</v>
      </c>
      <c r="O2413" s="2" t="s">
        <v>115</v>
      </c>
      <c r="P2413" s="2" t="str">
        <f>"2170562914                    "</f>
        <v xml:space="preserve">2170562914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3.35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1</v>
      </c>
      <c r="BJ2413" s="2">
        <v>0.2</v>
      </c>
      <c r="BK2413" s="2">
        <v>1</v>
      </c>
      <c r="BL2413" s="2">
        <v>32.6</v>
      </c>
      <c r="BM2413" s="2">
        <v>4.5599999999999996</v>
      </c>
      <c r="BN2413" s="2">
        <v>37.159999999999997</v>
      </c>
      <c r="BO2413" s="2">
        <v>37.159999999999997</v>
      </c>
      <c r="BP2413" s="2"/>
      <c r="BQ2413" s="2" t="s">
        <v>2767</v>
      </c>
      <c r="BR2413" s="2" t="s">
        <v>84</v>
      </c>
      <c r="BS2413" s="3">
        <v>42845</v>
      </c>
      <c r="BT2413" s="4">
        <v>0.4201388888888889</v>
      </c>
      <c r="BU2413" s="2" t="s">
        <v>2768</v>
      </c>
      <c r="BV2413" s="2" t="s">
        <v>111</v>
      </c>
      <c r="BW2413" s="2"/>
      <c r="BX2413" s="2"/>
      <c r="BY2413" s="2">
        <v>1200</v>
      </c>
      <c r="BZ2413" s="2"/>
      <c r="CA2413" s="2" t="s">
        <v>1175</v>
      </c>
      <c r="CB2413" s="2"/>
      <c r="CC2413" s="2" t="s">
        <v>167</v>
      </c>
      <c r="CD2413" s="2">
        <v>1832</v>
      </c>
      <c r="CE2413" s="2" t="s">
        <v>118</v>
      </c>
      <c r="CF2413" s="5">
        <v>42845</v>
      </c>
      <c r="CG2413" s="2"/>
      <c r="CH2413" s="2"/>
      <c r="CI2413" s="2">
        <v>1</v>
      </c>
      <c r="CJ2413" s="2">
        <v>1</v>
      </c>
      <c r="CK2413" s="2">
        <v>22</v>
      </c>
      <c r="CL2413" s="2" t="s">
        <v>86</v>
      </c>
      <c r="CM2413" s="2"/>
    </row>
    <row r="2414" spans="1:91">
      <c r="A2414" s="2" t="s">
        <v>71</v>
      </c>
      <c r="B2414" s="2" t="s">
        <v>72</v>
      </c>
      <c r="C2414" s="2" t="s">
        <v>73</v>
      </c>
      <c r="D2414" s="2"/>
      <c r="E2414" s="2" t="str">
        <f>"FES1162544379"</f>
        <v>FES1162544379</v>
      </c>
      <c r="F2414" s="3">
        <v>42844</v>
      </c>
      <c r="G2414" s="2">
        <v>201710</v>
      </c>
      <c r="H2414" s="2" t="s">
        <v>74</v>
      </c>
      <c r="I2414" s="2" t="s">
        <v>75</v>
      </c>
      <c r="J2414" s="2" t="s">
        <v>76</v>
      </c>
      <c r="K2414" s="2" t="s">
        <v>77</v>
      </c>
      <c r="L2414" s="2" t="s">
        <v>900</v>
      </c>
      <c r="M2414" s="2" t="s">
        <v>901</v>
      </c>
      <c r="N2414" s="2" t="s">
        <v>1428</v>
      </c>
      <c r="O2414" s="2" t="s">
        <v>115</v>
      </c>
      <c r="P2414" s="2" t="str">
        <f>"2170562978                    "</f>
        <v xml:space="preserve">2170562978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4.29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1</v>
      </c>
      <c r="BJ2414" s="2">
        <v>0.2</v>
      </c>
      <c r="BK2414" s="2">
        <v>1</v>
      </c>
      <c r="BL2414" s="2">
        <v>41.73</v>
      </c>
      <c r="BM2414" s="2">
        <v>5.84</v>
      </c>
      <c r="BN2414" s="2">
        <v>47.57</v>
      </c>
      <c r="BO2414" s="2">
        <v>47.57</v>
      </c>
      <c r="BP2414" s="2"/>
      <c r="BQ2414" s="2" t="s">
        <v>1429</v>
      </c>
      <c r="BR2414" s="2" t="s">
        <v>84</v>
      </c>
      <c r="BS2414" s="3">
        <v>42845</v>
      </c>
      <c r="BT2414" s="4">
        <v>0.35625000000000001</v>
      </c>
      <c r="BU2414" s="2" t="s">
        <v>2769</v>
      </c>
      <c r="BV2414" s="2" t="s">
        <v>111</v>
      </c>
      <c r="BW2414" s="2"/>
      <c r="BX2414" s="2"/>
      <c r="BY2414" s="2">
        <v>1200</v>
      </c>
      <c r="BZ2414" s="2"/>
      <c r="CA2414" s="2"/>
      <c r="CB2414" s="2"/>
      <c r="CC2414" s="2" t="s">
        <v>901</v>
      </c>
      <c r="CD2414" s="2">
        <v>4026</v>
      </c>
      <c r="CE2414" s="2" t="s">
        <v>118</v>
      </c>
      <c r="CF2414" s="5">
        <v>42846</v>
      </c>
      <c r="CG2414" s="2"/>
      <c r="CH2414" s="2"/>
      <c r="CI2414" s="2">
        <v>1</v>
      </c>
      <c r="CJ2414" s="2">
        <v>1</v>
      </c>
      <c r="CK2414" s="2">
        <v>21</v>
      </c>
      <c r="CL2414" s="2" t="s">
        <v>86</v>
      </c>
      <c r="CM2414" s="2"/>
    </row>
    <row r="2415" spans="1:91">
      <c r="A2415" s="2" t="s">
        <v>71</v>
      </c>
      <c r="B2415" s="2" t="s">
        <v>72</v>
      </c>
      <c r="C2415" s="2" t="s">
        <v>73</v>
      </c>
      <c r="D2415" s="2"/>
      <c r="E2415" s="2" t="str">
        <f>"FES1162544396"</f>
        <v>FES1162544396</v>
      </c>
      <c r="F2415" s="3">
        <v>42844</v>
      </c>
      <c r="G2415" s="2">
        <v>201710</v>
      </c>
      <c r="H2415" s="2" t="s">
        <v>74</v>
      </c>
      <c r="I2415" s="2" t="s">
        <v>75</v>
      </c>
      <c r="J2415" s="2" t="s">
        <v>76</v>
      </c>
      <c r="K2415" s="2" t="s">
        <v>77</v>
      </c>
      <c r="L2415" s="2" t="s">
        <v>234</v>
      </c>
      <c r="M2415" s="2" t="s">
        <v>235</v>
      </c>
      <c r="N2415" s="2" t="s">
        <v>2770</v>
      </c>
      <c r="O2415" s="2" t="s">
        <v>115</v>
      </c>
      <c r="P2415" s="2" t="str">
        <f>"2170562988                    "</f>
        <v xml:space="preserve">2170562988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4.29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1</v>
      </c>
      <c r="BJ2415" s="2">
        <v>0.2</v>
      </c>
      <c r="BK2415" s="2">
        <v>1</v>
      </c>
      <c r="BL2415" s="2">
        <v>41.73</v>
      </c>
      <c r="BM2415" s="2">
        <v>5.84</v>
      </c>
      <c r="BN2415" s="2">
        <v>47.57</v>
      </c>
      <c r="BO2415" s="2">
        <v>47.57</v>
      </c>
      <c r="BP2415" s="2"/>
      <c r="BQ2415" s="2" t="s">
        <v>2771</v>
      </c>
      <c r="BR2415" s="2" t="s">
        <v>84</v>
      </c>
      <c r="BS2415" s="3">
        <v>42845</v>
      </c>
      <c r="BT2415" s="4">
        <v>0.31944444444444448</v>
      </c>
      <c r="BU2415" s="2" t="s">
        <v>186</v>
      </c>
      <c r="BV2415" s="2" t="s">
        <v>111</v>
      </c>
      <c r="BW2415" s="2"/>
      <c r="BX2415" s="2"/>
      <c r="BY2415" s="2">
        <v>1200</v>
      </c>
      <c r="BZ2415" s="2"/>
      <c r="CA2415" s="2" t="s">
        <v>159</v>
      </c>
      <c r="CB2415" s="2"/>
      <c r="CC2415" s="2" t="s">
        <v>235</v>
      </c>
      <c r="CD2415" s="2">
        <v>6220</v>
      </c>
      <c r="CE2415" s="2" t="s">
        <v>118</v>
      </c>
      <c r="CF2415" s="5">
        <v>42846</v>
      </c>
      <c r="CG2415" s="2"/>
      <c r="CH2415" s="2"/>
      <c r="CI2415" s="2">
        <v>1</v>
      </c>
      <c r="CJ2415" s="2">
        <v>1</v>
      </c>
      <c r="CK2415" s="2">
        <v>21</v>
      </c>
      <c r="CL2415" s="2" t="s">
        <v>86</v>
      </c>
      <c r="CM2415" s="2"/>
    </row>
    <row r="2416" spans="1:91">
      <c r="A2416" s="2" t="s">
        <v>71</v>
      </c>
      <c r="B2416" s="2" t="s">
        <v>72</v>
      </c>
      <c r="C2416" s="2" t="s">
        <v>73</v>
      </c>
      <c r="D2416" s="2"/>
      <c r="E2416" s="2" t="str">
        <f>"FES1162544398"</f>
        <v>FES1162544398</v>
      </c>
      <c r="F2416" s="3">
        <v>42844</v>
      </c>
      <c r="G2416" s="2">
        <v>201710</v>
      </c>
      <c r="H2416" s="2" t="s">
        <v>74</v>
      </c>
      <c r="I2416" s="2" t="s">
        <v>75</v>
      </c>
      <c r="J2416" s="2" t="s">
        <v>76</v>
      </c>
      <c r="K2416" s="2" t="s">
        <v>77</v>
      </c>
      <c r="L2416" s="2" t="s">
        <v>234</v>
      </c>
      <c r="M2416" s="2" t="s">
        <v>235</v>
      </c>
      <c r="N2416" s="2" t="s">
        <v>2770</v>
      </c>
      <c r="O2416" s="2" t="s">
        <v>115</v>
      </c>
      <c r="P2416" s="2" t="str">
        <f>"2170562993                    "</f>
        <v xml:space="preserve">2170562993 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4.29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1</v>
      </c>
      <c r="BJ2416" s="2">
        <v>0.2</v>
      </c>
      <c r="BK2416" s="2">
        <v>1</v>
      </c>
      <c r="BL2416" s="2">
        <v>41.73</v>
      </c>
      <c r="BM2416" s="2">
        <v>5.84</v>
      </c>
      <c r="BN2416" s="2">
        <v>47.57</v>
      </c>
      <c r="BO2416" s="2">
        <v>47.57</v>
      </c>
      <c r="BP2416" s="2"/>
      <c r="BQ2416" s="2" t="s">
        <v>2771</v>
      </c>
      <c r="BR2416" s="2" t="s">
        <v>84</v>
      </c>
      <c r="BS2416" s="3">
        <v>42845</v>
      </c>
      <c r="BT2416" s="4">
        <v>0.31944444444444448</v>
      </c>
      <c r="BU2416" s="2" t="s">
        <v>186</v>
      </c>
      <c r="BV2416" s="2" t="s">
        <v>111</v>
      </c>
      <c r="BW2416" s="2"/>
      <c r="BX2416" s="2"/>
      <c r="BY2416" s="2">
        <v>1200</v>
      </c>
      <c r="BZ2416" s="2"/>
      <c r="CA2416" s="2" t="s">
        <v>159</v>
      </c>
      <c r="CB2416" s="2"/>
      <c r="CC2416" s="2" t="s">
        <v>235</v>
      </c>
      <c r="CD2416" s="2">
        <v>6220</v>
      </c>
      <c r="CE2416" s="2" t="s">
        <v>118</v>
      </c>
      <c r="CF2416" s="5">
        <v>42846</v>
      </c>
      <c r="CG2416" s="2"/>
      <c r="CH2416" s="2"/>
      <c r="CI2416" s="2">
        <v>1</v>
      </c>
      <c r="CJ2416" s="2">
        <v>1</v>
      </c>
      <c r="CK2416" s="2">
        <v>21</v>
      </c>
      <c r="CL2416" s="2" t="s">
        <v>86</v>
      </c>
      <c r="CM2416" s="2"/>
    </row>
    <row r="2417" spans="1:91">
      <c r="A2417" s="2" t="s">
        <v>71</v>
      </c>
      <c r="B2417" s="2" t="s">
        <v>72</v>
      </c>
      <c r="C2417" s="2" t="s">
        <v>73</v>
      </c>
      <c r="D2417" s="2"/>
      <c r="E2417" s="2" t="str">
        <f>"FES1162544343"</f>
        <v>FES1162544343</v>
      </c>
      <c r="F2417" s="3">
        <v>42844</v>
      </c>
      <c r="G2417" s="2">
        <v>201710</v>
      </c>
      <c r="H2417" s="2" t="s">
        <v>74</v>
      </c>
      <c r="I2417" s="2" t="s">
        <v>75</v>
      </c>
      <c r="J2417" s="2" t="s">
        <v>76</v>
      </c>
      <c r="K2417" s="2" t="s">
        <v>77</v>
      </c>
      <c r="L2417" s="2" t="s">
        <v>220</v>
      </c>
      <c r="M2417" s="2" t="s">
        <v>221</v>
      </c>
      <c r="N2417" s="2" t="s">
        <v>222</v>
      </c>
      <c r="O2417" s="2" t="s">
        <v>115</v>
      </c>
      <c r="P2417" s="2" t="str">
        <f>"2170562948                    "</f>
        <v xml:space="preserve">2170562948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4.29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1</v>
      </c>
      <c r="BJ2417" s="2">
        <v>0.2</v>
      </c>
      <c r="BK2417" s="2">
        <v>1</v>
      </c>
      <c r="BL2417" s="2">
        <v>41.73</v>
      </c>
      <c r="BM2417" s="2">
        <v>5.84</v>
      </c>
      <c r="BN2417" s="2">
        <v>47.57</v>
      </c>
      <c r="BO2417" s="2">
        <v>47.57</v>
      </c>
      <c r="BP2417" s="2"/>
      <c r="BQ2417" s="2" t="s">
        <v>223</v>
      </c>
      <c r="BR2417" s="2" t="s">
        <v>84</v>
      </c>
      <c r="BS2417" s="3">
        <v>42849</v>
      </c>
      <c r="BT2417" s="4">
        <v>0.41666666666666669</v>
      </c>
      <c r="BU2417" s="2" t="s">
        <v>2152</v>
      </c>
      <c r="BV2417" s="2" t="s">
        <v>86</v>
      </c>
      <c r="BW2417" s="2" t="s">
        <v>96</v>
      </c>
      <c r="BX2417" s="2" t="s">
        <v>812</v>
      </c>
      <c r="BY2417" s="2">
        <v>1200</v>
      </c>
      <c r="BZ2417" s="2"/>
      <c r="CA2417" s="2"/>
      <c r="CB2417" s="2"/>
      <c r="CC2417" s="2" t="s">
        <v>221</v>
      </c>
      <c r="CD2417" s="2">
        <v>6536</v>
      </c>
      <c r="CE2417" s="2" t="s">
        <v>118</v>
      </c>
      <c r="CF2417" s="5">
        <v>42846</v>
      </c>
      <c r="CG2417" s="2"/>
      <c r="CH2417" s="2"/>
      <c r="CI2417" s="2">
        <v>1</v>
      </c>
      <c r="CJ2417" s="2">
        <v>3</v>
      </c>
      <c r="CK2417" s="2">
        <v>21</v>
      </c>
      <c r="CL2417" s="2" t="s">
        <v>86</v>
      </c>
      <c r="CM2417" s="2"/>
    </row>
    <row r="2418" spans="1:91">
      <c r="A2418" s="2" t="s">
        <v>71</v>
      </c>
      <c r="B2418" s="2" t="s">
        <v>72</v>
      </c>
      <c r="C2418" s="2" t="s">
        <v>73</v>
      </c>
      <c r="D2418" s="2"/>
      <c r="E2418" s="2" t="str">
        <f>"FES1162544403"</f>
        <v>FES1162544403</v>
      </c>
      <c r="F2418" s="3">
        <v>42844</v>
      </c>
      <c r="G2418" s="2">
        <v>201710</v>
      </c>
      <c r="H2418" s="2" t="s">
        <v>74</v>
      </c>
      <c r="I2418" s="2" t="s">
        <v>75</v>
      </c>
      <c r="J2418" s="2" t="s">
        <v>76</v>
      </c>
      <c r="K2418" s="2" t="s">
        <v>77</v>
      </c>
      <c r="L2418" s="2" t="s">
        <v>99</v>
      </c>
      <c r="M2418" s="2" t="s">
        <v>100</v>
      </c>
      <c r="N2418" s="2" t="s">
        <v>108</v>
      </c>
      <c r="O2418" s="2" t="s">
        <v>115</v>
      </c>
      <c r="P2418" s="2" t="str">
        <f>"2170562997                    "</f>
        <v xml:space="preserve">2170562997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4.29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</v>
      </c>
      <c r="BJ2418" s="2">
        <v>0.2</v>
      </c>
      <c r="BK2418" s="2">
        <v>1</v>
      </c>
      <c r="BL2418" s="2">
        <v>41.73</v>
      </c>
      <c r="BM2418" s="2">
        <v>5.84</v>
      </c>
      <c r="BN2418" s="2">
        <v>47.57</v>
      </c>
      <c r="BO2418" s="2">
        <v>47.57</v>
      </c>
      <c r="BP2418" s="2"/>
      <c r="BQ2418" s="2" t="s">
        <v>109</v>
      </c>
      <c r="BR2418" s="2" t="s">
        <v>84</v>
      </c>
      <c r="BS2418" s="3">
        <v>42845</v>
      </c>
      <c r="BT2418" s="4">
        <v>0.37847222222222227</v>
      </c>
      <c r="BU2418" s="2" t="s">
        <v>109</v>
      </c>
      <c r="BV2418" s="2" t="s">
        <v>111</v>
      </c>
      <c r="BW2418" s="2"/>
      <c r="BX2418" s="2"/>
      <c r="BY2418" s="2">
        <v>1200</v>
      </c>
      <c r="BZ2418" s="2"/>
      <c r="CA2418" s="2"/>
      <c r="CB2418" s="2"/>
      <c r="CC2418" s="2" t="s">
        <v>100</v>
      </c>
      <c r="CD2418" s="2">
        <v>6001</v>
      </c>
      <c r="CE2418" s="2" t="s">
        <v>118</v>
      </c>
      <c r="CF2418" s="5">
        <v>42846</v>
      </c>
      <c r="CG2418" s="2"/>
      <c r="CH2418" s="2"/>
      <c r="CI2418" s="2">
        <v>1</v>
      </c>
      <c r="CJ2418" s="2">
        <v>1</v>
      </c>
      <c r="CK2418" s="2">
        <v>21</v>
      </c>
      <c r="CL2418" s="2" t="s">
        <v>86</v>
      </c>
      <c r="CM2418" s="2"/>
    </row>
    <row r="2419" spans="1:91">
      <c r="A2419" s="2" t="s">
        <v>71</v>
      </c>
      <c r="B2419" s="2" t="s">
        <v>72</v>
      </c>
      <c r="C2419" s="2" t="s">
        <v>73</v>
      </c>
      <c r="D2419" s="2"/>
      <c r="E2419" s="2" t="str">
        <f>"FES1162544395"</f>
        <v>FES1162544395</v>
      </c>
      <c r="F2419" s="3">
        <v>42844</v>
      </c>
      <c r="G2419" s="2">
        <v>201710</v>
      </c>
      <c r="H2419" s="2" t="s">
        <v>74</v>
      </c>
      <c r="I2419" s="2" t="s">
        <v>75</v>
      </c>
      <c r="J2419" s="2" t="s">
        <v>76</v>
      </c>
      <c r="K2419" s="2" t="s">
        <v>77</v>
      </c>
      <c r="L2419" s="2" t="s">
        <v>99</v>
      </c>
      <c r="M2419" s="2" t="s">
        <v>100</v>
      </c>
      <c r="N2419" s="2" t="s">
        <v>151</v>
      </c>
      <c r="O2419" s="2" t="s">
        <v>115</v>
      </c>
      <c r="P2419" s="2" t="str">
        <f>"2170562890                    "</f>
        <v xml:space="preserve">2170562890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4.29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</v>
      </c>
      <c r="BJ2419" s="2">
        <v>0.2</v>
      </c>
      <c r="BK2419" s="2">
        <v>1</v>
      </c>
      <c r="BL2419" s="2">
        <v>41.73</v>
      </c>
      <c r="BM2419" s="2">
        <v>5.84</v>
      </c>
      <c r="BN2419" s="2">
        <v>47.57</v>
      </c>
      <c r="BO2419" s="2">
        <v>47.57</v>
      </c>
      <c r="BP2419" s="2"/>
      <c r="BQ2419" s="2" t="s">
        <v>152</v>
      </c>
      <c r="BR2419" s="2" t="s">
        <v>84</v>
      </c>
      <c r="BS2419" s="3">
        <v>42845</v>
      </c>
      <c r="BT2419" s="4">
        <v>0.32361111111111113</v>
      </c>
      <c r="BU2419" s="2" t="s">
        <v>153</v>
      </c>
      <c r="BV2419" s="2" t="s">
        <v>111</v>
      </c>
      <c r="BW2419" s="2"/>
      <c r="BX2419" s="2"/>
      <c r="BY2419" s="2">
        <v>1200</v>
      </c>
      <c r="BZ2419" s="2"/>
      <c r="CA2419" s="2" t="s">
        <v>154</v>
      </c>
      <c r="CB2419" s="2"/>
      <c r="CC2419" s="2" t="s">
        <v>100</v>
      </c>
      <c r="CD2419" s="2">
        <v>6001</v>
      </c>
      <c r="CE2419" s="2" t="s">
        <v>118</v>
      </c>
      <c r="CF2419" s="5">
        <v>42845</v>
      </c>
      <c r="CG2419" s="2"/>
      <c r="CH2419" s="2"/>
      <c r="CI2419" s="2">
        <v>1</v>
      </c>
      <c r="CJ2419" s="2">
        <v>1</v>
      </c>
      <c r="CK2419" s="2">
        <v>21</v>
      </c>
      <c r="CL2419" s="2" t="s">
        <v>86</v>
      </c>
      <c r="CM2419" s="2"/>
    </row>
    <row r="2420" spans="1:91">
      <c r="A2420" s="2" t="s">
        <v>71</v>
      </c>
      <c r="B2420" s="2" t="s">
        <v>72</v>
      </c>
      <c r="C2420" s="2" t="s">
        <v>73</v>
      </c>
      <c r="D2420" s="2"/>
      <c r="E2420" s="2" t="str">
        <f>"FES1162544427"</f>
        <v>FES1162544427</v>
      </c>
      <c r="F2420" s="3">
        <v>42844</v>
      </c>
      <c r="G2420" s="2">
        <v>201710</v>
      </c>
      <c r="H2420" s="2" t="s">
        <v>74</v>
      </c>
      <c r="I2420" s="2" t="s">
        <v>75</v>
      </c>
      <c r="J2420" s="2" t="s">
        <v>76</v>
      </c>
      <c r="K2420" s="2" t="s">
        <v>77</v>
      </c>
      <c r="L2420" s="2" t="s">
        <v>131</v>
      </c>
      <c r="M2420" s="2" t="s">
        <v>132</v>
      </c>
      <c r="N2420" s="2" t="s">
        <v>744</v>
      </c>
      <c r="O2420" s="2" t="s">
        <v>115</v>
      </c>
      <c r="P2420" s="2" t="str">
        <f>"2170562165                    "</f>
        <v xml:space="preserve">2170562165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4.29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1</v>
      </c>
      <c r="BJ2420" s="2">
        <v>0.2</v>
      </c>
      <c r="BK2420" s="2">
        <v>1</v>
      </c>
      <c r="BL2420" s="2">
        <v>41.73</v>
      </c>
      <c r="BM2420" s="2">
        <v>5.84</v>
      </c>
      <c r="BN2420" s="2">
        <v>47.57</v>
      </c>
      <c r="BO2420" s="2">
        <v>47.57</v>
      </c>
      <c r="BP2420" s="2"/>
      <c r="BQ2420" s="2" t="s">
        <v>138</v>
      </c>
      <c r="BR2420" s="2" t="s">
        <v>84</v>
      </c>
      <c r="BS2420" s="3">
        <v>42845</v>
      </c>
      <c r="BT2420" s="4">
        <v>0.41666666666666669</v>
      </c>
      <c r="BU2420" s="2" t="s">
        <v>2668</v>
      </c>
      <c r="BV2420" s="2" t="s">
        <v>111</v>
      </c>
      <c r="BW2420" s="2"/>
      <c r="BX2420" s="2"/>
      <c r="BY2420" s="2">
        <v>1200</v>
      </c>
      <c r="BZ2420" s="2"/>
      <c r="CA2420" s="2"/>
      <c r="CB2420" s="2"/>
      <c r="CC2420" s="2" t="s">
        <v>132</v>
      </c>
      <c r="CD2420" s="2">
        <v>7405</v>
      </c>
      <c r="CE2420" s="2" t="s">
        <v>118</v>
      </c>
      <c r="CF2420" s="5">
        <v>42846</v>
      </c>
      <c r="CG2420" s="2"/>
      <c r="CH2420" s="2"/>
      <c r="CI2420" s="2">
        <v>1</v>
      </c>
      <c r="CJ2420" s="2">
        <v>1</v>
      </c>
      <c r="CK2420" s="2">
        <v>21</v>
      </c>
      <c r="CL2420" s="2" t="s">
        <v>86</v>
      </c>
      <c r="CM2420" s="2"/>
    </row>
    <row r="2421" spans="1:91">
      <c r="A2421" s="2" t="s">
        <v>71</v>
      </c>
      <c r="B2421" s="2" t="s">
        <v>72</v>
      </c>
      <c r="C2421" s="2" t="s">
        <v>73</v>
      </c>
      <c r="D2421" s="2"/>
      <c r="E2421" s="2" t="str">
        <f>"FES1162544397"</f>
        <v>FES1162544397</v>
      </c>
      <c r="F2421" s="3">
        <v>42844</v>
      </c>
      <c r="G2421" s="2">
        <v>201710</v>
      </c>
      <c r="H2421" s="2" t="s">
        <v>74</v>
      </c>
      <c r="I2421" s="2" t="s">
        <v>75</v>
      </c>
      <c r="J2421" s="2" t="s">
        <v>76</v>
      </c>
      <c r="K2421" s="2" t="s">
        <v>77</v>
      </c>
      <c r="L2421" s="2" t="s">
        <v>234</v>
      </c>
      <c r="M2421" s="2" t="s">
        <v>235</v>
      </c>
      <c r="N2421" s="2" t="s">
        <v>2770</v>
      </c>
      <c r="O2421" s="2" t="s">
        <v>115</v>
      </c>
      <c r="P2421" s="2" t="str">
        <f>"2170562992                    "</f>
        <v xml:space="preserve">2170562992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4.29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1</v>
      </c>
      <c r="BJ2421" s="2">
        <v>0.2</v>
      </c>
      <c r="BK2421" s="2">
        <v>1</v>
      </c>
      <c r="BL2421" s="2">
        <v>41.73</v>
      </c>
      <c r="BM2421" s="2">
        <v>5.84</v>
      </c>
      <c r="BN2421" s="2">
        <v>47.57</v>
      </c>
      <c r="BO2421" s="2">
        <v>47.57</v>
      </c>
      <c r="BP2421" s="2"/>
      <c r="BQ2421" s="2" t="s">
        <v>2771</v>
      </c>
      <c r="BR2421" s="2" t="s">
        <v>84</v>
      </c>
      <c r="BS2421" s="3">
        <v>42845</v>
      </c>
      <c r="BT2421" s="4">
        <v>0.31944444444444448</v>
      </c>
      <c r="BU2421" s="2" t="s">
        <v>186</v>
      </c>
      <c r="BV2421" s="2" t="s">
        <v>111</v>
      </c>
      <c r="BW2421" s="2"/>
      <c r="BX2421" s="2"/>
      <c r="BY2421" s="2">
        <v>1200</v>
      </c>
      <c r="BZ2421" s="2"/>
      <c r="CA2421" s="2" t="s">
        <v>159</v>
      </c>
      <c r="CB2421" s="2"/>
      <c r="CC2421" s="2" t="s">
        <v>235</v>
      </c>
      <c r="CD2421" s="2">
        <v>6220</v>
      </c>
      <c r="CE2421" s="2" t="s">
        <v>118</v>
      </c>
      <c r="CF2421" s="5">
        <v>42846</v>
      </c>
      <c r="CG2421" s="2"/>
      <c r="CH2421" s="2"/>
      <c r="CI2421" s="2">
        <v>1</v>
      </c>
      <c r="CJ2421" s="2">
        <v>1</v>
      </c>
      <c r="CK2421" s="2">
        <v>21</v>
      </c>
      <c r="CL2421" s="2" t="s">
        <v>86</v>
      </c>
      <c r="CM2421" s="2"/>
    </row>
    <row r="2422" spans="1:91">
      <c r="A2422" s="2" t="s">
        <v>71</v>
      </c>
      <c r="B2422" s="2" t="s">
        <v>72</v>
      </c>
      <c r="C2422" s="2" t="s">
        <v>73</v>
      </c>
      <c r="D2422" s="2"/>
      <c r="E2422" s="2" t="str">
        <f>"FES1162544347"</f>
        <v>FES1162544347</v>
      </c>
      <c r="F2422" s="3">
        <v>42844</v>
      </c>
      <c r="G2422" s="2">
        <v>201710</v>
      </c>
      <c r="H2422" s="2" t="s">
        <v>74</v>
      </c>
      <c r="I2422" s="2" t="s">
        <v>75</v>
      </c>
      <c r="J2422" s="2" t="s">
        <v>76</v>
      </c>
      <c r="K2422" s="2" t="s">
        <v>77</v>
      </c>
      <c r="L2422" s="2" t="s">
        <v>131</v>
      </c>
      <c r="M2422" s="2" t="s">
        <v>132</v>
      </c>
      <c r="N2422" s="2" t="s">
        <v>388</v>
      </c>
      <c r="O2422" s="2" t="s">
        <v>115</v>
      </c>
      <c r="P2422" s="2" t="str">
        <f>"2170562952                    "</f>
        <v xml:space="preserve">2170562952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4.29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1</v>
      </c>
      <c r="BJ2422" s="2">
        <v>0.2</v>
      </c>
      <c r="BK2422" s="2">
        <v>1</v>
      </c>
      <c r="BL2422" s="2">
        <v>41.73</v>
      </c>
      <c r="BM2422" s="2">
        <v>5.84</v>
      </c>
      <c r="BN2422" s="2">
        <v>47.57</v>
      </c>
      <c r="BO2422" s="2">
        <v>47.57</v>
      </c>
      <c r="BP2422" s="2"/>
      <c r="BQ2422" s="2" t="s">
        <v>129</v>
      </c>
      <c r="BR2422" s="2" t="s">
        <v>84</v>
      </c>
      <c r="BS2422" s="3">
        <v>42845</v>
      </c>
      <c r="BT2422" s="4">
        <v>0.41666666666666669</v>
      </c>
      <c r="BU2422" s="2" t="s">
        <v>170</v>
      </c>
      <c r="BV2422" s="2" t="s">
        <v>111</v>
      </c>
      <c r="BW2422" s="2"/>
      <c r="BX2422" s="2"/>
      <c r="BY2422" s="2">
        <v>1200</v>
      </c>
      <c r="BZ2422" s="2"/>
      <c r="CA2422" s="2"/>
      <c r="CB2422" s="2"/>
      <c r="CC2422" s="2" t="s">
        <v>132</v>
      </c>
      <c r="CD2422" s="2">
        <v>7800</v>
      </c>
      <c r="CE2422" s="2" t="s">
        <v>118</v>
      </c>
      <c r="CF2422" s="5">
        <v>42846</v>
      </c>
      <c r="CG2422" s="2"/>
      <c r="CH2422" s="2"/>
      <c r="CI2422" s="2">
        <v>1</v>
      </c>
      <c r="CJ2422" s="2">
        <v>1</v>
      </c>
      <c r="CK2422" s="2">
        <v>21</v>
      </c>
      <c r="CL2422" s="2" t="s">
        <v>86</v>
      </c>
      <c r="CM2422" s="2"/>
    </row>
    <row r="2423" spans="1:91">
      <c r="A2423" s="2" t="s">
        <v>71</v>
      </c>
      <c r="B2423" s="2" t="s">
        <v>72</v>
      </c>
      <c r="C2423" s="2" t="s">
        <v>73</v>
      </c>
      <c r="D2423" s="2"/>
      <c r="E2423" s="2" t="str">
        <f>"FES1162544335"</f>
        <v>FES1162544335</v>
      </c>
      <c r="F2423" s="3">
        <v>42844</v>
      </c>
      <c r="G2423" s="2">
        <v>201710</v>
      </c>
      <c r="H2423" s="2" t="s">
        <v>74</v>
      </c>
      <c r="I2423" s="2" t="s">
        <v>75</v>
      </c>
      <c r="J2423" s="2" t="s">
        <v>76</v>
      </c>
      <c r="K2423" s="2" t="s">
        <v>77</v>
      </c>
      <c r="L2423" s="2" t="s">
        <v>180</v>
      </c>
      <c r="M2423" s="2" t="s">
        <v>181</v>
      </c>
      <c r="N2423" s="2" t="s">
        <v>855</v>
      </c>
      <c r="O2423" s="2" t="s">
        <v>115</v>
      </c>
      <c r="P2423" s="2" t="str">
        <f>"2170562947                    "</f>
        <v xml:space="preserve">2170562947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9.65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2</v>
      </c>
      <c r="BJ2423" s="2">
        <v>4.5</v>
      </c>
      <c r="BK2423" s="2">
        <v>4.5</v>
      </c>
      <c r="BL2423" s="2">
        <v>93.89</v>
      </c>
      <c r="BM2423" s="2">
        <v>13.14</v>
      </c>
      <c r="BN2423" s="2">
        <v>107.03</v>
      </c>
      <c r="BO2423" s="2">
        <v>107.03</v>
      </c>
      <c r="BP2423" s="2"/>
      <c r="BQ2423" s="2" t="s">
        <v>122</v>
      </c>
      <c r="BR2423" s="2" t="s">
        <v>84</v>
      </c>
      <c r="BS2423" s="3">
        <v>42845</v>
      </c>
      <c r="BT2423" s="4">
        <v>0.28125</v>
      </c>
      <c r="BU2423" s="2" t="s">
        <v>2772</v>
      </c>
      <c r="BV2423" s="2" t="s">
        <v>111</v>
      </c>
      <c r="BW2423" s="2"/>
      <c r="BX2423" s="2"/>
      <c r="BY2423" s="2">
        <v>22680</v>
      </c>
      <c r="BZ2423" s="2"/>
      <c r="CA2423" s="2"/>
      <c r="CB2423" s="2"/>
      <c r="CC2423" s="2" t="s">
        <v>181</v>
      </c>
      <c r="CD2423" s="2">
        <v>4093</v>
      </c>
      <c r="CE2423" s="2" t="s">
        <v>89</v>
      </c>
      <c r="CF2423" s="5">
        <v>42846</v>
      </c>
      <c r="CG2423" s="2"/>
      <c r="CH2423" s="2"/>
      <c r="CI2423" s="2">
        <v>1</v>
      </c>
      <c r="CJ2423" s="2">
        <v>1</v>
      </c>
      <c r="CK2423" s="2">
        <v>21</v>
      </c>
      <c r="CL2423" s="2" t="s">
        <v>86</v>
      </c>
      <c r="CM2423" s="2"/>
    </row>
    <row r="2424" spans="1:91">
      <c r="A2424" s="2" t="s">
        <v>71</v>
      </c>
      <c r="B2424" s="2" t="s">
        <v>72</v>
      </c>
      <c r="C2424" s="2" t="s">
        <v>73</v>
      </c>
      <c r="D2424" s="2"/>
      <c r="E2424" s="2" t="str">
        <f>"FES1162544399"</f>
        <v>FES1162544399</v>
      </c>
      <c r="F2424" s="3">
        <v>42844</v>
      </c>
      <c r="G2424" s="2">
        <v>201710</v>
      </c>
      <c r="H2424" s="2" t="s">
        <v>74</v>
      </c>
      <c r="I2424" s="2" t="s">
        <v>75</v>
      </c>
      <c r="J2424" s="2" t="s">
        <v>76</v>
      </c>
      <c r="K2424" s="2" t="s">
        <v>77</v>
      </c>
      <c r="L2424" s="2" t="s">
        <v>160</v>
      </c>
      <c r="M2424" s="2" t="s">
        <v>161</v>
      </c>
      <c r="N2424" s="2" t="s">
        <v>1042</v>
      </c>
      <c r="O2424" s="2" t="s">
        <v>115</v>
      </c>
      <c r="P2424" s="2" t="str">
        <f>"2170562994                    "</f>
        <v xml:space="preserve">2170562994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8.57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3</v>
      </c>
      <c r="BJ2424" s="2">
        <v>3.8</v>
      </c>
      <c r="BK2424" s="2">
        <v>4</v>
      </c>
      <c r="BL2424" s="2">
        <v>83.45</v>
      </c>
      <c r="BM2424" s="2">
        <v>11.68</v>
      </c>
      <c r="BN2424" s="2">
        <v>95.13</v>
      </c>
      <c r="BO2424" s="2">
        <v>95.13</v>
      </c>
      <c r="BP2424" s="2"/>
      <c r="BQ2424" s="2" t="s">
        <v>1043</v>
      </c>
      <c r="BR2424" s="2" t="s">
        <v>84</v>
      </c>
      <c r="BS2424" s="3">
        <v>42845</v>
      </c>
      <c r="BT2424" s="4">
        <v>0.41666666666666669</v>
      </c>
      <c r="BU2424" s="2" t="s">
        <v>2773</v>
      </c>
      <c r="BV2424" s="2" t="s">
        <v>111</v>
      </c>
      <c r="BW2424" s="2"/>
      <c r="BX2424" s="2"/>
      <c r="BY2424" s="2">
        <v>19200</v>
      </c>
      <c r="BZ2424" s="2"/>
      <c r="CA2424" s="2"/>
      <c r="CB2424" s="2"/>
      <c r="CC2424" s="2" t="s">
        <v>161</v>
      </c>
      <c r="CD2424" s="2">
        <v>5201</v>
      </c>
      <c r="CE2424" s="2" t="s">
        <v>172</v>
      </c>
      <c r="CF2424" s="5">
        <v>42849</v>
      </c>
      <c r="CG2424" s="2"/>
      <c r="CH2424" s="2"/>
      <c r="CI2424" s="2">
        <v>1</v>
      </c>
      <c r="CJ2424" s="2">
        <v>1</v>
      </c>
      <c r="CK2424" s="2">
        <v>21</v>
      </c>
      <c r="CL2424" s="2" t="s">
        <v>86</v>
      </c>
      <c r="CM2424" s="2"/>
    </row>
    <row r="2425" spans="1:91">
      <c r="A2425" s="2" t="s">
        <v>71</v>
      </c>
      <c r="B2425" s="2" t="s">
        <v>72</v>
      </c>
      <c r="C2425" s="2" t="s">
        <v>73</v>
      </c>
      <c r="D2425" s="2"/>
      <c r="E2425" s="2" t="str">
        <f>"FES1162544392"</f>
        <v>FES1162544392</v>
      </c>
      <c r="F2425" s="3">
        <v>42844</v>
      </c>
      <c r="G2425" s="2">
        <v>201710</v>
      </c>
      <c r="H2425" s="2" t="s">
        <v>74</v>
      </c>
      <c r="I2425" s="2" t="s">
        <v>75</v>
      </c>
      <c r="J2425" s="2" t="s">
        <v>76</v>
      </c>
      <c r="K2425" s="2" t="s">
        <v>77</v>
      </c>
      <c r="L2425" s="2" t="s">
        <v>401</v>
      </c>
      <c r="M2425" s="2" t="s">
        <v>402</v>
      </c>
      <c r="N2425" s="2" t="s">
        <v>568</v>
      </c>
      <c r="O2425" s="2" t="s">
        <v>115</v>
      </c>
      <c r="P2425" s="2" t="str">
        <f>"2170558656                    "</f>
        <v xml:space="preserve">2170558656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12.86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5.8</v>
      </c>
      <c r="BJ2425" s="2">
        <v>2.8</v>
      </c>
      <c r="BK2425" s="2">
        <v>6</v>
      </c>
      <c r="BL2425" s="2">
        <v>125.18</v>
      </c>
      <c r="BM2425" s="2">
        <v>17.53</v>
      </c>
      <c r="BN2425" s="2">
        <v>142.71</v>
      </c>
      <c r="BO2425" s="2">
        <v>142.71</v>
      </c>
      <c r="BP2425" s="2"/>
      <c r="BQ2425" s="2" t="s">
        <v>569</v>
      </c>
      <c r="BR2425" s="2" t="s">
        <v>84</v>
      </c>
      <c r="BS2425" s="3">
        <v>42845</v>
      </c>
      <c r="BT2425" s="4">
        <v>0.41666666666666669</v>
      </c>
      <c r="BU2425" s="2" t="s">
        <v>570</v>
      </c>
      <c r="BV2425" s="2" t="s">
        <v>111</v>
      </c>
      <c r="BW2425" s="2"/>
      <c r="BX2425" s="2"/>
      <c r="BY2425" s="2">
        <v>14016.16</v>
      </c>
      <c r="BZ2425" s="2"/>
      <c r="CA2425" s="2"/>
      <c r="CB2425" s="2"/>
      <c r="CC2425" s="2" t="s">
        <v>402</v>
      </c>
      <c r="CD2425" s="2">
        <v>4133</v>
      </c>
      <c r="CE2425" s="2" t="s">
        <v>172</v>
      </c>
      <c r="CF2425" s="5">
        <v>42846</v>
      </c>
      <c r="CG2425" s="2"/>
      <c r="CH2425" s="2"/>
      <c r="CI2425" s="2">
        <v>1</v>
      </c>
      <c r="CJ2425" s="2">
        <v>1</v>
      </c>
      <c r="CK2425" s="2">
        <v>21</v>
      </c>
      <c r="CL2425" s="2" t="s">
        <v>86</v>
      </c>
      <c r="CM2425" s="2"/>
    </row>
    <row r="2426" spans="1:91">
      <c r="A2426" s="2" t="s">
        <v>71</v>
      </c>
      <c r="B2426" s="2" t="s">
        <v>72</v>
      </c>
      <c r="C2426" s="2" t="s">
        <v>73</v>
      </c>
      <c r="D2426" s="2"/>
      <c r="E2426" s="2" t="str">
        <f>"FES1162544375"</f>
        <v>FES1162544375</v>
      </c>
      <c r="F2426" s="3">
        <v>42844</v>
      </c>
      <c r="G2426" s="2">
        <v>201710</v>
      </c>
      <c r="H2426" s="2" t="s">
        <v>74</v>
      </c>
      <c r="I2426" s="2" t="s">
        <v>75</v>
      </c>
      <c r="J2426" s="2" t="s">
        <v>76</v>
      </c>
      <c r="K2426" s="2" t="s">
        <v>77</v>
      </c>
      <c r="L2426" s="2" t="s">
        <v>396</v>
      </c>
      <c r="M2426" s="2" t="s">
        <v>397</v>
      </c>
      <c r="N2426" s="2" t="s">
        <v>1381</v>
      </c>
      <c r="O2426" s="2" t="s">
        <v>115</v>
      </c>
      <c r="P2426" s="2" t="str">
        <f>"2170559695                    "</f>
        <v xml:space="preserve">2170559695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17.149999999999999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7.7</v>
      </c>
      <c r="BJ2426" s="2">
        <v>7.4</v>
      </c>
      <c r="BK2426" s="2">
        <v>8</v>
      </c>
      <c r="BL2426" s="2">
        <v>166.91</v>
      </c>
      <c r="BM2426" s="2">
        <v>23.37</v>
      </c>
      <c r="BN2426" s="2">
        <v>190.28</v>
      </c>
      <c r="BO2426" s="2">
        <v>190.28</v>
      </c>
      <c r="BP2426" s="2"/>
      <c r="BQ2426" s="2" t="s">
        <v>129</v>
      </c>
      <c r="BR2426" s="2" t="s">
        <v>84</v>
      </c>
      <c r="BS2426" s="3">
        <v>42845</v>
      </c>
      <c r="BT2426" s="4">
        <v>0.41666666666666669</v>
      </c>
      <c r="BU2426" s="2" t="s">
        <v>2632</v>
      </c>
      <c r="BV2426" s="2" t="s">
        <v>111</v>
      </c>
      <c r="BW2426" s="2"/>
      <c r="BX2426" s="2"/>
      <c r="BY2426" s="2">
        <v>37071.68</v>
      </c>
      <c r="BZ2426" s="2"/>
      <c r="CA2426" s="2"/>
      <c r="CB2426" s="2"/>
      <c r="CC2426" s="2" t="s">
        <v>397</v>
      </c>
      <c r="CD2426" s="2">
        <v>4300</v>
      </c>
      <c r="CE2426" s="2" t="s">
        <v>172</v>
      </c>
      <c r="CF2426" s="5">
        <v>42846</v>
      </c>
      <c r="CG2426" s="2"/>
      <c r="CH2426" s="2"/>
      <c r="CI2426" s="2">
        <v>1</v>
      </c>
      <c r="CJ2426" s="2">
        <v>1</v>
      </c>
      <c r="CK2426" s="2">
        <v>21</v>
      </c>
      <c r="CL2426" s="2" t="s">
        <v>86</v>
      </c>
      <c r="CM2426" s="2"/>
    </row>
    <row r="2427" spans="1:91">
      <c r="A2427" s="2" t="s">
        <v>71</v>
      </c>
      <c r="B2427" s="2" t="s">
        <v>72</v>
      </c>
      <c r="C2427" s="2" t="s">
        <v>73</v>
      </c>
      <c r="D2427" s="2"/>
      <c r="E2427" s="2" t="str">
        <f>"FES1162544272"</f>
        <v>FES1162544272</v>
      </c>
      <c r="F2427" s="3">
        <v>42844</v>
      </c>
      <c r="G2427" s="2">
        <v>201710</v>
      </c>
      <c r="H2427" s="2" t="s">
        <v>74</v>
      </c>
      <c r="I2427" s="2" t="s">
        <v>75</v>
      </c>
      <c r="J2427" s="2" t="s">
        <v>76</v>
      </c>
      <c r="K2427" s="2" t="s">
        <v>77</v>
      </c>
      <c r="L2427" s="2" t="s">
        <v>131</v>
      </c>
      <c r="M2427" s="2" t="s">
        <v>132</v>
      </c>
      <c r="N2427" s="2" t="s">
        <v>887</v>
      </c>
      <c r="O2427" s="2" t="s">
        <v>115</v>
      </c>
      <c r="P2427" s="2" t="str">
        <f>"2170562867                    "</f>
        <v xml:space="preserve">2170562867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4.29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1</v>
      </c>
      <c r="BJ2427" s="2">
        <v>0.2</v>
      </c>
      <c r="BK2427" s="2">
        <v>1</v>
      </c>
      <c r="BL2427" s="2">
        <v>41.73</v>
      </c>
      <c r="BM2427" s="2">
        <v>5.84</v>
      </c>
      <c r="BN2427" s="2">
        <v>47.57</v>
      </c>
      <c r="BO2427" s="2">
        <v>47.57</v>
      </c>
      <c r="BP2427" s="2"/>
      <c r="BQ2427" s="2" t="s">
        <v>129</v>
      </c>
      <c r="BR2427" s="2" t="s">
        <v>84</v>
      </c>
      <c r="BS2427" s="3">
        <v>42845</v>
      </c>
      <c r="BT2427" s="4">
        <v>0.36805555555555558</v>
      </c>
      <c r="BU2427" s="2" t="s">
        <v>1380</v>
      </c>
      <c r="BV2427" s="2" t="s">
        <v>111</v>
      </c>
      <c r="BW2427" s="2"/>
      <c r="BX2427" s="2"/>
      <c r="BY2427" s="2">
        <v>1200</v>
      </c>
      <c r="BZ2427" s="2"/>
      <c r="CA2427" s="2"/>
      <c r="CB2427" s="2"/>
      <c r="CC2427" s="2" t="s">
        <v>132</v>
      </c>
      <c r="CD2427" s="2">
        <v>7530</v>
      </c>
      <c r="CE2427" s="2" t="s">
        <v>118</v>
      </c>
      <c r="CF2427" s="5">
        <v>42846</v>
      </c>
      <c r="CG2427" s="2"/>
      <c r="CH2427" s="2"/>
      <c r="CI2427" s="2">
        <v>1</v>
      </c>
      <c r="CJ2427" s="2">
        <v>1</v>
      </c>
      <c r="CK2427" s="2">
        <v>21</v>
      </c>
      <c r="CL2427" s="2" t="s">
        <v>86</v>
      </c>
      <c r="CM2427" s="2"/>
    </row>
    <row r="2428" spans="1:91">
      <c r="A2428" s="2" t="s">
        <v>71</v>
      </c>
      <c r="B2428" s="2" t="s">
        <v>72</v>
      </c>
      <c r="C2428" s="2" t="s">
        <v>73</v>
      </c>
      <c r="D2428" s="2"/>
      <c r="E2428" s="2" t="str">
        <f>"FES1162544374"</f>
        <v>FES1162544374</v>
      </c>
      <c r="F2428" s="3">
        <v>42844</v>
      </c>
      <c r="G2428" s="2">
        <v>201710</v>
      </c>
      <c r="H2428" s="2" t="s">
        <v>74</v>
      </c>
      <c r="I2428" s="2" t="s">
        <v>75</v>
      </c>
      <c r="J2428" s="2" t="s">
        <v>76</v>
      </c>
      <c r="K2428" s="2" t="s">
        <v>77</v>
      </c>
      <c r="L2428" s="2" t="s">
        <v>99</v>
      </c>
      <c r="M2428" s="2" t="s">
        <v>100</v>
      </c>
      <c r="N2428" s="2" t="s">
        <v>108</v>
      </c>
      <c r="O2428" s="2" t="s">
        <v>115</v>
      </c>
      <c r="P2428" s="2" t="str">
        <f>"2170559615                    "</f>
        <v xml:space="preserve">2170559615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20.36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4</v>
      </c>
      <c r="BJ2428" s="2">
        <v>9.4</v>
      </c>
      <c r="BK2428" s="2">
        <v>9.5</v>
      </c>
      <c r="BL2428" s="2">
        <v>198.2</v>
      </c>
      <c r="BM2428" s="2">
        <v>27.75</v>
      </c>
      <c r="BN2428" s="2">
        <v>225.95</v>
      </c>
      <c r="BO2428" s="2">
        <v>225.95</v>
      </c>
      <c r="BP2428" s="2"/>
      <c r="BQ2428" s="2" t="s">
        <v>109</v>
      </c>
      <c r="BR2428" s="2" t="s">
        <v>84</v>
      </c>
      <c r="BS2428" s="3">
        <v>42845</v>
      </c>
      <c r="BT2428" s="4">
        <v>0.37847222222222227</v>
      </c>
      <c r="BU2428" s="2" t="s">
        <v>109</v>
      </c>
      <c r="BV2428" s="2" t="s">
        <v>111</v>
      </c>
      <c r="BW2428" s="2"/>
      <c r="BX2428" s="2"/>
      <c r="BY2428" s="2">
        <v>47058</v>
      </c>
      <c r="BZ2428" s="2"/>
      <c r="CA2428" s="2"/>
      <c r="CB2428" s="2"/>
      <c r="CC2428" s="2" t="s">
        <v>100</v>
      </c>
      <c r="CD2428" s="2">
        <v>6001</v>
      </c>
      <c r="CE2428" s="2" t="s">
        <v>172</v>
      </c>
      <c r="CF2428" s="5">
        <v>42846</v>
      </c>
      <c r="CG2428" s="2"/>
      <c r="CH2428" s="2"/>
      <c r="CI2428" s="2">
        <v>1</v>
      </c>
      <c r="CJ2428" s="2">
        <v>1</v>
      </c>
      <c r="CK2428" s="2">
        <v>21</v>
      </c>
      <c r="CL2428" s="2" t="s">
        <v>86</v>
      </c>
      <c r="CM2428" s="2"/>
    </row>
    <row r="2429" spans="1:91">
      <c r="A2429" s="2" t="s">
        <v>71</v>
      </c>
      <c r="B2429" s="2" t="s">
        <v>72</v>
      </c>
      <c r="C2429" s="2" t="s">
        <v>73</v>
      </c>
      <c r="D2429" s="2"/>
      <c r="E2429" s="2" t="str">
        <f>"FES1162544378"</f>
        <v>FES1162544378</v>
      </c>
      <c r="F2429" s="3">
        <v>42844</v>
      </c>
      <c r="G2429" s="2">
        <v>201710</v>
      </c>
      <c r="H2429" s="2" t="s">
        <v>74</v>
      </c>
      <c r="I2429" s="2" t="s">
        <v>75</v>
      </c>
      <c r="J2429" s="2" t="s">
        <v>76</v>
      </c>
      <c r="K2429" s="2" t="s">
        <v>77</v>
      </c>
      <c r="L2429" s="2" t="s">
        <v>112</v>
      </c>
      <c r="M2429" s="2" t="s">
        <v>113</v>
      </c>
      <c r="N2429" s="2" t="s">
        <v>336</v>
      </c>
      <c r="O2429" s="2" t="s">
        <v>115</v>
      </c>
      <c r="P2429" s="2" t="str">
        <f>"2170560308                    "</f>
        <v xml:space="preserve">2170560308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4.29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1.2</v>
      </c>
      <c r="BJ2429" s="2">
        <v>1.3</v>
      </c>
      <c r="BK2429" s="2">
        <v>1.5</v>
      </c>
      <c r="BL2429" s="2">
        <v>41.73</v>
      </c>
      <c r="BM2429" s="2">
        <v>5.84</v>
      </c>
      <c r="BN2429" s="2">
        <v>47.57</v>
      </c>
      <c r="BO2429" s="2">
        <v>47.57</v>
      </c>
      <c r="BP2429" s="2"/>
      <c r="BQ2429" s="2" t="s">
        <v>449</v>
      </c>
      <c r="BR2429" s="2" t="s">
        <v>84</v>
      </c>
      <c r="BS2429" s="3">
        <v>42845</v>
      </c>
      <c r="BT2429" s="4">
        <v>0.36458333333333331</v>
      </c>
      <c r="BU2429" s="2" t="s">
        <v>2731</v>
      </c>
      <c r="BV2429" s="2" t="s">
        <v>111</v>
      </c>
      <c r="BW2429" s="2"/>
      <c r="BX2429" s="2"/>
      <c r="BY2429" s="2">
        <v>6325.25</v>
      </c>
      <c r="BZ2429" s="2"/>
      <c r="CA2429" s="2"/>
      <c r="CB2429" s="2"/>
      <c r="CC2429" s="2" t="s">
        <v>113</v>
      </c>
      <c r="CD2429" s="2">
        <v>3201</v>
      </c>
      <c r="CE2429" s="2" t="s">
        <v>172</v>
      </c>
      <c r="CF2429" s="5">
        <v>42846</v>
      </c>
      <c r="CG2429" s="2"/>
      <c r="CH2429" s="2"/>
      <c r="CI2429" s="2">
        <v>1</v>
      </c>
      <c r="CJ2429" s="2">
        <v>1</v>
      </c>
      <c r="CK2429" s="2">
        <v>21</v>
      </c>
      <c r="CL2429" s="2" t="s">
        <v>86</v>
      </c>
      <c r="CM2429" s="2"/>
    </row>
    <row r="2430" spans="1:91">
      <c r="A2430" s="2" t="s">
        <v>71</v>
      </c>
      <c r="B2430" s="2" t="s">
        <v>72</v>
      </c>
      <c r="C2430" s="2" t="s">
        <v>73</v>
      </c>
      <c r="D2430" s="2"/>
      <c r="E2430" s="2" t="str">
        <f>"FES1162544390"</f>
        <v>FES1162544390</v>
      </c>
      <c r="F2430" s="3">
        <v>42844</v>
      </c>
      <c r="G2430" s="2">
        <v>201710</v>
      </c>
      <c r="H2430" s="2" t="s">
        <v>74</v>
      </c>
      <c r="I2430" s="2" t="s">
        <v>75</v>
      </c>
      <c r="J2430" s="2" t="s">
        <v>76</v>
      </c>
      <c r="K2430" s="2" t="s">
        <v>77</v>
      </c>
      <c r="L2430" s="2" t="s">
        <v>131</v>
      </c>
      <c r="M2430" s="2" t="s">
        <v>132</v>
      </c>
      <c r="N2430" s="2" t="s">
        <v>1269</v>
      </c>
      <c r="O2430" s="2" t="s">
        <v>115</v>
      </c>
      <c r="P2430" s="2" t="str">
        <f>"2170557818                    "</f>
        <v xml:space="preserve">2170557818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4.29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0.3</v>
      </c>
      <c r="BJ2430" s="2">
        <v>1.3</v>
      </c>
      <c r="BK2430" s="2">
        <v>1.5</v>
      </c>
      <c r="BL2430" s="2">
        <v>41.73</v>
      </c>
      <c r="BM2430" s="2">
        <v>5.84</v>
      </c>
      <c r="BN2430" s="2">
        <v>47.57</v>
      </c>
      <c r="BO2430" s="2">
        <v>47.57</v>
      </c>
      <c r="BP2430" s="2"/>
      <c r="BQ2430" s="2" t="s">
        <v>129</v>
      </c>
      <c r="BR2430" s="2" t="s">
        <v>84</v>
      </c>
      <c r="BS2430" s="3">
        <v>42845</v>
      </c>
      <c r="BT2430" s="4">
        <v>0.4236111111111111</v>
      </c>
      <c r="BU2430" s="2" t="s">
        <v>2418</v>
      </c>
      <c r="BV2430" s="2" t="s">
        <v>111</v>
      </c>
      <c r="BW2430" s="2"/>
      <c r="BX2430" s="2"/>
      <c r="BY2430" s="2">
        <v>6390.42</v>
      </c>
      <c r="BZ2430" s="2"/>
      <c r="CA2430" s="2"/>
      <c r="CB2430" s="2"/>
      <c r="CC2430" s="2" t="s">
        <v>132</v>
      </c>
      <c r="CD2430" s="2">
        <v>7800</v>
      </c>
      <c r="CE2430" s="2" t="s">
        <v>172</v>
      </c>
      <c r="CF2430" s="5">
        <v>42846</v>
      </c>
      <c r="CG2430" s="2"/>
      <c r="CH2430" s="2"/>
      <c r="CI2430" s="2">
        <v>1</v>
      </c>
      <c r="CJ2430" s="2">
        <v>1</v>
      </c>
      <c r="CK2430" s="2">
        <v>21</v>
      </c>
      <c r="CL2430" s="2" t="s">
        <v>86</v>
      </c>
      <c r="CM2430" s="2"/>
    </row>
    <row r="2431" spans="1:91">
      <c r="A2431" s="2" t="s">
        <v>71</v>
      </c>
      <c r="B2431" s="2" t="s">
        <v>72</v>
      </c>
      <c r="C2431" s="2" t="s">
        <v>73</v>
      </c>
      <c r="D2431" s="2"/>
      <c r="E2431" s="2" t="str">
        <f>"FES1162544113"</f>
        <v>FES1162544113</v>
      </c>
      <c r="F2431" s="3">
        <v>42844</v>
      </c>
      <c r="G2431" s="2">
        <v>201710</v>
      </c>
      <c r="H2431" s="2" t="s">
        <v>74</v>
      </c>
      <c r="I2431" s="2" t="s">
        <v>75</v>
      </c>
      <c r="J2431" s="2" t="s">
        <v>76</v>
      </c>
      <c r="K2431" s="2" t="s">
        <v>77</v>
      </c>
      <c r="L2431" s="2" t="s">
        <v>139</v>
      </c>
      <c r="M2431" s="2" t="s">
        <v>140</v>
      </c>
      <c r="N2431" s="2" t="s">
        <v>645</v>
      </c>
      <c r="O2431" s="2" t="s">
        <v>115</v>
      </c>
      <c r="P2431" s="2" t="str">
        <f>"2170559756                    "</f>
        <v xml:space="preserve">2170559756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4.29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</v>
      </c>
      <c r="BJ2431" s="2">
        <v>0.2</v>
      </c>
      <c r="BK2431" s="2">
        <v>1</v>
      </c>
      <c r="BL2431" s="2">
        <v>41.73</v>
      </c>
      <c r="BM2431" s="2">
        <v>5.84</v>
      </c>
      <c r="BN2431" s="2">
        <v>47.57</v>
      </c>
      <c r="BO2431" s="2">
        <v>47.57</v>
      </c>
      <c r="BP2431" s="2"/>
      <c r="BQ2431" s="2" t="s">
        <v>646</v>
      </c>
      <c r="BR2431" s="2" t="s">
        <v>84</v>
      </c>
      <c r="BS2431" s="3">
        <v>42845</v>
      </c>
      <c r="BT2431" s="4">
        <v>0.39652777777777781</v>
      </c>
      <c r="BU2431" s="2" t="s">
        <v>647</v>
      </c>
      <c r="BV2431" s="2" t="s">
        <v>111</v>
      </c>
      <c r="BW2431" s="2"/>
      <c r="BX2431" s="2"/>
      <c r="BY2431" s="2">
        <v>1200</v>
      </c>
      <c r="BZ2431" s="2"/>
      <c r="CA2431" s="2"/>
      <c r="CB2431" s="2"/>
      <c r="CC2431" s="2" t="s">
        <v>140</v>
      </c>
      <c r="CD2431" s="2">
        <v>157</v>
      </c>
      <c r="CE2431" s="2" t="s">
        <v>118</v>
      </c>
      <c r="CF2431" s="5">
        <v>42849</v>
      </c>
      <c r="CG2431" s="2"/>
      <c r="CH2431" s="2"/>
      <c r="CI2431" s="2">
        <v>0</v>
      </c>
      <c r="CJ2431" s="2">
        <v>0</v>
      </c>
      <c r="CK2431" s="2">
        <v>21</v>
      </c>
      <c r="CL2431" s="2" t="s">
        <v>86</v>
      </c>
      <c r="CM2431" s="2"/>
    </row>
    <row r="2432" spans="1:91">
      <c r="A2432" s="2" t="s">
        <v>71</v>
      </c>
      <c r="B2432" s="2" t="s">
        <v>72</v>
      </c>
      <c r="C2432" s="2" t="s">
        <v>73</v>
      </c>
      <c r="D2432" s="2"/>
      <c r="E2432" s="2" t="str">
        <f>"FES1162544376"</f>
        <v>FES1162544376</v>
      </c>
      <c r="F2432" s="3">
        <v>42844</v>
      </c>
      <c r="G2432" s="2">
        <v>201710</v>
      </c>
      <c r="H2432" s="2" t="s">
        <v>74</v>
      </c>
      <c r="I2432" s="2" t="s">
        <v>75</v>
      </c>
      <c r="J2432" s="2" t="s">
        <v>76</v>
      </c>
      <c r="K2432" s="2" t="s">
        <v>77</v>
      </c>
      <c r="L2432" s="2" t="s">
        <v>131</v>
      </c>
      <c r="M2432" s="2" t="s">
        <v>132</v>
      </c>
      <c r="N2432" s="2" t="s">
        <v>731</v>
      </c>
      <c r="O2432" s="2" t="s">
        <v>115</v>
      </c>
      <c r="P2432" s="2" t="str">
        <f>"2170559938                    "</f>
        <v xml:space="preserve">2170559938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4.29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1</v>
      </c>
      <c r="BI2432" s="2">
        <v>0.6</v>
      </c>
      <c r="BJ2432" s="2">
        <v>1.3</v>
      </c>
      <c r="BK2432" s="2">
        <v>1.5</v>
      </c>
      <c r="BL2432" s="2">
        <v>41.73</v>
      </c>
      <c r="BM2432" s="2">
        <v>5.84</v>
      </c>
      <c r="BN2432" s="2">
        <v>47.57</v>
      </c>
      <c r="BO2432" s="2">
        <v>47.57</v>
      </c>
      <c r="BP2432" s="2"/>
      <c r="BQ2432" s="2" t="s">
        <v>732</v>
      </c>
      <c r="BR2432" s="2" t="s">
        <v>84</v>
      </c>
      <c r="BS2432" s="3">
        <v>42845</v>
      </c>
      <c r="BT2432" s="4">
        <v>0.5</v>
      </c>
      <c r="BU2432" s="2" t="s">
        <v>1418</v>
      </c>
      <c r="BV2432" s="2" t="s">
        <v>111</v>
      </c>
      <c r="BW2432" s="2"/>
      <c r="BX2432" s="2"/>
      <c r="BY2432" s="2">
        <v>6467.82</v>
      </c>
      <c r="BZ2432" s="2"/>
      <c r="CA2432" s="2"/>
      <c r="CB2432" s="2"/>
      <c r="CC2432" s="2" t="s">
        <v>132</v>
      </c>
      <c r="CD2432" s="2">
        <v>7945</v>
      </c>
      <c r="CE2432" s="2" t="s">
        <v>172</v>
      </c>
      <c r="CF2432" s="5">
        <v>42846</v>
      </c>
      <c r="CG2432" s="2"/>
      <c r="CH2432" s="2"/>
      <c r="CI2432" s="2">
        <v>1</v>
      </c>
      <c r="CJ2432" s="2">
        <v>1</v>
      </c>
      <c r="CK2432" s="2">
        <v>21</v>
      </c>
      <c r="CL2432" s="2" t="s">
        <v>86</v>
      </c>
      <c r="CM2432" s="2"/>
    </row>
    <row r="2433" spans="1:91">
      <c r="A2433" s="2" t="s">
        <v>71</v>
      </c>
      <c r="B2433" s="2" t="s">
        <v>72</v>
      </c>
      <c r="C2433" s="2" t="s">
        <v>73</v>
      </c>
      <c r="D2433" s="2"/>
      <c r="E2433" s="2" t="str">
        <f>"FES1162544372"</f>
        <v>FES1162544372</v>
      </c>
      <c r="F2433" s="3">
        <v>42844</v>
      </c>
      <c r="G2433" s="2">
        <v>201710</v>
      </c>
      <c r="H2433" s="2" t="s">
        <v>74</v>
      </c>
      <c r="I2433" s="2" t="s">
        <v>75</v>
      </c>
      <c r="J2433" s="2" t="s">
        <v>76</v>
      </c>
      <c r="K2433" s="2" t="s">
        <v>77</v>
      </c>
      <c r="L2433" s="2" t="s">
        <v>401</v>
      </c>
      <c r="M2433" s="2" t="s">
        <v>402</v>
      </c>
      <c r="N2433" s="2" t="s">
        <v>568</v>
      </c>
      <c r="O2433" s="2" t="s">
        <v>115</v>
      </c>
      <c r="P2433" s="2" t="str">
        <f>"2170558656                    "</f>
        <v xml:space="preserve">2170558656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13.93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6.2</v>
      </c>
      <c r="BJ2433" s="2">
        <v>3.8</v>
      </c>
      <c r="BK2433" s="2">
        <v>6.5</v>
      </c>
      <c r="BL2433" s="2">
        <v>135.61000000000001</v>
      </c>
      <c r="BM2433" s="2">
        <v>18.989999999999998</v>
      </c>
      <c r="BN2433" s="2">
        <v>154.6</v>
      </c>
      <c r="BO2433" s="2">
        <v>154.6</v>
      </c>
      <c r="BP2433" s="2"/>
      <c r="BQ2433" s="2" t="s">
        <v>569</v>
      </c>
      <c r="BR2433" s="2" t="s">
        <v>84</v>
      </c>
      <c r="BS2433" s="3">
        <v>42845</v>
      </c>
      <c r="BT2433" s="4">
        <v>0.41666666666666669</v>
      </c>
      <c r="BU2433" s="2" t="s">
        <v>570</v>
      </c>
      <c r="BV2433" s="2" t="s">
        <v>111</v>
      </c>
      <c r="BW2433" s="2"/>
      <c r="BX2433" s="2"/>
      <c r="BY2433" s="2">
        <v>18951.830000000002</v>
      </c>
      <c r="BZ2433" s="2"/>
      <c r="CA2433" s="2"/>
      <c r="CB2433" s="2"/>
      <c r="CC2433" s="2" t="s">
        <v>402</v>
      </c>
      <c r="CD2433" s="2">
        <v>4133</v>
      </c>
      <c r="CE2433" s="2" t="s">
        <v>89</v>
      </c>
      <c r="CF2433" s="5">
        <v>42846</v>
      </c>
      <c r="CG2433" s="2"/>
      <c r="CH2433" s="2"/>
      <c r="CI2433" s="2">
        <v>1</v>
      </c>
      <c r="CJ2433" s="2">
        <v>1</v>
      </c>
      <c r="CK2433" s="2">
        <v>21</v>
      </c>
      <c r="CL2433" s="2" t="s">
        <v>86</v>
      </c>
      <c r="CM2433" s="2"/>
    </row>
    <row r="2434" spans="1:91">
      <c r="A2434" s="2" t="s">
        <v>71</v>
      </c>
      <c r="B2434" s="2" t="s">
        <v>72</v>
      </c>
      <c r="C2434" s="2" t="s">
        <v>73</v>
      </c>
      <c r="D2434" s="2"/>
      <c r="E2434" s="2" t="str">
        <f>"FES1162544351"</f>
        <v>FES1162544351</v>
      </c>
      <c r="F2434" s="3">
        <v>42844</v>
      </c>
      <c r="G2434" s="2">
        <v>201710</v>
      </c>
      <c r="H2434" s="2" t="s">
        <v>74</v>
      </c>
      <c r="I2434" s="2" t="s">
        <v>75</v>
      </c>
      <c r="J2434" s="2" t="s">
        <v>76</v>
      </c>
      <c r="K2434" s="2" t="s">
        <v>77</v>
      </c>
      <c r="L2434" s="2" t="s">
        <v>91</v>
      </c>
      <c r="M2434" s="2" t="s">
        <v>92</v>
      </c>
      <c r="N2434" s="2" t="s">
        <v>356</v>
      </c>
      <c r="O2434" s="2" t="s">
        <v>115</v>
      </c>
      <c r="P2434" s="2" t="str">
        <f>"2170562956                    "</f>
        <v xml:space="preserve">2170562956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3.35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4.8</v>
      </c>
      <c r="BJ2434" s="2">
        <v>1.7</v>
      </c>
      <c r="BK2434" s="2">
        <v>5</v>
      </c>
      <c r="BL2434" s="2">
        <v>32.6</v>
      </c>
      <c r="BM2434" s="2">
        <v>4.5599999999999996</v>
      </c>
      <c r="BN2434" s="2">
        <v>37.159999999999997</v>
      </c>
      <c r="BO2434" s="2">
        <v>37.159999999999997</v>
      </c>
      <c r="BP2434" s="2"/>
      <c r="BQ2434" s="2" t="s">
        <v>122</v>
      </c>
      <c r="BR2434" s="2" t="s">
        <v>84</v>
      </c>
      <c r="BS2434" s="3">
        <v>42845</v>
      </c>
      <c r="BT2434" s="4">
        <v>0.31944444444444448</v>
      </c>
      <c r="BU2434" s="2" t="s">
        <v>2774</v>
      </c>
      <c r="BV2434" s="2" t="s">
        <v>111</v>
      </c>
      <c r="BW2434" s="2"/>
      <c r="BX2434" s="2"/>
      <c r="BY2434" s="2">
        <v>8328.1</v>
      </c>
      <c r="BZ2434" s="2"/>
      <c r="CA2434" s="2"/>
      <c r="CB2434" s="2"/>
      <c r="CC2434" s="2" t="s">
        <v>92</v>
      </c>
      <c r="CD2434" s="2">
        <v>1422</v>
      </c>
      <c r="CE2434" s="2" t="s">
        <v>89</v>
      </c>
      <c r="CF2434" s="5">
        <v>42846</v>
      </c>
      <c r="CG2434" s="2"/>
      <c r="CH2434" s="2"/>
      <c r="CI2434" s="2">
        <v>1</v>
      </c>
      <c r="CJ2434" s="2">
        <v>1</v>
      </c>
      <c r="CK2434" s="2">
        <v>22</v>
      </c>
      <c r="CL2434" s="2" t="s">
        <v>86</v>
      </c>
      <c r="CM2434" s="2"/>
    </row>
    <row r="2435" spans="1:91">
      <c r="A2435" s="2" t="s">
        <v>71</v>
      </c>
      <c r="B2435" s="2" t="s">
        <v>72</v>
      </c>
      <c r="C2435" s="2" t="s">
        <v>73</v>
      </c>
      <c r="D2435" s="2"/>
      <c r="E2435" s="2" t="str">
        <f>"FES1162544377"</f>
        <v>FES1162544377</v>
      </c>
      <c r="F2435" s="3">
        <v>42844</v>
      </c>
      <c r="G2435" s="2">
        <v>201710</v>
      </c>
      <c r="H2435" s="2" t="s">
        <v>74</v>
      </c>
      <c r="I2435" s="2" t="s">
        <v>75</v>
      </c>
      <c r="J2435" s="2" t="s">
        <v>76</v>
      </c>
      <c r="K2435" s="2" t="s">
        <v>77</v>
      </c>
      <c r="L2435" s="2" t="s">
        <v>443</v>
      </c>
      <c r="M2435" s="2" t="s">
        <v>444</v>
      </c>
      <c r="N2435" s="2" t="s">
        <v>627</v>
      </c>
      <c r="O2435" s="2" t="s">
        <v>115</v>
      </c>
      <c r="P2435" s="2" t="str">
        <f>"2170560088                    "</f>
        <v xml:space="preserve">2170560088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11.79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5.4</v>
      </c>
      <c r="BJ2435" s="2">
        <v>2.9</v>
      </c>
      <c r="BK2435" s="2">
        <v>5.5</v>
      </c>
      <c r="BL2435" s="2">
        <v>114.75</v>
      </c>
      <c r="BM2435" s="2">
        <v>16.07</v>
      </c>
      <c r="BN2435" s="2">
        <v>130.82</v>
      </c>
      <c r="BO2435" s="2">
        <v>130.82</v>
      </c>
      <c r="BP2435" s="2"/>
      <c r="BQ2435" s="2" t="s">
        <v>628</v>
      </c>
      <c r="BR2435" s="2" t="s">
        <v>84</v>
      </c>
      <c r="BS2435" s="3">
        <v>42845</v>
      </c>
      <c r="BT2435" s="4">
        <v>0.34375</v>
      </c>
      <c r="BU2435" s="2" t="s">
        <v>2704</v>
      </c>
      <c r="BV2435" s="2" t="s">
        <v>111</v>
      </c>
      <c r="BW2435" s="2"/>
      <c r="BX2435" s="2"/>
      <c r="BY2435" s="2">
        <v>14650.02</v>
      </c>
      <c r="BZ2435" s="2"/>
      <c r="CA2435" s="2" t="s">
        <v>159</v>
      </c>
      <c r="CB2435" s="2"/>
      <c r="CC2435" s="2" t="s">
        <v>444</v>
      </c>
      <c r="CD2435" s="2">
        <v>7130</v>
      </c>
      <c r="CE2435" s="2" t="s">
        <v>172</v>
      </c>
      <c r="CF2435" s="5">
        <v>42846</v>
      </c>
      <c r="CG2435" s="2"/>
      <c r="CH2435" s="2"/>
      <c r="CI2435" s="2">
        <v>1</v>
      </c>
      <c r="CJ2435" s="2">
        <v>1</v>
      </c>
      <c r="CK2435" s="2">
        <v>21</v>
      </c>
      <c r="CL2435" s="2" t="s">
        <v>86</v>
      </c>
      <c r="CM2435" s="2"/>
    </row>
    <row r="2436" spans="1:91">
      <c r="A2436" s="2" t="s">
        <v>71</v>
      </c>
      <c r="B2436" s="2" t="s">
        <v>72</v>
      </c>
      <c r="C2436" s="2" t="s">
        <v>73</v>
      </c>
      <c r="D2436" s="2"/>
      <c r="E2436" s="2" t="str">
        <f>"FES1162544330"</f>
        <v>FES1162544330</v>
      </c>
      <c r="F2436" s="3">
        <v>42844</v>
      </c>
      <c r="G2436" s="2">
        <v>201710</v>
      </c>
      <c r="H2436" s="2" t="s">
        <v>74</v>
      </c>
      <c r="I2436" s="2" t="s">
        <v>75</v>
      </c>
      <c r="J2436" s="2" t="s">
        <v>76</v>
      </c>
      <c r="K2436" s="2" t="s">
        <v>77</v>
      </c>
      <c r="L2436" s="2" t="s">
        <v>131</v>
      </c>
      <c r="M2436" s="2" t="s">
        <v>132</v>
      </c>
      <c r="N2436" s="2" t="s">
        <v>2775</v>
      </c>
      <c r="O2436" s="2" t="s">
        <v>115</v>
      </c>
      <c r="P2436" s="2" t="str">
        <f>"2170560149                    "</f>
        <v xml:space="preserve">2170560149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18.22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8.3000000000000007</v>
      </c>
      <c r="BJ2436" s="2">
        <v>4.7</v>
      </c>
      <c r="BK2436" s="2">
        <v>8.5</v>
      </c>
      <c r="BL2436" s="2">
        <v>177.34</v>
      </c>
      <c r="BM2436" s="2">
        <v>24.83</v>
      </c>
      <c r="BN2436" s="2">
        <v>202.17</v>
      </c>
      <c r="BO2436" s="2">
        <v>202.17</v>
      </c>
      <c r="BP2436" s="2"/>
      <c r="BQ2436" s="2" t="s">
        <v>683</v>
      </c>
      <c r="BR2436" s="2" t="s">
        <v>84</v>
      </c>
      <c r="BS2436" s="3">
        <v>42845</v>
      </c>
      <c r="BT2436" s="4">
        <v>0.34027777777777773</v>
      </c>
      <c r="BU2436" s="2" t="s">
        <v>2776</v>
      </c>
      <c r="BV2436" s="2" t="s">
        <v>111</v>
      </c>
      <c r="BW2436" s="2"/>
      <c r="BX2436" s="2"/>
      <c r="BY2436" s="2">
        <v>23610.97</v>
      </c>
      <c r="BZ2436" s="2"/>
      <c r="CA2436" s="2"/>
      <c r="CB2436" s="2"/>
      <c r="CC2436" s="2" t="s">
        <v>132</v>
      </c>
      <c r="CD2436" s="2">
        <v>7493</v>
      </c>
      <c r="CE2436" s="2" t="s">
        <v>89</v>
      </c>
      <c r="CF2436" s="5">
        <v>42846</v>
      </c>
      <c r="CG2436" s="2"/>
      <c r="CH2436" s="2"/>
      <c r="CI2436" s="2">
        <v>1</v>
      </c>
      <c r="CJ2436" s="2">
        <v>1</v>
      </c>
      <c r="CK2436" s="2">
        <v>21</v>
      </c>
      <c r="CL2436" s="2" t="s">
        <v>86</v>
      </c>
      <c r="CM2436" s="2"/>
    </row>
    <row r="2437" spans="1:91">
      <c r="A2437" s="2" t="s">
        <v>71</v>
      </c>
      <c r="B2437" s="2" t="s">
        <v>72</v>
      </c>
      <c r="C2437" s="2" t="s">
        <v>73</v>
      </c>
      <c r="D2437" s="2"/>
      <c r="E2437" s="2" t="str">
        <f>"FES1162544331"</f>
        <v>FES1162544331</v>
      </c>
      <c r="F2437" s="3">
        <v>42844</v>
      </c>
      <c r="G2437" s="2">
        <v>201710</v>
      </c>
      <c r="H2437" s="2" t="s">
        <v>74</v>
      </c>
      <c r="I2437" s="2" t="s">
        <v>75</v>
      </c>
      <c r="J2437" s="2" t="s">
        <v>76</v>
      </c>
      <c r="K2437" s="2" t="s">
        <v>77</v>
      </c>
      <c r="L2437" s="2" t="s">
        <v>91</v>
      </c>
      <c r="M2437" s="2" t="s">
        <v>92</v>
      </c>
      <c r="N2437" s="2" t="s">
        <v>2777</v>
      </c>
      <c r="O2437" s="2" t="s">
        <v>115</v>
      </c>
      <c r="P2437" s="2" t="str">
        <f>"2170560067                    "</f>
        <v xml:space="preserve">2170560067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3.35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</v>
      </c>
      <c r="BJ2437" s="2">
        <v>0.2</v>
      </c>
      <c r="BK2437" s="2">
        <v>1</v>
      </c>
      <c r="BL2437" s="2">
        <v>32.6</v>
      </c>
      <c r="BM2437" s="2">
        <v>4.5599999999999996</v>
      </c>
      <c r="BN2437" s="2">
        <v>37.159999999999997</v>
      </c>
      <c r="BO2437" s="2">
        <v>37.159999999999997</v>
      </c>
      <c r="BP2437" s="2"/>
      <c r="BQ2437" s="2" t="s">
        <v>2778</v>
      </c>
      <c r="BR2437" s="2" t="s">
        <v>84</v>
      </c>
      <c r="BS2437" s="3">
        <v>42845</v>
      </c>
      <c r="BT2437" s="4">
        <v>0.41944444444444445</v>
      </c>
      <c r="BU2437" s="2" t="s">
        <v>2152</v>
      </c>
      <c r="BV2437" s="2" t="s">
        <v>111</v>
      </c>
      <c r="BW2437" s="2"/>
      <c r="BX2437" s="2"/>
      <c r="BY2437" s="2">
        <v>1200</v>
      </c>
      <c r="BZ2437" s="2"/>
      <c r="CA2437" s="2"/>
      <c r="CB2437" s="2"/>
      <c r="CC2437" s="2" t="s">
        <v>92</v>
      </c>
      <c r="CD2437" s="2">
        <v>1419</v>
      </c>
      <c r="CE2437" s="2" t="s">
        <v>118</v>
      </c>
      <c r="CF2437" s="5">
        <v>42846</v>
      </c>
      <c r="CG2437" s="2"/>
      <c r="CH2437" s="2"/>
      <c r="CI2437" s="2">
        <v>1</v>
      </c>
      <c r="CJ2437" s="2">
        <v>1</v>
      </c>
      <c r="CK2437" s="2">
        <v>22</v>
      </c>
      <c r="CL2437" s="2" t="s">
        <v>86</v>
      </c>
      <c r="CM2437" s="2"/>
    </row>
    <row r="2438" spans="1:91">
      <c r="A2438" s="2" t="s">
        <v>71</v>
      </c>
      <c r="B2438" s="2" t="s">
        <v>72</v>
      </c>
      <c r="C2438" s="2" t="s">
        <v>73</v>
      </c>
      <c r="D2438" s="2"/>
      <c r="E2438" s="2" t="str">
        <f>"FES1162544368"</f>
        <v>FES1162544368</v>
      </c>
      <c r="F2438" s="3">
        <v>42844</v>
      </c>
      <c r="G2438" s="2">
        <v>201710</v>
      </c>
      <c r="H2438" s="2" t="s">
        <v>74</v>
      </c>
      <c r="I2438" s="2" t="s">
        <v>75</v>
      </c>
      <c r="J2438" s="2" t="s">
        <v>76</v>
      </c>
      <c r="K2438" s="2" t="s">
        <v>77</v>
      </c>
      <c r="L2438" s="2" t="s">
        <v>2003</v>
      </c>
      <c r="M2438" s="2" t="s">
        <v>2004</v>
      </c>
      <c r="N2438" s="2" t="s">
        <v>2005</v>
      </c>
      <c r="O2438" s="2" t="s">
        <v>115</v>
      </c>
      <c r="P2438" s="2" t="str">
        <f>"2170562983                    "</f>
        <v xml:space="preserve">2170562983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6.03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1</v>
      </c>
      <c r="BJ2438" s="2">
        <v>0.2</v>
      </c>
      <c r="BK2438" s="2">
        <v>1</v>
      </c>
      <c r="BL2438" s="2">
        <v>58.68</v>
      </c>
      <c r="BM2438" s="2">
        <v>8.2200000000000006</v>
      </c>
      <c r="BN2438" s="2">
        <v>66.900000000000006</v>
      </c>
      <c r="BO2438" s="2">
        <v>66.900000000000006</v>
      </c>
      <c r="BP2438" s="2"/>
      <c r="BQ2438" s="2" t="s">
        <v>2006</v>
      </c>
      <c r="BR2438" s="2" t="s">
        <v>84</v>
      </c>
      <c r="BS2438" s="3">
        <v>42845</v>
      </c>
      <c r="BT2438" s="4">
        <v>0.52083333333333337</v>
      </c>
      <c r="BU2438" s="2" t="s">
        <v>2779</v>
      </c>
      <c r="BV2438" s="2" t="s">
        <v>86</v>
      </c>
      <c r="BW2438" s="2"/>
      <c r="BX2438" s="2"/>
      <c r="BY2438" s="2">
        <v>1200</v>
      </c>
      <c r="BZ2438" s="2"/>
      <c r="CA2438" s="2"/>
      <c r="CB2438" s="2"/>
      <c r="CC2438" s="2" t="s">
        <v>2004</v>
      </c>
      <c r="CD2438" s="2">
        <v>299</v>
      </c>
      <c r="CE2438" s="2" t="s">
        <v>118</v>
      </c>
      <c r="CF2438" s="5">
        <v>42849</v>
      </c>
      <c r="CG2438" s="2"/>
      <c r="CH2438" s="2"/>
      <c r="CI2438" s="2">
        <v>1</v>
      </c>
      <c r="CJ2438" s="2">
        <v>1</v>
      </c>
      <c r="CK2438" s="2">
        <v>24</v>
      </c>
      <c r="CL2438" s="2" t="s">
        <v>86</v>
      </c>
      <c r="CM2438" s="2"/>
    </row>
    <row r="2439" spans="1:91">
      <c r="A2439" s="2" t="s">
        <v>71</v>
      </c>
      <c r="B2439" s="2" t="s">
        <v>72</v>
      </c>
      <c r="C2439" s="2" t="s">
        <v>73</v>
      </c>
      <c r="D2439" s="2"/>
      <c r="E2439" s="2" t="str">
        <f>"FES1162544327"</f>
        <v>FES1162544327</v>
      </c>
      <c r="F2439" s="3">
        <v>42844</v>
      </c>
      <c r="G2439" s="2">
        <v>201710</v>
      </c>
      <c r="H2439" s="2" t="s">
        <v>74</v>
      </c>
      <c r="I2439" s="2" t="s">
        <v>75</v>
      </c>
      <c r="J2439" s="2" t="s">
        <v>76</v>
      </c>
      <c r="K2439" s="2" t="s">
        <v>77</v>
      </c>
      <c r="L2439" s="2" t="s">
        <v>187</v>
      </c>
      <c r="M2439" s="2" t="s">
        <v>146</v>
      </c>
      <c r="N2439" s="2" t="s">
        <v>1810</v>
      </c>
      <c r="O2439" s="2" t="s">
        <v>115</v>
      </c>
      <c r="P2439" s="2" t="str">
        <f>"2170562933                    "</f>
        <v xml:space="preserve">2170562933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4.29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1</v>
      </c>
      <c r="BJ2439" s="2">
        <v>0.2</v>
      </c>
      <c r="BK2439" s="2">
        <v>1</v>
      </c>
      <c r="BL2439" s="2">
        <v>41.73</v>
      </c>
      <c r="BM2439" s="2">
        <v>5.84</v>
      </c>
      <c r="BN2439" s="2">
        <v>47.57</v>
      </c>
      <c r="BO2439" s="2">
        <v>47.57</v>
      </c>
      <c r="BP2439" s="2"/>
      <c r="BQ2439" s="2" t="s">
        <v>116</v>
      </c>
      <c r="BR2439" s="2" t="s">
        <v>84</v>
      </c>
      <c r="BS2439" s="3">
        <v>42845</v>
      </c>
      <c r="BT2439" s="4">
        <v>0.35486111111111113</v>
      </c>
      <c r="BU2439" s="2" t="s">
        <v>2743</v>
      </c>
      <c r="BV2439" s="2" t="s">
        <v>111</v>
      </c>
      <c r="BW2439" s="2"/>
      <c r="BX2439" s="2"/>
      <c r="BY2439" s="2">
        <v>1200</v>
      </c>
      <c r="BZ2439" s="2"/>
      <c r="CA2439" s="2"/>
      <c r="CB2439" s="2"/>
      <c r="CC2439" s="2" t="s">
        <v>146</v>
      </c>
      <c r="CD2439" s="2">
        <v>159</v>
      </c>
      <c r="CE2439" s="2" t="s">
        <v>118</v>
      </c>
      <c r="CF2439" s="5">
        <v>42851</v>
      </c>
      <c r="CG2439" s="2"/>
      <c r="CH2439" s="2"/>
      <c r="CI2439" s="2">
        <v>0</v>
      </c>
      <c r="CJ2439" s="2">
        <v>0</v>
      </c>
      <c r="CK2439" s="2">
        <v>21</v>
      </c>
      <c r="CL2439" s="2" t="s">
        <v>86</v>
      </c>
      <c r="CM2439" s="2"/>
    </row>
    <row r="2440" spans="1:91">
      <c r="A2440" s="2" t="s">
        <v>71</v>
      </c>
      <c r="B2440" s="2" t="s">
        <v>72</v>
      </c>
      <c r="C2440" s="2" t="s">
        <v>73</v>
      </c>
      <c r="D2440" s="2"/>
      <c r="E2440" s="2" t="str">
        <f>"FES1162544875"</f>
        <v>FES1162544875</v>
      </c>
      <c r="F2440" s="3">
        <v>42846</v>
      </c>
      <c r="G2440" s="2">
        <v>201710</v>
      </c>
      <c r="H2440" s="2" t="s">
        <v>74</v>
      </c>
      <c r="I2440" s="2" t="s">
        <v>75</v>
      </c>
      <c r="J2440" s="2" t="s">
        <v>76</v>
      </c>
      <c r="K2440" s="2" t="s">
        <v>77</v>
      </c>
      <c r="L2440" s="2" t="s">
        <v>641</v>
      </c>
      <c r="M2440" s="2" t="s">
        <v>642</v>
      </c>
      <c r="N2440" s="2" t="s">
        <v>643</v>
      </c>
      <c r="O2440" s="2" t="s">
        <v>115</v>
      </c>
      <c r="P2440" s="2" t="str">
        <f>"2170563383                    "</f>
        <v xml:space="preserve">2170563383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25.19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2.9</v>
      </c>
      <c r="BJ2440" s="2">
        <v>6.5</v>
      </c>
      <c r="BK2440" s="2">
        <v>6.5</v>
      </c>
      <c r="BL2440" s="2">
        <v>245.15</v>
      </c>
      <c r="BM2440" s="2">
        <v>34.32</v>
      </c>
      <c r="BN2440" s="2">
        <v>279.47000000000003</v>
      </c>
      <c r="BO2440" s="2">
        <v>279.47000000000003</v>
      </c>
      <c r="BP2440" s="2"/>
      <c r="BQ2440" s="2" t="s">
        <v>83</v>
      </c>
      <c r="BR2440" s="2" t="s">
        <v>84</v>
      </c>
      <c r="BS2440" s="3">
        <v>42849</v>
      </c>
      <c r="BT2440" s="4">
        <v>0.5625</v>
      </c>
      <c r="BU2440" s="2" t="s">
        <v>1894</v>
      </c>
      <c r="BV2440" s="2" t="s">
        <v>111</v>
      </c>
      <c r="BW2440" s="2"/>
      <c r="BX2440" s="2"/>
      <c r="BY2440" s="2">
        <v>32699.7</v>
      </c>
      <c r="BZ2440" s="2"/>
      <c r="CA2440" s="2"/>
      <c r="CB2440" s="2"/>
      <c r="CC2440" s="2" t="s">
        <v>642</v>
      </c>
      <c r="CD2440" s="2">
        <v>6300</v>
      </c>
      <c r="CE2440" s="2" t="s">
        <v>89</v>
      </c>
      <c r="CF2440" s="5">
        <v>42850</v>
      </c>
      <c r="CG2440" s="2"/>
      <c r="CH2440" s="2"/>
      <c r="CI2440" s="2">
        <v>3</v>
      </c>
      <c r="CJ2440" s="2">
        <v>1</v>
      </c>
      <c r="CK2440" s="2">
        <v>23</v>
      </c>
      <c r="CL2440" s="2" t="s">
        <v>86</v>
      </c>
      <c r="CM2440" s="2"/>
    </row>
    <row r="2441" spans="1:91">
      <c r="A2441" s="2" t="s">
        <v>71</v>
      </c>
      <c r="B2441" s="2" t="s">
        <v>72</v>
      </c>
      <c r="C2441" s="2" t="s">
        <v>73</v>
      </c>
      <c r="D2441" s="2"/>
      <c r="E2441" s="2" t="str">
        <f>"FES1162543318"</f>
        <v>FES1162543318</v>
      </c>
      <c r="F2441" s="3">
        <v>42837</v>
      </c>
      <c r="G2441" s="2">
        <v>201710</v>
      </c>
      <c r="H2441" s="2" t="s">
        <v>74</v>
      </c>
      <c r="I2441" s="2" t="s">
        <v>75</v>
      </c>
      <c r="J2441" s="2" t="s">
        <v>76</v>
      </c>
      <c r="K2441" s="2" t="s">
        <v>77</v>
      </c>
      <c r="L2441" s="2" t="s">
        <v>145</v>
      </c>
      <c r="M2441" s="2" t="s">
        <v>146</v>
      </c>
      <c r="N2441" s="2" t="s">
        <v>2780</v>
      </c>
      <c r="O2441" s="2" t="s">
        <v>81</v>
      </c>
      <c r="P2441" s="2" t="str">
        <f>"2170561991                    "</f>
        <v xml:space="preserve">2170561991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7.37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2</v>
      </c>
      <c r="BJ2441" s="2">
        <v>1.2</v>
      </c>
      <c r="BK2441" s="2">
        <v>2</v>
      </c>
      <c r="BL2441" s="2">
        <v>76.72</v>
      </c>
      <c r="BM2441" s="2">
        <v>10.74</v>
      </c>
      <c r="BN2441" s="2">
        <v>87.46</v>
      </c>
      <c r="BO2441" s="2">
        <v>87.46</v>
      </c>
      <c r="BP2441" s="2" t="s">
        <v>82</v>
      </c>
      <c r="BQ2441" s="2"/>
      <c r="BR2441" s="2" t="s">
        <v>84</v>
      </c>
      <c r="BS2441" s="3">
        <v>42838</v>
      </c>
      <c r="BT2441" s="4">
        <v>0.3611111111111111</v>
      </c>
      <c r="BU2441" s="2" t="s">
        <v>2781</v>
      </c>
      <c r="BV2441" s="2"/>
      <c r="BW2441" s="2"/>
      <c r="BX2441" s="2"/>
      <c r="BY2441" s="2">
        <v>6179.33</v>
      </c>
      <c r="BZ2441" s="2"/>
      <c r="CA2441" s="2"/>
      <c r="CB2441" s="2"/>
      <c r="CC2441" s="2" t="s">
        <v>146</v>
      </c>
      <c r="CD2441" s="2">
        <v>184</v>
      </c>
      <c r="CE2441" s="2" t="s">
        <v>135</v>
      </c>
      <c r="CF2441" s="5">
        <v>42844</v>
      </c>
      <c r="CG2441" s="2"/>
      <c r="CH2441" s="2"/>
      <c r="CI2441" s="2">
        <v>0</v>
      </c>
      <c r="CJ2441" s="2">
        <v>0</v>
      </c>
      <c r="CK2441" s="2" t="s">
        <v>150</v>
      </c>
      <c r="CL2441" s="2" t="s">
        <v>86</v>
      </c>
      <c r="CM2441" s="2"/>
    </row>
    <row r="2442" spans="1:91">
      <c r="A2442" s="2" t="s">
        <v>71</v>
      </c>
      <c r="B2442" s="2" t="s">
        <v>72</v>
      </c>
      <c r="C2442" s="2" t="s">
        <v>73</v>
      </c>
      <c r="D2442" s="2"/>
      <c r="E2442" s="2" t="str">
        <f>"FES1162542280"</f>
        <v>FES1162542280</v>
      </c>
      <c r="F2442" s="3">
        <v>42832</v>
      </c>
      <c r="G2442" s="2">
        <v>201710</v>
      </c>
      <c r="H2442" s="2" t="s">
        <v>74</v>
      </c>
      <c r="I2442" s="2" t="s">
        <v>75</v>
      </c>
      <c r="J2442" s="2" t="s">
        <v>200</v>
      </c>
      <c r="K2442" s="2" t="s">
        <v>77</v>
      </c>
      <c r="L2442" s="2" t="s">
        <v>166</v>
      </c>
      <c r="M2442" s="2" t="s">
        <v>167</v>
      </c>
      <c r="N2442" s="2" t="s">
        <v>1507</v>
      </c>
      <c r="O2442" s="2" t="s">
        <v>81</v>
      </c>
      <c r="P2442" s="2" t="str">
        <f>"2170558986                    "</f>
        <v xml:space="preserve">2170558986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6.83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7.8</v>
      </c>
      <c r="BJ2442" s="2">
        <v>18.100000000000001</v>
      </c>
      <c r="BK2442" s="2">
        <v>19</v>
      </c>
      <c r="BL2442" s="2">
        <v>71.52</v>
      </c>
      <c r="BM2442" s="2">
        <v>10.01</v>
      </c>
      <c r="BN2442" s="2">
        <v>81.53</v>
      </c>
      <c r="BO2442" s="2">
        <v>81.53</v>
      </c>
      <c r="BP2442" s="2"/>
      <c r="BQ2442" s="2" t="s">
        <v>1571</v>
      </c>
      <c r="BR2442" s="2" t="s">
        <v>204</v>
      </c>
      <c r="BS2442" s="3">
        <v>42835</v>
      </c>
      <c r="BT2442" s="4">
        <v>0.3923611111111111</v>
      </c>
      <c r="BU2442" s="2" t="s">
        <v>2782</v>
      </c>
      <c r="BV2442" s="2" t="s">
        <v>111</v>
      </c>
      <c r="BW2442" s="2"/>
      <c r="BX2442" s="2"/>
      <c r="BY2442" s="2">
        <v>90725.8</v>
      </c>
      <c r="BZ2442" s="2"/>
      <c r="CA2442" s="2" t="s">
        <v>2022</v>
      </c>
      <c r="CB2442" s="2"/>
      <c r="CC2442" s="2" t="s">
        <v>167</v>
      </c>
      <c r="CD2442" s="2">
        <v>2091</v>
      </c>
      <c r="CE2442" s="2" t="s">
        <v>89</v>
      </c>
      <c r="CF2442" s="5">
        <v>42836</v>
      </c>
      <c r="CG2442" s="2"/>
      <c r="CH2442" s="2"/>
      <c r="CI2442" s="2">
        <v>0</v>
      </c>
      <c r="CJ2442" s="2">
        <v>0</v>
      </c>
      <c r="CK2442" s="2" t="s">
        <v>98</v>
      </c>
      <c r="CL2442" s="2" t="s">
        <v>86</v>
      </c>
      <c r="CM2442" s="2"/>
    </row>
    <row r="2443" spans="1:91">
      <c r="A2443" s="2" t="s">
        <v>71</v>
      </c>
      <c r="B2443" s="2" t="s">
        <v>72</v>
      </c>
      <c r="C2443" s="2" t="s">
        <v>73</v>
      </c>
      <c r="D2443" s="2"/>
      <c r="E2443" s="2" t="str">
        <f>"FES1162542329"</f>
        <v>FES1162542329</v>
      </c>
      <c r="F2443" s="3">
        <v>42832</v>
      </c>
      <c r="G2443" s="2">
        <v>201710</v>
      </c>
      <c r="H2443" s="2" t="s">
        <v>74</v>
      </c>
      <c r="I2443" s="2" t="s">
        <v>75</v>
      </c>
      <c r="J2443" s="2" t="s">
        <v>200</v>
      </c>
      <c r="K2443" s="2" t="s">
        <v>77</v>
      </c>
      <c r="L2443" s="2" t="s">
        <v>145</v>
      </c>
      <c r="M2443" s="2" t="s">
        <v>146</v>
      </c>
      <c r="N2443" s="2" t="s">
        <v>1810</v>
      </c>
      <c r="O2443" s="2" t="s">
        <v>81</v>
      </c>
      <c r="P2443" s="2" t="str">
        <f>"2170560358                    "</f>
        <v xml:space="preserve">2170560358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8.0500000000000007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1</v>
      </c>
      <c r="BI2443" s="2">
        <v>15.2</v>
      </c>
      <c r="BJ2443" s="2">
        <v>18</v>
      </c>
      <c r="BK2443" s="2">
        <v>18</v>
      </c>
      <c r="BL2443" s="2">
        <v>83.37</v>
      </c>
      <c r="BM2443" s="2">
        <v>11.67</v>
      </c>
      <c r="BN2443" s="2">
        <v>95.04</v>
      </c>
      <c r="BO2443" s="2">
        <v>95.04</v>
      </c>
      <c r="BP2443" s="2"/>
      <c r="BQ2443" s="2" t="s">
        <v>116</v>
      </c>
      <c r="BR2443" s="2" t="s">
        <v>204</v>
      </c>
      <c r="BS2443" s="3">
        <v>42835</v>
      </c>
      <c r="BT2443" s="4">
        <v>0.33680555555555558</v>
      </c>
      <c r="BU2443" s="2" t="s">
        <v>1811</v>
      </c>
      <c r="BV2443" s="2"/>
      <c r="BW2443" s="2"/>
      <c r="BX2443" s="2"/>
      <c r="BY2443" s="2">
        <v>90039.94</v>
      </c>
      <c r="BZ2443" s="2"/>
      <c r="CA2443" s="2" t="s">
        <v>1812</v>
      </c>
      <c r="CB2443" s="2"/>
      <c r="CC2443" s="2" t="s">
        <v>146</v>
      </c>
      <c r="CD2443" s="2">
        <v>159</v>
      </c>
      <c r="CE2443" s="2" t="s">
        <v>135</v>
      </c>
      <c r="CF2443" s="5">
        <v>42837</v>
      </c>
      <c r="CG2443" s="2"/>
      <c r="CH2443" s="2"/>
      <c r="CI2443" s="2">
        <v>0</v>
      </c>
      <c r="CJ2443" s="2">
        <v>0</v>
      </c>
      <c r="CK2443" s="2" t="s">
        <v>150</v>
      </c>
      <c r="CL2443" s="2" t="s">
        <v>86</v>
      </c>
      <c r="CM2443" s="2"/>
    </row>
    <row r="2444" spans="1:91">
      <c r="A2444" s="2" t="s">
        <v>71</v>
      </c>
      <c r="B2444" s="2" t="s">
        <v>72</v>
      </c>
      <c r="C2444" s="2" t="s">
        <v>73</v>
      </c>
      <c r="D2444" s="2"/>
      <c r="E2444" s="2" t="str">
        <f>"FES1162542462"</f>
        <v>FES1162542462</v>
      </c>
      <c r="F2444" s="3">
        <v>42835</v>
      </c>
      <c r="G2444" s="2">
        <v>201710</v>
      </c>
      <c r="H2444" s="2" t="s">
        <v>74</v>
      </c>
      <c r="I2444" s="2" t="s">
        <v>75</v>
      </c>
      <c r="J2444" s="2" t="s">
        <v>200</v>
      </c>
      <c r="K2444" s="2" t="s">
        <v>77</v>
      </c>
      <c r="L2444" s="2" t="s">
        <v>145</v>
      </c>
      <c r="M2444" s="2" t="s">
        <v>146</v>
      </c>
      <c r="N2444" s="2" t="s">
        <v>1461</v>
      </c>
      <c r="O2444" s="2" t="s">
        <v>81</v>
      </c>
      <c r="P2444" s="2" t="str">
        <f>"2170561357                    "</f>
        <v xml:space="preserve">2170561357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7.37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4.7</v>
      </c>
      <c r="BJ2444" s="2">
        <v>0.2</v>
      </c>
      <c r="BK2444" s="2">
        <v>5</v>
      </c>
      <c r="BL2444" s="2">
        <v>76.72</v>
      </c>
      <c r="BM2444" s="2">
        <v>10.74</v>
      </c>
      <c r="BN2444" s="2">
        <v>87.46</v>
      </c>
      <c r="BO2444" s="2">
        <v>87.46</v>
      </c>
      <c r="BP2444" s="2"/>
      <c r="BQ2444" s="2" t="s">
        <v>1462</v>
      </c>
      <c r="BR2444" s="2" t="s">
        <v>204</v>
      </c>
      <c r="BS2444" s="3">
        <v>42836</v>
      </c>
      <c r="BT2444" s="4">
        <v>0.3979166666666667</v>
      </c>
      <c r="BU2444" s="2" t="s">
        <v>2783</v>
      </c>
      <c r="BV2444" s="2"/>
      <c r="BW2444" s="2"/>
      <c r="BX2444" s="2"/>
      <c r="BY2444" s="2">
        <v>1200</v>
      </c>
      <c r="BZ2444" s="2"/>
      <c r="CA2444" s="2" t="s">
        <v>1812</v>
      </c>
      <c r="CB2444" s="2"/>
      <c r="CC2444" s="2" t="s">
        <v>146</v>
      </c>
      <c r="CD2444" s="2">
        <v>182</v>
      </c>
      <c r="CE2444" s="2" t="s">
        <v>144</v>
      </c>
      <c r="CF2444" s="5">
        <v>42838</v>
      </c>
      <c r="CG2444" s="2"/>
      <c r="CH2444" s="2"/>
      <c r="CI2444" s="2">
        <v>0</v>
      </c>
      <c r="CJ2444" s="2">
        <v>0</v>
      </c>
      <c r="CK2444" s="2" t="s">
        <v>150</v>
      </c>
      <c r="CL2444" s="2" t="s">
        <v>86</v>
      </c>
      <c r="CM2444" s="2"/>
    </row>
    <row r="2445" spans="1:91">
      <c r="A2445" s="2" t="s">
        <v>71</v>
      </c>
      <c r="B2445" s="2" t="s">
        <v>72</v>
      </c>
      <c r="C2445" s="2" t="s">
        <v>73</v>
      </c>
      <c r="D2445" s="2"/>
      <c r="E2445" s="2" t="str">
        <f>"FES1162542235"</f>
        <v>FES1162542235</v>
      </c>
      <c r="F2445" s="3">
        <v>42832</v>
      </c>
      <c r="G2445" s="2">
        <v>201710</v>
      </c>
      <c r="H2445" s="2" t="s">
        <v>74</v>
      </c>
      <c r="I2445" s="2" t="s">
        <v>75</v>
      </c>
      <c r="J2445" s="2" t="s">
        <v>200</v>
      </c>
      <c r="K2445" s="2" t="s">
        <v>77</v>
      </c>
      <c r="L2445" s="2" t="s">
        <v>145</v>
      </c>
      <c r="M2445" s="2" t="s">
        <v>146</v>
      </c>
      <c r="N2445" s="2" t="s">
        <v>1602</v>
      </c>
      <c r="O2445" s="2" t="s">
        <v>81</v>
      </c>
      <c r="P2445" s="2" t="str">
        <f>"2170556664                    "</f>
        <v xml:space="preserve">2170556664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7.37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5.7</v>
      </c>
      <c r="BJ2445" s="2">
        <v>1.8</v>
      </c>
      <c r="BK2445" s="2">
        <v>6</v>
      </c>
      <c r="BL2445" s="2">
        <v>76.72</v>
      </c>
      <c r="BM2445" s="2">
        <v>10.74</v>
      </c>
      <c r="BN2445" s="2">
        <v>87.46</v>
      </c>
      <c r="BO2445" s="2">
        <v>87.46</v>
      </c>
      <c r="BP2445" s="2"/>
      <c r="BQ2445" s="2" t="s">
        <v>1603</v>
      </c>
      <c r="BR2445" s="2" t="s">
        <v>204</v>
      </c>
      <c r="BS2445" s="3">
        <v>42835</v>
      </c>
      <c r="BT2445" s="4">
        <v>0.38541666666666669</v>
      </c>
      <c r="BU2445" s="2" t="s">
        <v>1137</v>
      </c>
      <c r="BV2445" s="2"/>
      <c r="BW2445" s="2"/>
      <c r="BX2445" s="2"/>
      <c r="BY2445" s="2">
        <v>8991.84</v>
      </c>
      <c r="BZ2445" s="2"/>
      <c r="CA2445" s="2"/>
      <c r="CB2445" s="2"/>
      <c r="CC2445" s="2" t="s">
        <v>146</v>
      </c>
      <c r="CD2445" s="2">
        <v>117</v>
      </c>
      <c r="CE2445" s="2" t="s">
        <v>1838</v>
      </c>
      <c r="CF2445" s="5">
        <v>42837</v>
      </c>
      <c r="CG2445" s="2"/>
      <c r="CH2445" s="2"/>
      <c r="CI2445" s="2">
        <v>0</v>
      </c>
      <c r="CJ2445" s="2">
        <v>0</v>
      </c>
      <c r="CK2445" s="2" t="s">
        <v>150</v>
      </c>
      <c r="CL2445" s="2" t="s">
        <v>86</v>
      </c>
      <c r="CM2445" s="2"/>
    </row>
    <row r="2446" spans="1:91">
      <c r="A2446" s="2" t="s">
        <v>71</v>
      </c>
      <c r="B2446" s="2" t="s">
        <v>72</v>
      </c>
      <c r="C2446" s="2" t="s">
        <v>73</v>
      </c>
      <c r="D2446" s="2"/>
      <c r="E2446" s="2" t="str">
        <f>"FES1162541999"</f>
        <v>FES1162541999</v>
      </c>
      <c r="F2446" s="3">
        <v>42831</v>
      </c>
      <c r="G2446" s="2">
        <v>201710</v>
      </c>
      <c r="H2446" s="2" t="s">
        <v>74</v>
      </c>
      <c r="I2446" s="2" t="s">
        <v>75</v>
      </c>
      <c r="J2446" s="2" t="s">
        <v>200</v>
      </c>
      <c r="K2446" s="2" t="s">
        <v>77</v>
      </c>
      <c r="L2446" s="2" t="s">
        <v>139</v>
      </c>
      <c r="M2446" s="2" t="s">
        <v>140</v>
      </c>
      <c r="N2446" s="2" t="s">
        <v>2784</v>
      </c>
      <c r="O2446" s="2" t="s">
        <v>81</v>
      </c>
      <c r="P2446" s="2" t="str">
        <f>"2170558282                    "</f>
        <v xml:space="preserve">2170558282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7.37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5</v>
      </c>
      <c r="BJ2446" s="2">
        <v>0.2</v>
      </c>
      <c r="BK2446" s="2">
        <v>5</v>
      </c>
      <c r="BL2446" s="2">
        <v>76.72</v>
      </c>
      <c r="BM2446" s="2">
        <v>10.74</v>
      </c>
      <c r="BN2446" s="2">
        <v>87.46</v>
      </c>
      <c r="BO2446" s="2">
        <v>87.46</v>
      </c>
      <c r="BP2446" s="2"/>
      <c r="BQ2446" s="2"/>
      <c r="BR2446" s="2" t="s">
        <v>204</v>
      </c>
      <c r="BS2446" s="3">
        <v>42832</v>
      </c>
      <c r="BT2446" s="4">
        <v>0.47222222222222227</v>
      </c>
      <c r="BU2446" s="2" t="s">
        <v>2785</v>
      </c>
      <c r="BV2446" s="2"/>
      <c r="BW2446" s="2"/>
      <c r="BX2446" s="2"/>
      <c r="BY2446" s="2">
        <v>1200</v>
      </c>
      <c r="BZ2446" s="2"/>
      <c r="CA2446" s="2"/>
      <c r="CB2446" s="2"/>
      <c r="CC2446" s="2" t="s">
        <v>140</v>
      </c>
      <c r="CD2446" s="2">
        <v>157</v>
      </c>
      <c r="CE2446" s="2" t="s">
        <v>118</v>
      </c>
      <c r="CF2446" s="5">
        <v>42836</v>
      </c>
      <c r="CG2446" s="2"/>
      <c r="CH2446" s="2"/>
      <c r="CI2446" s="2">
        <v>0</v>
      </c>
      <c r="CJ2446" s="2">
        <v>0</v>
      </c>
      <c r="CK2446" s="2" t="s">
        <v>150</v>
      </c>
      <c r="CL2446" s="2" t="s">
        <v>86</v>
      </c>
      <c r="CM2446" s="2"/>
    </row>
    <row r="2447" spans="1:91">
      <c r="A2447" s="2" t="s">
        <v>71</v>
      </c>
      <c r="B2447" s="2" t="s">
        <v>72</v>
      </c>
      <c r="C2447" s="2" t="s">
        <v>73</v>
      </c>
      <c r="D2447" s="2"/>
      <c r="E2447" s="2" t="str">
        <f>"FES1162541965"</f>
        <v>FES1162541965</v>
      </c>
      <c r="F2447" s="3">
        <v>42832</v>
      </c>
      <c r="G2447" s="2">
        <v>201710</v>
      </c>
      <c r="H2447" s="2" t="s">
        <v>74</v>
      </c>
      <c r="I2447" s="2" t="s">
        <v>75</v>
      </c>
      <c r="J2447" s="2" t="s">
        <v>200</v>
      </c>
      <c r="K2447" s="2" t="s">
        <v>77</v>
      </c>
      <c r="L2447" s="2" t="s">
        <v>299</v>
      </c>
      <c r="M2447" s="2" t="s">
        <v>300</v>
      </c>
      <c r="N2447" s="2" t="s">
        <v>301</v>
      </c>
      <c r="O2447" s="2" t="s">
        <v>81</v>
      </c>
      <c r="P2447" s="2" t="str">
        <f>"2170560958                    "</f>
        <v xml:space="preserve">2170560958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8.92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6.8</v>
      </c>
      <c r="BJ2447" s="2">
        <v>18</v>
      </c>
      <c r="BK2447" s="2">
        <v>18</v>
      </c>
      <c r="BL2447" s="2">
        <v>91.83</v>
      </c>
      <c r="BM2447" s="2">
        <v>12.86</v>
      </c>
      <c r="BN2447" s="2">
        <v>104.69</v>
      </c>
      <c r="BO2447" s="2">
        <v>104.69</v>
      </c>
      <c r="BP2447" s="2"/>
      <c r="BQ2447" s="2" t="s">
        <v>302</v>
      </c>
      <c r="BR2447" s="2" t="s">
        <v>204</v>
      </c>
      <c r="BS2447" s="3">
        <v>42835</v>
      </c>
      <c r="BT2447" s="4">
        <v>0.4770833333333333</v>
      </c>
      <c r="BU2447" s="2" t="s">
        <v>2087</v>
      </c>
      <c r="BV2447" s="2"/>
      <c r="BW2447" s="2"/>
      <c r="BX2447" s="2"/>
      <c r="BY2447" s="2">
        <v>90112.18</v>
      </c>
      <c r="BZ2447" s="2"/>
      <c r="CA2447" s="2"/>
      <c r="CB2447" s="2"/>
      <c r="CC2447" s="2" t="s">
        <v>300</v>
      </c>
      <c r="CD2447" s="2">
        <v>208</v>
      </c>
      <c r="CE2447" s="2" t="s">
        <v>135</v>
      </c>
      <c r="CF2447" s="5">
        <v>42837</v>
      </c>
      <c r="CG2447" s="2"/>
      <c r="CH2447" s="2"/>
      <c r="CI2447" s="2">
        <v>0</v>
      </c>
      <c r="CJ2447" s="2">
        <v>0</v>
      </c>
      <c r="CK2447" s="2" t="s">
        <v>217</v>
      </c>
      <c r="CL2447" s="2" t="s">
        <v>86</v>
      </c>
      <c r="CM2447" s="2"/>
    </row>
    <row r="2448" spans="1:91">
      <c r="A2448" s="2" t="s">
        <v>71</v>
      </c>
      <c r="B2448" s="2" t="s">
        <v>72</v>
      </c>
      <c r="C2448" s="2" t="s">
        <v>73</v>
      </c>
      <c r="D2448" s="2"/>
      <c r="E2448" s="2" t="str">
        <f>"FES1162541856"</f>
        <v>FES1162541856</v>
      </c>
      <c r="F2448" s="3">
        <v>42830</v>
      </c>
      <c r="G2448" s="2">
        <v>201710</v>
      </c>
      <c r="H2448" s="2" t="s">
        <v>74</v>
      </c>
      <c r="I2448" s="2" t="s">
        <v>75</v>
      </c>
      <c r="J2448" s="2" t="s">
        <v>200</v>
      </c>
      <c r="K2448" s="2" t="s">
        <v>77</v>
      </c>
      <c r="L2448" s="2" t="s">
        <v>139</v>
      </c>
      <c r="M2448" s="2" t="s">
        <v>140</v>
      </c>
      <c r="N2448" s="2" t="s">
        <v>2786</v>
      </c>
      <c r="O2448" s="2" t="s">
        <v>81</v>
      </c>
      <c r="P2448" s="2" t="str">
        <f>"2170560863                    "</f>
        <v xml:space="preserve">2170560863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7.37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4</v>
      </c>
      <c r="BJ2448" s="2">
        <v>1.7</v>
      </c>
      <c r="BK2448" s="2">
        <v>4</v>
      </c>
      <c r="BL2448" s="2">
        <v>76.72</v>
      </c>
      <c r="BM2448" s="2">
        <v>10.74</v>
      </c>
      <c r="BN2448" s="2">
        <v>87.46</v>
      </c>
      <c r="BO2448" s="2">
        <v>87.46</v>
      </c>
      <c r="BP2448" s="2"/>
      <c r="BQ2448" s="2" t="s">
        <v>2787</v>
      </c>
      <c r="BR2448" s="2" t="s">
        <v>204</v>
      </c>
      <c r="BS2448" s="3">
        <v>42831</v>
      </c>
      <c r="BT2448" s="4">
        <v>0.38541666666666669</v>
      </c>
      <c r="BU2448" s="2" t="s">
        <v>2788</v>
      </c>
      <c r="BV2448" s="2" t="s">
        <v>111</v>
      </c>
      <c r="BW2448" s="2"/>
      <c r="BX2448" s="2"/>
      <c r="BY2448" s="2">
        <v>8331.42</v>
      </c>
      <c r="BZ2448" s="2"/>
      <c r="CA2448" s="2"/>
      <c r="CB2448" s="2"/>
      <c r="CC2448" s="2" t="s">
        <v>140</v>
      </c>
      <c r="CD2448" s="2">
        <v>46</v>
      </c>
      <c r="CE2448" s="2" t="s">
        <v>89</v>
      </c>
      <c r="CF2448" s="5">
        <v>42835</v>
      </c>
      <c r="CG2448" s="2"/>
      <c r="CH2448" s="2"/>
      <c r="CI2448" s="2">
        <v>0</v>
      </c>
      <c r="CJ2448" s="2">
        <v>0</v>
      </c>
      <c r="CK2448" s="2" t="s">
        <v>150</v>
      </c>
      <c r="CL2448" s="2" t="s">
        <v>86</v>
      </c>
      <c r="CM2448" s="2"/>
    </row>
    <row r="2449" spans="1:91">
      <c r="A2449" s="2" t="s">
        <v>71</v>
      </c>
      <c r="B2449" s="2" t="s">
        <v>72</v>
      </c>
      <c r="C2449" s="2" t="s">
        <v>73</v>
      </c>
      <c r="D2449" s="2"/>
      <c r="E2449" s="2" t="str">
        <f>"FES1162541635"</f>
        <v>FES1162541635</v>
      </c>
      <c r="F2449" s="3">
        <v>42830</v>
      </c>
      <c r="G2449" s="2">
        <v>201710</v>
      </c>
      <c r="H2449" s="2" t="s">
        <v>74</v>
      </c>
      <c r="I2449" s="2" t="s">
        <v>75</v>
      </c>
      <c r="J2449" s="2" t="s">
        <v>200</v>
      </c>
      <c r="K2449" s="2" t="s">
        <v>77</v>
      </c>
      <c r="L2449" s="2" t="s">
        <v>139</v>
      </c>
      <c r="M2449" s="2" t="s">
        <v>140</v>
      </c>
      <c r="N2449" s="2" t="s">
        <v>2784</v>
      </c>
      <c r="O2449" s="2" t="s">
        <v>81</v>
      </c>
      <c r="P2449" s="2" t="str">
        <f>"2170558282                    "</f>
        <v xml:space="preserve">2170558282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7.37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3.9</v>
      </c>
      <c r="BJ2449" s="2">
        <v>1.3</v>
      </c>
      <c r="BK2449" s="2">
        <v>4</v>
      </c>
      <c r="BL2449" s="2">
        <v>76.72</v>
      </c>
      <c r="BM2449" s="2">
        <v>10.74</v>
      </c>
      <c r="BN2449" s="2">
        <v>87.46</v>
      </c>
      <c r="BO2449" s="2">
        <v>87.46</v>
      </c>
      <c r="BP2449" s="2"/>
      <c r="BQ2449" s="2" t="s">
        <v>2789</v>
      </c>
      <c r="BR2449" s="2" t="s">
        <v>204</v>
      </c>
      <c r="BS2449" s="3">
        <v>42831</v>
      </c>
      <c r="BT2449" s="4">
        <v>0.42152777777777778</v>
      </c>
      <c r="BU2449" s="2" t="s">
        <v>2785</v>
      </c>
      <c r="BV2449" s="2" t="s">
        <v>111</v>
      </c>
      <c r="BW2449" s="2"/>
      <c r="BX2449" s="2"/>
      <c r="BY2449" s="2">
        <v>6732.21</v>
      </c>
      <c r="BZ2449" s="2"/>
      <c r="CA2449" s="2"/>
      <c r="CB2449" s="2"/>
      <c r="CC2449" s="2" t="s">
        <v>140</v>
      </c>
      <c r="CD2449" s="2">
        <v>157</v>
      </c>
      <c r="CE2449" s="2" t="s">
        <v>135</v>
      </c>
      <c r="CF2449" s="5">
        <v>42835</v>
      </c>
      <c r="CG2449" s="2"/>
      <c r="CH2449" s="2"/>
      <c r="CI2449" s="2">
        <v>0</v>
      </c>
      <c r="CJ2449" s="2">
        <v>0</v>
      </c>
      <c r="CK2449" s="2" t="s">
        <v>150</v>
      </c>
      <c r="CL2449" s="2" t="s">
        <v>86</v>
      </c>
      <c r="CM2449" s="2"/>
    </row>
    <row r="2450" spans="1:91">
      <c r="A2450" s="2" t="s">
        <v>71</v>
      </c>
      <c r="B2450" s="2" t="s">
        <v>72</v>
      </c>
      <c r="C2450" s="2" t="s">
        <v>73</v>
      </c>
      <c r="D2450" s="2"/>
      <c r="E2450" s="2" t="str">
        <f>"FES1162541530"</f>
        <v>FES1162541530</v>
      </c>
      <c r="F2450" s="3">
        <v>42830</v>
      </c>
      <c r="G2450" s="2">
        <v>201710</v>
      </c>
      <c r="H2450" s="2" t="s">
        <v>74</v>
      </c>
      <c r="I2450" s="2" t="s">
        <v>75</v>
      </c>
      <c r="J2450" s="2" t="s">
        <v>200</v>
      </c>
      <c r="K2450" s="2" t="s">
        <v>77</v>
      </c>
      <c r="L2450" s="2" t="s">
        <v>525</v>
      </c>
      <c r="M2450" s="2" t="s">
        <v>526</v>
      </c>
      <c r="N2450" s="2" t="s">
        <v>2790</v>
      </c>
      <c r="O2450" s="2" t="s">
        <v>81</v>
      </c>
      <c r="P2450" s="2" t="str">
        <f>"2170560128                    "</f>
        <v xml:space="preserve">2170560128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8.0399999999999991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6.6</v>
      </c>
      <c r="BJ2450" s="2">
        <v>13</v>
      </c>
      <c r="BK2450" s="2">
        <v>13</v>
      </c>
      <c r="BL2450" s="2">
        <v>83.24</v>
      </c>
      <c r="BM2450" s="2">
        <v>11.65</v>
      </c>
      <c r="BN2450" s="2">
        <v>94.89</v>
      </c>
      <c r="BO2450" s="2">
        <v>94.89</v>
      </c>
      <c r="BP2450" s="2"/>
      <c r="BQ2450" s="2" t="s">
        <v>2791</v>
      </c>
      <c r="BR2450" s="2" t="s">
        <v>204</v>
      </c>
      <c r="BS2450" s="3">
        <v>42831</v>
      </c>
      <c r="BT2450" s="4">
        <v>0.65833333333333333</v>
      </c>
      <c r="BU2450" s="2" t="s">
        <v>2792</v>
      </c>
      <c r="BV2450" s="2" t="s">
        <v>111</v>
      </c>
      <c r="BW2450" s="2"/>
      <c r="BX2450" s="2"/>
      <c r="BY2450" s="2">
        <v>65033.81</v>
      </c>
      <c r="BZ2450" s="2"/>
      <c r="CA2450" s="2"/>
      <c r="CB2450" s="2"/>
      <c r="CC2450" s="2" t="s">
        <v>526</v>
      </c>
      <c r="CD2450" s="2">
        <v>2210</v>
      </c>
      <c r="CE2450" s="2" t="s">
        <v>89</v>
      </c>
      <c r="CF2450" s="5">
        <v>42833</v>
      </c>
      <c r="CG2450" s="2"/>
      <c r="CH2450" s="2"/>
      <c r="CI2450" s="2">
        <v>0</v>
      </c>
      <c r="CJ2450" s="2">
        <v>0</v>
      </c>
      <c r="CK2450" s="2" t="s">
        <v>217</v>
      </c>
      <c r="CL2450" s="2" t="s">
        <v>86</v>
      </c>
      <c r="CM2450" s="2"/>
    </row>
    <row r="2451" spans="1:91">
      <c r="A2451" s="2" t="s">
        <v>71</v>
      </c>
      <c r="B2451" s="2" t="s">
        <v>72</v>
      </c>
      <c r="C2451" s="2" t="s">
        <v>73</v>
      </c>
      <c r="D2451" s="2"/>
      <c r="E2451" s="2" t="str">
        <f>"FES1162542408"</f>
        <v>FES1162542408</v>
      </c>
      <c r="F2451" s="3">
        <v>42832</v>
      </c>
      <c r="G2451" s="2">
        <v>201710</v>
      </c>
      <c r="H2451" s="2" t="s">
        <v>74</v>
      </c>
      <c r="I2451" s="2" t="s">
        <v>75</v>
      </c>
      <c r="J2451" s="2" t="s">
        <v>200</v>
      </c>
      <c r="K2451" s="2" t="s">
        <v>77</v>
      </c>
      <c r="L2451" s="2" t="s">
        <v>145</v>
      </c>
      <c r="M2451" s="2" t="s">
        <v>146</v>
      </c>
      <c r="N2451" s="2" t="s">
        <v>1999</v>
      </c>
      <c r="O2451" s="2" t="s">
        <v>81</v>
      </c>
      <c r="P2451" s="2" t="str">
        <f>"2170561304                    "</f>
        <v xml:space="preserve">2170561304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7.37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1</v>
      </c>
      <c r="BI2451" s="2">
        <v>5.9</v>
      </c>
      <c r="BJ2451" s="2">
        <v>1.6</v>
      </c>
      <c r="BK2451" s="2">
        <v>6</v>
      </c>
      <c r="BL2451" s="2">
        <v>76.72</v>
      </c>
      <c r="BM2451" s="2">
        <v>10.74</v>
      </c>
      <c r="BN2451" s="2">
        <v>87.46</v>
      </c>
      <c r="BO2451" s="2">
        <v>87.46</v>
      </c>
      <c r="BP2451" s="2"/>
      <c r="BQ2451" s="2" t="s">
        <v>2000</v>
      </c>
      <c r="BR2451" s="2" t="s">
        <v>204</v>
      </c>
      <c r="BS2451" s="3">
        <v>42835</v>
      </c>
      <c r="BT2451" s="4">
        <v>0.38194444444444442</v>
      </c>
      <c r="BU2451" s="2" t="s">
        <v>2793</v>
      </c>
      <c r="BV2451" s="2"/>
      <c r="BW2451" s="2"/>
      <c r="BX2451" s="2"/>
      <c r="BY2451" s="2">
        <v>8163.54</v>
      </c>
      <c r="BZ2451" s="2"/>
      <c r="CA2451" s="2"/>
      <c r="CB2451" s="2"/>
      <c r="CC2451" s="2" t="s">
        <v>146</v>
      </c>
      <c r="CD2451" s="2">
        <v>200</v>
      </c>
      <c r="CE2451" s="2" t="s">
        <v>135</v>
      </c>
      <c r="CF2451" s="5">
        <v>42837</v>
      </c>
      <c r="CG2451" s="2"/>
      <c r="CH2451" s="2"/>
      <c r="CI2451" s="2">
        <v>0</v>
      </c>
      <c r="CJ2451" s="2">
        <v>0</v>
      </c>
      <c r="CK2451" s="2" t="s">
        <v>150</v>
      </c>
      <c r="CL2451" s="2" t="s">
        <v>86</v>
      </c>
      <c r="CM2451" s="2"/>
    </row>
    <row r="2452" spans="1:91">
      <c r="A2452" s="2" t="s">
        <v>71</v>
      </c>
      <c r="B2452" s="2" t="s">
        <v>72</v>
      </c>
      <c r="C2452" s="2" t="s">
        <v>73</v>
      </c>
      <c r="D2452" s="2"/>
      <c r="E2452" s="2" t="str">
        <f>"FES1162542547"</f>
        <v>FES1162542547</v>
      </c>
      <c r="F2452" s="3">
        <v>42835</v>
      </c>
      <c r="G2452" s="2">
        <v>201710</v>
      </c>
      <c r="H2452" s="2" t="s">
        <v>74</v>
      </c>
      <c r="I2452" s="2" t="s">
        <v>75</v>
      </c>
      <c r="J2452" s="2" t="s">
        <v>200</v>
      </c>
      <c r="K2452" s="2" t="s">
        <v>77</v>
      </c>
      <c r="L2452" s="2" t="s">
        <v>145</v>
      </c>
      <c r="M2452" s="2" t="s">
        <v>146</v>
      </c>
      <c r="N2452" s="2" t="s">
        <v>147</v>
      </c>
      <c r="O2452" s="2" t="s">
        <v>81</v>
      </c>
      <c r="P2452" s="2" t="str">
        <f>"2170561409                    "</f>
        <v xml:space="preserve">2170561409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7.37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5.4</v>
      </c>
      <c r="BJ2452" s="2">
        <v>1</v>
      </c>
      <c r="BK2452" s="2">
        <v>6</v>
      </c>
      <c r="BL2452" s="2">
        <v>76.72</v>
      </c>
      <c r="BM2452" s="2">
        <v>10.74</v>
      </c>
      <c r="BN2452" s="2">
        <v>87.46</v>
      </c>
      <c r="BO2452" s="2">
        <v>87.46</v>
      </c>
      <c r="BP2452" s="2"/>
      <c r="BQ2452" s="2" t="s">
        <v>148</v>
      </c>
      <c r="BR2452" s="2" t="s">
        <v>204</v>
      </c>
      <c r="BS2452" s="3">
        <v>42836</v>
      </c>
      <c r="BT2452" s="4">
        <v>0.32777777777777778</v>
      </c>
      <c r="BU2452" s="2" t="s">
        <v>149</v>
      </c>
      <c r="BV2452" s="2"/>
      <c r="BW2452" s="2"/>
      <c r="BX2452" s="2"/>
      <c r="BY2452" s="2">
        <v>5005.46</v>
      </c>
      <c r="BZ2452" s="2"/>
      <c r="CA2452" s="2"/>
      <c r="CB2452" s="2"/>
      <c r="CC2452" s="2" t="s">
        <v>146</v>
      </c>
      <c r="CD2452" s="2">
        <v>1</v>
      </c>
      <c r="CE2452" s="2" t="s">
        <v>135</v>
      </c>
      <c r="CF2452" s="5">
        <v>42838</v>
      </c>
      <c r="CG2452" s="2"/>
      <c r="CH2452" s="2"/>
      <c r="CI2452" s="2">
        <v>0</v>
      </c>
      <c r="CJ2452" s="2">
        <v>0</v>
      </c>
      <c r="CK2452" s="2" t="s">
        <v>150</v>
      </c>
      <c r="CL2452" s="2" t="s">
        <v>86</v>
      </c>
      <c r="CM2452" s="2"/>
    </row>
    <row r="2453" spans="1:91">
      <c r="A2453" s="2" t="s">
        <v>71</v>
      </c>
      <c r="B2453" s="2" t="s">
        <v>72</v>
      </c>
      <c r="C2453" s="2" t="s">
        <v>73</v>
      </c>
      <c r="D2453" s="2"/>
      <c r="E2453" s="2" t="str">
        <f>"FES1162541171"</f>
        <v>FES1162541171</v>
      </c>
      <c r="F2453" s="3">
        <v>42829</v>
      </c>
      <c r="G2453" s="2">
        <v>201710</v>
      </c>
      <c r="H2453" s="2" t="s">
        <v>74</v>
      </c>
      <c r="I2453" s="2" t="s">
        <v>75</v>
      </c>
      <c r="J2453" s="2" t="s">
        <v>200</v>
      </c>
      <c r="K2453" s="2" t="s">
        <v>77</v>
      </c>
      <c r="L2453" s="2" t="s">
        <v>190</v>
      </c>
      <c r="M2453" s="2" t="s">
        <v>191</v>
      </c>
      <c r="N2453" s="2" t="s">
        <v>192</v>
      </c>
      <c r="O2453" s="2" t="s">
        <v>81</v>
      </c>
      <c r="P2453" s="2" t="str">
        <f>"2170560071                    "</f>
        <v xml:space="preserve">2170560071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6.22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11.1</v>
      </c>
      <c r="BJ2453" s="2">
        <v>9.1</v>
      </c>
      <c r="BK2453" s="2">
        <v>12</v>
      </c>
      <c r="BL2453" s="2">
        <v>63.87</v>
      </c>
      <c r="BM2453" s="2">
        <v>8.94</v>
      </c>
      <c r="BN2453" s="2">
        <v>72.81</v>
      </c>
      <c r="BO2453" s="2">
        <v>72.81</v>
      </c>
      <c r="BP2453" s="2"/>
      <c r="BQ2453" s="2" t="s">
        <v>193</v>
      </c>
      <c r="BR2453" s="2" t="s">
        <v>204</v>
      </c>
      <c r="BS2453" s="3">
        <v>42830</v>
      </c>
      <c r="BT2453" s="4">
        <v>0.33333333333333331</v>
      </c>
      <c r="BU2453" s="2" t="s">
        <v>194</v>
      </c>
      <c r="BV2453" s="2" t="s">
        <v>111</v>
      </c>
      <c r="BW2453" s="2"/>
      <c r="BX2453" s="2"/>
      <c r="BY2453" s="2">
        <v>45576.61</v>
      </c>
      <c r="BZ2453" s="2"/>
      <c r="CA2453" s="2"/>
      <c r="CB2453" s="2"/>
      <c r="CC2453" s="2" t="s">
        <v>191</v>
      </c>
      <c r="CD2453" s="2">
        <v>1739</v>
      </c>
      <c r="CE2453" s="2" t="s">
        <v>89</v>
      </c>
      <c r="CF2453" s="5">
        <v>42832</v>
      </c>
      <c r="CG2453" s="2"/>
      <c r="CH2453" s="2"/>
      <c r="CI2453" s="2">
        <v>0</v>
      </c>
      <c r="CJ2453" s="2">
        <v>0</v>
      </c>
      <c r="CK2453" s="2" t="s">
        <v>98</v>
      </c>
      <c r="CL2453" s="2" t="s">
        <v>86</v>
      </c>
      <c r="CM2453" s="2"/>
    </row>
    <row r="2454" spans="1:91">
      <c r="A2454" s="2" t="s">
        <v>71</v>
      </c>
      <c r="B2454" s="2" t="s">
        <v>72</v>
      </c>
      <c r="C2454" s="2" t="s">
        <v>73</v>
      </c>
      <c r="D2454" s="2"/>
      <c r="E2454" s="2" t="str">
        <f>"FES1162541150"</f>
        <v>FES1162541150</v>
      </c>
      <c r="F2454" s="3">
        <v>42828</v>
      </c>
      <c r="G2454" s="2">
        <v>201710</v>
      </c>
      <c r="H2454" s="2" t="s">
        <v>74</v>
      </c>
      <c r="I2454" s="2" t="s">
        <v>75</v>
      </c>
      <c r="J2454" s="2" t="s">
        <v>200</v>
      </c>
      <c r="K2454" s="2" t="s">
        <v>77</v>
      </c>
      <c r="L2454" s="2" t="s">
        <v>714</v>
      </c>
      <c r="M2454" s="2" t="s">
        <v>715</v>
      </c>
      <c r="N2454" s="2" t="s">
        <v>2794</v>
      </c>
      <c r="O2454" s="2" t="s">
        <v>81</v>
      </c>
      <c r="P2454" s="2" t="str">
        <f>"2170560236                    "</f>
        <v xml:space="preserve">2170560236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11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20.100000000000001</v>
      </c>
      <c r="BJ2454" s="2">
        <v>37.299999999999997</v>
      </c>
      <c r="BK2454" s="2">
        <v>38</v>
      </c>
      <c r="BL2454" s="2">
        <v>109.13</v>
      </c>
      <c r="BM2454" s="2">
        <v>15.28</v>
      </c>
      <c r="BN2454" s="2">
        <v>124.41</v>
      </c>
      <c r="BO2454" s="2">
        <v>124.41</v>
      </c>
      <c r="BP2454" s="2"/>
      <c r="BQ2454" s="2"/>
      <c r="BR2454" s="2" t="s">
        <v>204</v>
      </c>
      <c r="BS2454" s="3">
        <v>42829</v>
      </c>
      <c r="BT2454" s="4">
        <v>0.41666666666666669</v>
      </c>
      <c r="BU2454" s="2" t="s">
        <v>2795</v>
      </c>
      <c r="BV2454" s="2" t="s">
        <v>111</v>
      </c>
      <c r="BW2454" s="2"/>
      <c r="BX2454" s="2"/>
      <c r="BY2454" s="2">
        <v>186388.78</v>
      </c>
      <c r="BZ2454" s="2"/>
      <c r="CA2454" s="2"/>
      <c r="CB2454" s="2"/>
      <c r="CC2454" s="2" t="s">
        <v>715</v>
      </c>
      <c r="CD2454" s="2">
        <v>1451</v>
      </c>
      <c r="CE2454" s="2" t="s">
        <v>89</v>
      </c>
      <c r="CF2454" s="5">
        <v>42831</v>
      </c>
      <c r="CG2454" s="2"/>
      <c r="CH2454" s="2"/>
      <c r="CI2454" s="2">
        <v>0</v>
      </c>
      <c r="CJ2454" s="2">
        <v>0</v>
      </c>
      <c r="CK2454" s="2" t="s">
        <v>98</v>
      </c>
      <c r="CL2454" s="2" t="s">
        <v>86</v>
      </c>
      <c r="CM2454" s="2"/>
    </row>
    <row r="2455" spans="1:91">
      <c r="A2455" s="2" t="s">
        <v>71</v>
      </c>
      <c r="B2455" s="2" t="s">
        <v>72</v>
      </c>
      <c r="C2455" s="2" t="s">
        <v>73</v>
      </c>
      <c r="D2455" s="2"/>
      <c r="E2455" s="2" t="str">
        <f>"FES1162542579"</f>
        <v>FES1162542579</v>
      </c>
      <c r="F2455" s="3">
        <v>42835</v>
      </c>
      <c r="G2455" s="2">
        <v>201710</v>
      </c>
      <c r="H2455" s="2" t="s">
        <v>74</v>
      </c>
      <c r="I2455" s="2" t="s">
        <v>75</v>
      </c>
      <c r="J2455" s="2" t="s">
        <v>200</v>
      </c>
      <c r="K2455" s="2" t="s">
        <v>77</v>
      </c>
      <c r="L2455" s="2" t="s">
        <v>139</v>
      </c>
      <c r="M2455" s="2" t="s">
        <v>140</v>
      </c>
      <c r="N2455" s="2" t="s">
        <v>645</v>
      </c>
      <c r="O2455" s="2" t="s">
        <v>81</v>
      </c>
      <c r="P2455" s="2" t="str">
        <f>"2170561437                    "</f>
        <v xml:space="preserve">2170561437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7.37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2</v>
      </c>
      <c r="BI2455" s="2">
        <v>12.1</v>
      </c>
      <c r="BJ2455" s="2">
        <v>2.6</v>
      </c>
      <c r="BK2455" s="2">
        <v>13</v>
      </c>
      <c r="BL2455" s="2">
        <v>76.72</v>
      </c>
      <c r="BM2455" s="2">
        <v>10.74</v>
      </c>
      <c r="BN2455" s="2">
        <v>87.46</v>
      </c>
      <c r="BO2455" s="2">
        <v>87.46</v>
      </c>
      <c r="BP2455" s="2"/>
      <c r="BQ2455" s="2" t="s">
        <v>646</v>
      </c>
      <c r="BR2455" s="2" t="s">
        <v>204</v>
      </c>
      <c r="BS2455" s="3">
        <v>42836</v>
      </c>
      <c r="BT2455" s="4">
        <v>0.38680555555555557</v>
      </c>
      <c r="BU2455" s="2" t="s">
        <v>2796</v>
      </c>
      <c r="BV2455" s="2"/>
      <c r="BW2455" s="2"/>
      <c r="BX2455" s="2"/>
      <c r="BY2455" s="2">
        <v>13180.03</v>
      </c>
      <c r="BZ2455" s="2"/>
      <c r="CA2455" s="2"/>
      <c r="CB2455" s="2"/>
      <c r="CC2455" s="2" t="s">
        <v>140</v>
      </c>
      <c r="CD2455" s="2">
        <v>157</v>
      </c>
      <c r="CE2455" s="2" t="s">
        <v>1988</v>
      </c>
      <c r="CF2455" s="5">
        <v>42838</v>
      </c>
      <c r="CG2455" s="2"/>
      <c r="CH2455" s="2"/>
      <c r="CI2455" s="2">
        <v>0</v>
      </c>
      <c r="CJ2455" s="2">
        <v>0</v>
      </c>
      <c r="CK2455" s="2" t="s">
        <v>150</v>
      </c>
      <c r="CL2455" s="2" t="s">
        <v>86</v>
      </c>
      <c r="CM2455" s="2"/>
    </row>
    <row r="2456" spans="1:91">
      <c r="A2456" s="2" t="s">
        <v>71</v>
      </c>
      <c r="B2456" s="2" t="s">
        <v>72</v>
      </c>
      <c r="C2456" s="2" t="s">
        <v>73</v>
      </c>
      <c r="D2456" s="2"/>
      <c r="E2456" s="2" t="str">
        <f>"FES1162542643"</f>
        <v>FES1162542643</v>
      </c>
      <c r="F2456" s="3">
        <v>42835</v>
      </c>
      <c r="G2456" s="2">
        <v>201710</v>
      </c>
      <c r="H2456" s="2" t="s">
        <v>74</v>
      </c>
      <c r="I2456" s="2" t="s">
        <v>75</v>
      </c>
      <c r="J2456" s="2" t="s">
        <v>200</v>
      </c>
      <c r="K2456" s="2" t="s">
        <v>77</v>
      </c>
      <c r="L2456" s="2" t="s">
        <v>145</v>
      </c>
      <c r="M2456" s="2" t="s">
        <v>146</v>
      </c>
      <c r="N2456" s="2" t="s">
        <v>1989</v>
      </c>
      <c r="O2456" s="2" t="s">
        <v>81</v>
      </c>
      <c r="P2456" s="2" t="str">
        <f>"2170561503                    "</f>
        <v xml:space="preserve">2170561503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7.37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2</v>
      </c>
      <c r="BJ2456" s="2">
        <v>3.8</v>
      </c>
      <c r="BK2456" s="2">
        <v>4</v>
      </c>
      <c r="BL2456" s="2">
        <v>76.72</v>
      </c>
      <c r="BM2456" s="2">
        <v>10.74</v>
      </c>
      <c r="BN2456" s="2">
        <v>87.46</v>
      </c>
      <c r="BO2456" s="2">
        <v>87.46</v>
      </c>
      <c r="BP2456" s="2"/>
      <c r="BQ2456" s="2" t="s">
        <v>1990</v>
      </c>
      <c r="BR2456" s="2" t="s">
        <v>204</v>
      </c>
      <c r="BS2456" s="3">
        <v>42836</v>
      </c>
      <c r="BT2456" s="4">
        <v>0.3263888888888889</v>
      </c>
      <c r="BU2456" s="2" t="s">
        <v>245</v>
      </c>
      <c r="BV2456" s="2"/>
      <c r="BW2456" s="2"/>
      <c r="BX2456" s="2"/>
      <c r="BY2456" s="2">
        <v>18810</v>
      </c>
      <c r="BZ2456" s="2"/>
      <c r="CA2456" s="2"/>
      <c r="CB2456" s="2"/>
      <c r="CC2456" s="2" t="s">
        <v>146</v>
      </c>
      <c r="CD2456" s="2">
        <v>184</v>
      </c>
      <c r="CE2456" s="2" t="s">
        <v>172</v>
      </c>
      <c r="CF2456" s="5">
        <v>42838</v>
      </c>
      <c r="CG2456" s="2"/>
      <c r="CH2456" s="2"/>
      <c r="CI2456" s="2">
        <v>0</v>
      </c>
      <c r="CJ2456" s="2">
        <v>0</v>
      </c>
      <c r="CK2456" s="2" t="s">
        <v>150</v>
      </c>
      <c r="CL2456" s="2" t="s">
        <v>86</v>
      </c>
      <c r="CM2456" s="2"/>
    </row>
    <row r="2457" spans="1:91">
      <c r="A2457" s="2" t="s">
        <v>71</v>
      </c>
      <c r="B2457" s="2" t="s">
        <v>72</v>
      </c>
      <c r="C2457" s="2" t="s">
        <v>73</v>
      </c>
      <c r="D2457" s="2"/>
      <c r="E2457" s="2" t="str">
        <f>"FES1162542727"</f>
        <v>FES1162542727</v>
      </c>
      <c r="F2457" s="3">
        <v>42835</v>
      </c>
      <c r="G2457" s="2">
        <v>201710</v>
      </c>
      <c r="H2457" s="2" t="s">
        <v>74</v>
      </c>
      <c r="I2457" s="2" t="s">
        <v>75</v>
      </c>
      <c r="J2457" s="2" t="s">
        <v>200</v>
      </c>
      <c r="K2457" s="2" t="s">
        <v>77</v>
      </c>
      <c r="L2457" s="2" t="s">
        <v>190</v>
      </c>
      <c r="M2457" s="2" t="s">
        <v>191</v>
      </c>
      <c r="N2457" s="2" t="s">
        <v>192</v>
      </c>
      <c r="O2457" s="2" t="s">
        <v>81</v>
      </c>
      <c r="P2457" s="2" t="str">
        <f>"2170561605                    "</f>
        <v xml:space="preserve">2170561605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6.03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5.3</v>
      </c>
      <c r="BJ2457" s="2">
        <v>9</v>
      </c>
      <c r="BK2457" s="2">
        <v>9</v>
      </c>
      <c r="BL2457" s="2">
        <v>63.68</v>
      </c>
      <c r="BM2457" s="2">
        <v>8.92</v>
      </c>
      <c r="BN2457" s="2">
        <v>72.599999999999994</v>
      </c>
      <c r="BO2457" s="2">
        <v>72.599999999999994</v>
      </c>
      <c r="BP2457" s="2"/>
      <c r="BQ2457" s="2" t="s">
        <v>193</v>
      </c>
      <c r="BR2457" s="2" t="s">
        <v>204</v>
      </c>
      <c r="BS2457" s="3">
        <v>42836</v>
      </c>
      <c r="BT2457" s="4">
        <v>0.40833333333333338</v>
      </c>
      <c r="BU2457" s="2" t="s">
        <v>194</v>
      </c>
      <c r="BV2457" s="2" t="s">
        <v>111</v>
      </c>
      <c r="BW2457" s="2"/>
      <c r="BX2457" s="2"/>
      <c r="BY2457" s="2">
        <v>44951.4</v>
      </c>
      <c r="BZ2457" s="2"/>
      <c r="CA2457" s="2"/>
      <c r="CB2457" s="2"/>
      <c r="CC2457" s="2" t="s">
        <v>191</v>
      </c>
      <c r="CD2457" s="2">
        <v>1739</v>
      </c>
      <c r="CE2457" s="2" t="s">
        <v>89</v>
      </c>
      <c r="CF2457" s="5">
        <v>42838</v>
      </c>
      <c r="CG2457" s="2"/>
      <c r="CH2457" s="2"/>
      <c r="CI2457" s="2">
        <v>0</v>
      </c>
      <c r="CJ2457" s="2">
        <v>0</v>
      </c>
      <c r="CK2457" s="2" t="s">
        <v>98</v>
      </c>
      <c r="CL2457" s="2" t="s">
        <v>86</v>
      </c>
      <c r="CM2457" s="2"/>
    </row>
    <row r="2458" spans="1:91">
      <c r="A2458" s="2" t="s">
        <v>71</v>
      </c>
      <c r="B2458" s="2" t="s">
        <v>72</v>
      </c>
      <c r="C2458" s="2" t="s">
        <v>73</v>
      </c>
      <c r="D2458" s="2"/>
      <c r="E2458" s="2" t="str">
        <f>"FES1162542853"</f>
        <v>FES1162542853</v>
      </c>
      <c r="F2458" s="3">
        <v>42836</v>
      </c>
      <c r="G2458" s="2">
        <v>201710</v>
      </c>
      <c r="H2458" s="2" t="s">
        <v>74</v>
      </c>
      <c r="I2458" s="2" t="s">
        <v>75</v>
      </c>
      <c r="J2458" s="2" t="s">
        <v>200</v>
      </c>
      <c r="K2458" s="2" t="s">
        <v>77</v>
      </c>
      <c r="L2458" s="2" t="s">
        <v>74</v>
      </c>
      <c r="M2458" s="2" t="s">
        <v>75</v>
      </c>
      <c r="N2458" s="2" t="s">
        <v>1157</v>
      </c>
      <c r="O2458" s="2" t="s">
        <v>81</v>
      </c>
      <c r="P2458" s="2" t="str">
        <f>"2170558561                    "</f>
        <v xml:space="preserve">2170558561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9.4499999999999993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2</v>
      </c>
      <c r="BI2458" s="2">
        <v>31.6</v>
      </c>
      <c r="BJ2458" s="2">
        <v>18.100000000000001</v>
      </c>
      <c r="BK2458" s="2">
        <v>32</v>
      </c>
      <c r="BL2458" s="2">
        <v>97.02</v>
      </c>
      <c r="BM2458" s="2">
        <v>13.58</v>
      </c>
      <c r="BN2458" s="2">
        <v>110.6</v>
      </c>
      <c r="BO2458" s="2">
        <v>110.6</v>
      </c>
      <c r="BP2458" s="2"/>
      <c r="BQ2458" s="2" t="s">
        <v>1158</v>
      </c>
      <c r="BR2458" s="2"/>
      <c r="BS2458" s="3">
        <v>42837</v>
      </c>
      <c r="BT2458" s="4">
        <v>0.4375</v>
      </c>
      <c r="BU2458" s="2" t="s">
        <v>1167</v>
      </c>
      <c r="BV2458" s="2" t="s">
        <v>111</v>
      </c>
      <c r="BW2458" s="2"/>
      <c r="BX2458" s="2"/>
      <c r="BY2458" s="2">
        <v>90629.119999999995</v>
      </c>
      <c r="BZ2458" s="2"/>
      <c r="CA2458" s="2"/>
      <c r="CB2458" s="2"/>
      <c r="CC2458" s="2" t="s">
        <v>75</v>
      </c>
      <c r="CD2458" s="2">
        <v>1666</v>
      </c>
      <c r="CE2458" s="2" t="s">
        <v>135</v>
      </c>
      <c r="CF2458" s="5">
        <v>42838</v>
      </c>
      <c r="CG2458" s="2"/>
      <c r="CH2458" s="2"/>
      <c r="CI2458" s="2">
        <v>0</v>
      </c>
      <c r="CJ2458" s="2">
        <v>0</v>
      </c>
      <c r="CK2458" s="2" t="s">
        <v>98</v>
      </c>
      <c r="CL2458" s="2" t="s">
        <v>86</v>
      </c>
      <c r="CM2458" s="2"/>
    </row>
    <row r="2459" spans="1:91">
      <c r="A2459" s="2" t="s">
        <v>71</v>
      </c>
      <c r="B2459" s="2" t="s">
        <v>72</v>
      </c>
      <c r="C2459" s="2" t="s">
        <v>73</v>
      </c>
      <c r="D2459" s="2"/>
      <c r="E2459" s="2" t="str">
        <f>"FES1162541038"</f>
        <v>FES1162541038</v>
      </c>
      <c r="F2459" s="3">
        <v>42828</v>
      </c>
      <c r="G2459" s="2">
        <v>201710</v>
      </c>
      <c r="H2459" s="2" t="s">
        <v>74</v>
      </c>
      <c r="I2459" s="2" t="s">
        <v>75</v>
      </c>
      <c r="J2459" s="2" t="s">
        <v>200</v>
      </c>
      <c r="K2459" s="2" t="s">
        <v>77</v>
      </c>
      <c r="L2459" s="2" t="s">
        <v>145</v>
      </c>
      <c r="M2459" s="2" t="s">
        <v>146</v>
      </c>
      <c r="N2459" s="2" t="s">
        <v>979</v>
      </c>
      <c r="O2459" s="2" t="s">
        <v>81</v>
      </c>
      <c r="P2459" s="2" t="str">
        <f>"2170559996                    "</f>
        <v xml:space="preserve">2170559996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7.6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5.3</v>
      </c>
      <c r="BJ2459" s="2">
        <v>1.9</v>
      </c>
      <c r="BK2459" s="2">
        <v>6</v>
      </c>
      <c r="BL2459" s="2">
        <v>76.95</v>
      </c>
      <c r="BM2459" s="2">
        <v>10.77</v>
      </c>
      <c r="BN2459" s="2">
        <v>87.72</v>
      </c>
      <c r="BO2459" s="2">
        <v>87.72</v>
      </c>
      <c r="BP2459" s="2"/>
      <c r="BQ2459" s="2"/>
      <c r="BR2459" s="2" t="s">
        <v>204</v>
      </c>
      <c r="BS2459" s="3">
        <v>42829</v>
      </c>
      <c r="BT2459" s="4">
        <v>0.4201388888888889</v>
      </c>
      <c r="BU2459" s="2" t="s">
        <v>2797</v>
      </c>
      <c r="BV2459" s="2" t="s">
        <v>111</v>
      </c>
      <c r="BW2459" s="2"/>
      <c r="BX2459" s="2"/>
      <c r="BY2459" s="2">
        <v>9607.68</v>
      </c>
      <c r="BZ2459" s="2"/>
      <c r="CA2459" s="2"/>
      <c r="CB2459" s="2"/>
      <c r="CC2459" s="2" t="s">
        <v>146</v>
      </c>
      <c r="CD2459" s="2">
        <v>200</v>
      </c>
      <c r="CE2459" s="2" t="s">
        <v>287</v>
      </c>
      <c r="CF2459" s="5">
        <v>42832</v>
      </c>
      <c r="CG2459" s="2"/>
      <c r="CH2459" s="2"/>
      <c r="CI2459" s="2">
        <v>0</v>
      </c>
      <c r="CJ2459" s="2">
        <v>0</v>
      </c>
      <c r="CK2459" s="2" t="s">
        <v>150</v>
      </c>
      <c r="CL2459" s="2" t="s">
        <v>86</v>
      </c>
      <c r="CM2459" s="2"/>
    </row>
    <row r="2460" spans="1:91">
      <c r="A2460" s="2" t="s">
        <v>71</v>
      </c>
      <c r="B2460" s="2" t="s">
        <v>72</v>
      </c>
      <c r="C2460" s="2" t="s">
        <v>73</v>
      </c>
      <c r="D2460" s="2"/>
      <c r="E2460" s="2" t="str">
        <f>"FES1162543147"</f>
        <v>FES1162543147</v>
      </c>
      <c r="F2460" s="3">
        <v>42836</v>
      </c>
      <c r="G2460" s="2">
        <v>201710</v>
      </c>
      <c r="H2460" s="2" t="s">
        <v>74</v>
      </c>
      <c r="I2460" s="2" t="s">
        <v>75</v>
      </c>
      <c r="J2460" s="2" t="s">
        <v>200</v>
      </c>
      <c r="K2460" s="2" t="s">
        <v>77</v>
      </c>
      <c r="L2460" s="2" t="s">
        <v>145</v>
      </c>
      <c r="M2460" s="2" t="s">
        <v>146</v>
      </c>
      <c r="N2460" s="2" t="s">
        <v>1999</v>
      </c>
      <c r="O2460" s="2" t="s">
        <v>81</v>
      </c>
      <c r="P2460" s="2" t="str">
        <f>"2170561935                    "</f>
        <v xml:space="preserve">2170561935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8.2799999999999994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11.6</v>
      </c>
      <c r="BJ2460" s="2">
        <v>18.100000000000001</v>
      </c>
      <c r="BK2460" s="2">
        <v>19</v>
      </c>
      <c r="BL2460" s="2">
        <v>85.59</v>
      </c>
      <c r="BM2460" s="2">
        <v>11.98</v>
      </c>
      <c r="BN2460" s="2">
        <v>97.57</v>
      </c>
      <c r="BO2460" s="2">
        <v>97.57</v>
      </c>
      <c r="BP2460" s="2"/>
      <c r="BQ2460" s="2" t="s">
        <v>2000</v>
      </c>
      <c r="BR2460" s="2" t="s">
        <v>2287</v>
      </c>
      <c r="BS2460" s="3">
        <v>42837</v>
      </c>
      <c r="BT2460" s="4">
        <v>0.5</v>
      </c>
      <c r="BU2460" s="2" t="s">
        <v>2798</v>
      </c>
      <c r="BV2460" s="2"/>
      <c r="BW2460" s="2"/>
      <c r="BX2460" s="2"/>
      <c r="BY2460" s="2">
        <v>90523.88</v>
      </c>
      <c r="BZ2460" s="2"/>
      <c r="CA2460" s="2"/>
      <c r="CB2460" s="2"/>
      <c r="CC2460" s="2" t="s">
        <v>146</v>
      </c>
      <c r="CD2460" s="2">
        <v>200</v>
      </c>
      <c r="CE2460" s="2" t="s">
        <v>89</v>
      </c>
      <c r="CF2460" s="5">
        <v>42843</v>
      </c>
      <c r="CG2460" s="2"/>
      <c r="CH2460" s="2"/>
      <c r="CI2460" s="2">
        <v>0</v>
      </c>
      <c r="CJ2460" s="2">
        <v>0</v>
      </c>
      <c r="CK2460" s="2" t="s">
        <v>150</v>
      </c>
      <c r="CL2460" s="2" t="s">
        <v>86</v>
      </c>
      <c r="CM2460" s="2"/>
    </row>
    <row r="2461" spans="1:91">
      <c r="A2461" s="2" t="s">
        <v>71</v>
      </c>
      <c r="B2461" s="2" t="s">
        <v>72</v>
      </c>
      <c r="C2461" s="2" t="s">
        <v>73</v>
      </c>
      <c r="D2461" s="2"/>
      <c r="E2461" s="2" t="str">
        <f>"FES1162543435"</f>
        <v>FES1162543435</v>
      </c>
      <c r="F2461" s="3">
        <v>42837</v>
      </c>
      <c r="G2461" s="2">
        <v>201710</v>
      </c>
      <c r="H2461" s="2" t="s">
        <v>74</v>
      </c>
      <c r="I2461" s="2" t="s">
        <v>75</v>
      </c>
      <c r="J2461" s="2" t="s">
        <v>200</v>
      </c>
      <c r="K2461" s="2" t="s">
        <v>77</v>
      </c>
      <c r="L2461" s="2" t="s">
        <v>145</v>
      </c>
      <c r="M2461" s="2" t="s">
        <v>146</v>
      </c>
      <c r="N2461" s="2" t="s">
        <v>206</v>
      </c>
      <c r="O2461" s="2" t="s">
        <v>81</v>
      </c>
      <c r="P2461" s="2" t="str">
        <f>"2170561639                    "</f>
        <v xml:space="preserve">2170561639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7.37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3.7</v>
      </c>
      <c r="BJ2461" s="2">
        <v>1.2</v>
      </c>
      <c r="BK2461" s="2">
        <v>4</v>
      </c>
      <c r="BL2461" s="2">
        <v>76.72</v>
      </c>
      <c r="BM2461" s="2">
        <v>10.74</v>
      </c>
      <c r="BN2461" s="2">
        <v>87.46</v>
      </c>
      <c r="BO2461" s="2">
        <v>87.46</v>
      </c>
      <c r="BP2461" s="2"/>
      <c r="BQ2461" s="2" t="s">
        <v>122</v>
      </c>
      <c r="BR2461" s="2" t="s">
        <v>2287</v>
      </c>
      <c r="BS2461" s="3">
        <v>42838</v>
      </c>
      <c r="BT2461" s="4">
        <v>0.39583333333333331</v>
      </c>
      <c r="BU2461" s="2" t="s">
        <v>1760</v>
      </c>
      <c r="BV2461" s="2"/>
      <c r="BW2461" s="2"/>
      <c r="BX2461" s="2"/>
      <c r="BY2461" s="2">
        <v>6067.78</v>
      </c>
      <c r="BZ2461" s="2"/>
      <c r="CA2461" s="2"/>
      <c r="CB2461" s="2"/>
      <c r="CC2461" s="2" t="s">
        <v>146</v>
      </c>
      <c r="CD2461" s="2">
        <v>200</v>
      </c>
      <c r="CE2461" s="2" t="s">
        <v>89</v>
      </c>
      <c r="CF2461" s="5">
        <v>42844</v>
      </c>
      <c r="CG2461" s="2"/>
      <c r="CH2461" s="2"/>
      <c r="CI2461" s="2">
        <v>0</v>
      </c>
      <c r="CJ2461" s="2">
        <v>0</v>
      </c>
      <c r="CK2461" s="2" t="s">
        <v>150</v>
      </c>
      <c r="CL2461" s="2" t="s">
        <v>86</v>
      </c>
      <c r="CM2461" s="2"/>
    </row>
    <row r="2462" spans="1:91">
      <c r="A2462" s="2" t="s">
        <v>71</v>
      </c>
      <c r="B2462" s="2" t="s">
        <v>72</v>
      </c>
      <c r="C2462" s="2" t="s">
        <v>73</v>
      </c>
      <c r="D2462" s="2"/>
      <c r="E2462" s="2" t="str">
        <f>"FES1162540975"</f>
        <v>FES1162540975</v>
      </c>
      <c r="F2462" s="3">
        <v>42828</v>
      </c>
      <c r="G2462" s="2">
        <v>201710</v>
      </c>
      <c r="H2462" s="2" t="s">
        <v>74</v>
      </c>
      <c r="I2462" s="2" t="s">
        <v>75</v>
      </c>
      <c r="J2462" s="2" t="s">
        <v>200</v>
      </c>
      <c r="K2462" s="2" t="s">
        <v>77</v>
      </c>
      <c r="L2462" s="2" t="s">
        <v>231</v>
      </c>
      <c r="M2462" s="2" t="s">
        <v>232</v>
      </c>
      <c r="N2462" s="2" t="s">
        <v>2799</v>
      </c>
      <c r="O2462" s="2" t="s">
        <v>81</v>
      </c>
      <c r="P2462" s="2" t="str">
        <f>"2170560055                    "</f>
        <v xml:space="preserve">2170560055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8.2899999999999991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5</v>
      </c>
      <c r="BJ2462" s="2">
        <v>9.9</v>
      </c>
      <c r="BK2462" s="2">
        <v>10</v>
      </c>
      <c r="BL2462" s="2">
        <v>83.49</v>
      </c>
      <c r="BM2462" s="2">
        <v>11.69</v>
      </c>
      <c r="BN2462" s="2">
        <v>95.18</v>
      </c>
      <c r="BO2462" s="2">
        <v>95.18</v>
      </c>
      <c r="BP2462" s="2"/>
      <c r="BQ2462" s="2"/>
      <c r="BR2462" s="2" t="s">
        <v>204</v>
      </c>
      <c r="BS2462" s="3">
        <v>42829</v>
      </c>
      <c r="BT2462" s="4">
        <v>0.47916666666666669</v>
      </c>
      <c r="BU2462" s="2" t="s">
        <v>2800</v>
      </c>
      <c r="BV2462" s="2" t="s">
        <v>111</v>
      </c>
      <c r="BW2462" s="2"/>
      <c r="BX2462" s="2"/>
      <c r="BY2462" s="2">
        <v>49572</v>
      </c>
      <c r="BZ2462" s="2"/>
      <c r="CA2462" s="2"/>
      <c r="CB2462" s="2"/>
      <c r="CC2462" s="2" t="s">
        <v>232</v>
      </c>
      <c r="CD2462" s="2">
        <v>250</v>
      </c>
      <c r="CE2462" s="2" t="s">
        <v>287</v>
      </c>
      <c r="CF2462" s="5">
        <v>42831</v>
      </c>
      <c r="CG2462" s="2"/>
      <c r="CH2462" s="2"/>
      <c r="CI2462" s="2">
        <v>0</v>
      </c>
      <c r="CJ2462" s="2">
        <v>0</v>
      </c>
      <c r="CK2462" s="2" t="s">
        <v>217</v>
      </c>
      <c r="CL2462" s="2" t="s">
        <v>86</v>
      </c>
      <c r="CM2462" s="2"/>
    </row>
    <row r="2463" spans="1:91">
      <c r="A2463" s="2" t="s">
        <v>71</v>
      </c>
      <c r="B2463" s="2" t="s">
        <v>72</v>
      </c>
      <c r="C2463" s="2" t="s">
        <v>73</v>
      </c>
      <c r="D2463" s="2"/>
      <c r="E2463" s="2" t="str">
        <f>"FES1162542305"</f>
        <v>FES1162542305</v>
      </c>
      <c r="F2463" s="3">
        <v>42832</v>
      </c>
      <c r="G2463" s="2">
        <v>201710</v>
      </c>
      <c r="H2463" s="2" t="s">
        <v>74</v>
      </c>
      <c r="I2463" s="2" t="s">
        <v>75</v>
      </c>
      <c r="J2463" s="2" t="s">
        <v>200</v>
      </c>
      <c r="K2463" s="2" t="s">
        <v>77</v>
      </c>
      <c r="L2463" s="2" t="s">
        <v>139</v>
      </c>
      <c r="M2463" s="2" t="s">
        <v>140</v>
      </c>
      <c r="N2463" s="2" t="s">
        <v>2095</v>
      </c>
      <c r="O2463" s="2" t="s">
        <v>81</v>
      </c>
      <c r="P2463" s="2" t="str">
        <f>"2170561195                    "</f>
        <v xml:space="preserve">2170561195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8.2799999999999994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4</v>
      </c>
      <c r="BJ2463" s="2">
        <v>18.3</v>
      </c>
      <c r="BK2463" s="2">
        <v>19</v>
      </c>
      <c r="BL2463" s="2">
        <v>85.59</v>
      </c>
      <c r="BM2463" s="2">
        <v>11.98</v>
      </c>
      <c r="BN2463" s="2">
        <v>97.57</v>
      </c>
      <c r="BO2463" s="2">
        <v>97.57</v>
      </c>
      <c r="BP2463" s="2"/>
      <c r="BQ2463" s="2" t="s">
        <v>2096</v>
      </c>
      <c r="BR2463" s="2" t="s">
        <v>204</v>
      </c>
      <c r="BS2463" s="3">
        <v>42835</v>
      </c>
      <c r="BT2463" s="4">
        <v>0.40069444444444446</v>
      </c>
      <c r="BU2463" s="2" t="s">
        <v>245</v>
      </c>
      <c r="BV2463" s="2"/>
      <c r="BW2463" s="2"/>
      <c r="BX2463" s="2"/>
      <c r="BY2463" s="2">
        <v>91264</v>
      </c>
      <c r="BZ2463" s="2"/>
      <c r="CA2463" s="2"/>
      <c r="CB2463" s="2"/>
      <c r="CC2463" s="2" t="s">
        <v>140</v>
      </c>
      <c r="CD2463" s="2">
        <v>157</v>
      </c>
      <c r="CE2463" s="2" t="s">
        <v>135</v>
      </c>
      <c r="CF2463" s="5">
        <v>42836</v>
      </c>
      <c r="CG2463" s="2"/>
      <c r="CH2463" s="2"/>
      <c r="CI2463" s="2">
        <v>0</v>
      </c>
      <c r="CJ2463" s="2">
        <v>0</v>
      </c>
      <c r="CK2463" s="2" t="s">
        <v>150</v>
      </c>
      <c r="CL2463" s="2" t="s">
        <v>86</v>
      </c>
      <c r="CM2463" s="2"/>
    </row>
    <row r="2464" spans="1:91">
      <c r="A2464" s="2" t="s">
        <v>71</v>
      </c>
      <c r="B2464" s="2" t="s">
        <v>72</v>
      </c>
      <c r="C2464" s="2" t="s">
        <v>73</v>
      </c>
      <c r="D2464" s="2"/>
      <c r="E2464" s="2" t="str">
        <f>"FES1162541000"</f>
        <v>FES1162541000</v>
      </c>
      <c r="F2464" s="3">
        <v>42828</v>
      </c>
      <c r="G2464" s="2">
        <v>201710</v>
      </c>
      <c r="H2464" s="2" t="s">
        <v>74</v>
      </c>
      <c r="I2464" s="2" t="s">
        <v>75</v>
      </c>
      <c r="J2464" s="2" t="s">
        <v>200</v>
      </c>
      <c r="K2464" s="2" t="s">
        <v>77</v>
      </c>
      <c r="L2464" s="2" t="s">
        <v>145</v>
      </c>
      <c r="M2464" s="2" t="s">
        <v>146</v>
      </c>
      <c r="N2464" s="2" t="s">
        <v>2185</v>
      </c>
      <c r="O2464" s="2" t="s">
        <v>81</v>
      </c>
      <c r="P2464" s="2" t="str">
        <f>"2170558685                    "</f>
        <v xml:space="preserve">2170558685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7.6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3.7</v>
      </c>
      <c r="BJ2464" s="2">
        <v>9</v>
      </c>
      <c r="BK2464" s="2">
        <v>9</v>
      </c>
      <c r="BL2464" s="2">
        <v>76.95</v>
      </c>
      <c r="BM2464" s="2">
        <v>10.77</v>
      </c>
      <c r="BN2464" s="2">
        <v>87.72</v>
      </c>
      <c r="BO2464" s="2">
        <v>87.72</v>
      </c>
      <c r="BP2464" s="2"/>
      <c r="BQ2464" s="2" t="s">
        <v>2186</v>
      </c>
      <c r="BR2464" s="2" t="s">
        <v>204</v>
      </c>
      <c r="BS2464" s="3">
        <v>42829</v>
      </c>
      <c r="BT2464" s="4">
        <v>0.35416666666666669</v>
      </c>
      <c r="BU2464" s="2" t="s">
        <v>2801</v>
      </c>
      <c r="BV2464" s="2" t="s">
        <v>111</v>
      </c>
      <c r="BW2464" s="2"/>
      <c r="BX2464" s="2"/>
      <c r="BY2464" s="2">
        <v>44997.120000000003</v>
      </c>
      <c r="BZ2464" s="2"/>
      <c r="CA2464" s="2" t="s">
        <v>159</v>
      </c>
      <c r="CB2464" s="2"/>
      <c r="CC2464" s="2" t="s">
        <v>146</v>
      </c>
      <c r="CD2464" s="2">
        <v>1</v>
      </c>
      <c r="CE2464" s="2" t="s">
        <v>135</v>
      </c>
      <c r="CF2464" s="5">
        <v>42832</v>
      </c>
      <c r="CG2464" s="2"/>
      <c r="CH2464" s="2"/>
      <c r="CI2464" s="2">
        <v>0</v>
      </c>
      <c r="CJ2464" s="2">
        <v>0</v>
      </c>
      <c r="CK2464" s="2" t="s">
        <v>150</v>
      </c>
      <c r="CL2464" s="2" t="s">
        <v>86</v>
      </c>
      <c r="CM2464" s="2"/>
    </row>
    <row r="2465" spans="1:91">
      <c r="A2465" s="2" t="s">
        <v>71</v>
      </c>
      <c r="B2465" s="2" t="s">
        <v>72</v>
      </c>
      <c r="C2465" s="2" t="s">
        <v>73</v>
      </c>
      <c r="D2465" s="2"/>
      <c r="E2465" s="2" t="str">
        <f>"RFES1162543282"</f>
        <v>RFES1162543282</v>
      </c>
      <c r="F2465" s="3">
        <v>42844</v>
      </c>
      <c r="G2465" s="2">
        <v>201710</v>
      </c>
      <c r="H2465" s="2" t="s">
        <v>358</v>
      </c>
      <c r="I2465" s="2" t="s">
        <v>359</v>
      </c>
      <c r="J2465" s="2" t="s">
        <v>800</v>
      </c>
      <c r="K2465" s="2" t="s">
        <v>77</v>
      </c>
      <c r="L2465" s="2" t="s">
        <v>74</v>
      </c>
      <c r="M2465" s="2" t="s">
        <v>75</v>
      </c>
      <c r="N2465" s="2" t="s">
        <v>76</v>
      </c>
      <c r="O2465" s="2" t="s">
        <v>81</v>
      </c>
      <c r="P2465" s="2" t="str">
        <f>"2170559786                    "</f>
        <v xml:space="preserve">2170559786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8.7799999999999994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3.1</v>
      </c>
      <c r="BJ2465" s="2">
        <v>1.8</v>
      </c>
      <c r="BK2465" s="2">
        <v>4</v>
      </c>
      <c r="BL2465" s="2">
        <v>90.42</v>
      </c>
      <c r="BM2465" s="2">
        <v>12.66</v>
      </c>
      <c r="BN2465" s="2">
        <v>103.08</v>
      </c>
      <c r="BO2465" s="2">
        <v>103.08</v>
      </c>
      <c r="BP2465" s="2"/>
      <c r="BQ2465" s="2" t="s">
        <v>84</v>
      </c>
      <c r="BR2465" s="2" t="s">
        <v>801</v>
      </c>
      <c r="BS2465" s="3">
        <v>42846</v>
      </c>
      <c r="BT2465" s="4">
        <v>0.5</v>
      </c>
      <c r="BU2465" s="2" t="s">
        <v>414</v>
      </c>
      <c r="BV2465" s="2" t="s">
        <v>111</v>
      </c>
      <c r="BW2465" s="2"/>
      <c r="BX2465" s="2"/>
      <c r="BY2465" s="2">
        <v>8950.66</v>
      </c>
      <c r="BZ2465" s="2"/>
      <c r="CA2465" s="2"/>
      <c r="CB2465" s="2"/>
      <c r="CC2465" s="2" t="s">
        <v>75</v>
      </c>
      <c r="CD2465" s="2">
        <v>1600</v>
      </c>
      <c r="CE2465" s="2" t="s">
        <v>89</v>
      </c>
      <c r="CF2465" s="2"/>
      <c r="CG2465" s="2"/>
      <c r="CH2465" s="2"/>
      <c r="CI2465" s="2">
        <v>0</v>
      </c>
      <c r="CJ2465" s="2">
        <v>0</v>
      </c>
      <c r="CK2465" s="2" t="s">
        <v>107</v>
      </c>
      <c r="CL2465" s="2" t="s">
        <v>86</v>
      </c>
      <c r="CM2465" s="2"/>
    </row>
    <row r="2466" spans="1:91">
      <c r="A2466" s="2" t="s">
        <v>71</v>
      </c>
      <c r="B2466" s="2" t="s">
        <v>72</v>
      </c>
      <c r="C2466" s="2" t="s">
        <v>73</v>
      </c>
      <c r="D2466" s="2"/>
      <c r="E2466" s="2" t="str">
        <f>"FES1162542526"</f>
        <v>FES1162542526</v>
      </c>
      <c r="F2466" s="3">
        <v>42844</v>
      </c>
      <c r="G2466" s="2">
        <v>201710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166</v>
      </c>
      <c r="M2466" s="2" t="s">
        <v>167</v>
      </c>
      <c r="N2466" s="2" t="s">
        <v>168</v>
      </c>
      <c r="O2466" s="2" t="s">
        <v>81</v>
      </c>
      <c r="P2466" s="2" t="str">
        <f>"2170560597                    "</f>
        <v xml:space="preserve">2170560597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20.74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88</v>
      </c>
      <c r="BJ2466" s="2">
        <v>47.6</v>
      </c>
      <c r="BK2466" s="2">
        <v>88</v>
      </c>
      <c r="BL2466" s="2">
        <v>206.87</v>
      </c>
      <c r="BM2466" s="2">
        <v>28.96</v>
      </c>
      <c r="BN2466" s="2">
        <v>235.83</v>
      </c>
      <c r="BO2466" s="2">
        <v>235.83</v>
      </c>
      <c r="BP2466" s="2"/>
      <c r="BQ2466" s="2" t="s">
        <v>169</v>
      </c>
      <c r="BR2466" s="2" t="s">
        <v>84</v>
      </c>
      <c r="BS2466" s="3">
        <v>42845</v>
      </c>
      <c r="BT2466" s="4">
        <v>0.41666666666666669</v>
      </c>
      <c r="BU2466" s="2" t="s">
        <v>170</v>
      </c>
      <c r="BV2466" s="2" t="s">
        <v>111</v>
      </c>
      <c r="BW2466" s="2"/>
      <c r="BX2466" s="2"/>
      <c r="BY2466" s="2">
        <v>237888</v>
      </c>
      <c r="BZ2466" s="2"/>
      <c r="CA2466" s="2"/>
      <c r="CB2466" s="2"/>
      <c r="CC2466" s="2" t="s">
        <v>167</v>
      </c>
      <c r="CD2466" s="2">
        <v>2094</v>
      </c>
      <c r="CE2466" s="2" t="s">
        <v>89</v>
      </c>
      <c r="CF2466" s="5">
        <v>42846</v>
      </c>
      <c r="CG2466" s="2"/>
      <c r="CH2466" s="2"/>
      <c r="CI2466" s="2">
        <v>0</v>
      </c>
      <c r="CJ2466" s="2">
        <v>0</v>
      </c>
      <c r="CK2466" s="2" t="s">
        <v>98</v>
      </c>
      <c r="CL2466" s="2" t="s">
        <v>86</v>
      </c>
      <c r="CM2466" s="2"/>
    </row>
    <row r="2467" spans="1:91">
      <c r="A2467" s="2" t="s">
        <v>71</v>
      </c>
      <c r="B2467" s="2" t="s">
        <v>72</v>
      </c>
      <c r="C2467" s="2" t="s">
        <v>73</v>
      </c>
      <c r="D2467" s="2"/>
      <c r="E2467" s="2" t="str">
        <f>"FES1162544168"</f>
        <v>FES1162544168</v>
      </c>
      <c r="F2467" s="3">
        <v>42844</v>
      </c>
      <c r="G2467" s="2">
        <v>201710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139</v>
      </c>
      <c r="M2467" s="2" t="s">
        <v>140</v>
      </c>
      <c r="N2467" s="2" t="s">
        <v>997</v>
      </c>
      <c r="O2467" s="2" t="s">
        <v>81</v>
      </c>
      <c r="P2467" s="2" t="str">
        <f>"2170561938                    "</f>
        <v xml:space="preserve">2170561938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7.37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6</v>
      </c>
      <c r="BJ2467" s="2">
        <v>1.1000000000000001</v>
      </c>
      <c r="BK2467" s="2">
        <v>6</v>
      </c>
      <c r="BL2467" s="2">
        <v>76.72</v>
      </c>
      <c r="BM2467" s="2">
        <v>10.74</v>
      </c>
      <c r="BN2467" s="2">
        <v>87.46</v>
      </c>
      <c r="BO2467" s="2">
        <v>87.46</v>
      </c>
      <c r="BP2467" s="2"/>
      <c r="BQ2467" s="2"/>
      <c r="BR2467" s="2" t="s">
        <v>84</v>
      </c>
      <c r="BS2467" s="3">
        <v>42845</v>
      </c>
      <c r="BT2467" s="4">
        <v>0.41666666666666669</v>
      </c>
      <c r="BU2467" s="2" t="s">
        <v>2802</v>
      </c>
      <c r="BV2467" s="2"/>
      <c r="BW2467" s="2"/>
      <c r="BX2467" s="2"/>
      <c r="BY2467" s="2">
        <v>5700</v>
      </c>
      <c r="BZ2467" s="2"/>
      <c r="CA2467" s="2" t="s">
        <v>159</v>
      </c>
      <c r="CB2467" s="2"/>
      <c r="CC2467" s="2" t="s">
        <v>140</v>
      </c>
      <c r="CD2467" s="2">
        <v>157</v>
      </c>
      <c r="CE2467" s="2" t="s">
        <v>172</v>
      </c>
      <c r="CF2467" s="5">
        <v>42849</v>
      </c>
      <c r="CG2467" s="2"/>
      <c r="CH2467" s="2"/>
      <c r="CI2467" s="2">
        <v>0</v>
      </c>
      <c r="CJ2467" s="2">
        <v>0</v>
      </c>
      <c r="CK2467" s="2" t="s">
        <v>150</v>
      </c>
      <c r="CL2467" s="2" t="s">
        <v>86</v>
      </c>
      <c r="CM2467" s="2"/>
    </row>
    <row r="2468" spans="1:91">
      <c r="A2468" s="2" t="s">
        <v>2231</v>
      </c>
      <c r="B2468" s="2" t="s">
        <v>72</v>
      </c>
      <c r="C2468" s="2" t="s">
        <v>73</v>
      </c>
      <c r="D2468" s="2"/>
      <c r="E2468" s="2" t="str">
        <f>"029907752295"</f>
        <v>029907752295</v>
      </c>
      <c r="F2468" s="3">
        <v>42844</v>
      </c>
      <c r="G2468" s="2">
        <v>201710</v>
      </c>
      <c r="H2468" s="2" t="s">
        <v>180</v>
      </c>
      <c r="I2468" s="2" t="s">
        <v>181</v>
      </c>
      <c r="J2468" s="2" t="s">
        <v>2803</v>
      </c>
      <c r="K2468" s="2" t="s">
        <v>77</v>
      </c>
      <c r="L2468" s="2" t="s">
        <v>2804</v>
      </c>
      <c r="M2468" s="2" t="s">
        <v>2805</v>
      </c>
      <c r="N2468" s="2" t="s">
        <v>2806</v>
      </c>
      <c r="O2468" s="2" t="s">
        <v>115</v>
      </c>
      <c r="P2468" s="2" t="str">
        <f>"                              "</f>
        <v xml:space="preserve">          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8.31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0.7</v>
      </c>
      <c r="BJ2468" s="2">
        <v>0.2</v>
      </c>
      <c r="BK2468" s="2">
        <v>1</v>
      </c>
      <c r="BL2468" s="2">
        <v>80.849999999999994</v>
      </c>
      <c r="BM2468" s="2">
        <v>11.32</v>
      </c>
      <c r="BN2468" s="2">
        <v>92.17</v>
      </c>
      <c r="BO2468" s="2">
        <v>92.17</v>
      </c>
      <c r="BP2468" s="2"/>
      <c r="BQ2468" s="2"/>
      <c r="BR2468" s="2" t="s">
        <v>2807</v>
      </c>
      <c r="BS2468" s="3">
        <v>42845</v>
      </c>
      <c r="BT2468" s="4">
        <v>0.60416666666666663</v>
      </c>
      <c r="BU2468" s="2" t="s">
        <v>2808</v>
      </c>
      <c r="BV2468" s="2" t="s">
        <v>86</v>
      </c>
      <c r="BW2468" s="2" t="s">
        <v>96</v>
      </c>
      <c r="BX2468" s="2" t="s">
        <v>939</v>
      </c>
      <c r="BY2468" s="2">
        <v>1200</v>
      </c>
      <c r="BZ2468" s="2" t="s">
        <v>27</v>
      </c>
      <c r="CA2468" s="2"/>
      <c r="CB2468" s="2"/>
      <c r="CC2468" s="2" t="s">
        <v>2805</v>
      </c>
      <c r="CD2468" s="2">
        <v>1779</v>
      </c>
      <c r="CE2468" s="2" t="s">
        <v>89</v>
      </c>
      <c r="CF2468" s="5">
        <v>42846</v>
      </c>
      <c r="CG2468" s="2"/>
      <c r="CH2468" s="2"/>
      <c r="CI2468" s="2">
        <v>1</v>
      </c>
      <c r="CJ2468" s="2">
        <v>1</v>
      </c>
      <c r="CK2468" s="2">
        <v>23</v>
      </c>
      <c r="CL2468" s="2" t="s">
        <v>86</v>
      </c>
      <c r="CM2468" s="2"/>
    </row>
    <row r="2469" spans="1:91">
      <c r="A2469" s="2" t="s">
        <v>71</v>
      </c>
      <c r="B2469" s="2" t="s">
        <v>72</v>
      </c>
      <c r="C2469" s="2" t="s">
        <v>73</v>
      </c>
      <c r="D2469" s="2"/>
      <c r="E2469" s="2" t="str">
        <f>"FES1162543731"</f>
        <v>FES1162543731</v>
      </c>
      <c r="F2469" s="3">
        <v>42838</v>
      </c>
      <c r="G2469" s="2">
        <v>201710</v>
      </c>
      <c r="H2469" s="2" t="s">
        <v>74</v>
      </c>
      <c r="I2469" s="2" t="s">
        <v>75</v>
      </c>
      <c r="J2469" s="2" t="s">
        <v>200</v>
      </c>
      <c r="K2469" s="2" t="s">
        <v>77</v>
      </c>
      <c r="L2469" s="2" t="s">
        <v>99</v>
      </c>
      <c r="M2469" s="2" t="s">
        <v>100</v>
      </c>
      <c r="N2469" s="2" t="s">
        <v>2738</v>
      </c>
      <c r="O2469" s="2" t="s">
        <v>255</v>
      </c>
      <c r="P2469" s="2" t="str">
        <f>"2170562379                    "</f>
        <v xml:space="preserve">2170562379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351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44.48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1</v>
      </c>
      <c r="BJ2469" s="2">
        <v>0.2</v>
      </c>
      <c r="BK2469" s="2">
        <v>1</v>
      </c>
      <c r="BL2469" s="2">
        <v>432.92</v>
      </c>
      <c r="BM2469" s="2">
        <v>60.61</v>
      </c>
      <c r="BN2469" s="2">
        <v>493.53</v>
      </c>
      <c r="BO2469" s="2">
        <v>493.53</v>
      </c>
      <c r="BP2469" s="2" t="s">
        <v>2809</v>
      </c>
      <c r="BQ2469" s="2" t="s">
        <v>2810</v>
      </c>
      <c r="BR2469" s="2" t="s">
        <v>2287</v>
      </c>
      <c r="BS2469" s="3">
        <v>42838</v>
      </c>
      <c r="BT2469" s="4">
        <v>0.83333333333333337</v>
      </c>
      <c r="BU2469" s="2" t="s">
        <v>2811</v>
      </c>
      <c r="BV2469" s="2" t="s">
        <v>111</v>
      </c>
      <c r="BW2469" s="2"/>
      <c r="BX2469" s="2"/>
      <c r="BY2469" s="2">
        <v>1200</v>
      </c>
      <c r="BZ2469" s="2" t="s">
        <v>259</v>
      </c>
      <c r="CA2469" s="2"/>
      <c r="CB2469" s="2"/>
      <c r="CC2469" s="2" t="s">
        <v>100</v>
      </c>
      <c r="CD2469" s="2">
        <v>6045</v>
      </c>
      <c r="CE2469" s="2" t="s">
        <v>118</v>
      </c>
      <c r="CF2469" s="5">
        <v>42844</v>
      </c>
      <c r="CG2469" s="2"/>
      <c r="CH2469" s="2"/>
      <c r="CI2469" s="2">
        <v>0</v>
      </c>
      <c r="CJ2469" s="2">
        <v>0</v>
      </c>
      <c r="CK2469" s="2">
        <v>21</v>
      </c>
      <c r="CL2469" s="2" t="s">
        <v>86</v>
      </c>
      <c r="CM2469" s="2"/>
    </row>
    <row r="2470" spans="1:91">
      <c r="A2470" s="2" t="s">
        <v>71</v>
      </c>
      <c r="B2470" s="2" t="s">
        <v>72</v>
      </c>
      <c r="C2470" s="2" t="s">
        <v>73</v>
      </c>
      <c r="D2470" s="2"/>
      <c r="E2470" s="2" t="str">
        <f>"FES1162544109"</f>
        <v>FES1162544109</v>
      </c>
      <c r="F2470" s="3">
        <v>42844</v>
      </c>
      <c r="G2470" s="2">
        <v>201710</v>
      </c>
      <c r="H2470" s="2" t="s">
        <v>74</v>
      </c>
      <c r="I2470" s="2" t="s">
        <v>75</v>
      </c>
      <c r="J2470" s="2" t="s">
        <v>76</v>
      </c>
      <c r="K2470" s="2" t="s">
        <v>77</v>
      </c>
      <c r="L2470" s="2" t="s">
        <v>496</v>
      </c>
      <c r="M2470" s="2" t="s">
        <v>497</v>
      </c>
      <c r="N2470" s="2" t="s">
        <v>2071</v>
      </c>
      <c r="O2470" s="2" t="s">
        <v>115</v>
      </c>
      <c r="P2470" s="2" t="str">
        <f>"2170553308                    "</f>
        <v xml:space="preserve">2170553308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3.35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0.9</v>
      </c>
      <c r="BJ2470" s="2">
        <v>1.6</v>
      </c>
      <c r="BK2470" s="2">
        <v>2</v>
      </c>
      <c r="BL2470" s="2">
        <v>32.6</v>
      </c>
      <c r="BM2470" s="2">
        <v>4.5599999999999996</v>
      </c>
      <c r="BN2470" s="2">
        <v>37.159999999999997</v>
      </c>
      <c r="BO2470" s="2">
        <v>37.159999999999997</v>
      </c>
      <c r="BP2470" s="2"/>
      <c r="BQ2470" s="2" t="s">
        <v>2072</v>
      </c>
      <c r="BR2470" s="2" t="s">
        <v>84</v>
      </c>
      <c r="BS2470" s="3">
        <v>42845</v>
      </c>
      <c r="BT2470" s="4">
        <v>0.3923611111111111</v>
      </c>
      <c r="BU2470" s="2" t="s">
        <v>266</v>
      </c>
      <c r="BV2470" s="2" t="s">
        <v>111</v>
      </c>
      <c r="BW2470" s="2"/>
      <c r="BX2470" s="2"/>
      <c r="BY2470" s="2">
        <v>7865.79</v>
      </c>
      <c r="BZ2470" s="2"/>
      <c r="CA2470" s="2"/>
      <c r="CB2470" s="2"/>
      <c r="CC2470" s="2" t="s">
        <v>497</v>
      </c>
      <c r="CD2470" s="2">
        <v>1559</v>
      </c>
      <c r="CE2470" s="2" t="s">
        <v>118</v>
      </c>
      <c r="CF2470" s="5">
        <v>42846</v>
      </c>
      <c r="CG2470" s="2"/>
      <c r="CH2470" s="2"/>
      <c r="CI2470" s="2">
        <v>1</v>
      </c>
      <c r="CJ2470" s="2">
        <v>1</v>
      </c>
      <c r="CK2470" s="2">
        <v>22</v>
      </c>
      <c r="CL2470" s="2" t="s">
        <v>86</v>
      </c>
      <c r="CM2470" s="2"/>
    </row>
    <row r="2471" spans="1:91">
      <c r="A2471" s="2" t="s">
        <v>71</v>
      </c>
      <c r="B2471" s="2" t="s">
        <v>72</v>
      </c>
      <c r="C2471" s="2" t="s">
        <v>73</v>
      </c>
      <c r="D2471" s="2"/>
      <c r="E2471" s="2" t="str">
        <f>"FES1162544259"</f>
        <v>FES1162544259</v>
      </c>
      <c r="F2471" s="3">
        <v>42844</v>
      </c>
      <c r="G2471" s="2">
        <v>201710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131</v>
      </c>
      <c r="M2471" s="2" t="s">
        <v>132</v>
      </c>
      <c r="N2471" s="2" t="s">
        <v>2812</v>
      </c>
      <c r="O2471" s="2" t="s">
        <v>115</v>
      </c>
      <c r="P2471" s="2" t="str">
        <f>"2170562857                    "</f>
        <v xml:space="preserve">2170562857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4.29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1.5</v>
      </c>
      <c r="BJ2471" s="2">
        <v>2</v>
      </c>
      <c r="BK2471" s="2">
        <v>2</v>
      </c>
      <c r="BL2471" s="2">
        <v>41.73</v>
      </c>
      <c r="BM2471" s="2">
        <v>5.84</v>
      </c>
      <c r="BN2471" s="2">
        <v>47.57</v>
      </c>
      <c r="BO2471" s="2">
        <v>47.57</v>
      </c>
      <c r="BP2471" s="2"/>
      <c r="BQ2471" s="2"/>
      <c r="BR2471" s="2" t="s">
        <v>84</v>
      </c>
      <c r="BS2471" s="3">
        <v>42845</v>
      </c>
      <c r="BT2471" s="4">
        <v>0.41666666666666669</v>
      </c>
      <c r="BU2471" s="2" t="s">
        <v>2813</v>
      </c>
      <c r="BV2471" s="2" t="s">
        <v>111</v>
      </c>
      <c r="BW2471" s="2"/>
      <c r="BX2471" s="2"/>
      <c r="BY2471" s="2">
        <v>9855.2999999999993</v>
      </c>
      <c r="BZ2471" s="2"/>
      <c r="CA2471" s="2"/>
      <c r="CB2471" s="2"/>
      <c r="CC2471" s="2" t="s">
        <v>132</v>
      </c>
      <c r="CD2471" s="2">
        <v>7460</v>
      </c>
      <c r="CE2471" s="2" t="s">
        <v>118</v>
      </c>
      <c r="CF2471" s="5">
        <v>42846</v>
      </c>
      <c r="CG2471" s="2"/>
      <c r="CH2471" s="2"/>
      <c r="CI2471" s="2">
        <v>1</v>
      </c>
      <c r="CJ2471" s="2">
        <v>1</v>
      </c>
      <c r="CK2471" s="2">
        <v>21</v>
      </c>
      <c r="CL2471" s="2" t="s">
        <v>86</v>
      </c>
      <c r="CM2471" s="2"/>
    </row>
    <row r="2472" spans="1:91">
      <c r="A2472" s="2" t="s">
        <v>71</v>
      </c>
      <c r="B2472" s="2" t="s">
        <v>72</v>
      </c>
      <c r="C2472" s="2" t="s">
        <v>73</v>
      </c>
      <c r="D2472" s="2"/>
      <c r="E2472" s="2" t="str">
        <f>"FES1162544285"</f>
        <v>FES1162544285</v>
      </c>
      <c r="F2472" s="3">
        <v>42844</v>
      </c>
      <c r="G2472" s="2">
        <v>201710</v>
      </c>
      <c r="H2472" s="2" t="s">
        <v>74</v>
      </c>
      <c r="I2472" s="2" t="s">
        <v>75</v>
      </c>
      <c r="J2472" s="2" t="s">
        <v>76</v>
      </c>
      <c r="K2472" s="2" t="s">
        <v>77</v>
      </c>
      <c r="L2472" s="2" t="s">
        <v>516</v>
      </c>
      <c r="M2472" s="2" t="s">
        <v>517</v>
      </c>
      <c r="N2472" s="2" t="s">
        <v>1911</v>
      </c>
      <c r="O2472" s="2" t="s">
        <v>115</v>
      </c>
      <c r="P2472" s="2" t="str">
        <f>"2170562898                    "</f>
        <v xml:space="preserve">2170562898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3.35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1.5</v>
      </c>
      <c r="BJ2472" s="2">
        <v>2.1</v>
      </c>
      <c r="BK2472" s="2">
        <v>3</v>
      </c>
      <c r="BL2472" s="2">
        <v>32.6</v>
      </c>
      <c r="BM2472" s="2">
        <v>4.5599999999999996</v>
      </c>
      <c r="BN2472" s="2">
        <v>37.159999999999997</v>
      </c>
      <c r="BO2472" s="2">
        <v>37.159999999999997</v>
      </c>
      <c r="BP2472" s="2"/>
      <c r="BQ2472" s="2" t="s">
        <v>1912</v>
      </c>
      <c r="BR2472" s="2" t="s">
        <v>84</v>
      </c>
      <c r="BS2472" s="3">
        <v>42845</v>
      </c>
      <c r="BT2472" s="4">
        <v>0.35555555555555557</v>
      </c>
      <c r="BU2472" s="2" t="s">
        <v>891</v>
      </c>
      <c r="BV2472" s="2" t="s">
        <v>111</v>
      </c>
      <c r="BW2472" s="2"/>
      <c r="BX2472" s="2"/>
      <c r="BY2472" s="2">
        <v>10706.32</v>
      </c>
      <c r="BZ2472" s="2"/>
      <c r="CA2472" s="2" t="s">
        <v>2639</v>
      </c>
      <c r="CB2472" s="2"/>
      <c r="CC2472" s="2" t="s">
        <v>517</v>
      </c>
      <c r="CD2472" s="2">
        <v>1459</v>
      </c>
      <c r="CE2472" s="2" t="s">
        <v>118</v>
      </c>
      <c r="CF2472" s="5">
        <v>42845</v>
      </c>
      <c r="CG2472" s="2"/>
      <c r="CH2472" s="2"/>
      <c r="CI2472" s="2">
        <v>1</v>
      </c>
      <c r="CJ2472" s="2">
        <v>1</v>
      </c>
      <c r="CK2472" s="2">
        <v>22</v>
      </c>
      <c r="CL2472" s="2" t="s">
        <v>86</v>
      </c>
      <c r="CM2472" s="2"/>
    </row>
    <row r="2473" spans="1:91">
      <c r="A2473" s="2" t="s">
        <v>71</v>
      </c>
      <c r="B2473" s="2" t="s">
        <v>72</v>
      </c>
      <c r="C2473" s="2" t="s">
        <v>73</v>
      </c>
      <c r="D2473" s="2"/>
      <c r="E2473" s="2" t="str">
        <f>"FES1162544130"</f>
        <v>FES1162544130</v>
      </c>
      <c r="F2473" s="3">
        <v>42844</v>
      </c>
      <c r="G2473" s="2">
        <v>201710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234</v>
      </c>
      <c r="M2473" s="2" t="s">
        <v>235</v>
      </c>
      <c r="N2473" s="2" t="s">
        <v>236</v>
      </c>
      <c r="O2473" s="2" t="s">
        <v>115</v>
      </c>
      <c r="P2473" s="2" t="str">
        <f>"2170560844                    "</f>
        <v xml:space="preserve">2170560844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7.5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0.7</v>
      </c>
      <c r="BJ2473" s="2">
        <v>3.1</v>
      </c>
      <c r="BK2473" s="2">
        <v>3.5</v>
      </c>
      <c r="BL2473" s="2">
        <v>73.02</v>
      </c>
      <c r="BM2473" s="2">
        <v>10.220000000000001</v>
      </c>
      <c r="BN2473" s="2">
        <v>83.24</v>
      </c>
      <c r="BO2473" s="2">
        <v>83.24</v>
      </c>
      <c r="BP2473" s="2"/>
      <c r="BQ2473" s="2" t="s">
        <v>285</v>
      </c>
      <c r="BR2473" s="2" t="s">
        <v>84</v>
      </c>
      <c r="BS2473" s="3">
        <v>42845</v>
      </c>
      <c r="BT2473" s="4">
        <v>0.33333333333333331</v>
      </c>
      <c r="BU2473" s="2" t="s">
        <v>186</v>
      </c>
      <c r="BV2473" s="2" t="s">
        <v>111</v>
      </c>
      <c r="BW2473" s="2"/>
      <c r="BX2473" s="2"/>
      <c r="BY2473" s="2">
        <v>15691.36</v>
      </c>
      <c r="BZ2473" s="2"/>
      <c r="CA2473" s="2" t="s">
        <v>159</v>
      </c>
      <c r="CB2473" s="2"/>
      <c r="CC2473" s="2" t="s">
        <v>235</v>
      </c>
      <c r="CD2473" s="2">
        <v>6220</v>
      </c>
      <c r="CE2473" s="2" t="s">
        <v>118</v>
      </c>
      <c r="CF2473" s="5">
        <v>42846</v>
      </c>
      <c r="CG2473" s="2"/>
      <c r="CH2473" s="2"/>
      <c r="CI2473" s="2">
        <v>1</v>
      </c>
      <c r="CJ2473" s="2">
        <v>1</v>
      </c>
      <c r="CK2473" s="2">
        <v>21</v>
      </c>
      <c r="CL2473" s="2" t="s">
        <v>86</v>
      </c>
      <c r="CM2473" s="2"/>
    </row>
    <row r="2474" spans="1:91">
      <c r="A2474" s="2" t="s">
        <v>71</v>
      </c>
      <c r="B2474" s="2" t="s">
        <v>72</v>
      </c>
      <c r="C2474" s="2" t="s">
        <v>73</v>
      </c>
      <c r="D2474" s="2"/>
      <c r="E2474" s="2" t="str">
        <f>"FES1162544188"</f>
        <v>FES1162544188</v>
      </c>
      <c r="F2474" s="3">
        <v>42844</v>
      </c>
      <c r="G2474" s="2">
        <v>201710</v>
      </c>
      <c r="H2474" s="2" t="s">
        <v>74</v>
      </c>
      <c r="I2474" s="2" t="s">
        <v>75</v>
      </c>
      <c r="J2474" s="2" t="s">
        <v>76</v>
      </c>
      <c r="K2474" s="2" t="s">
        <v>77</v>
      </c>
      <c r="L2474" s="2" t="s">
        <v>294</v>
      </c>
      <c r="M2474" s="2" t="s">
        <v>295</v>
      </c>
      <c r="N2474" s="2" t="s">
        <v>416</v>
      </c>
      <c r="O2474" s="2" t="s">
        <v>115</v>
      </c>
      <c r="P2474" s="2" t="str">
        <f>"2170562778                    "</f>
        <v xml:space="preserve">2170562778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4.29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1.5</v>
      </c>
      <c r="BJ2474" s="2">
        <v>1.6</v>
      </c>
      <c r="BK2474" s="2">
        <v>2</v>
      </c>
      <c r="BL2474" s="2">
        <v>41.73</v>
      </c>
      <c r="BM2474" s="2">
        <v>5.84</v>
      </c>
      <c r="BN2474" s="2">
        <v>47.57</v>
      </c>
      <c r="BO2474" s="2">
        <v>47.57</v>
      </c>
      <c r="BP2474" s="2"/>
      <c r="BQ2474" s="2" t="s">
        <v>417</v>
      </c>
      <c r="BR2474" s="2" t="s">
        <v>84</v>
      </c>
      <c r="BS2474" s="3">
        <v>42845</v>
      </c>
      <c r="BT2474" s="4">
        <v>0.3125</v>
      </c>
      <c r="BU2474" s="2" t="s">
        <v>418</v>
      </c>
      <c r="BV2474" s="2" t="s">
        <v>111</v>
      </c>
      <c r="BW2474" s="2"/>
      <c r="BX2474" s="2"/>
      <c r="BY2474" s="2">
        <v>8155.39</v>
      </c>
      <c r="BZ2474" s="2"/>
      <c r="CA2474" s="2"/>
      <c r="CB2474" s="2"/>
      <c r="CC2474" s="2" t="s">
        <v>295</v>
      </c>
      <c r="CD2474" s="2">
        <v>3610</v>
      </c>
      <c r="CE2474" s="2" t="s">
        <v>118</v>
      </c>
      <c r="CF2474" s="5">
        <v>42846</v>
      </c>
      <c r="CG2474" s="2"/>
      <c r="CH2474" s="2"/>
      <c r="CI2474" s="2">
        <v>1</v>
      </c>
      <c r="CJ2474" s="2">
        <v>1</v>
      </c>
      <c r="CK2474" s="2">
        <v>21</v>
      </c>
      <c r="CL2474" s="2" t="s">
        <v>86</v>
      </c>
      <c r="CM2474" s="2"/>
    </row>
    <row r="2475" spans="1:91">
      <c r="A2475" s="2" t="s">
        <v>71</v>
      </c>
      <c r="B2475" s="2" t="s">
        <v>72</v>
      </c>
      <c r="C2475" s="2" t="s">
        <v>73</v>
      </c>
      <c r="D2475" s="2"/>
      <c r="E2475" s="2" t="str">
        <f>"FES1162544094"</f>
        <v>FES1162544094</v>
      </c>
      <c r="F2475" s="3">
        <v>42844</v>
      </c>
      <c r="G2475" s="2">
        <v>201710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74</v>
      </c>
      <c r="M2475" s="2" t="s">
        <v>75</v>
      </c>
      <c r="N2475" s="2" t="s">
        <v>1855</v>
      </c>
      <c r="O2475" s="2" t="s">
        <v>115</v>
      </c>
      <c r="P2475" s="2" t="str">
        <f>"2170562699                    "</f>
        <v xml:space="preserve">2170562699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3.35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0.8</v>
      </c>
      <c r="BJ2475" s="2">
        <v>2.2000000000000002</v>
      </c>
      <c r="BK2475" s="2">
        <v>3</v>
      </c>
      <c r="BL2475" s="2">
        <v>32.6</v>
      </c>
      <c r="BM2475" s="2">
        <v>4.5599999999999996</v>
      </c>
      <c r="BN2475" s="2">
        <v>37.159999999999997</v>
      </c>
      <c r="BO2475" s="2">
        <v>37.159999999999997</v>
      </c>
      <c r="BP2475" s="2"/>
      <c r="BQ2475" s="2" t="s">
        <v>1856</v>
      </c>
      <c r="BR2475" s="2" t="s">
        <v>84</v>
      </c>
      <c r="BS2475" s="3">
        <v>42845</v>
      </c>
      <c r="BT2475" s="4">
        <v>0.41666666666666669</v>
      </c>
      <c r="BU2475" s="2" t="s">
        <v>2814</v>
      </c>
      <c r="BV2475" s="2" t="s">
        <v>111</v>
      </c>
      <c r="BW2475" s="2"/>
      <c r="BX2475" s="2"/>
      <c r="BY2475" s="2">
        <v>10898.58</v>
      </c>
      <c r="BZ2475" s="2"/>
      <c r="CA2475" s="2"/>
      <c r="CB2475" s="2"/>
      <c r="CC2475" s="2" t="s">
        <v>75</v>
      </c>
      <c r="CD2475" s="2">
        <v>1601</v>
      </c>
      <c r="CE2475" s="2" t="s">
        <v>118</v>
      </c>
      <c r="CF2475" s="5">
        <v>42846</v>
      </c>
      <c r="CG2475" s="2"/>
      <c r="CH2475" s="2"/>
      <c r="CI2475" s="2">
        <v>1</v>
      </c>
      <c r="CJ2475" s="2">
        <v>1</v>
      </c>
      <c r="CK2475" s="2">
        <v>22</v>
      </c>
      <c r="CL2475" s="2" t="s">
        <v>86</v>
      </c>
      <c r="CM2475" s="2"/>
    </row>
    <row r="2476" spans="1:91">
      <c r="A2476" s="2" t="s">
        <v>71</v>
      </c>
      <c r="B2476" s="2" t="s">
        <v>72</v>
      </c>
      <c r="C2476" s="2" t="s">
        <v>73</v>
      </c>
      <c r="D2476" s="2"/>
      <c r="E2476" s="2" t="str">
        <f>"FES1162544186"</f>
        <v>FES1162544186</v>
      </c>
      <c r="F2476" s="3">
        <v>42844</v>
      </c>
      <c r="G2476" s="2">
        <v>201710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131</v>
      </c>
      <c r="M2476" s="2" t="s">
        <v>132</v>
      </c>
      <c r="N2476" s="2" t="s">
        <v>2815</v>
      </c>
      <c r="O2476" s="2" t="s">
        <v>115</v>
      </c>
      <c r="P2476" s="2" t="str">
        <f>"2170562776                    "</f>
        <v xml:space="preserve">2170562776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4.29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1.8</v>
      </c>
      <c r="BJ2476" s="2">
        <v>1.4</v>
      </c>
      <c r="BK2476" s="2">
        <v>2</v>
      </c>
      <c r="BL2476" s="2">
        <v>41.73</v>
      </c>
      <c r="BM2476" s="2">
        <v>5.84</v>
      </c>
      <c r="BN2476" s="2">
        <v>47.57</v>
      </c>
      <c r="BO2476" s="2">
        <v>47.57</v>
      </c>
      <c r="BP2476" s="2"/>
      <c r="BQ2476" s="2" t="s">
        <v>129</v>
      </c>
      <c r="BR2476" s="2" t="s">
        <v>84</v>
      </c>
      <c r="BS2476" s="3">
        <v>42845</v>
      </c>
      <c r="BT2476" s="4">
        <v>0.38194444444444442</v>
      </c>
      <c r="BU2476" s="2" t="s">
        <v>245</v>
      </c>
      <c r="BV2476" s="2" t="s">
        <v>111</v>
      </c>
      <c r="BW2476" s="2"/>
      <c r="BX2476" s="2"/>
      <c r="BY2476" s="2">
        <v>6984.64</v>
      </c>
      <c r="BZ2476" s="2"/>
      <c r="CA2476" s="2"/>
      <c r="CB2476" s="2"/>
      <c r="CC2476" s="2" t="s">
        <v>132</v>
      </c>
      <c r="CD2476" s="2">
        <v>8001</v>
      </c>
      <c r="CE2476" s="2" t="s">
        <v>118</v>
      </c>
      <c r="CF2476" s="5">
        <v>42846</v>
      </c>
      <c r="CG2476" s="2"/>
      <c r="CH2476" s="2"/>
      <c r="CI2476" s="2">
        <v>1</v>
      </c>
      <c r="CJ2476" s="2">
        <v>1</v>
      </c>
      <c r="CK2476" s="2">
        <v>21</v>
      </c>
      <c r="CL2476" s="2" t="s">
        <v>86</v>
      </c>
      <c r="CM2476" s="2"/>
    </row>
    <row r="2477" spans="1:91">
      <c r="A2477" s="2" t="s">
        <v>71</v>
      </c>
      <c r="B2477" s="2" t="s">
        <v>72</v>
      </c>
      <c r="C2477" s="2" t="s">
        <v>73</v>
      </c>
      <c r="D2477" s="2"/>
      <c r="E2477" s="2" t="str">
        <f>"FES1162543986"</f>
        <v>FES1162543986</v>
      </c>
      <c r="F2477" s="3">
        <v>42844</v>
      </c>
      <c r="G2477" s="2">
        <v>201710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91</v>
      </c>
      <c r="M2477" s="2" t="s">
        <v>92</v>
      </c>
      <c r="N2477" s="2" t="s">
        <v>577</v>
      </c>
      <c r="O2477" s="2" t="s">
        <v>115</v>
      </c>
      <c r="P2477" s="2" t="str">
        <f>"2170562576                    "</f>
        <v xml:space="preserve">2170562576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3.35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2.4</v>
      </c>
      <c r="BJ2477" s="2">
        <v>1.6</v>
      </c>
      <c r="BK2477" s="2">
        <v>3</v>
      </c>
      <c r="BL2477" s="2">
        <v>32.6</v>
      </c>
      <c r="BM2477" s="2">
        <v>4.5599999999999996</v>
      </c>
      <c r="BN2477" s="2">
        <v>37.159999999999997</v>
      </c>
      <c r="BO2477" s="2">
        <v>37.159999999999997</v>
      </c>
      <c r="BP2477" s="2"/>
      <c r="BQ2477" s="2" t="s">
        <v>578</v>
      </c>
      <c r="BR2477" s="2" t="s">
        <v>84</v>
      </c>
      <c r="BS2477" s="3">
        <v>42845</v>
      </c>
      <c r="BT2477" s="4">
        <v>0.41666666666666669</v>
      </c>
      <c r="BU2477" s="2" t="s">
        <v>2816</v>
      </c>
      <c r="BV2477" s="2" t="s">
        <v>111</v>
      </c>
      <c r="BW2477" s="2"/>
      <c r="BX2477" s="2"/>
      <c r="BY2477" s="2">
        <v>7829.96</v>
      </c>
      <c r="BZ2477" s="2"/>
      <c r="CA2477" s="2"/>
      <c r="CB2477" s="2"/>
      <c r="CC2477" s="2" t="s">
        <v>92</v>
      </c>
      <c r="CD2477" s="2">
        <v>1428</v>
      </c>
      <c r="CE2477" s="2" t="s">
        <v>118</v>
      </c>
      <c r="CF2477" s="5">
        <v>42846</v>
      </c>
      <c r="CG2477" s="2"/>
      <c r="CH2477" s="2"/>
      <c r="CI2477" s="2">
        <v>1</v>
      </c>
      <c r="CJ2477" s="2">
        <v>1</v>
      </c>
      <c r="CK2477" s="2">
        <v>22</v>
      </c>
      <c r="CL2477" s="2" t="s">
        <v>86</v>
      </c>
      <c r="CM2477" s="2"/>
    </row>
    <row r="2478" spans="1:91">
      <c r="A2478" s="2" t="s">
        <v>71</v>
      </c>
      <c r="B2478" s="2" t="s">
        <v>72</v>
      </c>
      <c r="C2478" s="2" t="s">
        <v>73</v>
      </c>
      <c r="D2478" s="2"/>
      <c r="E2478" s="2" t="str">
        <f>"FES1162544416"</f>
        <v>FES1162544416</v>
      </c>
      <c r="F2478" s="3">
        <v>42844</v>
      </c>
      <c r="G2478" s="2">
        <v>201710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131</v>
      </c>
      <c r="M2478" s="2" t="s">
        <v>132</v>
      </c>
      <c r="N2478" s="2" t="s">
        <v>1497</v>
      </c>
      <c r="O2478" s="2" t="s">
        <v>115</v>
      </c>
      <c r="P2478" s="2" t="str">
        <f>"2170563013                    "</f>
        <v xml:space="preserve">2170563013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4.29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</v>
      </c>
      <c r="BJ2478" s="2">
        <v>0.2</v>
      </c>
      <c r="BK2478" s="2">
        <v>1</v>
      </c>
      <c r="BL2478" s="2">
        <v>41.73</v>
      </c>
      <c r="BM2478" s="2">
        <v>5.84</v>
      </c>
      <c r="BN2478" s="2">
        <v>47.57</v>
      </c>
      <c r="BO2478" s="2">
        <v>47.57</v>
      </c>
      <c r="BP2478" s="2"/>
      <c r="BQ2478" s="2" t="s">
        <v>1498</v>
      </c>
      <c r="BR2478" s="2" t="s">
        <v>84</v>
      </c>
      <c r="BS2478" s="3">
        <v>42845</v>
      </c>
      <c r="BT2478" s="4">
        <v>0.37708333333333338</v>
      </c>
      <c r="BU2478" s="2" t="s">
        <v>2817</v>
      </c>
      <c r="BV2478" s="2" t="s">
        <v>111</v>
      </c>
      <c r="BW2478" s="2"/>
      <c r="BX2478" s="2"/>
      <c r="BY2478" s="2">
        <v>1200</v>
      </c>
      <c r="BZ2478" s="2"/>
      <c r="CA2478" s="2"/>
      <c r="CB2478" s="2"/>
      <c r="CC2478" s="2" t="s">
        <v>132</v>
      </c>
      <c r="CD2478" s="2">
        <v>7441</v>
      </c>
      <c r="CE2478" s="2" t="s">
        <v>118</v>
      </c>
      <c r="CF2478" s="5">
        <v>42846</v>
      </c>
      <c r="CG2478" s="2"/>
      <c r="CH2478" s="2"/>
      <c r="CI2478" s="2">
        <v>1</v>
      </c>
      <c r="CJ2478" s="2">
        <v>1</v>
      </c>
      <c r="CK2478" s="2">
        <v>21</v>
      </c>
      <c r="CL2478" s="2" t="s">
        <v>86</v>
      </c>
      <c r="CM2478" s="2"/>
    </row>
    <row r="2479" spans="1:91">
      <c r="A2479" s="2" t="s">
        <v>71</v>
      </c>
      <c r="B2479" s="2" t="s">
        <v>72</v>
      </c>
      <c r="C2479" s="2" t="s">
        <v>73</v>
      </c>
      <c r="D2479" s="2"/>
      <c r="E2479" s="2" t="str">
        <f>"FES1162544414"</f>
        <v>FES1162544414</v>
      </c>
      <c r="F2479" s="3">
        <v>42844</v>
      </c>
      <c r="G2479" s="2">
        <v>201710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131</v>
      </c>
      <c r="M2479" s="2" t="s">
        <v>132</v>
      </c>
      <c r="N2479" s="2" t="s">
        <v>1771</v>
      </c>
      <c r="O2479" s="2" t="s">
        <v>115</v>
      </c>
      <c r="P2479" s="2" t="str">
        <f>"2170562874                    "</f>
        <v xml:space="preserve">2170562874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4.29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1</v>
      </c>
      <c r="BJ2479" s="2">
        <v>0.2</v>
      </c>
      <c r="BK2479" s="2">
        <v>1</v>
      </c>
      <c r="BL2479" s="2">
        <v>41.73</v>
      </c>
      <c r="BM2479" s="2">
        <v>5.84</v>
      </c>
      <c r="BN2479" s="2">
        <v>47.57</v>
      </c>
      <c r="BO2479" s="2">
        <v>47.57</v>
      </c>
      <c r="BP2479" s="2"/>
      <c r="BQ2479" s="2" t="s">
        <v>1772</v>
      </c>
      <c r="BR2479" s="2" t="s">
        <v>84</v>
      </c>
      <c r="BS2479" s="3">
        <v>42845</v>
      </c>
      <c r="BT2479" s="4">
        <v>0.3611111111111111</v>
      </c>
      <c r="BU2479" s="2" t="s">
        <v>2818</v>
      </c>
      <c r="BV2479" s="2" t="s">
        <v>111</v>
      </c>
      <c r="BW2479" s="2"/>
      <c r="BX2479" s="2"/>
      <c r="BY2479" s="2">
        <v>1200</v>
      </c>
      <c r="BZ2479" s="2"/>
      <c r="CA2479" s="2"/>
      <c r="CB2479" s="2"/>
      <c r="CC2479" s="2" t="s">
        <v>132</v>
      </c>
      <c r="CD2479" s="2">
        <v>7441</v>
      </c>
      <c r="CE2479" s="2" t="s">
        <v>118</v>
      </c>
      <c r="CF2479" s="5">
        <v>42846</v>
      </c>
      <c r="CG2479" s="2"/>
      <c r="CH2479" s="2"/>
      <c r="CI2479" s="2">
        <v>1</v>
      </c>
      <c r="CJ2479" s="2">
        <v>1</v>
      </c>
      <c r="CK2479" s="2">
        <v>21</v>
      </c>
      <c r="CL2479" s="2" t="s">
        <v>86</v>
      </c>
      <c r="CM2479" s="2"/>
    </row>
    <row r="2480" spans="1:91">
      <c r="A2480" s="2" t="s">
        <v>71</v>
      </c>
      <c r="B2480" s="2" t="s">
        <v>72</v>
      </c>
      <c r="C2480" s="2" t="s">
        <v>73</v>
      </c>
      <c r="D2480" s="2"/>
      <c r="E2480" s="2" t="str">
        <f>"FES1162544358"</f>
        <v>FES1162544358</v>
      </c>
      <c r="F2480" s="3">
        <v>42844</v>
      </c>
      <c r="G2480" s="2">
        <v>201710</v>
      </c>
      <c r="H2480" s="2" t="s">
        <v>74</v>
      </c>
      <c r="I2480" s="2" t="s">
        <v>75</v>
      </c>
      <c r="J2480" s="2" t="s">
        <v>76</v>
      </c>
      <c r="K2480" s="2" t="s">
        <v>77</v>
      </c>
      <c r="L2480" s="2" t="s">
        <v>176</v>
      </c>
      <c r="M2480" s="2" t="s">
        <v>176</v>
      </c>
      <c r="N2480" s="2" t="s">
        <v>177</v>
      </c>
      <c r="O2480" s="2" t="s">
        <v>115</v>
      </c>
      <c r="P2480" s="2" t="str">
        <f>"2170562638                    "</f>
        <v xml:space="preserve">2170562638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4.29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1.4</v>
      </c>
      <c r="BJ2480" s="2">
        <v>1.4</v>
      </c>
      <c r="BK2480" s="2">
        <v>1.5</v>
      </c>
      <c r="BL2480" s="2">
        <v>41.73</v>
      </c>
      <c r="BM2480" s="2">
        <v>5.84</v>
      </c>
      <c r="BN2480" s="2">
        <v>47.57</v>
      </c>
      <c r="BO2480" s="2">
        <v>47.57</v>
      </c>
      <c r="BP2480" s="2"/>
      <c r="BQ2480" s="2" t="s">
        <v>178</v>
      </c>
      <c r="BR2480" s="2" t="s">
        <v>84</v>
      </c>
      <c r="BS2480" s="3">
        <v>42845</v>
      </c>
      <c r="BT2480" s="4">
        <v>0.52083333333333337</v>
      </c>
      <c r="BU2480" s="2" t="s">
        <v>179</v>
      </c>
      <c r="BV2480" s="2" t="s">
        <v>111</v>
      </c>
      <c r="BW2480" s="2"/>
      <c r="BX2480" s="2"/>
      <c r="BY2480" s="2">
        <v>7008.12</v>
      </c>
      <c r="BZ2480" s="2"/>
      <c r="CA2480" s="2"/>
      <c r="CB2480" s="2"/>
      <c r="CC2480" s="2" t="s">
        <v>176</v>
      </c>
      <c r="CD2480" s="2">
        <v>7646</v>
      </c>
      <c r="CE2480" s="2" t="s">
        <v>89</v>
      </c>
      <c r="CF2480" s="5">
        <v>42846</v>
      </c>
      <c r="CG2480" s="2"/>
      <c r="CH2480" s="2"/>
      <c r="CI2480" s="2">
        <v>1</v>
      </c>
      <c r="CJ2480" s="2">
        <v>1</v>
      </c>
      <c r="CK2480" s="2">
        <v>21</v>
      </c>
      <c r="CL2480" s="2" t="s">
        <v>86</v>
      </c>
      <c r="CM2480" s="2"/>
    </row>
    <row r="2481" spans="1:91">
      <c r="A2481" s="2" t="s">
        <v>71</v>
      </c>
      <c r="B2481" s="2" t="s">
        <v>72</v>
      </c>
      <c r="C2481" s="2" t="s">
        <v>73</v>
      </c>
      <c r="D2481" s="2"/>
      <c r="E2481" s="2" t="str">
        <f>"FES1162544404"</f>
        <v>FES1162544404</v>
      </c>
      <c r="F2481" s="3">
        <v>42844</v>
      </c>
      <c r="G2481" s="2">
        <v>201710</v>
      </c>
      <c r="H2481" s="2" t="s">
        <v>74</v>
      </c>
      <c r="I2481" s="2" t="s">
        <v>75</v>
      </c>
      <c r="J2481" s="2" t="s">
        <v>76</v>
      </c>
      <c r="K2481" s="2" t="s">
        <v>77</v>
      </c>
      <c r="L2481" s="2" t="s">
        <v>131</v>
      </c>
      <c r="M2481" s="2" t="s">
        <v>132</v>
      </c>
      <c r="N2481" s="2" t="s">
        <v>363</v>
      </c>
      <c r="O2481" s="2" t="s">
        <v>115</v>
      </c>
      <c r="P2481" s="2" t="str">
        <f>"2170562998                    "</f>
        <v xml:space="preserve">2170562998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4.29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1</v>
      </c>
      <c r="BJ2481" s="2">
        <v>0.2</v>
      </c>
      <c r="BK2481" s="2">
        <v>1</v>
      </c>
      <c r="BL2481" s="2">
        <v>41.73</v>
      </c>
      <c r="BM2481" s="2">
        <v>5.84</v>
      </c>
      <c r="BN2481" s="2">
        <v>47.57</v>
      </c>
      <c r="BO2481" s="2">
        <v>47.57</v>
      </c>
      <c r="BP2481" s="2"/>
      <c r="BQ2481" s="2" t="s">
        <v>170</v>
      </c>
      <c r="BR2481" s="2" t="s">
        <v>84</v>
      </c>
      <c r="BS2481" s="3">
        <v>42845</v>
      </c>
      <c r="BT2481" s="4">
        <v>0.41666666666666669</v>
      </c>
      <c r="BU2481" s="2" t="s">
        <v>2676</v>
      </c>
      <c r="BV2481" s="2" t="s">
        <v>111</v>
      </c>
      <c r="BW2481" s="2"/>
      <c r="BX2481" s="2"/>
      <c r="BY2481" s="2">
        <v>1200</v>
      </c>
      <c r="BZ2481" s="2"/>
      <c r="CA2481" s="2"/>
      <c r="CB2481" s="2"/>
      <c r="CC2481" s="2" t="s">
        <v>132</v>
      </c>
      <c r="CD2481" s="2">
        <v>7441</v>
      </c>
      <c r="CE2481" s="2" t="s">
        <v>118</v>
      </c>
      <c r="CF2481" s="5">
        <v>42846</v>
      </c>
      <c r="CG2481" s="2"/>
      <c r="CH2481" s="2"/>
      <c r="CI2481" s="2">
        <v>1</v>
      </c>
      <c r="CJ2481" s="2">
        <v>1</v>
      </c>
      <c r="CK2481" s="2">
        <v>21</v>
      </c>
      <c r="CL2481" s="2" t="s">
        <v>86</v>
      </c>
      <c r="CM2481" s="2"/>
    </row>
    <row r="2482" spans="1:91">
      <c r="A2482" s="2" t="s">
        <v>71</v>
      </c>
      <c r="B2482" s="2" t="s">
        <v>72</v>
      </c>
      <c r="C2482" s="2" t="s">
        <v>73</v>
      </c>
      <c r="D2482" s="2"/>
      <c r="E2482" s="2" t="str">
        <f>"FES1162544381"</f>
        <v>FES1162544381</v>
      </c>
      <c r="F2482" s="3">
        <v>42844</v>
      </c>
      <c r="G2482" s="2">
        <v>201710</v>
      </c>
      <c r="H2482" s="2" t="s">
        <v>74</v>
      </c>
      <c r="I2482" s="2" t="s">
        <v>75</v>
      </c>
      <c r="J2482" s="2" t="s">
        <v>76</v>
      </c>
      <c r="K2482" s="2" t="s">
        <v>77</v>
      </c>
      <c r="L2482" s="2" t="s">
        <v>591</v>
      </c>
      <c r="M2482" s="2" t="s">
        <v>592</v>
      </c>
      <c r="N2482" s="2" t="s">
        <v>2819</v>
      </c>
      <c r="O2482" s="2" t="s">
        <v>115</v>
      </c>
      <c r="P2482" s="2" t="str">
        <f>"2170562986                    "</f>
        <v xml:space="preserve">2170562986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4.29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1</v>
      </c>
      <c r="BJ2482" s="2">
        <v>0.2</v>
      </c>
      <c r="BK2482" s="2">
        <v>1</v>
      </c>
      <c r="BL2482" s="2">
        <v>41.73</v>
      </c>
      <c r="BM2482" s="2">
        <v>5.84</v>
      </c>
      <c r="BN2482" s="2">
        <v>47.57</v>
      </c>
      <c r="BO2482" s="2">
        <v>47.57</v>
      </c>
      <c r="BP2482" s="2"/>
      <c r="BQ2482" s="2" t="s">
        <v>122</v>
      </c>
      <c r="BR2482" s="2" t="s">
        <v>84</v>
      </c>
      <c r="BS2482" s="3">
        <v>42845</v>
      </c>
      <c r="BT2482" s="4">
        <v>0.41666666666666669</v>
      </c>
      <c r="BU2482" s="2" t="s">
        <v>2820</v>
      </c>
      <c r="BV2482" s="2" t="s">
        <v>111</v>
      </c>
      <c r="BW2482" s="2"/>
      <c r="BX2482" s="2"/>
      <c r="BY2482" s="2">
        <v>1200</v>
      </c>
      <c r="BZ2482" s="2"/>
      <c r="CA2482" s="2"/>
      <c r="CB2482" s="2"/>
      <c r="CC2482" s="2" t="s">
        <v>592</v>
      </c>
      <c r="CD2482" s="2">
        <v>7600</v>
      </c>
      <c r="CE2482" s="2" t="s">
        <v>118</v>
      </c>
      <c r="CF2482" s="5">
        <v>42846</v>
      </c>
      <c r="CG2482" s="2"/>
      <c r="CH2482" s="2"/>
      <c r="CI2482" s="2">
        <v>1</v>
      </c>
      <c r="CJ2482" s="2">
        <v>1</v>
      </c>
      <c r="CK2482" s="2">
        <v>21</v>
      </c>
      <c r="CL2482" s="2" t="s">
        <v>86</v>
      </c>
      <c r="CM2482" s="2"/>
    </row>
    <row r="2483" spans="1:91">
      <c r="A2483" s="2" t="s">
        <v>71</v>
      </c>
      <c r="B2483" s="2" t="s">
        <v>72</v>
      </c>
      <c r="C2483" s="2" t="s">
        <v>73</v>
      </c>
      <c r="D2483" s="2"/>
      <c r="E2483" s="2" t="str">
        <f>"FES1162544388"</f>
        <v>FES1162544388</v>
      </c>
      <c r="F2483" s="3">
        <v>42844</v>
      </c>
      <c r="G2483" s="2">
        <v>201710</v>
      </c>
      <c r="H2483" s="2" t="s">
        <v>74</v>
      </c>
      <c r="I2483" s="2" t="s">
        <v>75</v>
      </c>
      <c r="J2483" s="2" t="s">
        <v>76</v>
      </c>
      <c r="K2483" s="2" t="s">
        <v>77</v>
      </c>
      <c r="L2483" s="2" t="s">
        <v>131</v>
      </c>
      <c r="M2483" s="2" t="s">
        <v>132</v>
      </c>
      <c r="N2483" s="2" t="s">
        <v>2821</v>
      </c>
      <c r="O2483" s="2" t="s">
        <v>115</v>
      </c>
      <c r="P2483" s="2" t="str">
        <f>"2170557496                    "</f>
        <v xml:space="preserve">2170557496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4.29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1.2</v>
      </c>
      <c r="BJ2483" s="2">
        <v>1</v>
      </c>
      <c r="BK2483" s="2">
        <v>1.5</v>
      </c>
      <c r="BL2483" s="2">
        <v>41.73</v>
      </c>
      <c r="BM2483" s="2">
        <v>5.84</v>
      </c>
      <c r="BN2483" s="2">
        <v>47.57</v>
      </c>
      <c r="BO2483" s="2">
        <v>47.57</v>
      </c>
      <c r="BP2483" s="2"/>
      <c r="BQ2483" s="2" t="s">
        <v>129</v>
      </c>
      <c r="BR2483" s="2" t="s">
        <v>84</v>
      </c>
      <c r="BS2483" s="3">
        <v>42845</v>
      </c>
      <c r="BT2483" s="4">
        <v>0.50347222222222221</v>
      </c>
      <c r="BU2483" s="2" t="s">
        <v>2822</v>
      </c>
      <c r="BV2483" s="2" t="s">
        <v>86</v>
      </c>
      <c r="BW2483" s="2" t="s">
        <v>164</v>
      </c>
      <c r="BX2483" s="2" t="s">
        <v>1370</v>
      </c>
      <c r="BY2483" s="2">
        <v>4881.04</v>
      </c>
      <c r="BZ2483" s="2"/>
      <c r="CA2483" s="2"/>
      <c r="CB2483" s="2"/>
      <c r="CC2483" s="2" t="s">
        <v>132</v>
      </c>
      <c r="CD2483" s="2">
        <v>7580</v>
      </c>
      <c r="CE2483" s="2" t="s">
        <v>172</v>
      </c>
      <c r="CF2483" s="5">
        <v>42846</v>
      </c>
      <c r="CG2483" s="2"/>
      <c r="CH2483" s="2"/>
      <c r="CI2483" s="2">
        <v>1</v>
      </c>
      <c r="CJ2483" s="2">
        <v>1</v>
      </c>
      <c r="CK2483" s="2">
        <v>21</v>
      </c>
      <c r="CL2483" s="2" t="s">
        <v>86</v>
      </c>
      <c r="CM2483" s="2"/>
    </row>
    <row r="2484" spans="1:91">
      <c r="A2484" s="2" t="s">
        <v>71</v>
      </c>
      <c r="B2484" s="2" t="s">
        <v>72</v>
      </c>
      <c r="C2484" s="2" t="s">
        <v>73</v>
      </c>
      <c r="D2484" s="2"/>
      <c r="E2484" s="2" t="str">
        <f>"FES1162544389"</f>
        <v>FES1162544389</v>
      </c>
      <c r="F2484" s="3">
        <v>42844</v>
      </c>
      <c r="G2484" s="2">
        <v>201710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131</v>
      </c>
      <c r="M2484" s="2" t="s">
        <v>132</v>
      </c>
      <c r="N2484" s="2" t="s">
        <v>384</v>
      </c>
      <c r="O2484" s="2" t="s">
        <v>115</v>
      </c>
      <c r="P2484" s="2" t="str">
        <f>"2170557649                    "</f>
        <v xml:space="preserve">2170557649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21.43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2</v>
      </c>
      <c r="BJ2484" s="2">
        <v>9.6</v>
      </c>
      <c r="BK2484" s="2">
        <v>10</v>
      </c>
      <c r="BL2484" s="2">
        <v>208.63</v>
      </c>
      <c r="BM2484" s="2">
        <v>29.21</v>
      </c>
      <c r="BN2484" s="2">
        <v>237.84</v>
      </c>
      <c r="BO2484" s="2">
        <v>237.84</v>
      </c>
      <c r="BP2484" s="2"/>
      <c r="BQ2484" s="2" t="s">
        <v>468</v>
      </c>
      <c r="BR2484" s="2" t="s">
        <v>84</v>
      </c>
      <c r="BS2484" s="3">
        <v>42845</v>
      </c>
      <c r="BT2484" s="4">
        <v>0.41666666666666669</v>
      </c>
      <c r="BU2484" s="2" t="s">
        <v>245</v>
      </c>
      <c r="BV2484" s="2" t="s">
        <v>111</v>
      </c>
      <c r="BW2484" s="2"/>
      <c r="BX2484" s="2"/>
      <c r="BY2484" s="2">
        <v>48000</v>
      </c>
      <c r="BZ2484" s="2"/>
      <c r="CA2484" s="2"/>
      <c r="CB2484" s="2"/>
      <c r="CC2484" s="2" t="s">
        <v>132</v>
      </c>
      <c r="CD2484" s="2">
        <v>7405</v>
      </c>
      <c r="CE2484" s="2" t="s">
        <v>172</v>
      </c>
      <c r="CF2484" s="5">
        <v>42846</v>
      </c>
      <c r="CG2484" s="2"/>
      <c r="CH2484" s="2"/>
      <c r="CI2484" s="2">
        <v>1</v>
      </c>
      <c r="CJ2484" s="2">
        <v>1</v>
      </c>
      <c r="CK2484" s="2">
        <v>21</v>
      </c>
      <c r="CL2484" s="2" t="s">
        <v>86</v>
      </c>
      <c r="CM2484" s="2"/>
    </row>
    <row r="2485" spans="1:91">
      <c r="A2485" s="2" t="s">
        <v>71</v>
      </c>
      <c r="B2485" s="2" t="s">
        <v>72</v>
      </c>
      <c r="C2485" s="2" t="s">
        <v>73</v>
      </c>
      <c r="D2485" s="2"/>
      <c r="E2485" s="2" t="str">
        <f>"FES1162544363"</f>
        <v>FES1162544363</v>
      </c>
      <c r="F2485" s="3">
        <v>42844</v>
      </c>
      <c r="G2485" s="2">
        <v>201710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176</v>
      </c>
      <c r="M2485" s="2" t="s">
        <v>176</v>
      </c>
      <c r="N2485" s="2" t="s">
        <v>177</v>
      </c>
      <c r="O2485" s="2" t="s">
        <v>115</v>
      </c>
      <c r="P2485" s="2" t="str">
        <f>"2170562968                    "</f>
        <v xml:space="preserve">2170562968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7.5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2.2000000000000002</v>
      </c>
      <c r="BJ2485" s="2">
        <v>3.2</v>
      </c>
      <c r="BK2485" s="2">
        <v>3.5</v>
      </c>
      <c r="BL2485" s="2">
        <v>73.02</v>
      </c>
      <c r="BM2485" s="2">
        <v>10.220000000000001</v>
      </c>
      <c r="BN2485" s="2">
        <v>83.24</v>
      </c>
      <c r="BO2485" s="2">
        <v>83.24</v>
      </c>
      <c r="BP2485" s="2"/>
      <c r="BQ2485" s="2" t="s">
        <v>178</v>
      </c>
      <c r="BR2485" s="2" t="s">
        <v>84</v>
      </c>
      <c r="BS2485" s="3">
        <v>42845</v>
      </c>
      <c r="BT2485" s="4">
        <v>0.52083333333333337</v>
      </c>
      <c r="BU2485" s="2" t="s">
        <v>179</v>
      </c>
      <c r="BV2485" s="2" t="s">
        <v>111</v>
      </c>
      <c r="BW2485" s="2"/>
      <c r="BX2485" s="2"/>
      <c r="BY2485" s="2">
        <v>15771.13</v>
      </c>
      <c r="BZ2485" s="2"/>
      <c r="CA2485" s="2"/>
      <c r="CB2485" s="2"/>
      <c r="CC2485" s="2" t="s">
        <v>176</v>
      </c>
      <c r="CD2485" s="2">
        <v>7646</v>
      </c>
      <c r="CE2485" s="2" t="s">
        <v>172</v>
      </c>
      <c r="CF2485" s="5">
        <v>42846</v>
      </c>
      <c r="CG2485" s="2"/>
      <c r="CH2485" s="2"/>
      <c r="CI2485" s="2">
        <v>1</v>
      </c>
      <c r="CJ2485" s="2">
        <v>1</v>
      </c>
      <c r="CK2485" s="2">
        <v>21</v>
      </c>
      <c r="CL2485" s="2" t="s">
        <v>86</v>
      </c>
      <c r="CM2485" s="2"/>
    </row>
    <row r="2486" spans="1:91">
      <c r="A2486" s="2" t="s">
        <v>71</v>
      </c>
      <c r="B2486" s="2" t="s">
        <v>72</v>
      </c>
      <c r="C2486" s="2" t="s">
        <v>73</v>
      </c>
      <c r="D2486" s="2"/>
      <c r="E2486" s="2" t="str">
        <f>"FES1162544365"</f>
        <v>FES1162544365</v>
      </c>
      <c r="F2486" s="3">
        <v>42844</v>
      </c>
      <c r="G2486" s="2">
        <v>201710</v>
      </c>
      <c r="H2486" s="2" t="s">
        <v>74</v>
      </c>
      <c r="I2486" s="2" t="s">
        <v>75</v>
      </c>
      <c r="J2486" s="2" t="s">
        <v>76</v>
      </c>
      <c r="K2486" s="2" t="s">
        <v>77</v>
      </c>
      <c r="L2486" s="2" t="s">
        <v>131</v>
      </c>
      <c r="M2486" s="2" t="s">
        <v>132</v>
      </c>
      <c r="N2486" s="2" t="s">
        <v>2222</v>
      </c>
      <c r="O2486" s="2" t="s">
        <v>115</v>
      </c>
      <c r="P2486" s="2" t="str">
        <f>"2170562971                    "</f>
        <v xml:space="preserve">2170562971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4.29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1</v>
      </c>
      <c r="BJ2486" s="2">
        <v>0.2</v>
      </c>
      <c r="BK2486" s="2">
        <v>1</v>
      </c>
      <c r="BL2486" s="2">
        <v>41.73</v>
      </c>
      <c r="BM2486" s="2">
        <v>5.84</v>
      </c>
      <c r="BN2486" s="2">
        <v>47.57</v>
      </c>
      <c r="BO2486" s="2">
        <v>47.57</v>
      </c>
      <c r="BP2486" s="2"/>
      <c r="BQ2486" s="2" t="s">
        <v>2223</v>
      </c>
      <c r="BR2486" s="2" t="s">
        <v>84</v>
      </c>
      <c r="BS2486" s="3">
        <v>42845</v>
      </c>
      <c r="BT2486" s="4">
        <v>0.3923611111111111</v>
      </c>
      <c r="BU2486" s="2" t="s">
        <v>2823</v>
      </c>
      <c r="BV2486" s="2" t="s">
        <v>111</v>
      </c>
      <c r="BW2486" s="2"/>
      <c r="BX2486" s="2"/>
      <c r="BY2486" s="2">
        <v>1200</v>
      </c>
      <c r="BZ2486" s="2"/>
      <c r="CA2486" s="2"/>
      <c r="CB2486" s="2"/>
      <c r="CC2486" s="2" t="s">
        <v>132</v>
      </c>
      <c r="CD2486" s="2">
        <v>7530</v>
      </c>
      <c r="CE2486" s="2" t="s">
        <v>118</v>
      </c>
      <c r="CF2486" s="5">
        <v>42846</v>
      </c>
      <c r="CG2486" s="2"/>
      <c r="CH2486" s="2"/>
      <c r="CI2486" s="2">
        <v>1</v>
      </c>
      <c r="CJ2486" s="2">
        <v>1</v>
      </c>
      <c r="CK2486" s="2">
        <v>21</v>
      </c>
      <c r="CL2486" s="2" t="s">
        <v>86</v>
      </c>
      <c r="CM2486" s="2"/>
    </row>
    <row r="2487" spans="1:91">
      <c r="A2487" s="2" t="s">
        <v>71</v>
      </c>
      <c r="B2487" s="2" t="s">
        <v>72</v>
      </c>
      <c r="C2487" s="2" t="s">
        <v>73</v>
      </c>
      <c r="D2487" s="2"/>
      <c r="E2487" s="2" t="str">
        <f>"FES1162544369"</f>
        <v>FES1162544369</v>
      </c>
      <c r="F2487" s="3">
        <v>42844</v>
      </c>
      <c r="G2487" s="2">
        <v>201710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99</v>
      </c>
      <c r="M2487" s="2" t="s">
        <v>100</v>
      </c>
      <c r="N2487" s="2" t="s">
        <v>351</v>
      </c>
      <c r="O2487" s="2" t="s">
        <v>115</v>
      </c>
      <c r="P2487" s="2" t="str">
        <f>"2170562985                    "</f>
        <v xml:space="preserve">2170562985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4.29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1</v>
      </c>
      <c r="BJ2487" s="2">
        <v>0.2</v>
      </c>
      <c r="BK2487" s="2">
        <v>1</v>
      </c>
      <c r="BL2487" s="2">
        <v>41.73</v>
      </c>
      <c r="BM2487" s="2">
        <v>5.84</v>
      </c>
      <c r="BN2487" s="2">
        <v>47.57</v>
      </c>
      <c r="BO2487" s="2">
        <v>47.57</v>
      </c>
      <c r="BP2487" s="2"/>
      <c r="BQ2487" s="2" t="s">
        <v>352</v>
      </c>
      <c r="BR2487" s="2" t="s">
        <v>84</v>
      </c>
      <c r="BS2487" s="3">
        <v>42845</v>
      </c>
      <c r="BT2487" s="4">
        <v>0.3430555555555555</v>
      </c>
      <c r="BU2487" s="2" t="s">
        <v>491</v>
      </c>
      <c r="BV2487" s="2" t="s">
        <v>111</v>
      </c>
      <c r="BW2487" s="2"/>
      <c r="BX2487" s="2"/>
      <c r="BY2487" s="2">
        <v>1200</v>
      </c>
      <c r="BZ2487" s="2"/>
      <c r="CA2487" s="2" t="s">
        <v>154</v>
      </c>
      <c r="CB2487" s="2"/>
      <c r="CC2487" s="2" t="s">
        <v>100</v>
      </c>
      <c r="CD2487" s="2">
        <v>6001</v>
      </c>
      <c r="CE2487" s="2" t="s">
        <v>118</v>
      </c>
      <c r="CF2487" s="5">
        <v>42845</v>
      </c>
      <c r="CG2487" s="2"/>
      <c r="CH2487" s="2"/>
      <c r="CI2487" s="2">
        <v>1</v>
      </c>
      <c r="CJ2487" s="2">
        <v>1</v>
      </c>
      <c r="CK2487" s="2">
        <v>21</v>
      </c>
      <c r="CL2487" s="2" t="s">
        <v>86</v>
      </c>
      <c r="CM2487" s="2"/>
    </row>
    <row r="2488" spans="1:91">
      <c r="A2488" s="2" t="s">
        <v>71</v>
      </c>
      <c r="B2488" s="2" t="s">
        <v>72</v>
      </c>
      <c r="C2488" s="2" t="s">
        <v>73</v>
      </c>
      <c r="D2488" s="2"/>
      <c r="E2488" s="2" t="str">
        <f>"FES1162544342"</f>
        <v>FES1162544342</v>
      </c>
      <c r="F2488" s="3">
        <v>42844</v>
      </c>
      <c r="G2488" s="2">
        <v>201710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131</v>
      </c>
      <c r="M2488" s="2" t="s">
        <v>132</v>
      </c>
      <c r="N2488" s="2" t="s">
        <v>155</v>
      </c>
      <c r="O2488" s="2" t="s">
        <v>115</v>
      </c>
      <c r="P2488" s="2" t="str">
        <f>"2170562646                    "</f>
        <v xml:space="preserve">2170562646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4.29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1</v>
      </c>
      <c r="BJ2488" s="2">
        <v>0.2</v>
      </c>
      <c r="BK2488" s="2">
        <v>1</v>
      </c>
      <c r="BL2488" s="2">
        <v>41.73</v>
      </c>
      <c r="BM2488" s="2">
        <v>5.84</v>
      </c>
      <c r="BN2488" s="2">
        <v>47.57</v>
      </c>
      <c r="BO2488" s="2">
        <v>47.57</v>
      </c>
      <c r="BP2488" s="2"/>
      <c r="BQ2488" s="2" t="s">
        <v>116</v>
      </c>
      <c r="BR2488" s="2" t="s">
        <v>84</v>
      </c>
      <c r="BS2488" s="3">
        <v>42845</v>
      </c>
      <c r="BT2488" s="4">
        <v>0.47569444444444442</v>
      </c>
      <c r="BU2488" s="2" t="s">
        <v>2624</v>
      </c>
      <c r="BV2488" s="2" t="s">
        <v>86</v>
      </c>
      <c r="BW2488" s="2" t="s">
        <v>164</v>
      </c>
      <c r="BX2488" s="2" t="s">
        <v>1370</v>
      </c>
      <c r="BY2488" s="2">
        <v>1200</v>
      </c>
      <c r="BZ2488" s="2"/>
      <c r="CA2488" s="2"/>
      <c r="CB2488" s="2"/>
      <c r="CC2488" s="2" t="s">
        <v>132</v>
      </c>
      <c r="CD2488" s="2">
        <v>7441</v>
      </c>
      <c r="CE2488" s="2" t="s">
        <v>118</v>
      </c>
      <c r="CF2488" s="5">
        <v>42846</v>
      </c>
      <c r="CG2488" s="2"/>
      <c r="CH2488" s="2"/>
      <c r="CI2488" s="2">
        <v>1</v>
      </c>
      <c r="CJ2488" s="2">
        <v>1</v>
      </c>
      <c r="CK2488" s="2">
        <v>21</v>
      </c>
      <c r="CL2488" s="2" t="s">
        <v>86</v>
      </c>
      <c r="CM2488" s="2"/>
    </row>
    <row r="2489" spans="1:91">
      <c r="A2489" s="2" t="s">
        <v>71</v>
      </c>
      <c r="B2489" s="2" t="s">
        <v>72</v>
      </c>
      <c r="C2489" s="2" t="s">
        <v>73</v>
      </c>
      <c r="D2489" s="2"/>
      <c r="E2489" s="2" t="str">
        <f>"FES1162544309"</f>
        <v>FES1162544309</v>
      </c>
      <c r="F2489" s="3">
        <v>42844</v>
      </c>
      <c r="G2489" s="2">
        <v>201710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131</v>
      </c>
      <c r="M2489" s="2" t="s">
        <v>132</v>
      </c>
      <c r="N2489" s="2" t="s">
        <v>2400</v>
      </c>
      <c r="O2489" s="2" t="s">
        <v>115</v>
      </c>
      <c r="P2489" s="2" t="str">
        <f>"2170562334                    "</f>
        <v xml:space="preserve">2170562334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4.29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1</v>
      </c>
      <c r="BJ2489" s="2">
        <v>0.2</v>
      </c>
      <c r="BK2489" s="2">
        <v>1</v>
      </c>
      <c r="BL2489" s="2">
        <v>41.73</v>
      </c>
      <c r="BM2489" s="2">
        <v>5.84</v>
      </c>
      <c r="BN2489" s="2">
        <v>47.57</v>
      </c>
      <c r="BO2489" s="2">
        <v>47.57</v>
      </c>
      <c r="BP2489" s="2"/>
      <c r="BQ2489" s="2" t="s">
        <v>122</v>
      </c>
      <c r="BR2489" s="2" t="s">
        <v>84</v>
      </c>
      <c r="BS2489" s="3">
        <v>42845</v>
      </c>
      <c r="BT2489" s="4">
        <v>0.41666666666666669</v>
      </c>
      <c r="BU2489" s="2" t="s">
        <v>2824</v>
      </c>
      <c r="BV2489" s="2" t="s">
        <v>111</v>
      </c>
      <c r="BW2489" s="2"/>
      <c r="BX2489" s="2"/>
      <c r="BY2489" s="2">
        <v>1200</v>
      </c>
      <c r="BZ2489" s="2"/>
      <c r="CA2489" s="2"/>
      <c r="CB2489" s="2"/>
      <c r="CC2489" s="2" t="s">
        <v>132</v>
      </c>
      <c r="CD2489" s="2">
        <v>7441</v>
      </c>
      <c r="CE2489" s="2" t="s">
        <v>118</v>
      </c>
      <c r="CF2489" s="5">
        <v>42846</v>
      </c>
      <c r="CG2489" s="2"/>
      <c r="CH2489" s="2"/>
      <c r="CI2489" s="2">
        <v>1</v>
      </c>
      <c r="CJ2489" s="2">
        <v>1</v>
      </c>
      <c r="CK2489" s="2">
        <v>21</v>
      </c>
      <c r="CL2489" s="2" t="s">
        <v>86</v>
      </c>
      <c r="CM2489" s="2"/>
    </row>
    <row r="2490" spans="1:91">
      <c r="A2490" s="2" t="s">
        <v>71</v>
      </c>
      <c r="B2490" s="2" t="s">
        <v>72</v>
      </c>
      <c r="C2490" s="2" t="s">
        <v>73</v>
      </c>
      <c r="D2490" s="2"/>
      <c r="E2490" s="2" t="str">
        <f>"FES1162544326"</f>
        <v>FES1162544326</v>
      </c>
      <c r="F2490" s="3">
        <v>42844</v>
      </c>
      <c r="G2490" s="2">
        <v>201710</v>
      </c>
      <c r="H2490" s="2" t="s">
        <v>74</v>
      </c>
      <c r="I2490" s="2" t="s">
        <v>75</v>
      </c>
      <c r="J2490" s="2" t="s">
        <v>76</v>
      </c>
      <c r="K2490" s="2" t="s">
        <v>77</v>
      </c>
      <c r="L2490" s="2" t="s">
        <v>131</v>
      </c>
      <c r="M2490" s="2" t="s">
        <v>132</v>
      </c>
      <c r="N2490" s="2" t="s">
        <v>2825</v>
      </c>
      <c r="O2490" s="2" t="s">
        <v>115</v>
      </c>
      <c r="P2490" s="2" t="str">
        <f>"2170562932                    "</f>
        <v xml:space="preserve">2170562932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4.29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2</v>
      </c>
      <c r="BJ2490" s="2">
        <v>0.9</v>
      </c>
      <c r="BK2490" s="2">
        <v>2</v>
      </c>
      <c r="BL2490" s="2">
        <v>41.73</v>
      </c>
      <c r="BM2490" s="2">
        <v>5.84</v>
      </c>
      <c r="BN2490" s="2">
        <v>47.57</v>
      </c>
      <c r="BO2490" s="2">
        <v>47.57</v>
      </c>
      <c r="BP2490" s="2"/>
      <c r="BQ2490" s="2"/>
      <c r="BR2490" s="2" t="s">
        <v>84</v>
      </c>
      <c r="BS2490" s="3">
        <v>42845</v>
      </c>
      <c r="BT2490" s="4">
        <v>0.41666666666666669</v>
      </c>
      <c r="BU2490" s="2" t="s">
        <v>2826</v>
      </c>
      <c r="BV2490" s="2" t="s">
        <v>111</v>
      </c>
      <c r="BW2490" s="2"/>
      <c r="BX2490" s="2"/>
      <c r="BY2490" s="2">
        <v>4275</v>
      </c>
      <c r="BZ2490" s="2"/>
      <c r="CA2490" s="2" t="s">
        <v>159</v>
      </c>
      <c r="CB2490" s="2"/>
      <c r="CC2490" s="2" t="s">
        <v>132</v>
      </c>
      <c r="CD2490" s="2">
        <v>7925</v>
      </c>
      <c r="CE2490" s="2" t="s">
        <v>89</v>
      </c>
      <c r="CF2490" s="5">
        <v>42846</v>
      </c>
      <c r="CG2490" s="2"/>
      <c r="CH2490" s="2"/>
      <c r="CI2490" s="2">
        <v>1</v>
      </c>
      <c r="CJ2490" s="2">
        <v>1</v>
      </c>
      <c r="CK2490" s="2">
        <v>21</v>
      </c>
      <c r="CL2490" s="2" t="s">
        <v>86</v>
      </c>
      <c r="CM2490" s="2"/>
    </row>
    <row r="2491" spans="1:91">
      <c r="A2491" s="2" t="s">
        <v>71</v>
      </c>
      <c r="B2491" s="2" t="s">
        <v>72</v>
      </c>
      <c r="C2491" s="2" t="s">
        <v>73</v>
      </c>
      <c r="D2491" s="2"/>
      <c r="E2491" s="2" t="str">
        <f>"FES1162544325"</f>
        <v>FES1162544325</v>
      </c>
      <c r="F2491" s="3">
        <v>42844</v>
      </c>
      <c r="G2491" s="2">
        <v>201710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131</v>
      </c>
      <c r="M2491" s="2" t="s">
        <v>132</v>
      </c>
      <c r="N2491" s="2" t="s">
        <v>2825</v>
      </c>
      <c r="O2491" s="2" t="s">
        <v>115</v>
      </c>
      <c r="P2491" s="2" t="str">
        <f>"2170562931                    "</f>
        <v xml:space="preserve">2170562931 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11.79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5.5</v>
      </c>
      <c r="BJ2491" s="2">
        <v>1.5</v>
      </c>
      <c r="BK2491" s="2">
        <v>5.5</v>
      </c>
      <c r="BL2491" s="2">
        <v>114.75</v>
      </c>
      <c r="BM2491" s="2">
        <v>16.07</v>
      </c>
      <c r="BN2491" s="2">
        <v>130.82</v>
      </c>
      <c r="BO2491" s="2">
        <v>130.82</v>
      </c>
      <c r="BP2491" s="2"/>
      <c r="BQ2491" s="2" t="s">
        <v>2827</v>
      </c>
      <c r="BR2491" s="2" t="s">
        <v>84</v>
      </c>
      <c r="BS2491" s="3">
        <v>42845</v>
      </c>
      <c r="BT2491" s="4">
        <v>0.41666666666666669</v>
      </c>
      <c r="BU2491" s="2" t="s">
        <v>2828</v>
      </c>
      <c r="BV2491" s="2" t="s">
        <v>111</v>
      </c>
      <c r="BW2491" s="2"/>
      <c r="BX2491" s="2"/>
      <c r="BY2491" s="2">
        <v>7383.55</v>
      </c>
      <c r="BZ2491" s="2"/>
      <c r="CA2491" s="2" t="s">
        <v>159</v>
      </c>
      <c r="CB2491" s="2"/>
      <c r="CC2491" s="2" t="s">
        <v>132</v>
      </c>
      <c r="CD2491" s="2">
        <v>7925</v>
      </c>
      <c r="CE2491" s="2" t="s">
        <v>89</v>
      </c>
      <c r="CF2491" s="5">
        <v>42846</v>
      </c>
      <c r="CG2491" s="2"/>
      <c r="CH2491" s="2"/>
      <c r="CI2491" s="2">
        <v>1</v>
      </c>
      <c r="CJ2491" s="2">
        <v>1</v>
      </c>
      <c r="CK2491" s="2">
        <v>21</v>
      </c>
      <c r="CL2491" s="2" t="s">
        <v>86</v>
      </c>
      <c r="CM2491" s="2"/>
    </row>
    <row r="2492" spans="1:91">
      <c r="A2492" s="2" t="s">
        <v>71</v>
      </c>
      <c r="B2492" s="2" t="s">
        <v>72</v>
      </c>
      <c r="C2492" s="2" t="s">
        <v>73</v>
      </c>
      <c r="D2492" s="2"/>
      <c r="E2492" s="2" t="str">
        <f>"FES1162545437"</f>
        <v>FES1162545437</v>
      </c>
      <c r="F2492" s="3">
        <v>42850</v>
      </c>
      <c r="G2492" s="2">
        <v>201710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99</v>
      </c>
      <c r="M2492" s="2" t="s">
        <v>100</v>
      </c>
      <c r="N2492" s="2" t="s">
        <v>700</v>
      </c>
      <c r="O2492" s="2" t="s">
        <v>115</v>
      </c>
      <c r="P2492" s="2" t="str">
        <f>"217063939                     "</f>
        <v xml:space="preserve">217063939 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4.29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1</v>
      </c>
      <c r="BJ2492" s="2">
        <v>0.2</v>
      </c>
      <c r="BK2492" s="2">
        <v>1</v>
      </c>
      <c r="BL2492" s="2">
        <v>41.73</v>
      </c>
      <c r="BM2492" s="2">
        <v>5.84</v>
      </c>
      <c r="BN2492" s="2">
        <v>47.57</v>
      </c>
      <c r="BO2492" s="2">
        <v>47.57</v>
      </c>
      <c r="BP2492" s="2"/>
      <c r="BQ2492" s="2" t="s">
        <v>701</v>
      </c>
      <c r="BR2492" s="2" t="s">
        <v>84</v>
      </c>
      <c r="BS2492" s="3">
        <v>42851</v>
      </c>
      <c r="BT2492" s="4">
        <v>0.36458333333333331</v>
      </c>
      <c r="BU2492" s="2" t="s">
        <v>2829</v>
      </c>
      <c r="BV2492" s="2" t="s">
        <v>111</v>
      </c>
      <c r="BW2492" s="2"/>
      <c r="BX2492" s="2"/>
      <c r="BY2492" s="2">
        <v>1200</v>
      </c>
      <c r="BZ2492" s="2"/>
      <c r="CA2492" s="2" t="s">
        <v>106</v>
      </c>
      <c r="CB2492" s="2"/>
      <c r="CC2492" s="2" t="s">
        <v>100</v>
      </c>
      <c r="CD2492" s="2">
        <v>6001</v>
      </c>
      <c r="CE2492" s="2" t="s">
        <v>118</v>
      </c>
      <c r="CF2492" s="5">
        <v>42851</v>
      </c>
      <c r="CG2492" s="2"/>
      <c r="CH2492" s="2"/>
      <c r="CI2492" s="2">
        <v>1</v>
      </c>
      <c r="CJ2492" s="2">
        <v>1</v>
      </c>
      <c r="CK2492" s="2">
        <v>21</v>
      </c>
      <c r="CL2492" s="2" t="s">
        <v>86</v>
      </c>
      <c r="CM2492" s="2"/>
    </row>
    <row r="2493" spans="1:91">
      <c r="A2493" s="2" t="s">
        <v>71</v>
      </c>
      <c r="B2493" s="2" t="s">
        <v>72</v>
      </c>
      <c r="C2493" s="2" t="s">
        <v>73</v>
      </c>
      <c r="D2493" s="2"/>
      <c r="E2493" s="2" t="str">
        <f>"FES1162545210"</f>
        <v>FES1162545210</v>
      </c>
      <c r="F2493" s="3">
        <v>42849</v>
      </c>
      <c r="G2493" s="2">
        <v>201710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516</v>
      </c>
      <c r="M2493" s="2" t="s">
        <v>517</v>
      </c>
      <c r="N2493" s="2" t="s">
        <v>808</v>
      </c>
      <c r="O2493" s="2" t="s">
        <v>115</v>
      </c>
      <c r="P2493" s="2" t="str">
        <f>"2170563698                    "</f>
        <v xml:space="preserve">2170563698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3.35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1</v>
      </c>
      <c r="BJ2493" s="2">
        <v>0.2</v>
      </c>
      <c r="BK2493" s="2">
        <v>1</v>
      </c>
      <c r="BL2493" s="2">
        <v>32.6</v>
      </c>
      <c r="BM2493" s="2">
        <v>4.5599999999999996</v>
      </c>
      <c r="BN2493" s="2">
        <v>37.159999999999997</v>
      </c>
      <c r="BO2493" s="2">
        <v>37.159999999999997</v>
      </c>
      <c r="BP2493" s="2"/>
      <c r="BQ2493" s="2" t="s">
        <v>809</v>
      </c>
      <c r="BR2493" s="2" t="s">
        <v>84</v>
      </c>
      <c r="BS2493" s="3">
        <v>42850</v>
      </c>
      <c r="BT2493" s="4">
        <v>0.4604166666666667</v>
      </c>
      <c r="BU2493" s="2" t="s">
        <v>2152</v>
      </c>
      <c r="BV2493" s="2" t="s">
        <v>86</v>
      </c>
      <c r="BW2493" s="2" t="s">
        <v>96</v>
      </c>
      <c r="BX2493" s="2" t="s">
        <v>2830</v>
      </c>
      <c r="BY2493" s="2">
        <v>1200</v>
      </c>
      <c r="BZ2493" s="2"/>
      <c r="CA2493" s="2"/>
      <c r="CB2493" s="2"/>
      <c r="CC2493" s="2" t="s">
        <v>517</v>
      </c>
      <c r="CD2493" s="2">
        <v>1459</v>
      </c>
      <c r="CE2493" s="2" t="s">
        <v>118</v>
      </c>
      <c r="CF2493" s="5">
        <v>42851</v>
      </c>
      <c r="CG2493" s="2"/>
      <c r="CH2493" s="2"/>
      <c r="CI2493" s="2">
        <v>1</v>
      </c>
      <c r="CJ2493" s="2">
        <v>1</v>
      </c>
      <c r="CK2493" s="2">
        <v>22</v>
      </c>
      <c r="CL2493" s="2" t="s">
        <v>86</v>
      </c>
      <c r="CM2493" s="2"/>
    </row>
    <row r="2494" spans="1:91">
      <c r="A2494" s="2" t="s">
        <v>71</v>
      </c>
      <c r="B2494" s="2" t="s">
        <v>72</v>
      </c>
      <c r="C2494" s="2" t="s">
        <v>73</v>
      </c>
      <c r="D2494" s="2"/>
      <c r="E2494" s="2" t="str">
        <f>"080001611985"</f>
        <v>080001611985</v>
      </c>
      <c r="F2494" s="3">
        <v>42845</v>
      </c>
      <c r="G2494" s="2">
        <v>201710</v>
      </c>
      <c r="H2494" s="2" t="s">
        <v>176</v>
      </c>
      <c r="I2494" s="2" t="s">
        <v>176</v>
      </c>
      <c r="J2494" s="2" t="s">
        <v>820</v>
      </c>
      <c r="K2494" s="2" t="s">
        <v>77</v>
      </c>
      <c r="L2494" s="2" t="s">
        <v>74</v>
      </c>
      <c r="M2494" s="2" t="s">
        <v>75</v>
      </c>
      <c r="N2494" s="2" t="s">
        <v>2616</v>
      </c>
      <c r="O2494" s="2" t="s">
        <v>115</v>
      </c>
      <c r="P2494" s="2" t="str">
        <f>"za1000636401                  "</f>
        <v xml:space="preserve">za1000636401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4.29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0.6</v>
      </c>
      <c r="BJ2494" s="2">
        <v>1.9</v>
      </c>
      <c r="BK2494" s="2">
        <v>2</v>
      </c>
      <c r="BL2494" s="2">
        <v>41.73</v>
      </c>
      <c r="BM2494" s="2">
        <v>5.84</v>
      </c>
      <c r="BN2494" s="2">
        <v>47.57</v>
      </c>
      <c r="BO2494" s="2">
        <v>47.57</v>
      </c>
      <c r="BP2494" s="2" t="s">
        <v>2831</v>
      </c>
      <c r="BQ2494" s="2" t="s">
        <v>2618</v>
      </c>
      <c r="BR2494" s="2" t="s">
        <v>2832</v>
      </c>
      <c r="BS2494" s="3">
        <v>42846</v>
      </c>
      <c r="BT2494" s="4">
        <v>0.35416666666666669</v>
      </c>
      <c r="BU2494" s="2" t="s">
        <v>2586</v>
      </c>
      <c r="BV2494" s="2"/>
      <c r="BW2494" s="2"/>
      <c r="BX2494" s="2"/>
      <c r="BY2494" s="2">
        <v>9631.86</v>
      </c>
      <c r="BZ2494" s="2"/>
      <c r="CA2494" s="2"/>
      <c r="CB2494" s="2"/>
      <c r="CC2494" s="2" t="s">
        <v>75</v>
      </c>
      <c r="CD2494" s="2">
        <v>1601</v>
      </c>
      <c r="CE2494" s="2" t="s">
        <v>89</v>
      </c>
      <c r="CF2494" s="5">
        <v>42849</v>
      </c>
      <c r="CG2494" s="2"/>
      <c r="CH2494" s="2"/>
      <c r="CI2494" s="2">
        <v>0</v>
      </c>
      <c r="CJ2494" s="2">
        <v>0</v>
      </c>
      <c r="CK2494" s="2">
        <v>21</v>
      </c>
      <c r="CL2494" s="2" t="s">
        <v>86</v>
      </c>
      <c r="CM2494" s="2"/>
    </row>
    <row r="2495" spans="1:91">
      <c r="A2495" s="2" t="s">
        <v>71</v>
      </c>
      <c r="B2495" s="2" t="s">
        <v>72</v>
      </c>
      <c r="C2495" s="2" t="s">
        <v>73</v>
      </c>
      <c r="D2495" s="2"/>
      <c r="E2495" s="2" t="str">
        <f>"FES1162544472"</f>
        <v>FES1162544472</v>
      </c>
      <c r="F2495" s="3">
        <v>42845</v>
      </c>
      <c r="G2495" s="2">
        <v>201710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2658</v>
      </c>
      <c r="M2495" s="2" t="s">
        <v>2659</v>
      </c>
      <c r="N2495" s="2" t="s">
        <v>2833</v>
      </c>
      <c r="O2495" s="2" t="s">
        <v>115</v>
      </c>
      <c r="P2495" s="2" t="str">
        <f>"2170562856                    "</f>
        <v xml:space="preserve">2170562856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8.31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</v>
      </c>
      <c r="BJ2495" s="2">
        <v>0.2</v>
      </c>
      <c r="BK2495" s="2">
        <v>1</v>
      </c>
      <c r="BL2495" s="2">
        <v>80.849999999999994</v>
      </c>
      <c r="BM2495" s="2">
        <v>11.32</v>
      </c>
      <c r="BN2495" s="2">
        <v>92.17</v>
      </c>
      <c r="BO2495" s="2">
        <v>92.17</v>
      </c>
      <c r="BP2495" s="2"/>
      <c r="BQ2495" s="2"/>
      <c r="BR2495" s="2" t="s">
        <v>84</v>
      </c>
      <c r="BS2495" s="3">
        <v>42846</v>
      </c>
      <c r="BT2495" s="4">
        <v>0.5</v>
      </c>
      <c r="BU2495" s="2" t="s">
        <v>2834</v>
      </c>
      <c r="BV2495" s="2" t="s">
        <v>111</v>
      </c>
      <c r="BW2495" s="2"/>
      <c r="BX2495" s="2"/>
      <c r="BY2495" s="2">
        <v>1200</v>
      </c>
      <c r="BZ2495" s="2" t="s">
        <v>27</v>
      </c>
      <c r="CA2495" s="2"/>
      <c r="CB2495" s="2"/>
      <c r="CC2495" s="2" t="s">
        <v>2659</v>
      </c>
      <c r="CD2495" s="2">
        <v>9750</v>
      </c>
      <c r="CE2495" s="2" t="s">
        <v>118</v>
      </c>
      <c r="CF2495" s="5">
        <v>42851</v>
      </c>
      <c r="CG2495" s="2"/>
      <c r="CH2495" s="2"/>
      <c r="CI2495" s="2">
        <v>3</v>
      </c>
      <c r="CJ2495" s="2">
        <v>1</v>
      </c>
      <c r="CK2495" s="2">
        <v>23</v>
      </c>
      <c r="CL2495" s="2" t="s">
        <v>86</v>
      </c>
      <c r="CM2495" s="2"/>
    </row>
    <row r="2496" spans="1:91">
      <c r="A2496" s="2" t="s">
        <v>71</v>
      </c>
      <c r="B2496" s="2" t="s">
        <v>72</v>
      </c>
      <c r="C2496" s="2" t="s">
        <v>73</v>
      </c>
      <c r="D2496" s="2"/>
      <c r="E2496" s="2" t="str">
        <f>"FES1162543195"</f>
        <v>FES1162543195</v>
      </c>
      <c r="F2496" s="3">
        <v>42837</v>
      </c>
      <c r="G2496" s="2">
        <v>201710</v>
      </c>
      <c r="H2496" s="2" t="s">
        <v>74</v>
      </c>
      <c r="I2496" s="2" t="s">
        <v>75</v>
      </c>
      <c r="J2496" s="2" t="s">
        <v>200</v>
      </c>
      <c r="K2496" s="2" t="s">
        <v>77</v>
      </c>
      <c r="L2496" s="2" t="s">
        <v>537</v>
      </c>
      <c r="M2496" s="2" t="s">
        <v>538</v>
      </c>
      <c r="N2496" s="2" t="s">
        <v>695</v>
      </c>
      <c r="O2496" s="2" t="s">
        <v>255</v>
      </c>
      <c r="P2496" s="2" t="str">
        <f>"2170561957                    "</f>
        <v xml:space="preserve">2170561957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2</v>
      </c>
      <c r="BI2496" s="2">
        <v>7</v>
      </c>
      <c r="BJ2496" s="2">
        <v>6.2</v>
      </c>
      <c r="BK2496" s="2">
        <v>7</v>
      </c>
      <c r="BL2496" s="2">
        <v>654.59</v>
      </c>
      <c r="BM2496" s="2">
        <v>91.64</v>
      </c>
      <c r="BN2496" s="2">
        <v>746.23</v>
      </c>
      <c r="BO2496" s="2">
        <v>746.23</v>
      </c>
      <c r="BP2496" s="2" t="s">
        <v>1318</v>
      </c>
      <c r="BQ2496" s="2" t="s">
        <v>2835</v>
      </c>
      <c r="BR2496" s="2" t="s">
        <v>2287</v>
      </c>
      <c r="BS2496" s="3">
        <v>42837</v>
      </c>
      <c r="BT2496" s="4">
        <v>0.63402777777777775</v>
      </c>
      <c r="BU2496" s="2" t="s">
        <v>2836</v>
      </c>
      <c r="BV2496" s="2" t="s">
        <v>111</v>
      </c>
      <c r="BW2496" s="2"/>
      <c r="BX2496" s="2"/>
      <c r="BY2496" s="2">
        <v>31200</v>
      </c>
      <c r="BZ2496" s="2" t="s">
        <v>2837</v>
      </c>
      <c r="CA2496" s="2"/>
      <c r="CB2496" s="2"/>
      <c r="CC2496" s="2" t="s">
        <v>538</v>
      </c>
      <c r="CD2496" s="2">
        <v>4339</v>
      </c>
      <c r="CE2496" s="2" t="s">
        <v>144</v>
      </c>
      <c r="CF2496" s="5">
        <v>42843</v>
      </c>
      <c r="CG2496" s="2"/>
      <c r="CH2496" s="2"/>
      <c r="CI2496" s="2">
        <v>0</v>
      </c>
      <c r="CJ2496" s="2">
        <v>0</v>
      </c>
      <c r="CK2496" s="2">
        <v>-1</v>
      </c>
      <c r="CL2496" s="2" t="s">
        <v>86</v>
      </c>
      <c r="CM2496" s="2"/>
    </row>
    <row r="2497" spans="1:91">
      <c r="A2497" s="2" t="s">
        <v>71</v>
      </c>
      <c r="B2497" s="2" t="s">
        <v>72</v>
      </c>
      <c r="C2497" s="2" t="s">
        <v>73</v>
      </c>
      <c r="D2497" s="2"/>
      <c r="E2497" s="2" t="str">
        <f>"080001611972"</f>
        <v>080001611972</v>
      </c>
      <c r="F2497" s="3">
        <v>42845</v>
      </c>
      <c r="G2497" s="2">
        <v>201710</v>
      </c>
      <c r="H2497" s="2" t="s">
        <v>131</v>
      </c>
      <c r="I2497" s="2" t="s">
        <v>132</v>
      </c>
      <c r="J2497" s="2" t="s">
        <v>2193</v>
      </c>
      <c r="K2497" s="2" t="s">
        <v>77</v>
      </c>
      <c r="L2497" s="2" t="s">
        <v>74</v>
      </c>
      <c r="M2497" s="2" t="s">
        <v>75</v>
      </c>
      <c r="N2497" s="2" t="s">
        <v>200</v>
      </c>
      <c r="O2497" s="2" t="s">
        <v>115</v>
      </c>
      <c r="P2497" s="2" t="str">
        <f>"WRONG DELIVERIE               "</f>
        <v xml:space="preserve">WRONG DELIVERIE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4.29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1</v>
      </c>
      <c r="BJ2497" s="2">
        <v>0.2</v>
      </c>
      <c r="BK2497" s="2">
        <v>1</v>
      </c>
      <c r="BL2497" s="2">
        <v>41.73</v>
      </c>
      <c r="BM2497" s="2">
        <v>5.84</v>
      </c>
      <c r="BN2497" s="2">
        <v>47.57</v>
      </c>
      <c r="BO2497" s="2">
        <v>47.57</v>
      </c>
      <c r="BP2497" s="2" t="s">
        <v>2838</v>
      </c>
      <c r="BQ2497" s="2" t="s">
        <v>134</v>
      </c>
      <c r="BR2497" s="2" t="s">
        <v>2195</v>
      </c>
      <c r="BS2497" s="3">
        <v>42846</v>
      </c>
      <c r="BT2497" s="4">
        <v>0.35416666666666669</v>
      </c>
      <c r="BU2497" s="2" t="s">
        <v>2586</v>
      </c>
      <c r="BV2497" s="2" t="s">
        <v>111</v>
      </c>
      <c r="BW2497" s="2"/>
      <c r="BX2497" s="2"/>
      <c r="BY2497" s="2">
        <v>1200</v>
      </c>
      <c r="BZ2497" s="2" t="s">
        <v>27</v>
      </c>
      <c r="CA2497" s="2"/>
      <c r="CB2497" s="2"/>
      <c r="CC2497" s="2" t="s">
        <v>75</v>
      </c>
      <c r="CD2497" s="2">
        <v>1601</v>
      </c>
      <c r="CE2497" s="2" t="s">
        <v>89</v>
      </c>
      <c r="CF2497" s="5">
        <v>42849</v>
      </c>
      <c r="CG2497" s="2"/>
      <c r="CH2497" s="2"/>
      <c r="CI2497" s="2">
        <v>1</v>
      </c>
      <c r="CJ2497" s="2">
        <v>1</v>
      </c>
      <c r="CK2497" s="2">
        <v>21</v>
      </c>
      <c r="CL2497" s="2" t="s">
        <v>86</v>
      </c>
      <c r="CM2497" s="2"/>
    </row>
    <row r="2498" spans="1:91">
      <c r="A2498" s="2" t="s">
        <v>71</v>
      </c>
      <c r="B2498" s="2" t="s">
        <v>72</v>
      </c>
      <c r="C2498" s="2" t="s">
        <v>73</v>
      </c>
      <c r="D2498" s="2"/>
      <c r="E2498" s="2" t="str">
        <f>"FES1162544435"</f>
        <v>FES1162544435</v>
      </c>
      <c r="F2498" s="3">
        <v>42845</v>
      </c>
      <c r="G2498" s="2">
        <v>201710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131</v>
      </c>
      <c r="M2498" s="2" t="s">
        <v>132</v>
      </c>
      <c r="N2498" s="2" t="s">
        <v>744</v>
      </c>
      <c r="O2498" s="2" t="s">
        <v>115</v>
      </c>
      <c r="P2498" s="2" t="str">
        <f>"2170563027                    "</f>
        <v xml:space="preserve">2170563027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4.29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1</v>
      </c>
      <c r="BJ2498" s="2">
        <v>0.2</v>
      </c>
      <c r="BK2498" s="2">
        <v>1</v>
      </c>
      <c r="BL2498" s="2">
        <v>41.73</v>
      </c>
      <c r="BM2498" s="2">
        <v>5.84</v>
      </c>
      <c r="BN2498" s="2">
        <v>47.57</v>
      </c>
      <c r="BO2498" s="2">
        <v>47.57</v>
      </c>
      <c r="BP2498" s="2"/>
      <c r="BQ2498" s="2" t="s">
        <v>138</v>
      </c>
      <c r="BR2498" s="2" t="s">
        <v>84</v>
      </c>
      <c r="BS2498" s="3">
        <v>42846</v>
      </c>
      <c r="BT2498" s="4">
        <v>0.41666666666666669</v>
      </c>
      <c r="BU2498" s="2" t="s">
        <v>2512</v>
      </c>
      <c r="BV2498" s="2" t="s">
        <v>111</v>
      </c>
      <c r="BW2498" s="2"/>
      <c r="BX2498" s="2"/>
      <c r="BY2498" s="2">
        <v>1200</v>
      </c>
      <c r="BZ2498" s="2" t="s">
        <v>27</v>
      </c>
      <c r="CA2498" s="2"/>
      <c r="CB2498" s="2"/>
      <c r="CC2498" s="2" t="s">
        <v>132</v>
      </c>
      <c r="CD2498" s="2">
        <v>7405</v>
      </c>
      <c r="CE2498" s="2" t="s">
        <v>118</v>
      </c>
      <c r="CF2498" s="5">
        <v>42849</v>
      </c>
      <c r="CG2498" s="2"/>
      <c r="CH2498" s="2"/>
      <c r="CI2498" s="2">
        <v>1</v>
      </c>
      <c r="CJ2498" s="2">
        <v>1</v>
      </c>
      <c r="CK2498" s="2">
        <v>21</v>
      </c>
      <c r="CL2498" s="2" t="s">
        <v>86</v>
      </c>
      <c r="CM2498" s="2"/>
    </row>
    <row r="2499" spans="1:91">
      <c r="A2499" s="2" t="s">
        <v>71</v>
      </c>
      <c r="B2499" s="2" t="s">
        <v>72</v>
      </c>
      <c r="C2499" s="2" t="s">
        <v>73</v>
      </c>
      <c r="D2499" s="2"/>
      <c r="E2499" s="2" t="str">
        <f>"FES1162544737"</f>
        <v>FES1162544737</v>
      </c>
      <c r="F2499" s="3">
        <v>42845</v>
      </c>
      <c r="G2499" s="2">
        <v>201710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131</v>
      </c>
      <c r="M2499" s="2" t="s">
        <v>132</v>
      </c>
      <c r="N2499" s="2" t="s">
        <v>2821</v>
      </c>
      <c r="O2499" s="2" t="s">
        <v>115</v>
      </c>
      <c r="P2499" s="2" t="str">
        <f>"2170563297                    "</f>
        <v xml:space="preserve">2170563297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4.29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1</v>
      </c>
      <c r="BJ2499" s="2">
        <v>0.2</v>
      </c>
      <c r="BK2499" s="2">
        <v>1</v>
      </c>
      <c r="BL2499" s="2">
        <v>41.73</v>
      </c>
      <c r="BM2499" s="2">
        <v>5.84</v>
      </c>
      <c r="BN2499" s="2">
        <v>47.57</v>
      </c>
      <c r="BO2499" s="2">
        <v>47.57</v>
      </c>
      <c r="BP2499" s="2"/>
      <c r="BQ2499" s="2" t="s">
        <v>129</v>
      </c>
      <c r="BR2499" s="2" t="s">
        <v>84</v>
      </c>
      <c r="BS2499" s="3">
        <v>42846</v>
      </c>
      <c r="BT2499" s="4">
        <v>0.41666666666666669</v>
      </c>
      <c r="BU2499" s="2" t="s">
        <v>2839</v>
      </c>
      <c r="BV2499" s="2" t="s">
        <v>111</v>
      </c>
      <c r="BW2499" s="2"/>
      <c r="BX2499" s="2"/>
      <c r="BY2499" s="2">
        <v>1200</v>
      </c>
      <c r="BZ2499" s="2"/>
      <c r="CA2499" s="2"/>
      <c r="CB2499" s="2"/>
      <c r="CC2499" s="2" t="s">
        <v>132</v>
      </c>
      <c r="CD2499" s="2">
        <v>7580</v>
      </c>
      <c r="CE2499" s="2" t="s">
        <v>118</v>
      </c>
      <c r="CF2499" s="5">
        <v>42849</v>
      </c>
      <c r="CG2499" s="2"/>
      <c r="CH2499" s="2"/>
      <c r="CI2499" s="2">
        <v>1</v>
      </c>
      <c r="CJ2499" s="2">
        <v>1</v>
      </c>
      <c r="CK2499" s="2">
        <v>21</v>
      </c>
      <c r="CL2499" s="2" t="s">
        <v>86</v>
      </c>
      <c r="CM2499" s="2"/>
    </row>
    <row r="2500" spans="1:91">
      <c r="A2500" s="2" t="s">
        <v>71</v>
      </c>
      <c r="B2500" s="2" t="s">
        <v>72</v>
      </c>
      <c r="C2500" s="2" t="s">
        <v>73</v>
      </c>
      <c r="D2500" s="2"/>
      <c r="E2500" s="2" t="str">
        <f>"080001612001"</f>
        <v>080001612001</v>
      </c>
      <c r="F2500" s="3">
        <v>42845</v>
      </c>
      <c r="G2500" s="2">
        <v>201710</v>
      </c>
      <c r="H2500" s="2" t="s">
        <v>112</v>
      </c>
      <c r="I2500" s="2" t="s">
        <v>113</v>
      </c>
      <c r="J2500" s="2" t="s">
        <v>2840</v>
      </c>
      <c r="K2500" s="2" t="s">
        <v>77</v>
      </c>
      <c r="L2500" s="2" t="s">
        <v>74</v>
      </c>
      <c r="M2500" s="2" t="s">
        <v>75</v>
      </c>
      <c r="N2500" s="2" t="s">
        <v>2616</v>
      </c>
      <c r="O2500" s="2" t="s">
        <v>115</v>
      </c>
      <c r="P2500" s="2" t="str">
        <f>"za1000636635                  "</f>
        <v xml:space="preserve">za1000636635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25.72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12</v>
      </c>
      <c r="BJ2500" s="2">
        <v>2.4</v>
      </c>
      <c r="BK2500" s="2">
        <v>12</v>
      </c>
      <c r="BL2500" s="2">
        <v>250.36</v>
      </c>
      <c r="BM2500" s="2">
        <v>35.049999999999997</v>
      </c>
      <c r="BN2500" s="2">
        <v>285.41000000000003</v>
      </c>
      <c r="BO2500" s="2">
        <v>285.41000000000003</v>
      </c>
      <c r="BP2500" s="2" t="s">
        <v>2841</v>
      </c>
      <c r="BQ2500" s="2" t="s">
        <v>2618</v>
      </c>
      <c r="BR2500" s="2" t="s">
        <v>2842</v>
      </c>
      <c r="BS2500" s="3">
        <v>42846</v>
      </c>
      <c r="BT2500" s="4">
        <v>0.35416666666666669</v>
      </c>
      <c r="BU2500" s="2" t="s">
        <v>2586</v>
      </c>
      <c r="BV2500" s="2" t="s">
        <v>111</v>
      </c>
      <c r="BW2500" s="2"/>
      <c r="BX2500" s="2"/>
      <c r="BY2500" s="2">
        <v>12000</v>
      </c>
      <c r="BZ2500" s="2"/>
      <c r="CA2500" s="2"/>
      <c r="CB2500" s="2"/>
      <c r="CC2500" s="2" t="s">
        <v>75</v>
      </c>
      <c r="CD2500" s="2">
        <v>1601</v>
      </c>
      <c r="CE2500" s="2" t="s">
        <v>89</v>
      </c>
      <c r="CF2500" s="5">
        <v>42849</v>
      </c>
      <c r="CG2500" s="2"/>
      <c r="CH2500" s="2"/>
      <c r="CI2500" s="2">
        <v>1</v>
      </c>
      <c r="CJ2500" s="2">
        <v>1</v>
      </c>
      <c r="CK2500" s="2">
        <v>21</v>
      </c>
      <c r="CL2500" s="2" t="s">
        <v>86</v>
      </c>
      <c r="CM2500" s="2"/>
    </row>
    <row r="2501" spans="1:91">
      <c r="A2501" s="2" t="s">
        <v>71</v>
      </c>
      <c r="B2501" s="2" t="s">
        <v>72</v>
      </c>
      <c r="C2501" s="2" t="s">
        <v>73</v>
      </c>
      <c r="D2501" s="2"/>
      <c r="E2501" s="2" t="str">
        <f>"FES1162544765"</f>
        <v>FES1162544765</v>
      </c>
      <c r="F2501" s="3">
        <v>42845</v>
      </c>
      <c r="G2501" s="2">
        <v>201710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99</v>
      </c>
      <c r="M2501" s="2" t="s">
        <v>100</v>
      </c>
      <c r="N2501" s="2" t="s">
        <v>876</v>
      </c>
      <c r="O2501" s="2" t="s">
        <v>115</v>
      </c>
      <c r="P2501" s="2" t="str">
        <f>"2170563322                    "</f>
        <v xml:space="preserve">2170563322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4.29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1</v>
      </c>
      <c r="BJ2501" s="2">
        <v>0.2</v>
      </c>
      <c r="BK2501" s="2">
        <v>1</v>
      </c>
      <c r="BL2501" s="2">
        <v>41.73</v>
      </c>
      <c r="BM2501" s="2">
        <v>5.84</v>
      </c>
      <c r="BN2501" s="2">
        <v>47.57</v>
      </c>
      <c r="BO2501" s="2">
        <v>47.57</v>
      </c>
      <c r="BP2501" s="2"/>
      <c r="BQ2501" s="2" t="s">
        <v>877</v>
      </c>
      <c r="BR2501" s="2" t="s">
        <v>84</v>
      </c>
      <c r="BS2501" s="3">
        <v>42846</v>
      </c>
      <c r="BT2501" s="4">
        <v>0.29166666666666669</v>
      </c>
      <c r="BU2501" s="2" t="s">
        <v>2843</v>
      </c>
      <c r="BV2501" s="2" t="s">
        <v>111</v>
      </c>
      <c r="BW2501" s="2"/>
      <c r="BX2501" s="2"/>
      <c r="BY2501" s="2">
        <v>1200</v>
      </c>
      <c r="BZ2501" s="2"/>
      <c r="CA2501" s="2"/>
      <c r="CB2501" s="2"/>
      <c r="CC2501" s="2" t="s">
        <v>100</v>
      </c>
      <c r="CD2501" s="2">
        <v>6012</v>
      </c>
      <c r="CE2501" s="2" t="s">
        <v>118</v>
      </c>
      <c r="CF2501" s="5">
        <v>42849</v>
      </c>
      <c r="CG2501" s="2"/>
      <c r="CH2501" s="2"/>
      <c r="CI2501" s="2">
        <v>1</v>
      </c>
      <c r="CJ2501" s="2">
        <v>1</v>
      </c>
      <c r="CK2501" s="2">
        <v>21</v>
      </c>
      <c r="CL2501" s="2" t="s">
        <v>86</v>
      </c>
      <c r="CM2501" s="2"/>
    </row>
    <row r="2502" spans="1:91">
      <c r="A2502" s="2" t="s">
        <v>71</v>
      </c>
      <c r="B2502" s="2" t="s">
        <v>72</v>
      </c>
      <c r="C2502" s="2" t="s">
        <v>73</v>
      </c>
      <c r="D2502" s="2"/>
      <c r="E2502" s="2" t="str">
        <f>"FES1162544606"</f>
        <v>FES1162544606</v>
      </c>
      <c r="F2502" s="3">
        <v>42845</v>
      </c>
      <c r="G2502" s="2">
        <v>201710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131</v>
      </c>
      <c r="M2502" s="2" t="s">
        <v>132</v>
      </c>
      <c r="N2502" s="2" t="s">
        <v>744</v>
      </c>
      <c r="O2502" s="2" t="s">
        <v>115</v>
      </c>
      <c r="P2502" s="2" t="str">
        <f>"2170563149                    "</f>
        <v xml:space="preserve">2170563149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10.72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5</v>
      </c>
      <c r="BJ2502" s="2">
        <v>1.4</v>
      </c>
      <c r="BK2502" s="2">
        <v>5</v>
      </c>
      <c r="BL2502" s="2">
        <v>104.32</v>
      </c>
      <c r="BM2502" s="2">
        <v>14.6</v>
      </c>
      <c r="BN2502" s="2">
        <v>118.92</v>
      </c>
      <c r="BO2502" s="2">
        <v>118.92</v>
      </c>
      <c r="BP2502" s="2"/>
      <c r="BQ2502" s="2" t="s">
        <v>138</v>
      </c>
      <c r="BR2502" s="2" t="s">
        <v>84</v>
      </c>
      <c r="BS2502" s="3">
        <v>42846</v>
      </c>
      <c r="BT2502" s="4">
        <v>0.41666666666666669</v>
      </c>
      <c r="BU2502" s="2" t="s">
        <v>2512</v>
      </c>
      <c r="BV2502" s="2" t="s">
        <v>111</v>
      </c>
      <c r="BW2502" s="2"/>
      <c r="BX2502" s="2"/>
      <c r="BY2502" s="2">
        <v>7216</v>
      </c>
      <c r="BZ2502" s="2" t="s">
        <v>27</v>
      </c>
      <c r="CA2502" s="2"/>
      <c r="CB2502" s="2"/>
      <c r="CC2502" s="2" t="s">
        <v>132</v>
      </c>
      <c r="CD2502" s="2">
        <v>7405</v>
      </c>
      <c r="CE2502" s="2" t="s">
        <v>172</v>
      </c>
      <c r="CF2502" s="5">
        <v>42849</v>
      </c>
      <c r="CG2502" s="2"/>
      <c r="CH2502" s="2"/>
      <c r="CI2502" s="2">
        <v>1</v>
      </c>
      <c r="CJ2502" s="2">
        <v>1</v>
      </c>
      <c r="CK2502" s="2">
        <v>21</v>
      </c>
      <c r="CL2502" s="2" t="s">
        <v>86</v>
      </c>
      <c r="CM2502" s="2"/>
    </row>
    <row r="2503" spans="1:91">
      <c r="A2503" s="2" t="s">
        <v>71</v>
      </c>
      <c r="B2503" s="2" t="s">
        <v>72</v>
      </c>
      <c r="C2503" s="2" t="s">
        <v>73</v>
      </c>
      <c r="D2503" s="2"/>
      <c r="E2503" s="2" t="str">
        <f>"FES1162544323"</f>
        <v>FES1162544323</v>
      </c>
      <c r="F2503" s="3">
        <v>42845</v>
      </c>
      <c r="G2503" s="2">
        <v>201710</v>
      </c>
      <c r="H2503" s="2" t="s">
        <v>74</v>
      </c>
      <c r="I2503" s="2" t="s">
        <v>75</v>
      </c>
      <c r="J2503" s="2" t="s">
        <v>76</v>
      </c>
      <c r="K2503" s="2" t="s">
        <v>77</v>
      </c>
      <c r="L2503" s="2" t="s">
        <v>496</v>
      </c>
      <c r="M2503" s="2" t="s">
        <v>497</v>
      </c>
      <c r="N2503" s="2" t="s">
        <v>1357</v>
      </c>
      <c r="O2503" s="2" t="s">
        <v>115</v>
      </c>
      <c r="P2503" s="2" t="str">
        <f>"2170559919                    "</f>
        <v xml:space="preserve">2170559919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3.35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2</v>
      </c>
      <c r="BI2503" s="2">
        <v>7.6</v>
      </c>
      <c r="BJ2503" s="2">
        <v>5.9</v>
      </c>
      <c r="BK2503" s="2">
        <v>8</v>
      </c>
      <c r="BL2503" s="2">
        <v>32.6</v>
      </c>
      <c r="BM2503" s="2">
        <v>4.5599999999999996</v>
      </c>
      <c r="BN2503" s="2">
        <v>37.159999999999997</v>
      </c>
      <c r="BO2503" s="2">
        <v>37.159999999999997</v>
      </c>
      <c r="BP2503" s="2"/>
      <c r="BQ2503" s="2" t="s">
        <v>1358</v>
      </c>
      <c r="BR2503" s="2" t="s">
        <v>84</v>
      </c>
      <c r="BS2503" s="3">
        <v>42846</v>
      </c>
      <c r="BT2503" s="4">
        <v>0.41597222222222219</v>
      </c>
      <c r="BU2503" s="2" t="s">
        <v>290</v>
      </c>
      <c r="BV2503" s="2" t="s">
        <v>111</v>
      </c>
      <c r="BW2503" s="2"/>
      <c r="BX2503" s="2"/>
      <c r="BY2503" s="2">
        <v>29304.25</v>
      </c>
      <c r="BZ2503" s="2" t="s">
        <v>27</v>
      </c>
      <c r="CA2503" s="2"/>
      <c r="CB2503" s="2"/>
      <c r="CC2503" s="2" t="s">
        <v>497</v>
      </c>
      <c r="CD2503" s="2">
        <v>1559</v>
      </c>
      <c r="CE2503" s="2" t="s">
        <v>89</v>
      </c>
      <c r="CF2503" s="5">
        <v>42849</v>
      </c>
      <c r="CG2503" s="2"/>
      <c r="CH2503" s="2"/>
      <c r="CI2503" s="2">
        <v>1</v>
      </c>
      <c r="CJ2503" s="2">
        <v>1</v>
      </c>
      <c r="CK2503" s="2">
        <v>22</v>
      </c>
      <c r="CL2503" s="2" t="s">
        <v>86</v>
      </c>
      <c r="CM2503" s="2"/>
    </row>
    <row r="2504" spans="1:91">
      <c r="A2504" s="2" t="s">
        <v>71</v>
      </c>
      <c r="B2504" s="2" t="s">
        <v>72</v>
      </c>
      <c r="C2504" s="2" t="s">
        <v>73</v>
      </c>
      <c r="D2504" s="2"/>
      <c r="E2504" s="2" t="str">
        <f>"FES1162544780"</f>
        <v>FES1162544780</v>
      </c>
      <c r="F2504" s="3">
        <v>42845</v>
      </c>
      <c r="G2504" s="2">
        <v>201710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294</v>
      </c>
      <c r="M2504" s="2" t="s">
        <v>295</v>
      </c>
      <c r="N2504" s="2" t="s">
        <v>728</v>
      </c>
      <c r="O2504" s="2" t="s">
        <v>115</v>
      </c>
      <c r="P2504" s="2" t="str">
        <f>"2170563333                    "</f>
        <v xml:space="preserve">2170563333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4.29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1</v>
      </c>
      <c r="BJ2504" s="2">
        <v>0.2</v>
      </c>
      <c r="BK2504" s="2">
        <v>1</v>
      </c>
      <c r="BL2504" s="2">
        <v>41.73</v>
      </c>
      <c r="BM2504" s="2">
        <v>5.84</v>
      </c>
      <c r="BN2504" s="2">
        <v>47.57</v>
      </c>
      <c r="BO2504" s="2">
        <v>47.57</v>
      </c>
      <c r="BP2504" s="2"/>
      <c r="BQ2504" s="2" t="s">
        <v>729</v>
      </c>
      <c r="BR2504" s="2" t="s">
        <v>84</v>
      </c>
      <c r="BS2504" s="3">
        <v>42846</v>
      </c>
      <c r="BT2504" s="4">
        <v>0.4375</v>
      </c>
      <c r="BU2504" s="2" t="s">
        <v>2844</v>
      </c>
      <c r="BV2504" s="2" t="s">
        <v>111</v>
      </c>
      <c r="BW2504" s="2"/>
      <c r="BX2504" s="2"/>
      <c r="BY2504" s="2">
        <v>1200</v>
      </c>
      <c r="BZ2504" s="2"/>
      <c r="CA2504" s="2" t="s">
        <v>159</v>
      </c>
      <c r="CB2504" s="2"/>
      <c r="CC2504" s="2" t="s">
        <v>295</v>
      </c>
      <c r="CD2504" s="2">
        <v>3610</v>
      </c>
      <c r="CE2504" s="2" t="s">
        <v>118</v>
      </c>
      <c r="CF2504" s="5">
        <v>42849</v>
      </c>
      <c r="CG2504" s="2"/>
      <c r="CH2504" s="2"/>
      <c r="CI2504" s="2">
        <v>1</v>
      </c>
      <c r="CJ2504" s="2">
        <v>1</v>
      </c>
      <c r="CK2504" s="2">
        <v>21</v>
      </c>
      <c r="CL2504" s="2" t="s">
        <v>86</v>
      </c>
      <c r="CM2504" s="2"/>
    </row>
    <row r="2505" spans="1:91">
      <c r="A2505" s="2" t="s">
        <v>71</v>
      </c>
      <c r="B2505" s="2" t="s">
        <v>72</v>
      </c>
      <c r="C2505" s="2" t="s">
        <v>73</v>
      </c>
      <c r="D2505" s="2"/>
      <c r="E2505" s="2" t="str">
        <f>"FES1162544669"</f>
        <v>FES1162544669</v>
      </c>
      <c r="F2505" s="3">
        <v>42845</v>
      </c>
      <c r="G2505" s="2">
        <v>201710</v>
      </c>
      <c r="H2505" s="2" t="s">
        <v>74</v>
      </c>
      <c r="I2505" s="2" t="s">
        <v>75</v>
      </c>
      <c r="J2505" s="2" t="s">
        <v>76</v>
      </c>
      <c r="K2505" s="2" t="s">
        <v>77</v>
      </c>
      <c r="L2505" s="2" t="s">
        <v>1692</v>
      </c>
      <c r="M2505" s="2" t="s">
        <v>1693</v>
      </c>
      <c r="N2505" s="2" t="s">
        <v>2845</v>
      </c>
      <c r="O2505" s="2" t="s">
        <v>115</v>
      </c>
      <c r="P2505" s="2" t="str">
        <f>"2170563216                    "</f>
        <v xml:space="preserve">2170563216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4.29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1</v>
      </c>
      <c r="BJ2505" s="2">
        <v>0.2</v>
      </c>
      <c r="BK2505" s="2">
        <v>1</v>
      </c>
      <c r="BL2505" s="2">
        <v>41.73</v>
      </c>
      <c r="BM2505" s="2">
        <v>5.84</v>
      </c>
      <c r="BN2505" s="2">
        <v>47.57</v>
      </c>
      <c r="BO2505" s="2">
        <v>47.57</v>
      </c>
      <c r="BP2505" s="2"/>
      <c r="BQ2505" s="2" t="s">
        <v>2846</v>
      </c>
      <c r="BR2505" s="2" t="s">
        <v>84</v>
      </c>
      <c r="BS2505" s="3">
        <v>42846</v>
      </c>
      <c r="BT2505" s="4">
        <v>0.3125</v>
      </c>
      <c r="BU2505" s="2" t="s">
        <v>2847</v>
      </c>
      <c r="BV2505" s="2" t="s">
        <v>111</v>
      </c>
      <c r="BW2505" s="2"/>
      <c r="BX2505" s="2"/>
      <c r="BY2505" s="2">
        <v>1200</v>
      </c>
      <c r="BZ2505" s="2" t="s">
        <v>27</v>
      </c>
      <c r="CA2505" s="2"/>
      <c r="CB2505" s="2"/>
      <c r="CC2505" s="2" t="s">
        <v>1693</v>
      </c>
      <c r="CD2505" s="2">
        <v>4120</v>
      </c>
      <c r="CE2505" s="2" t="s">
        <v>118</v>
      </c>
      <c r="CF2505" s="5">
        <v>42849</v>
      </c>
      <c r="CG2505" s="2"/>
      <c r="CH2505" s="2"/>
      <c r="CI2505" s="2">
        <v>1</v>
      </c>
      <c r="CJ2505" s="2">
        <v>1</v>
      </c>
      <c r="CK2505" s="2">
        <v>21</v>
      </c>
      <c r="CL2505" s="2" t="s">
        <v>86</v>
      </c>
      <c r="CM2505" s="2"/>
    </row>
    <row r="2506" spans="1:91">
      <c r="A2506" s="2" t="s">
        <v>71</v>
      </c>
      <c r="B2506" s="2" t="s">
        <v>72</v>
      </c>
      <c r="C2506" s="2" t="s">
        <v>73</v>
      </c>
      <c r="D2506" s="2"/>
      <c r="E2506" s="2" t="str">
        <f>"FES1162544777"</f>
        <v>FES1162544777</v>
      </c>
      <c r="F2506" s="3">
        <v>42845</v>
      </c>
      <c r="G2506" s="2">
        <v>201710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537</v>
      </c>
      <c r="M2506" s="2" t="s">
        <v>538</v>
      </c>
      <c r="N2506" s="2" t="s">
        <v>539</v>
      </c>
      <c r="O2506" s="2" t="s">
        <v>115</v>
      </c>
      <c r="P2506" s="2" t="str">
        <f>"2170563312                    "</f>
        <v xml:space="preserve">2170563312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8.31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1</v>
      </c>
      <c r="BJ2506" s="2">
        <v>0.2</v>
      </c>
      <c r="BK2506" s="2">
        <v>1</v>
      </c>
      <c r="BL2506" s="2">
        <v>80.849999999999994</v>
      </c>
      <c r="BM2506" s="2">
        <v>11.32</v>
      </c>
      <c r="BN2506" s="2">
        <v>92.17</v>
      </c>
      <c r="BO2506" s="2">
        <v>92.17</v>
      </c>
      <c r="BP2506" s="2"/>
      <c r="BQ2506" s="2" t="s">
        <v>918</v>
      </c>
      <c r="BR2506" s="2" t="s">
        <v>84</v>
      </c>
      <c r="BS2506" s="3">
        <v>42846</v>
      </c>
      <c r="BT2506" s="4">
        <v>0.44791666666666669</v>
      </c>
      <c r="BU2506" s="2" t="s">
        <v>2848</v>
      </c>
      <c r="BV2506" s="2" t="s">
        <v>111</v>
      </c>
      <c r="BW2506" s="2"/>
      <c r="BX2506" s="2"/>
      <c r="BY2506" s="2">
        <v>1200</v>
      </c>
      <c r="BZ2506" s="2"/>
      <c r="CA2506" s="2"/>
      <c r="CB2506" s="2"/>
      <c r="CC2506" s="2" t="s">
        <v>538</v>
      </c>
      <c r="CD2506" s="2">
        <v>4339</v>
      </c>
      <c r="CE2506" s="2" t="s">
        <v>118</v>
      </c>
      <c r="CF2506" s="2"/>
      <c r="CG2506" s="2"/>
      <c r="CH2506" s="2"/>
      <c r="CI2506" s="2">
        <v>1</v>
      </c>
      <c r="CJ2506" s="2">
        <v>1</v>
      </c>
      <c r="CK2506" s="2">
        <v>23</v>
      </c>
      <c r="CL2506" s="2" t="s">
        <v>86</v>
      </c>
      <c r="CM2506" s="2"/>
    </row>
    <row r="2507" spans="1:91">
      <c r="A2507" s="2" t="s">
        <v>71</v>
      </c>
      <c r="B2507" s="2" t="s">
        <v>72</v>
      </c>
      <c r="C2507" s="2" t="s">
        <v>73</v>
      </c>
      <c r="D2507" s="2"/>
      <c r="E2507" s="2" t="str">
        <f>"FES1162544548"</f>
        <v>FES1162544548</v>
      </c>
      <c r="F2507" s="3">
        <v>42845</v>
      </c>
      <c r="G2507" s="2">
        <v>201710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166</v>
      </c>
      <c r="M2507" s="2" t="s">
        <v>167</v>
      </c>
      <c r="N2507" s="2" t="s">
        <v>2849</v>
      </c>
      <c r="O2507" s="2" t="s">
        <v>115</v>
      </c>
      <c r="P2507" s="2" t="str">
        <f>"2170555128                    "</f>
        <v xml:space="preserve">2170555128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3.35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32.6</v>
      </c>
      <c r="BM2507" s="2">
        <v>4.5599999999999996</v>
      </c>
      <c r="BN2507" s="2">
        <v>37.159999999999997</v>
      </c>
      <c r="BO2507" s="2">
        <v>37.159999999999997</v>
      </c>
      <c r="BP2507" s="2"/>
      <c r="BQ2507" s="2" t="s">
        <v>2850</v>
      </c>
      <c r="BR2507" s="2" t="s">
        <v>84</v>
      </c>
      <c r="BS2507" s="3">
        <v>42846</v>
      </c>
      <c r="BT2507" s="4">
        <v>0.33888888888888885</v>
      </c>
      <c r="BU2507" s="2" t="s">
        <v>2851</v>
      </c>
      <c r="BV2507" s="2" t="s">
        <v>111</v>
      </c>
      <c r="BW2507" s="2"/>
      <c r="BX2507" s="2"/>
      <c r="BY2507" s="2">
        <v>1200</v>
      </c>
      <c r="BZ2507" s="2"/>
      <c r="CA2507" s="2" t="s">
        <v>171</v>
      </c>
      <c r="CB2507" s="2"/>
      <c r="CC2507" s="2" t="s">
        <v>167</v>
      </c>
      <c r="CD2507" s="2">
        <v>2049</v>
      </c>
      <c r="CE2507" s="2" t="s">
        <v>118</v>
      </c>
      <c r="CF2507" s="5">
        <v>42846</v>
      </c>
      <c r="CG2507" s="2"/>
      <c r="CH2507" s="2"/>
      <c r="CI2507" s="2">
        <v>1</v>
      </c>
      <c r="CJ2507" s="2">
        <v>1</v>
      </c>
      <c r="CK2507" s="2">
        <v>22</v>
      </c>
      <c r="CL2507" s="2" t="s">
        <v>86</v>
      </c>
      <c r="CM2507" s="2"/>
    </row>
    <row r="2508" spans="1:91">
      <c r="A2508" s="2" t="s">
        <v>71</v>
      </c>
      <c r="B2508" s="2" t="s">
        <v>72</v>
      </c>
      <c r="C2508" s="2" t="s">
        <v>73</v>
      </c>
      <c r="D2508" s="2"/>
      <c r="E2508" s="2" t="str">
        <f>"FES1162544549"</f>
        <v>FES1162544549</v>
      </c>
      <c r="F2508" s="3">
        <v>42845</v>
      </c>
      <c r="G2508" s="2">
        <v>201710</v>
      </c>
      <c r="H2508" s="2" t="s">
        <v>74</v>
      </c>
      <c r="I2508" s="2" t="s">
        <v>75</v>
      </c>
      <c r="J2508" s="2" t="s">
        <v>76</v>
      </c>
      <c r="K2508" s="2" t="s">
        <v>77</v>
      </c>
      <c r="L2508" s="2" t="s">
        <v>160</v>
      </c>
      <c r="M2508" s="2" t="s">
        <v>161</v>
      </c>
      <c r="N2508" s="2" t="s">
        <v>1432</v>
      </c>
      <c r="O2508" s="2" t="s">
        <v>115</v>
      </c>
      <c r="P2508" s="2" t="str">
        <f>"2170558112                    "</f>
        <v xml:space="preserve">2170558112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4.29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1</v>
      </c>
      <c r="BJ2508" s="2">
        <v>0.2</v>
      </c>
      <c r="BK2508" s="2">
        <v>1</v>
      </c>
      <c r="BL2508" s="2">
        <v>41.73</v>
      </c>
      <c r="BM2508" s="2">
        <v>5.84</v>
      </c>
      <c r="BN2508" s="2">
        <v>47.57</v>
      </c>
      <c r="BO2508" s="2">
        <v>47.57</v>
      </c>
      <c r="BP2508" s="2"/>
      <c r="BQ2508" s="2" t="s">
        <v>129</v>
      </c>
      <c r="BR2508" s="2" t="s">
        <v>84</v>
      </c>
      <c r="BS2508" s="3">
        <v>42846</v>
      </c>
      <c r="BT2508" s="4">
        <v>0.41666666666666669</v>
      </c>
      <c r="BU2508" s="2" t="s">
        <v>2852</v>
      </c>
      <c r="BV2508" s="2" t="s">
        <v>111</v>
      </c>
      <c r="BW2508" s="2"/>
      <c r="BX2508" s="2"/>
      <c r="BY2508" s="2">
        <v>1200</v>
      </c>
      <c r="BZ2508" s="2" t="s">
        <v>27</v>
      </c>
      <c r="CA2508" s="2"/>
      <c r="CB2508" s="2"/>
      <c r="CC2508" s="2" t="s">
        <v>161</v>
      </c>
      <c r="CD2508" s="2">
        <v>5201</v>
      </c>
      <c r="CE2508" s="2" t="s">
        <v>118</v>
      </c>
      <c r="CF2508" s="5">
        <v>42849</v>
      </c>
      <c r="CG2508" s="2"/>
      <c r="CH2508" s="2"/>
      <c r="CI2508" s="2">
        <v>1</v>
      </c>
      <c r="CJ2508" s="2">
        <v>1</v>
      </c>
      <c r="CK2508" s="2">
        <v>21</v>
      </c>
      <c r="CL2508" s="2" t="s">
        <v>86</v>
      </c>
      <c r="CM2508" s="2"/>
    </row>
    <row r="2509" spans="1:91">
      <c r="A2509" s="2" t="s">
        <v>71</v>
      </c>
      <c r="B2509" s="2" t="s">
        <v>72</v>
      </c>
      <c r="C2509" s="2" t="s">
        <v>73</v>
      </c>
      <c r="D2509" s="2"/>
      <c r="E2509" s="2" t="str">
        <f>"FES1162544746"</f>
        <v>FES1162544746</v>
      </c>
      <c r="F2509" s="3">
        <v>42845</v>
      </c>
      <c r="G2509" s="2">
        <v>201710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99</v>
      </c>
      <c r="M2509" s="2" t="s">
        <v>100</v>
      </c>
      <c r="N2509" s="2" t="s">
        <v>2853</v>
      </c>
      <c r="O2509" s="2" t="s">
        <v>115</v>
      </c>
      <c r="P2509" s="2" t="str">
        <f>"2170563304                    "</f>
        <v xml:space="preserve">2170563304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6.43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3</v>
      </c>
      <c r="BJ2509" s="2">
        <v>1.8</v>
      </c>
      <c r="BK2509" s="2">
        <v>3</v>
      </c>
      <c r="BL2509" s="2">
        <v>62.59</v>
      </c>
      <c r="BM2509" s="2">
        <v>8.76</v>
      </c>
      <c r="BN2509" s="2">
        <v>71.349999999999994</v>
      </c>
      <c r="BO2509" s="2">
        <v>71.349999999999994</v>
      </c>
      <c r="BP2509" s="2"/>
      <c r="BQ2509" s="2" t="s">
        <v>2854</v>
      </c>
      <c r="BR2509" s="2" t="s">
        <v>84</v>
      </c>
      <c r="BS2509" s="3">
        <v>42846</v>
      </c>
      <c r="BT2509" s="4">
        <v>0.41666666666666669</v>
      </c>
      <c r="BU2509" s="2" t="s">
        <v>2855</v>
      </c>
      <c r="BV2509" s="2" t="s">
        <v>111</v>
      </c>
      <c r="BW2509" s="2"/>
      <c r="BX2509" s="2"/>
      <c r="BY2509" s="2">
        <v>8775</v>
      </c>
      <c r="BZ2509" s="2"/>
      <c r="CA2509" s="2" t="s">
        <v>154</v>
      </c>
      <c r="CB2509" s="2"/>
      <c r="CC2509" s="2" t="s">
        <v>100</v>
      </c>
      <c r="CD2509" s="2">
        <v>6001</v>
      </c>
      <c r="CE2509" s="2" t="s">
        <v>89</v>
      </c>
      <c r="CF2509" s="5">
        <v>42846</v>
      </c>
      <c r="CG2509" s="2"/>
      <c r="CH2509" s="2"/>
      <c r="CI2509" s="2">
        <v>1</v>
      </c>
      <c r="CJ2509" s="2">
        <v>1</v>
      </c>
      <c r="CK2509" s="2">
        <v>21</v>
      </c>
      <c r="CL2509" s="2" t="s">
        <v>86</v>
      </c>
      <c r="CM2509" s="2"/>
    </row>
    <row r="2510" spans="1:91">
      <c r="A2510" s="2" t="s">
        <v>71</v>
      </c>
      <c r="B2510" s="2" t="s">
        <v>72</v>
      </c>
      <c r="C2510" s="2" t="s">
        <v>73</v>
      </c>
      <c r="D2510" s="2"/>
      <c r="E2510" s="2" t="str">
        <f>"FES1162544488"</f>
        <v>FES1162544488</v>
      </c>
      <c r="F2510" s="3">
        <v>42845</v>
      </c>
      <c r="G2510" s="2">
        <v>201710</v>
      </c>
      <c r="H2510" s="2" t="s">
        <v>74</v>
      </c>
      <c r="I2510" s="2" t="s">
        <v>75</v>
      </c>
      <c r="J2510" s="2" t="s">
        <v>76</v>
      </c>
      <c r="K2510" s="2" t="s">
        <v>77</v>
      </c>
      <c r="L2510" s="2" t="s">
        <v>641</v>
      </c>
      <c r="M2510" s="2" t="s">
        <v>642</v>
      </c>
      <c r="N2510" s="2" t="s">
        <v>643</v>
      </c>
      <c r="O2510" s="2" t="s">
        <v>115</v>
      </c>
      <c r="P2510" s="2" t="str">
        <f>"2170563066                    "</f>
        <v xml:space="preserve">2170563066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8.31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1.3</v>
      </c>
      <c r="BJ2510" s="2">
        <v>0.9</v>
      </c>
      <c r="BK2510" s="2">
        <v>1.5</v>
      </c>
      <c r="BL2510" s="2">
        <v>80.849999999999994</v>
      </c>
      <c r="BM2510" s="2">
        <v>11.32</v>
      </c>
      <c r="BN2510" s="2">
        <v>92.17</v>
      </c>
      <c r="BO2510" s="2">
        <v>92.17</v>
      </c>
      <c r="BP2510" s="2"/>
      <c r="BQ2510" s="2" t="s">
        <v>83</v>
      </c>
      <c r="BR2510" s="2" t="s">
        <v>84</v>
      </c>
      <c r="BS2510" s="3">
        <v>42844</v>
      </c>
      <c r="BT2510" s="4">
        <v>0.57291666666666663</v>
      </c>
      <c r="BU2510" s="2" t="s">
        <v>1894</v>
      </c>
      <c r="BV2510" s="2" t="s">
        <v>111</v>
      </c>
      <c r="BW2510" s="2"/>
      <c r="BX2510" s="2"/>
      <c r="BY2510" s="2">
        <v>4621.5</v>
      </c>
      <c r="BZ2510" s="2" t="s">
        <v>27</v>
      </c>
      <c r="CA2510" s="2"/>
      <c r="CB2510" s="2"/>
      <c r="CC2510" s="2" t="s">
        <v>642</v>
      </c>
      <c r="CD2510" s="2">
        <v>6300</v>
      </c>
      <c r="CE2510" s="2" t="s">
        <v>172</v>
      </c>
      <c r="CF2510" s="5">
        <v>42849</v>
      </c>
      <c r="CG2510" s="2"/>
      <c r="CH2510" s="2"/>
      <c r="CI2510" s="2">
        <v>3</v>
      </c>
      <c r="CJ2510" s="2">
        <v>-1</v>
      </c>
      <c r="CK2510" s="2">
        <v>23</v>
      </c>
      <c r="CL2510" s="2" t="s">
        <v>86</v>
      </c>
      <c r="CM2510" s="2"/>
    </row>
    <row r="2511" spans="1:91">
      <c r="A2511" s="2" t="s">
        <v>71</v>
      </c>
      <c r="B2511" s="2" t="s">
        <v>72</v>
      </c>
      <c r="C2511" s="2" t="s">
        <v>73</v>
      </c>
      <c r="D2511" s="2"/>
      <c r="E2511" s="2" t="str">
        <f>"FES1162544586"</f>
        <v>FES1162544586</v>
      </c>
      <c r="F2511" s="3">
        <v>42845</v>
      </c>
      <c r="G2511" s="2">
        <v>201710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1161</v>
      </c>
      <c r="M2511" s="2" t="s">
        <v>1162</v>
      </c>
      <c r="N2511" s="2" t="s">
        <v>1163</v>
      </c>
      <c r="O2511" s="2" t="s">
        <v>115</v>
      </c>
      <c r="P2511" s="2" t="str">
        <f>"21705559279                   "</f>
        <v xml:space="preserve">21705559279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6.03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1</v>
      </c>
      <c r="BJ2511" s="2">
        <v>0.2</v>
      </c>
      <c r="BK2511" s="2">
        <v>1</v>
      </c>
      <c r="BL2511" s="2">
        <v>58.68</v>
      </c>
      <c r="BM2511" s="2">
        <v>8.2200000000000006</v>
      </c>
      <c r="BN2511" s="2">
        <v>66.900000000000006</v>
      </c>
      <c r="BO2511" s="2">
        <v>66.900000000000006</v>
      </c>
      <c r="BP2511" s="2"/>
      <c r="BQ2511" s="2" t="s">
        <v>122</v>
      </c>
      <c r="BR2511" s="2" t="s">
        <v>84</v>
      </c>
      <c r="BS2511" s="3">
        <v>42849</v>
      </c>
      <c r="BT2511" s="4">
        <v>0.64930555555555558</v>
      </c>
      <c r="BU2511" s="2" t="s">
        <v>927</v>
      </c>
      <c r="BV2511" s="2" t="s">
        <v>111</v>
      </c>
      <c r="BW2511" s="2"/>
      <c r="BX2511" s="2"/>
      <c r="BY2511" s="2">
        <v>1200</v>
      </c>
      <c r="BZ2511" s="2" t="s">
        <v>27</v>
      </c>
      <c r="CA2511" s="2"/>
      <c r="CB2511" s="2"/>
      <c r="CC2511" s="2" t="s">
        <v>1162</v>
      </c>
      <c r="CD2511" s="2">
        <v>1028</v>
      </c>
      <c r="CE2511" s="2" t="s">
        <v>118</v>
      </c>
      <c r="CF2511" s="5">
        <v>42851</v>
      </c>
      <c r="CG2511" s="2"/>
      <c r="CH2511" s="2"/>
      <c r="CI2511" s="2">
        <v>0</v>
      </c>
      <c r="CJ2511" s="2">
        <v>0</v>
      </c>
      <c r="CK2511" s="2">
        <v>24</v>
      </c>
      <c r="CL2511" s="2" t="s">
        <v>86</v>
      </c>
      <c r="CM2511" s="2"/>
    </row>
    <row r="2512" spans="1:91">
      <c r="A2512" s="2" t="s">
        <v>71</v>
      </c>
      <c r="B2512" s="2" t="s">
        <v>72</v>
      </c>
      <c r="C2512" s="2" t="s">
        <v>73</v>
      </c>
      <c r="D2512" s="2"/>
      <c r="E2512" s="2" t="str">
        <f>"FES1162544705"</f>
        <v>FES1162544705</v>
      </c>
      <c r="F2512" s="3">
        <v>42845</v>
      </c>
      <c r="G2512" s="2">
        <v>201710</v>
      </c>
      <c r="H2512" s="2" t="s">
        <v>74</v>
      </c>
      <c r="I2512" s="2" t="s">
        <v>75</v>
      </c>
      <c r="J2512" s="2" t="s">
        <v>76</v>
      </c>
      <c r="K2512" s="2" t="s">
        <v>77</v>
      </c>
      <c r="L2512" s="2" t="s">
        <v>176</v>
      </c>
      <c r="M2512" s="2" t="s">
        <v>176</v>
      </c>
      <c r="N2512" s="2" t="s">
        <v>177</v>
      </c>
      <c r="O2512" s="2" t="s">
        <v>115</v>
      </c>
      <c r="P2512" s="2" t="str">
        <f>"2170563176                    "</f>
        <v xml:space="preserve">2170563176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4.29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41.73</v>
      </c>
      <c r="BM2512" s="2">
        <v>5.84</v>
      </c>
      <c r="BN2512" s="2">
        <v>47.57</v>
      </c>
      <c r="BO2512" s="2">
        <v>47.57</v>
      </c>
      <c r="BP2512" s="2"/>
      <c r="BQ2512" s="2" t="s">
        <v>178</v>
      </c>
      <c r="BR2512" s="2" t="s">
        <v>84</v>
      </c>
      <c r="BS2512" s="3">
        <v>42846</v>
      </c>
      <c r="BT2512" s="4">
        <v>0.52083333333333337</v>
      </c>
      <c r="BU2512" s="2" t="s">
        <v>179</v>
      </c>
      <c r="BV2512" s="2" t="s">
        <v>111</v>
      </c>
      <c r="BW2512" s="2"/>
      <c r="BX2512" s="2"/>
      <c r="BY2512" s="2">
        <v>1200</v>
      </c>
      <c r="BZ2512" s="2"/>
      <c r="CA2512" s="2"/>
      <c r="CB2512" s="2"/>
      <c r="CC2512" s="2" t="s">
        <v>176</v>
      </c>
      <c r="CD2512" s="2">
        <v>7646</v>
      </c>
      <c r="CE2512" s="2" t="s">
        <v>118</v>
      </c>
      <c r="CF2512" s="5">
        <v>42849</v>
      </c>
      <c r="CG2512" s="2"/>
      <c r="CH2512" s="2"/>
      <c r="CI2512" s="2">
        <v>1</v>
      </c>
      <c r="CJ2512" s="2">
        <v>1</v>
      </c>
      <c r="CK2512" s="2">
        <v>21</v>
      </c>
      <c r="CL2512" s="2" t="s">
        <v>86</v>
      </c>
      <c r="CM2512" s="2"/>
    </row>
    <row r="2513" spans="1:91">
      <c r="A2513" s="2" t="s">
        <v>71</v>
      </c>
      <c r="B2513" s="2" t="s">
        <v>72</v>
      </c>
      <c r="C2513" s="2" t="s">
        <v>73</v>
      </c>
      <c r="D2513" s="2"/>
      <c r="E2513" s="2" t="str">
        <f>"FES1162544570"</f>
        <v>FES1162544570</v>
      </c>
      <c r="F2513" s="3">
        <v>42845</v>
      </c>
      <c r="G2513" s="2">
        <v>201710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234</v>
      </c>
      <c r="M2513" s="2" t="s">
        <v>235</v>
      </c>
      <c r="N2513" s="2" t="s">
        <v>236</v>
      </c>
      <c r="O2513" s="2" t="s">
        <v>115</v>
      </c>
      <c r="P2513" s="2" t="str">
        <f>"2170561090                    "</f>
        <v xml:space="preserve">2170561090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4.29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1</v>
      </c>
      <c r="BJ2513" s="2">
        <v>0.2</v>
      </c>
      <c r="BK2513" s="2">
        <v>1</v>
      </c>
      <c r="BL2513" s="2">
        <v>41.73</v>
      </c>
      <c r="BM2513" s="2">
        <v>5.84</v>
      </c>
      <c r="BN2513" s="2">
        <v>47.57</v>
      </c>
      <c r="BO2513" s="2">
        <v>47.57</v>
      </c>
      <c r="BP2513" s="2"/>
      <c r="BQ2513" s="2" t="s">
        <v>285</v>
      </c>
      <c r="BR2513" s="2" t="s">
        <v>84</v>
      </c>
      <c r="BS2513" s="3">
        <v>42846</v>
      </c>
      <c r="BT2513" s="4">
        <v>0.3263888888888889</v>
      </c>
      <c r="BU2513" s="2" t="s">
        <v>130</v>
      </c>
      <c r="BV2513" s="2" t="s">
        <v>111</v>
      </c>
      <c r="BW2513" s="2"/>
      <c r="BX2513" s="2"/>
      <c r="BY2513" s="2">
        <v>1200</v>
      </c>
      <c r="BZ2513" s="2" t="s">
        <v>27</v>
      </c>
      <c r="CA2513" s="2"/>
      <c r="CB2513" s="2"/>
      <c r="CC2513" s="2" t="s">
        <v>235</v>
      </c>
      <c r="CD2513" s="2">
        <v>6220</v>
      </c>
      <c r="CE2513" s="2" t="s">
        <v>118</v>
      </c>
      <c r="CF2513" s="5">
        <v>42849</v>
      </c>
      <c r="CG2513" s="2"/>
      <c r="CH2513" s="2"/>
      <c r="CI2513" s="2">
        <v>1</v>
      </c>
      <c r="CJ2513" s="2">
        <v>1</v>
      </c>
      <c r="CK2513" s="2">
        <v>21</v>
      </c>
      <c r="CL2513" s="2" t="s">
        <v>86</v>
      </c>
      <c r="CM2513" s="2"/>
    </row>
    <row r="2514" spans="1:91">
      <c r="A2514" s="2" t="s">
        <v>71</v>
      </c>
      <c r="B2514" s="2" t="s">
        <v>72</v>
      </c>
      <c r="C2514" s="2" t="s">
        <v>73</v>
      </c>
      <c r="D2514" s="2"/>
      <c r="E2514" s="2" t="str">
        <f>"FES1162544534"</f>
        <v>FES1162544534</v>
      </c>
      <c r="F2514" s="3">
        <v>42845</v>
      </c>
      <c r="G2514" s="2">
        <v>201710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234</v>
      </c>
      <c r="M2514" s="2" t="s">
        <v>235</v>
      </c>
      <c r="N2514" s="2" t="s">
        <v>236</v>
      </c>
      <c r="O2514" s="2" t="s">
        <v>115</v>
      </c>
      <c r="P2514" s="2" t="str">
        <f>"2170560886                    "</f>
        <v xml:space="preserve">2170560886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5.36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2.5</v>
      </c>
      <c r="BJ2514" s="2">
        <v>1.8</v>
      </c>
      <c r="BK2514" s="2">
        <v>2.5</v>
      </c>
      <c r="BL2514" s="2">
        <v>52.16</v>
      </c>
      <c r="BM2514" s="2">
        <v>7.3</v>
      </c>
      <c r="BN2514" s="2">
        <v>59.46</v>
      </c>
      <c r="BO2514" s="2">
        <v>59.46</v>
      </c>
      <c r="BP2514" s="2"/>
      <c r="BQ2514" s="2" t="s">
        <v>285</v>
      </c>
      <c r="BR2514" s="2" t="s">
        <v>84</v>
      </c>
      <c r="BS2514" s="3">
        <v>42846</v>
      </c>
      <c r="BT2514" s="4">
        <v>0.3263888888888889</v>
      </c>
      <c r="BU2514" s="2" t="s">
        <v>385</v>
      </c>
      <c r="BV2514" s="2" t="s">
        <v>111</v>
      </c>
      <c r="BW2514" s="2"/>
      <c r="BX2514" s="2"/>
      <c r="BY2514" s="2">
        <v>8787.3700000000008</v>
      </c>
      <c r="BZ2514" s="2" t="s">
        <v>27</v>
      </c>
      <c r="CA2514" s="2"/>
      <c r="CB2514" s="2"/>
      <c r="CC2514" s="2" t="s">
        <v>235</v>
      </c>
      <c r="CD2514" s="2">
        <v>6220</v>
      </c>
      <c r="CE2514" s="2" t="s">
        <v>89</v>
      </c>
      <c r="CF2514" s="5">
        <v>42849</v>
      </c>
      <c r="CG2514" s="2"/>
      <c r="CH2514" s="2"/>
      <c r="CI2514" s="2">
        <v>1</v>
      </c>
      <c r="CJ2514" s="2">
        <v>1</v>
      </c>
      <c r="CK2514" s="2">
        <v>21</v>
      </c>
      <c r="CL2514" s="2" t="s">
        <v>86</v>
      </c>
      <c r="CM2514" s="2"/>
    </row>
    <row r="2515" spans="1:91">
      <c r="A2515" s="2" t="s">
        <v>71</v>
      </c>
      <c r="B2515" s="2" t="s">
        <v>72</v>
      </c>
      <c r="C2515" s="2" t="s">
        <v>73</v>
      </c>
      <c r="D2515" s="2"/>
      <c r="E2515" s="2" t="str">
        <f>"FES1162544743"</f>
        <v>FES1162544743</v>
      </c>
      <c r="F2515" s="3">
        <v>42845</v>
      </c>
      <c r="G2515" s="2">
        <v>201710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516</v>
      </c>
      <c r="M2515" s="2" t="s">
        <v>517</v>
      </c>
      <c r="N2515" s="2" t="s">
        <v>758</v>
      </c>
      <c r="O2515" s="2" t="s">
        <v>115</v>
      </c>
      <c r="P2515" s="2" t="str">
        <f>"2170563300                    "</f>
        <v xml:space="preserve">2170563300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3.35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1</v>
      </c>
      <c r="BJ2515" s="2">
        <v>0.2</v>
      </c>
      <c r="BK2515" s="2">
        <v>1</v>
      </c>
      <c r="BL2515" s="2">
        <v>32.6</v>
      </c>
      <c r="BM2515" s="2">
        <v>4.5599999999999996</v>
      </c>
      <c r="BN2515" s="2">
        <v>37.159999999999997</v>
      </c>
      <c r="BO2515" s="2">
        <v>37.159999999999997</v>
      </c>
      <c r="BP2515" s="2"/>
      <c r="BQ2515" s="2" t="s">
        <v>759</v>
      </c>
      <c r="BR2515" s="2" t="s">
        <v>84</v>
      </c>
      <c r="BS2515" s="3">
        <v>42846</v>
      </c>
      <c r="BT2515" s="4">
        <v>0.32222222222222224</v>
      </c>
      <c r="BU2515" s="2" t="s">
        <v>977</v>
      </c>
      <c r="BV2515" s="2" t="s">
        <v>111</v>
      </c>
      <c r="BW2515" s="2"/>
      <c r="BX2515" s="2"/>
      <c r="BY2515" s="2">
        <v>1200</v>
      </c>
      <c r="BZ2515" s="2"/>
      <c r="CA2515" s="2" t="s">
        <v>2639</v>
      </c>
      <c r="CB2515" s="2"/>
      <c r="CC2515" s="2" t="s">
        <v>517</v>
      </c>
      <c r="CD2515" s="2">
        <v>1459</v>
      </c>
      <c r="CE2515" s="2" t="s">
        <v>118</v>
      </c>
      <c r="CF2515" s="5">
        <v>42846</v>
      </c>
      <c r="CG2515" s="2"/>
      <c r="CH2515" s="2"/>
      <c r="CI2515" s="2">
        <v>1</v>
      </c>
      <c r="CJ2515" s="2">
        <v>1</v>
      </c>
      <c r="CK2515" s="2">
        <v>22</v>
      </c>
      <c r="CL2515" s="2" t="s">
        <v>86</v>
      </c>
      <c r="CM2515" s="2"/>
    </row>
    <row r="2516" spans="1:91">
      <c r="A2516" s="2" t="s">
        <v>71</v>
      </c>
      <c r="B2516" s="2" t="s">
        <v>72</v>
      </c>
      <c r="C2516" s="2" t="s">
        <v>73</v>
      </c>
      <c r="D2516" s="2"/>
      <c r="E2516" s="2" t="str">
        <f>"FES1162544626"</f>
        <v>FES1162544626</v>
      </c>
      <c r="F2516" s="3">
        <v>42845</v>
      </c>
      <c r="G2516" s="2">
        <v>201710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396</v>
      </c>
      <c r="M2516" s="2" t="s">
        <v>397</v>
      </c>
      <c r="N2516" s="2" t="s">
        <v>500</v>
      </c>
      <c r="O2516" s="2" t="s">
        <v>115</v>
      </c>
      <c r="P2516" s="2" t="str">
        <f>"2170563179                    "</f>
        <v xml:space="preserve">2170563179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24.65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11.1</v>
      </c>
      <c r="BJ2516" s="2">
        <v>3.8</v>
      </c>
      <c r="BK2516" s="2">
        <v>11.5</v>
      </c>
      <c r="BL2516" s="2">
        <v>239.93</v>
      </c>
      <c r="BM2516" s="2">
        <v>33.590000000000003</v>
      </c>
      <c r="BN2516" s="2">
        <v>273.52</v>
      </c>
      <c r="BO2516" s="2">
        <v>273.52</v>
      </c>
      <c r="BP2516" s="2"/>
      <c r="BQ2516" s="2" t="s">
        <v>501</v>
      </c>
      <c r="BR2516" s="2" t="s">
        <v>84</v>
      </c>
      <c r="BS2516" s="3">
        <v>42846</v>
      </c>
      <c r="BT2516" s="4">
        <v>0.4375</v>
      </c>
      <c r="BU2516" s="2" t="s">
        <v>2127</v>
      </c>
      <c r="BV2516" s="2" t="s">
        <v>111</v>
      </c>
      <c r="BW2516" s="2"/>
      <c r="BX2516" s="2"/>
      <c r="BY2516" s="2">
        <v>18849.599999999999</v>
      </c>
      <c r="BZ2516" s="2" t="s">
        <v>27</v>
      </c>
      <c r="CA2516" s="2" t="s">
        <v>159</v>
      </c>
      <c r="CB2516" s="2"/>
      <c r="CC2516" s="2" t="s">
        <v>397</v>
      </c>
      <c r="CD2516" s="2">
        <v>4302</v>
      </c>
      <c r="CE2516" s="2" t="s">
        <v>89</v>
      </c>
      <c r="CF2516" s="5">
        <v>42849</v>
      </c>
      <c r="CG2516" s="2"/>
      <c r="CH2516" s="2"/>
      <c r="CI2516" s="2">
        <v>1</v>
      </c>
      <c r="CJ2516" s="2">
        <v>1</v>
      </c>
      <c r="CK2516" s="2">
        <v>21</v>
      </c>
      <c r="CL2516" s="2" t="s">
        <v>86</v>
      </c>
      <c r="CM2516" s="2"/>
    </row>
    <row r="2517" spans="1:91">
      <c r="A2517" s="2" t="s">
        <v>71</v>
      </c>
      <c r="B2517" s="2" t="s">
        <v>72</v>
      </c>
      <c r="C2517" s="2" t="s">
        <v>73</v>
      </c>
      <c r="D2517" s="2"/>
      <c r="E2517" s="2" t="str">
        <f>"FES1162544764"</f>
        <v>FES1162544764</v>
      </c>
      <c r="F2517" s="3">
        <v>42845</v>
      </c>
      <c r="G2517" s="2">
        <v>201710</v>
      </c>
      <c r="H2517" s="2" t="s">
        <v>74</v>
      </c>
      <c r="I2517" s="2" t="s">
        <v>75</v>
      </c>
      <c r="J2517" s="2" t="s">
        <v>76</v>
      </c>
      <c r="K2517" s="2" t="s">
        <v>77</v>
      </c>
      <c r="L2517" s="2" t="s">
        <v>131</v>
      </c>
      <c r="M2517" s="2" t="s">
        <v>132</v>
      </c>
      <c r="N2517" s="2" t="s">
        <v>384</v>
      </c>
      <c r="O2517" s="2" t="s">
        <v>115</v>
      </c>
      <c r="P2517" s="2" t="str">
        <f>"2170563321                    "</f>
        <v xml:space="preserve">2170563321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4.29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1</v>
      </c>
      <c r="BJ2517" s="2">
        <v>0.2</v>
      </c>
      <c r="BK2517" s="2">
        <v>1</v>
      </c>
      <c r="BL2517" s="2">
        <v>41.73</v>
      </c>
      <c r="BM2517" s="2">
        <v>5.84</v>
      </c>
      <c r="BN2517" s="2">
        <v>47.57</v>
      </c>
      <c r="BO2517" s="2">
        <v>47.57</v>
      </c>
      <c r="BP2517" s="2"/>
      <c r="BQ2517" s="2" t="s">
        <v>1272</v>
      </c>
      <c r="BR2517" s="2" t="s">
        <v>84</v>
      </c>
      <c r="BS2517" s="3">
        <v>42846</v>
      </c>
      <c r="BT2517" s="4">
        <v>0.41666666666666669</v>
      </c>
      <c r="BU2517" s="2" t="s">
        <v>1273</v>
      </c>
      <c r="BV2517" s="2" t="s">
        <v>111</v>
      </c>
      <c r="BW2517" s="2"/>
      <c r="BX2517" s="2"/>
      <c r="BY2517" s="2">
        <v>1200</v>
      </c>
      <c r="BZ2517" s="2"/>
      <c r="CA2517" s="2"/>
      <c r="CB2517" s="2"/>
      <c r="CC2517" s="2" t="s">
        <v>132</v>
      </c>
      <c r="CD2517" s="2">
        <v>7530</v>
      </c>
      <c r="CE2517" s="2" t="s">
        <v>118</v>
      </c>
      <c r="CF2517" s="5">
        <v>42849</v>
      </c>
      <c r="CG2517" s="2"/>
      <c r="CH2517" s="2"/>
      <c r="CI2517" s="2">
        <v>1</v>
      </c>
      <c r="CJ2517" s="2">
        <v>1</v>
      </c>
      <c r="CK2517" s="2">
        <v>21</v>
      </c>
      <c r="CL2517" s="2" t="s">
        <v>86</v>
      </c>
      <c r="CM2517" s="2"/>
    </row>
    <row r="2518" spans="1:91">
      <c r="A2518" s="2" t="s">
        <v>71</v>
      </c>
      <c r="B2518" s="2" t="s">
        <v>72</v>
      </c>
      <c r="C2518" s="2" t="s">
        <v>73</v>
      </c>
      <c r="D2518" s="2"/>
      <c r="E2518" s="2" t="str">
        <f>"FES1162544537"</f>
        <v>FES1162544537</v>
      </c>
      <c r="F2518" s="3">
        <v>42845</v>
      </c>
      <c r="G2518" s="2">
        <v>201710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234</v>
      </c>
      <c r="M2518" s="2" t="s">
        <v>235</v>
      </c>
      <c r="N2518" s="2" t="s">
        <v>236</v>
      </c>
      <c r="O2518" s="2" t="s">
        <v>115</v>
      </c>
      <c r="P2518" s="2" t="str">
        <f>"2170562225                    "</f>
        <v xml:space="preserve">2170562225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5.36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2.5</v>
      </c>
      <c r="BJ2518" s="2">
        <v>1.6</v>
      </c>
      <c r="BK2518" s="2">
        <v>2.5</v>
      </c>
      <c r="BL2518" s="2">
        <v>52.16</v>
      </c>
      <c r="BM2518" s="2">
        <v>7.3</v>
      </c>
      <c r="BN2518" s="2">
        <v>59.46</v>
      </c>
      <c r="BO2518" s="2">
        <v>59.46</v>
      </c>
      <c r="BP2518" s="2"/>
      <c r="BQ2518" s="2" t="s">
        <v>285</v>
      </c>
      <c r="BR2518" s="2" t="s">
        <v>84</v>
      </c>
      <c r="BS2518" s="3">
        <v>42846</v>
      </c>
      <c r="BT2518" s="4">
        <v>0.3263888888888889</v>
      </c>
      <c r="BU2518" s="2" t="s">
        <v>385</v>
      </c>
      <c r="BV2518" s="2" t="s">
        <v>111</v>
      </c>
      <c r="BW2518" s="2"/>
      <c r="BX2518" s="2"/>
      <c r="BY2518" s="2">
        <v>8241.35</v>
      </c>
      <c r="BZ2518" s="2" t="s">
        <v>27</v>
      </c>
      <c r="CA2518" s="2"/>
      <c r="CB2518" s="2"/>
      <c r="CC2518" s="2" t="s">
        <v>235</v>
      </c>
      <c r="CD2518" s="2">
        <v>6220</v>
      </c>
      <c r="CE2518" s="2" t="s">
        <v>89</v>
      </c>
      <c r="CF2518" s="5">
        <v>42849</v>
      </c>
      <c r="CG2518" s="2"/>
      <c r="CH2518" s="2"/>
      <c r="CI2518" s="2">
        <v>1</v>
      </c>
      <c r="CJ2518" s="2">
        <v>1</v>
      </c>
      <c r="CK2518" s="2">
        <v>21</v>
      </c>
      <c r="CL2518" s="2" t="s">
        <v>86</v>
      </c>
      <c r="CM2518" s="2"/>
    </row>
    <row r="2519" spans="1:91">
      <c r="A2519" s="2" t="s">
        <v>71</v>
      </c>
      <c r="B2519" s="2" t="s">
        <v>72</v>
      </c>
      <c r="C2519" s="2" t="s">
        <v>73</v>
      </c>
      <c r="D2519" s="2"/>
      <c r="E2519" s="2" t="str">
        <f>"FES1162544495"</f>
        <v>FES1162544495</v>
      </c>
      <c r="F2519" s="3">
        <v>42845</v>
      </c>
      <c r="G2519" s="2">
        <v>201710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516</v>
      </c>
      <c r="M2519" s="2" t="s">
        <v>517</v>
      </c>
      <c r="N2519" s="2" t="s">
        <v>1300</v>
      </c>
      <c r="O2519" s="2" t="s">
        <v>115</v>
      </c>
      <c r="P2519" s="2" t="str">
        <f>"2170563088                    "</f>
        <v xml:space="preserve">2170563088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3.35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1</v>
      </c>
      <c r="BI2519" s="2">
        <v>1</v>
      </c>
      <c r="BJ2519" s="2">
        <v>0.2</v>
      </c>
      <c r="BK2519" s="2">
        <v>1</v>
      </c>
      <c r="BL2519" s="2">
        <v>32.6</v>
      </c>
      <c r="BM2519" s="2">
        <v>4.5599999999999996</v>
      </c>
      <c r="BN2519" s="2">
        <v>37.159999999999997</v>
      </c>
      <c r="BO2519" s="2">
        <v>37.159999999999997</v>
      </c>
      <c r="BP2519" s="2"/>
      <c r="BQ2519" s="2" t="s">
        <v>122</v>
      </c>
      <c r="BR2519" s="2" t="s">
        <v>84</v>
      </c>
      <c r="BS2519" s="3">
        <v>42846</v>
      </c>
      <c r="BT2519" s="4">
        <v>0.375</v>
      </c>
      <c r="BU2519" s="2" t="s">
        <v>2856</v>
      </c>
      <c r="BV2519" s="2" t="s">
        <v>111</v>
      </c>
      <c r="BW2519" s="2"/>
      <c r="BX2519" s="2"/>
      <c r="BY2519" s="2">
        <v>1200</v>
      </c>
      <c r="BZ2519" s="2"/>
      <c r="CA2519" s="2"/>
      <c r="CB2519" s="2"/>
      <c r="CC2519" s="2" t="s">
        <v>517</v>
      </c>
      <c r="CD2519" s="2">
        <v>1459</v>
      </c>
      <c r="CE2519" s="2" t="s">
        <v>118</v>
      </c>
      <c r="CF2519" s="5">
        <v>42849</v>
      </c>
      <c r="CG2519" s="2"/>
      <c r="CH2519" s="2"/>
      <c r="CI2519" s="2">
        <v>1</v>
      </c>
      <c r="CJ2519" s="2">
        <v>1</v>
      </c>
      <c r="CK2519" s="2">
        <v>22</v>
      </c>
      <c r="CL2519" s="2" t="s">
        <v>86</v>
      </c>
      <c r="CM2519" s="2"/>
    </row>
    <row r="2520" spans="1:91">
      <c r="A2520" s="2" t="s">
        <v>71</v>
      </c>
      <c r="B2520" s="2" t="s">
        <v>72</v>
      </c>
      <c r="C2520" s="2" t="s">
        <v>73</v>
      </c>
      <c r="D2520" s="2"/>
      <c r="E2520" s="2" t="str">
        <f>"FES1162544668"</f>
        <v>FES1162544668</v>
      </c>
      <c r="F2520" s="3">
        <v>42845</v>
      </c>
      <c r="G2520" s="2">
        <v>201710</v>
      </c>
      <c r="H2520" s="2" t="s">
        <v>74</v>
      </c>
      <c r="I2520" s="2" t="s">
        <v>75</v>
      </c>
      <c r="J2520" s="2" t="s">
        <v>76</v>
      </c>
      <c r="K2520" s="2" t="s">
        <v>77</v>
      </c>
      <c r="L2520" s="2" t="s">
        <v>2857</v>
      </c>
      <c r="M2520" s="2" t="s">
        <v>2858</v>
      </c>
      <c r="N2520" s="2" t="s">
        <v>2859</v>
      </c>
      <c r="O2520" s="2" t="s">
        <v>115</v>
      </c>
      <c r="P2520" s="2" t="str">
        <f>"2170563094                    "</f>
        <v xml:space="preserve">2170563094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28.94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7.5</v>
      </c>
      <c r="BJ2520" s="2">
        <v>3.2</v>
      </c>
      <c r="BK2520" s="2">
        <v>7.5</v>
      </c>
      <c r="BL2520" s="2">
        <v>281.66000000000003</v>
      </c>
      <c r="BM2520" s="2">
        <v>39.43</v>
      </c>
      <c r="BN2520" s="2">
        <v>321.08999999999997</v>
      </c>
      <c r="BO2520" s="2">
        <v>321.08999999999997</v>
      </c>
      <c r="BP2520" s="2"/>
      <c r="BQ2520" s="2"/>
      <c r="BR2520" s="2" t="s">
        <v>84</v>
      </c>
      <c r="BS2520" s="3">
        <v>42846</v>
      </c>
      <c r="BT2520" s="4">
        <v>0</v>
      </c>
      <c r="BU2520" s="2" t="s">
        <v>2860</v>
      </c>
      <c r="BV2520" s="2" t="s">
        <v>111</v>
      </c>
      <c r="BW2520" s="2"/>
      <c r="BX2520" s="2"/>
      <c r="BY2520" s="2">
        <v>15978.24</v>
      </c>
      <c r="BZ2520" s="2" t="s">
        <v>27</v>
      </c>
      <c r="CA2520" s="2"/>
      <c r="CB2520" s="2"/>
      <c r="CC2520" s="2" t="s">
        <v>2858</v>
      </c>
      <c r="CD2520" s="2">
        <v>5319</v>
      </c>
      <c r="CE2520" s="2" t="s">
        <v>89</v>
      </c>
      <c r="CF2520" s="2"/>
      <c r="CG2520" s="2"/>
      <c r="CH2520" s="2"/>
      <c r="CI2520" s="2">
        <v>4</v>
      </c>
      <c r="CJ2520" s="2">
        <v>1</v>
      </c>
      <c r="CK2520" s="2">
        <v>23</v>
      </c>
      <c r="CL2520" s="2" t="s">
        <v>86</v>
      </c>
      <c r="CM2520" s="2"/>
    </row>
    <row r="2521" spans="1:91">
      <c r="A2521" s="2" t="s">
        <v>71</v>
      </c>
      <c r="B2521" s="2" t="s">
        <v>72</v>
      </c>
      <c r="C2521" s="2" t="s">
        <v>73</v>
      </c>
      <c r="D2521" s="2"/>
      <c r="E2521" s="2" t="str">
        <f>"FES1162544670"</f>
        <v>FES1162544670</v>
      </c>
      <c r="F2521" s="3">
        <v>42845</v>
      </c>
      <c r="G2521" s="2">
        <v>201710</v>
      </c>
      <c r="H2521" s="2" t="s">
        <v>74</v>
      </c>
      <c r="I2521" s="2" t="s">
        <v>75</v>
      </c>
      <c r="J2521" s="2" t="s">
        <v>76</v>
      </c>
      <c r="K2521" s="2" t="s">
        <v>77</v>
      </c>
      <c r="L2521" s="2" t="s">
        <v>99</v>
      </c>
      <c r="M2521" s="2" t="s">
        <v>100</v>
      </c>
      <c r="N2521" s="2" t="s">
        <v>671</v>
      </c>
      <c r="O2521" s="2" t="s">
        <v>115</v>
      </c>
      <c r="P2521" s="2" t="str">
        <f>"2170563223                    "</f>
        <v xml:space="preserve">2170563223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4.29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1</v>
      </c>
      <c r="BI2521" s="2">
        <v>1</v>
      </c>
      <c r="BJ2521" s="2">
        <v>0.2</v>
      </c>
      <c r="BK2521" s="2">
        <v>1</v>
      </c>
      <c r="BL2521" s="2">
        <v>41.73</v>
      </c>
      <c r="BM2521" s="2">
        <v>5.84</v>
      </c>
      <c r="BN2521" s="2">
        <v>47.57</v>
      </c>
      <c r="BO2521" s="2">
        <v>47.57</v>
      </c>
      <c r="BP2521" s="2"/>
      <c r="BQ2521" s="2" t="s">
        <v>672</v>
      </c>
      <c r="BR2521" s="2" t="s">
        <v>84</v>
      </c>
      <c r="BS2521" s="3">
        <v>42846</v>
      </c>
      <c r="BT2521" s="4">
        <v>0.36319444444444443</v>
      </c>
      <c r="BU2521" s="2" t="s">
        <v>2551</v>
      </c>
      <c r="BV2521" s="2" t="s">
        <v>111</v>
      </c>
      <c r="BW2521" s="2"/>
      <c r="BX2521" s="2"/>
      <c r="BY2521" s="2">
        <v>1200</v>
      </c>
      <c r="BZ2521" s="2" t="s">
        <v>27</v>
      </c>
      <c r="CA2521" s="2" t="s">
        <v>106</v>
      </c>
      <c r="CB2521" s="2"/>
      <c r="CC2521" s="2" t="s">
        <v>100</v>
      </c>
      <c r="CD2521" s="2">
        <v>6001</v>
      </c>
      <c r="CE2521" s="2" t="s">
        <v>118</v>
      </c>
      <c r="CF2521" s="5">
        <v>42846</v>
      </c>
      <c r="CG2521" s="2"/>
      <c r="CH2521" s="2"/>
      <c r="CI2521" s="2">
        <v>1</v>
      </c>
      <c r="CJ2521" s="2">
        <v>1</v>
      </c>
      <c r="CK2521" s="2">
        <v>21</v>
      </c>
      <c r="CL2521" s="2" t="s">
        <v>86</v>
      </c>
      <c r="CM2521" s="2"/>
    </row>
    <row r="2522" spans="1:91">
      <c r="A2522" s="2" t="s">
        <v>71</v>
      </c>
      <c r="B2522" s="2" t="s">
        <v>72</v>
      </c>
      <c r="C2522" s="2" t="s">
        <v>73</v>
      </c>
      <c r="D2522" s="2"/>
      <c r="E2522" s="2" t="str">
        <f>"FES1162544603"</f>
        <v>FES1162544603</v>
      </c>
      <c r="F2522" s="3">
        <v>42845</v>
      </c>
      <c r="G2522" s="2">
        <v>201710</v>
      </c>
      <c r="H2522" s="2" t="s">
        <v>74</v>
      </c>
      <c r="I2522" s="2" t="s">
        <v>75</v>
      </c>
      <c r="J2522" s="2" t="s">
        <v>76</v>
      </c>
      <c r="K2522" s="2" t="s">
        <v>77</v>
      </c>
      <c r="L2522" s="2" t="s">
        <v>74</v>
      </c>
      <c r="M2522" s="2" t="s">
        <v>75</v>
      </c>
      <c r="N2522" s="2" t="s">
        <v>976</v>
      </c>
      <c r="O2522" s="2" t="s">
        <v>115</v>
      </c>
      <c r="P2522" s="2" t="str">
        <f>"2170558006                    "</f>
        <v xml:space="preserve">2170558006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3.35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1</v>
      </c>
      <c r="BJ2522" s="2">
        <v>0.2</v>
      </c>
      <c r="BK2522" s="2">
        <v>1</v>
      </c>
      <c r="BL2522" s="2">
        <v>32.6</v>
      </c>
      <c r="BM2522" s="2">
        <v>4.5599999999999996</v>
      </c>
      <c r="BN2522" s="2">
        <v>37.159999999999997</v>
      </c>
      <c r="BO2522" s="2">
        <v>37.159999999999997</v>
      </c>
      <c r="BP2522" s="2"/>
      <c r="BQ2522" s="2" t="s">
        <v>122</v>
      </c>
      <c r="BR2522" s="2" t="s">
        <v>84</v>
      </c>
      <c r="BS2522" s="3">
        <v>42846</v>
      </c>
      <c r="BT2522" s="4">
        <v>0.41666666666666669</v>
      </c>
      <c r="BU2522" s="2" t="s">
        <v>2861</v>
      </c>
      <c r="BV2522" s="2" t="s">
        <v>111</v>
      </c>
      <c r="BW2522" s="2"/>
      <c r="BX2522" s="2"/>
      <c r="BY2522" s="2">
        <v>1200</v>
      </c>
      <c r="BZ2522" s="2"/>
      <c r="CA2522" s="2"/>
      <c r="CB2522" s="2"/>
      <c r="CC2522" s="2" t="s">
        <v>75</v>
      </c>
      <c r="CD2522" s="2">
        <v>1666</v>
      </c>
      <c r="CE2522" s="2" t="s">
        <v>118</v>
      </c>
      <c r="CF2522" s="5">
        <v>42849</v>
      </c>
      <c r="CG2522" s="2"/>
      <c r="CH2522" s="2"/>
      <c r="CI2522" s="2">
        <v>1</v>
      </c>
      <c r="CJ2522" s="2">
        <v>1</v>
      </c>
      <c r="CK2522" s="2">
        <v>22</v>
      </c>
      <c r="CL2522" s="2" t="s">
        <v>86</v>
      </c>
      <c r="CM2522" s="2"/>
    </row>
    <row r="2523" spans="1:91">
      <c r="A2523" s="2" t="s">
        <v>71</v>
      </c>
      <c r="B2523" s="2" t="s">
        <v>72</v>
      </c>
      <c r="C2523" s="2" t="s">
        <v>73</v>
      </c>
      <c r="D2523" s="2"/>
      <c r="E2523" s="2" t="str">
        <f>"FES1162544627"</f>
        <v>FES1162544627</v>
      </c>
      <c r="F2523" s="3">
        <v>42845</v>
      </c>
      <c r="G2523" s="2">
        <v>201710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396</v>
      </c>
      <c r="M2523" s="2" t="s">
        <v>397</v>
      </c>
      <c r="N2523" s="2" t="s">
        <v>500</v>
      </c>
      <c r="O2523" s="2" t="s">
        <v>115</v>
      </c>
      <c r="P2523" s="2" t="str">
        <f>"2170563132                    "</f>
        <v xml:space="preserve">2170563132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24.65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11.1</v>
      </c>
      <c r="BJ2523" s="2">
        <v>3.9</v>
      </c>
      <c r="BK2523" s="2">
        <v>11.5</v>
      </c>
      <c r="BL2523" s="2">
        <v>239.93</v>
      </c>
      <c r="BM2523" s="2">
        <v>33.590000000000003</v>
      </c>
      <c r="BN2523" s="2">
        <v>273.52</v>
      </c>
      <c r="BO2523" s="2">
        <v>273.52</v>
      </c>
      <c r="BP2523" s="2"/>
      <c r="BQ2523" s="2" t="s">
        <v>501</v>
      </c>
      <c r="BR2523" s="2" t="s">
        <v>84</v>
      </c>
      <c r="BS2523" s="3">
        <v>42846</v>
      </c>
      <c r="BT2523" s="4">
        <v>0.4375</v>
      </c>
      <c r="BU2523" s="2" t="s">
        <v>2127</v>
      </c>
      <c r="BV2523" s="2" t="s">
        <v>111</v>
      </c>
      <c r="BW2523" s="2"/>
      <c r="BX2523" s="2"/>
      <c r="BY2523" s="2">
        <v>19669.13</v>
      </c>
      <c r="BZ2523" s="2" t="s">
        <v>27</v>
      </c>
      <c r="CA2523" s="2" t="s">
        <v>159</v>
      </c>
      <c r="CB2523" s="2"/>
      <c r="CC2523" s="2" t="s">
        <v>397</v>
      </c>
      <c r="CD2523" s="2">
        <v>4302</v>
      </c>
      <c r="CE2523" s="2" t="s">
        <v>89</v>
      </c>
      <c r="CF2523" s="5">
        <v>42849</v>
      </c>
      <c r="CG2523" s="2"/>
      <c r="CH2523" s="2"/>
      <c r="CI2523" s="2">
        <v>1</v>
      </c>
      <c r="CJ2523" s="2">
        <v>1</v>
      </c>
      <c r="CK2523" s="2">
        <v>21</v>
      </c>
      <c r="CL2523" s="2" t="s">
        <v>86</v>
      </c>
      <c r="CM2523" s="2"/>
    </row>
    <row r="2524" spans="1:91">
      <c r="A2524" s="2" t="s">
        <v>71</v>
      </c>
      <c r="B2524" s="2" t="s">
        <v>72</v>
      </c>
      <c r="C2524" s="2" t="s">
        <v>73</v>
      </c>
      <c r="D2524" s="2"/>
      <c r="E2524" s="2" t="str">
        <f>"FES1162544750"</f>
        <v>FES1162544750</v>
      </c>
      <c r="F2524" s="3">
        <v>42845</v>
      </c>
      <c r="G2524" s="2">
        <v>201710</v>
      </c>
      <c r="H2524" s="2" t="s">
        <v>74</v>
      </c>
      <c r="I2524" s="2" t="s">
        <v>75</v>
      </c>
      <c r="J2524" s="2" t="s">
        <v>76</v>
      </c>
      <c r="K2524" s="2" t="s">
        <v>77</v>
      </c>
      <c r="L2524" s="2" t="s">
        <v>74</v>
      </c>
      <c r="M2524" s="2" t="s">
        <v>75</v>
      </c>
      <c r="N2524" s="2" t="s">
        <v>885</v>
      </c>
      <c r="O2524" s="2" t="s">
        <v>115</v>
      </c>
      <c r="P2524" s="2" t="str">
        <f>"2170562068                    "</f>
        <v xml:space="preserve">2170562068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3.35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1</v>
      </c>
      <c r="BJ2524" s="2">
        <v>0.2</v>
      </c>
      <c r="BK2524" s="2">
        <v>1</v>
      </c>
      <c r="BL2524" s="2">
        <v>32.6</v>
      </c>
      <c r="BM2524" s="2">
        <v>4.5599999999999996</v>
      </c>
      <c r="BN2524" s="2">
        <v>37.159999999999997</v>
      </c>
      <c r="BO2524" s="2">
        <v>37.159999999999997</v>
      </c>
      <c r="BP2524" s="2"/>
      <c r="BQ2524" s="2" t="s">
        <v>886</v>
      </c>
      <c r="BR2524" s="2" t="s">
        <v>84</v>
      </c>
      <c r="BS2524" s="3">
        <v>42846</v>
      </c>
      <c r="BT2524" s="4">
        <v>0.38541666666666669</v>
      </c>
      <c r="BU2524" s="2" t="s">
        <v>2862</v>
      </c>
      <c r="BV2524" s="2" t="s">
        <v>111</v>
      </c>
      <c r="BW2524" s="2"/>
      <c r="BX2524" s="2"/>
      <c r="BY2524" s="2">
        <v>1200</v>
      </c>
      <c r="BZ2524" s="2"/>
      <c r="CA2524" s="2"/>
      <c r="CB2524" s="2"/>
      <c r="CC2524" s="2" t="s">
        <v>75</v>
      </c>
      <c r="CD2524" s="2">
        <v>1601</v>
      </c>
      <c r="CE2524" s="2" t="s">
        <v>118</v>
      </c>
      <c r="CF2524" s="5">
        <v>42849</v>
      </c>
      <c r="CG2524" s="2"/>
      <c r="CH2524" s="2"/>
      <c r="CI2524" s="2">
        <v>1</v>
      </c>
      <c r="CJ2524" s="2">
        <v>1</v>
      </c>
      <c r="CK2524" s="2">
        <v>22</v>
      </c>
      <c r="CL2524" s="2" t="s">
        <v>86</v>
      </c>
      <c r="CM2524" s="2"/>
    </row>
    <row r="2525" spans="1:91">
      <c r="A2525" s="2" t="s">
        <v>71</v>
      </c>
      <c r="B2525" s="2" t="s">
        <v>72</v>
      </c>
      <c r="C2525" s="2" t="s">
        <v>73</v>
      </c>
      <c r="D2525" s="2"/>
      <c r="E2525" s="2" t="str">
        <f>"FES1162544704"</f>
        <v>FES1162544704</v>
      </c>
      <c r="F2525" s="3">
        <v>42845</v>
      </c>
      <c r="G2525" s="2">
        <v>201710</v>
      </c>
      <c r="H2525" s="2" t="s">
        <v>74</v>
      </c>
      <c r="I2525" s="2" t="s">
        <v>75</v>
      </c>
      <c r="J2525" s="2" t="s">
        <v>76</v>
      </c>
      <c r="K2525" s="2" t="s">
        <v>77</v>
      </c>
      <c r="L2525" s="2" t="s">
        <v>166</v>
      </c>
      <c r="M2525" s="2" t="s">
        <v>167</v>
      </c>
      <c r="N2525" s="2" t="s">
        <v>2863</v>
      </c>
      <c r="O2525" s="2" t="s">
        <v>115</v>
      </c>
      <c r="P2525" s="2" t="str">
        <f>"2170563158                    "</f>
        <v xml:space="preserve">2170563158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3.35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1</v>
      </c>
      <c r="BJ2525" s="2">
        <v>0.2</v>
      </c>
      <c r="BK2525" s="2">
        <v>1</v>
      </c>
      <c r="BL2525" s="2">
        <v>32.6</v>
      </c>
      <c r="BM2525" s="2">
        <v>4.5599999999999996</v>
      </c>
      <c r="BN2525" s="2">
        <v>37.159999999999997</v>
      </c>
      <c r="BO2525" s="2">
        <v>37.159999999999997</v>
      </c>
      <c r="BP2525" s="2"/>
      <c r="BQ2525" s="2"/>
      <c r="BR2525" s="2" t="s">
        <v>84</v>
      </c>
      <c r="BS2525" s="3">
        <v>42850</v>
      </c>
      <c r="BT2525" s="4">
        <v>0.42708333333333331</v>
      </c>
      <c r="BU2525" s="2" t="s">
        <v>2864</v>
      </c>
      <c r="BV2525" s="2" t="s">
        <v>86</v>
      </c>
      <c r="BW2525" s="2" t="s">
        <v>164</v>
      </c>
      <c r="BX2525" s="2" t="s">
        <v>309</v>
      </c>
      <c r="BY2525" s="2">
        <v>1200</v>
      </c>
      <c r="BZ2525" s="2"/>
      <c r="CA2525" s="2"/>
      <c r="CB2525" s="2"/>
      <c r="CC2525" s="2" t="s">
        <v>167</v>
      </c>
      <c r="CD2525" s="2">
        <v>2090</v>
      </c>
      <c r="CE2525" s="2" t="s">
        <v>118</v>
      </c>
      <c r="CF2525" s="5">
        <v>42851</v>
      </c>
      <c r="CG2525" s="2"/>
      <c r="CH2525" s="2"/>
      <c r="CI2525" s="2">
        <v>1</v>
      </c>
      <c r="CJ2525" s="2">
        <v>3</v>
      </c>
      <c r="CK2525" s="2">
        <v>22</v>
      </c>
      <c r="CL2525" s="2" t="s">
        <v>86</v>
      </c>
      <c r="CM2525" s="2"/>
    </row>
    <row r="2526" spans="1:91">
      <c r="A2526" s="2" t="s">
        <v>71</v>
      </c>
      <c r="B2526" s="2" t="s">
        <v>72</v>
      </c>
      <c r="C2526" s="2" t="s">
        <v>73</v>
      </c>
      <c r="D2526" s="2"/>
      <c r="E2526" s="2" t="str">
        <f>"FES1162544450"</f>
        <v>FES1162544450</v>
      </c>
      <c r="F2526" s="3">
        <v>42845</v>
      </c>
      <c r="G2526" s="2">
        <v>201710</v>
      </c>
      <c r="H2526" s="2" t="s">
        <v>74</v>
      </c>
      <c r="I2526" s="2" t="s">
        <v>75</v>
      </c>
      <c r="J2526" s="2" t="s">
        <v>76</v>
      </c>
      <c r="K2526" s="2" t="s">
        <v>77</v>
      </c>
      <c r="L2526" s="2" t="s">
        <v>516</v>
      </c>
      <c r="M2526" s="2" t="s">
        <v>517</v>
      </c>
      <c r="N2526" s="2" t="s">
        <v>1017</v>
      </c>
      <c r="O2526" s="2" t="s">
        <v>115</v>
      </c>
      <c r="P2526" s="2" t="str">
        <f>"2170563048                    "</f>
        <v xml:space="preserve">2170563048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3.35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4.3</v>
      </c>
      <c r="BJ2526" s="2">
        <v>1.7</v>
      </c>
      <c r="BK2526" s="2">
        <v>5</v>
      </c>
      <c r="BL2526" s="2">
        <v>32.6</v>
      </c>
      <c r="BM2526" s="2">
        <v>4.5599999999999996</v>
      </c>
      <c r="BN2526" s="2">
        <v>37.159999999999997</v>
      </c>
      <c r="BO2526" s="2">
        <v>37.159999999999997</v>
      </c>
      <c r="BP2526" s="2"/>
      <c r="BQ2526" s="2" t="s">
        <v>1018</v>
      </c>
      <c r="BR2526" s="2" t="s">
        <v>84</v>
      </c>
      <c r="BS2526" s="3">
        <v>42846</v>
      </c>
      <c r="BT2526" s="4">
        <v>0.2951388888888889</v>
      </c>
      <c r="BU2526" s="2" t="s">
        <v>1298</v>
      </c>
      <c r="BV2526" s="2" t="s">
        <v>111</v>
      </c>
      <c r="BW2526" s="2"/>
      <c r="BX2526" s="2"/>
      <c r="BY2526" s="2">
        <v>8390.1</v>
      </c>
      <c r="BZ2526" s="2" t="s">
        <v>27</v>
      </c>
      <c r="CA2526" s="2" t="s">
        <v>2639</v>
      </c>
      <c r="CB2526" s="2"/>
      <c r="CC2526" s="2" t="s">
        <v>517</v>
      </c>
      <c r="CD2526" s="2">
        <v>1459</v>
      </c>
      <c r="CE2526" s="2" t="s">
        <v>89</v>
      </c>
      <c r="CF2526" s="5">
        <v>42846</v>
      </c>
      <c r="CG2526" s="2"/>
      <c r="CH2526" s="2"/>
      <c r="CI2526" s="2">
        <v>1</v>
      </c>
      <c r="CJ2526" s="2">
        <v>1</v>
      </c>
      <c r="CK2526" s="2">
        <v>22</v>
      </c>
      <c r="CL2526" s="2" t="s">
        <v>86</v>
      </c>
      <c r="CM2526" s="2"/>
    </row>
    <row r="2527" spans="1:91">
      <c r="A2527" s="2" t="s">
        <v>71</v>
      </c>
      <c r="B2527" s="2" t="s">
        <v>72</v>
      </c>
      <c r="C2527" s="2" t="s">
        <v>73</v>
      </c>
      <c r="D2527" s="2"/>
      <c r="E2527" s="2" t="str">
        <f>"FES1162544555"</f>
        <v>FES1162544555</v>
      </c>
      <c r="F2527" s="3">
        <v>42845</v>
      </c>
      <c r="G2527" s="2">
        <v>201710</v>
      </c>
      <c r="H2527" s="2" t="s">
        <v>74</v>
      </c>
      <c r="I2527" s="2" t="s">
        <v>75</v>
      </c>
      <c r="J2527" s="2" t="s">
        <v>76</v>
      </c>
      <c r="K2527" s="2" t="s">
        <v>77</v>
      </c>
      <c r="L2527" s="2" t="s">
        <v>516</v>
      </c>
      <c r="M2527" s="2" t="s">
        <v>517</v>
      </c>
      <c r="N2527" s="2" t="s">
        <v>2865</v>
      </c>
      <c r="O2527" s="2" t="s">
        <v>115</v>
      </c>
      <c r="P2527" s="2" t="str">
        <f>"2170560381                    "</f>
        <v xml:space="preserve">2170560381 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3.35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1</v>
      </c>
      <c r="BJ2527" s="2">
        <v>0.2</v>
      </c>
      <c r="BK2527" s="2">
        <v>1</v>
      </c>
      <c r="BL2527" s="2">
        <v>32.6</v>
      </c>
      <c r="BM2527" s="2">
        <v>4.5599999999999996</v>
      </c>
      <c r="BN2527" s="2">
        <v>37.159999999999997</v>
      </c>
      <c r="BO2527" s="2">
        <v>37.159999999999997</v>
      </c>
      <c r="BP2527" s="2"/>
      <c r="BQ2527" s="2" t="s">
        <v>2866</v>
      </c>
      <c r="BR2527" s="2" t="s">
        <v>84</v>
      </c>
      <c r="BS2527" s="3">
        <v>42846</v>
      </c>
      <c r="BT2527" s="4">
        <v>0.34027777777777773</v>
      </c>
      <c r="BU2527" s="2" t="s">
        <v>2867</v>
      </c>
      <c r="BV2527" s="2" t="s">
        <v>111</v>
      </c>
      <c r="BW2527" s="2"/>
      <c r="BX2527" s="2"/>
      <c r="BY2527" s="2">
        <v>1200</v>
      </c>
      <c r="BZ2527" s="2"/>
      <c r="CA2527" s="2"/>
      <c r="CB2527" s="2"/>
      <c r="CC2527" s="2" t="s">
        <v>517</v>
      </c>
      <c r="CD2527" s="2">
        <v>1459</v>
      </c>
      <c r="CE2527" s="2" t="s">
        <v>118</v>
      </c>
      <c r="CF2527" s="5">
        <v>42849</v>
      </c>
      <c r="CG2527" s="2"/>
      <c r="CH2527" s="2"/>
      <c r="CI2527" s="2">
        <v>1</v>
      </c>
      <c r="CJ2527" s="2">
        <v>1</v>
      </c>
      <c r="CK2527" s="2">
        <v>22</v>
      </c>
      <c r="CL2527" s="2" t="s">
        <v>86</v>
      </c>
      <c r="CM2527" s="2"/>
    </row>
    <row r="2528" spans="1:91">
      <c r="A2528" s="2" t="s">
        <v>71</v>
      </c>
      <c r="B2528" s="2" t="s">
        <v>72</v>
      </c>
      <c r="C2528" s="2" t="s">
        <v>73</v>
      </c>
      <c r="D2528" s="2"/>
      <c r="E2528" s="2" t="str">
        <f>"FES1162560919"</f>
        <v>FES1162560919</v>
      </c>
      <c r="F2528" s="3">
        <v>42845</v>
      </c>
      <c r="G2528" s="2">
        <v>201710</v>
      </c>
      <c r="H2528" s="2" t="s">
        <v>74</v>
      </c>
      <c r="I2528" s="2" t="s">
        <v>75</v>
      </c>
      <c r="J2528" s="2" t="s">
        <v>76</v>
      </c>
      <c r="K2528" s="2" t="s">
        <v>77</v>
      </c>
      <c r="L2528" s="2" t="s">
        <v>503</v>
      </c>
      <c r="M2528" s="2" t="s">
        <v>504</v>
      </c>
      <c r="N2528" s="2" t="s">
        <v>2868</v>
      </c>
      <c r="O2528" s="2" t="s">
        <v>115</v>
      </c>
      <c r="P2528" s="2" t="str">
        <f>"2170560919                    "</f>
        <v xml:space="preserve">2170560919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3.35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1</v>
      </c>
      <c r="BJ2528" s="2">
        <v>0.2</v>
      </c>
      <c r="BK2528" s="2">
        <v>1</v>
      </c>
      <c r="BL2528" s="2">
        <v>32.6</v>
      </c>
      <c r="BM2528" s="2">
        <v>4.5599999999999996</v>
      </c>
      <c r="BN2528" s="2">
        <v>37.159999999999997</v>
      </c>
      <c r="BO2528" s="2">
        <v>37.159999999999997</v>
      </c>
      <c r="BP2528" s="2"/>
      <c r="BQ2528" s="2" t="s">
        <v>122</v>
      </c>
      <c r="BR2528" s="2" t="s">
        <v>84</v>
      </c>
      <c r="BS2528" s="3">
        <v>42846</v>
      </c>
      <c r="BT2528" s="4">
        <v>0.33333333333333331</v>
      </c>
      <c r="BU2528" s="2" t="s">
        <v>2869</v>
      </c>
      <c r="BV2528" s="2" t="s">
        <v>111</v>
      </c>
      <c r="BW2528" s="2"/>
      <c r="BX2528" s="2"/>
      <c r="BY2528" s="2">
        <v>1200</v>
      </c>
      <c r="BZ2528" s="2"/>
      <c r="CA2528" s="2"/>
      <c r="CB2528" s="2"/>
      <c r="CC2528" s="2" t="s">
        <v>504</v>
      </c>
      <c r="CD2528" s="2">
        <v>1518</v>
      </c>
      <c r="CE2528" s="2" t="s">
        <v>118</v>
      </c>
      <c r="CF2528" s="5">
        <v>42849</v>
      </c>
      <c r="CG2528" s="2"/>
      <c r="CH2528" s="2"/>
      <c r="CI2528" s="2">
        <v>1</v>
      </c>
      <c r="CJ2528" s="2">
        <v>1</v>
      </c>
      <c r="CK2528" s="2">
        <v>22</v>
      </c>
      <c r="CL2528" s="2" t="s">
        <v>86</v>
      </c>
      <c r="CM2528" s="2"/>
    </row>
    <row r="2529" spans="1:91">
      <c r="A2529" s="2" t="s">
        <v>71</v>
      </c>
      <c r="B2529" s="2" t="s">
        <v>72</v>
      </c>
      <c r="C2529" s="2" t="s">
        <v>73</v>
      </c>
      <c r="D2529" s="2"/>
      <c r="E2529" s="2" t="str">
        <f>"FES1162544710"</f>
        <v>FES1162544710</v>
      </c>
      <c r="F2529" s="3">
        <v>42845</v>
      </c>
      <c r="G2529" s="2">
        <v>201710</v>
      </c>
      <c r="H2529" s="2" t="s">
        <v>74</v>
      </c>
      <c r="I2529" s="2" t="s">
        <v>75</v>
      </c>
      <c r="J2529" s="2" t="s">
        <v>76</v>
      </c>
      <c r="K2529" s="2" t="s">
        <v>77</v>
      </c>
      <c r="L2529" s="2" t="s">
        <v>294</v>
      </c>
      <c r="M2529" s="2" t="s">
        <v>295</v>
      </c>
      <c r="N2529" s="2" t="s">
        <v>296</v>
      </c>
      <c r="O2529" s="2" t="s">
        <v>115</v>
      </c>
      <c r="P2529" s="2" t="str">
        <f>"2170563269                    "</f>
        <v xml:space="preserve">2170563269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4.29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1.1000000000000001</v>
      </c>
      <c r="BJ2529" s="2">
        <v>0.2</v>
      </c>
      <c r="BK2529" s="2">
        <v>1.5</v>
      </c>
      <c r="BL2529" s="2">
        <v>41.73</v>
      </c>
      <c r="BM2529" s="2">
        <v>5.84</v>
      </c>
      <c r="BN2529" s="2">
        <v>47.57</v>
      </c>
      <c r="BO2529" s="2">
        <v>47.57</v>
      </c>
      <c r="BP2529" s="2"/>
      <c r="BQ2529" s="2" t="s">
        <v>297</v>
      </c>
      <c r="BR2529" s="2" t="s">
        <v>84</v>
      </c>
      <c r="BS2529" s="3">
        <v>42846</v>
      </c>
      <c r="BT2529" s="4">
        <v>0.43055555555555558</v>
      </c>
      <c r="BU2529" s="2" t="s">
        <v>1092</v>
      </c>
      <c r="BV2529" s="2" t="s">
        <v>111</v>
      </c>
      <c r="BW2529" s="2"/>
      <c r="BX2529" s="2"/>
      <c r="BY2529" s="2">
        <v>1200</v>
      </c>
      <c r="BZ2529" s="2" t="s">
        <v>27</v>
      </c>
      <c r="CA2529" s="2"/>
      <c r="CB2529" s="2"/>
      <c r="CC2529" s="2" t="s">
        <v>295</v>
      </c>
      <c r="CD2529" s="2">
        <v>3620</v>
      </c>
      <c r="CE2529" s="2" t="s">
        <v>118</v>
      </c>
      <c r="CF2529" s="5">
        <v>42849</v>
      </c>
      <c r="CG2529" s="2"/>
      <c r="CH2529" s="2"/>
      <c r="CI2529" s="2">
        <v>1</v>
      </c>
      <c r="CJ2529" s="2">
        <v>1</v>
      </c>
      <c r="CK2529" s="2">
        <v>21</v>
      </c>
      <c r="CL2529" s="2" t="s">
        <v>86</v>
      </c>
      <c r="CM2529" s="2"/>
    </row>
    <row r="2530" spans="1:91">
      <c r="A2530" s="2" t="s">
        <v>71</v>
      </c>
      <c r="B2530" s="2" t="s">
        <v>72</v>
      </c>
      <c r="C2530" s="2" t="s">
        <v>73</v>
      </c>
      <c r="D2530" s="2"/>
      <c r="E2530" s="2" t="str">
        <f>"FES1162544681"</f>
        <v>FES1162544681</v>
      </c>
      <c r="F2530" s="3">
        <v>42845</v>
      </c>
      <c r="G2530" s="2">
        <v>201710</v>
      </c>
      <c r="H2530" s="2" t="s">
        <v>74</v>
      </c>
      <c r="I2530" s="2" t="s">
        <v>75</v>
      </c>
      <c r="J2530" s="2" t="s">
        <v>76</v>
      </c>
      <c r="K2530" s="2" t="s">
        <v>77</v>
      </c>
      <c r="L2530" s="2" t="s">
        <v>166</v>
      </c>
      <c r="M2530" s="2" t="s">
        <v>167</v>
      </c>
      <c r="N2530" s="2" t="s">
        <v>2160</v>
      </c>
      <c r="O2530" s="2" t="s">
        <v>115</v>
      </c>
      <c r="P2530" s="2" t="str">
        <f>"2170563242                    "</f>
        <v xml:space="preserve">2170563242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3.35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1</v>
      </c>
      <c r="BJ2530" s="2">
        <v>0.2</v>
      </c>
      <c r="BK2530" s="2">
        <v>1</v>
      </c>
      <c r="BL2530" s="2">
        <v>32.6</v>
      </c>
      <c r="BM2530" s="2">
        <v>4.5599999999999996</v>
      </c>
      <c r="BN2530" s="2">
        <v>37.159999999999997</v>
      </c>
      <c r="BO2530" s="2">
        <v>37.159999999999997</v>
      </c>
      <c r="BP2530" s="2"/>
      <c r="BQ2530" s="2" t="s">
        <v>2161</v>
      </c>
      <c r="BR2530" s="2" t="s">
        <v>84</v>
      </c>
      <c r="BS2530" s="3">
        <v>42846</v>
      </c>
      <c r="BT2530" s="4">
        <v>0.42569444444444443</v>
      </c>
      <c r="BU2530" s="2" t="s">
        <v>290</v>
      </c>
      <c r="BV2530" s="2" t="s">
        <v>111</v>
      </c>
      <c r="BW2530" s="2"/>
      <c r="BX2530" s="2"/>
      <c r="BY2530" s="2">
        <v>1200</v>
      </c>
      <c r="BZ2530" s="2"/>
      <c r="CA2530" s="2" t="s">
        <v>171</v>
      </c>
      <c r="CB2530" s="2"/>
      <c r="CC2530" s="2" t="s">
        <v>167</v>
      </c>
      <c r="CD2530" s="2">
        <v>2001</v>
      </c>
      <c r="CE2530" s="2" t="s">
        <v>118</v>
      </c>
      <c r="CF2530" s="5">
        <v>42846</v>
      </c>
      <c r="CG2530" s="2"/>
      <c r="CH2530" s="2"/>
      <c r="CI2530" s="2">
        <v>1</v>
      </c>
      <c r="CJ2530" s="2">
        <v>1</v>
      </c>
      <c r="CK2530" s="2">
        <v>22</v>
      </c>
      <c r="CL2530" s="2" t="s">
        <v>86</v>
      </c>
      <c r="CM2530" s="2"/>
    </row>
    <row r="2531" spans="1:91">
      <c r="A2531" s="2" t="s">
        <v>71</v>
      </c>
      <c r="B2531" s="2" t="s">
        <v>72</v>
      </c>
      <c r="C2531" s="2" t="s">
        <v>73</v>
      </c>
      <c r="D2531" s="2"/>
      <c r="E2531" s="2" t="str">
        <f>"FES1162544601"</f>
        <v>FES1162544601</v>
      </c>
      <c r="F2531" s="3">
        <v>42845</v>
      </c>
      <c r="G2531" s="2">
        <v>201710</v>
      </c>
      <c r="H2531" s="2" t="s">
        <v>74</v>
      </c>
      <c r="I2531" s="2" t="s">
        <v>75</v>
      </c>
      <c r="J2531" s="2" t="s">
        <v>76</v>
      </c>
      <c r="K2531" s="2" t="s">
        <v>77</v>
      </c>
      <c r="L2531" s="2" t="s">
        <v>633</v>
      </c>
      <c r="M2531" s="2" t="s">
        <v>634</v>
      </c>
      <c r="N2531" s="2" t="s">
        <v>2151</v>
      </c>
      <c r="O2531" s="2" t="s">
        <v>115</v>
      </c>
      <c r="P2531" s="2" t="str">
        <f>"2170563148                    "</f>
        <v xml:space="preserve">2170563148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6.03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1</v>
      </c>
      <c r="BJ2531" s="2">
        <v>0.2</v>
      </c>
      <c r="BK2531" s="2">
        <v>1</v>
      </c>
      <c r="BL2531" s="2">
        <v>58.68</v>
      </c>
      <c r="BM2531" s="2">
        <v>8.2200000000000006</v>
      </c>
      <c r="BN2531" s="2">
        <v>66.900000000000006</v>
      </c>
      <c r="BO2531" s="2">
        <v>66.900000000000006</v>
      </c>
      <c r="BP2531" s="2"/>
      <c r="BQ2531" s="2" t="s">
        <v>129</v>
      </c>
      <c r="BR2531" s="2" t="s">
        <v>84</v>
      </c>
      <c r="BS2531" s="3">
        <v>42846</v>
      </c>
      <c r="BT2531" s="4">
        <v>0.41666666666666669</v>
      </c>
      <c r="BU2531" s="2" t="s">
        <v>198</v>
      </c>
      <c r="BV2531" s="2" t="s">
        <v>111</v>
      </c>
      <c r="BW2531" s="2"/>
      <c r="BX2531" s="2"/>
      <c r="BY2531" s="2">
        <v>1200</v>
      </c>
      <c r="BZ2531" s="2" t="s">
        <v>27</v>
      </c>
      <c r="CA2531" s="2"/>
      <c r="CB2531" s="2"/>
      <c r="CC2531" s="2" t="s">
        <v>634</v>
      </c>
      <c r="CD2531" s="2">
        <v>1760</v>
      </c>
      <c r="CE2531" s="2" t="s">
        <v>118</v>
      </c>
      <c r="CF2531" s="5">
        <v>42849</v>
      </c>
      <c r="CG2531" s="2"/>
      <c r="CH2531" s="2"/>
      <c r="CI2531" s="2">
        <v>1</v>
      </c>
      <c r="CJ2531" s="2">
        <v>1</v>
      </c>
      <c r="CK2531" s="2">
        <v>24</v>
      </c>
      <c r="CL2531" s="2" t="s">
        <v>86</v>
      </c>
      <c r="CM2531" s="2"/>
    </row>
    <row r="2532" spans="1:91">
      <c r="A2532" s="2" t="s">
        <v>71</v>
      </c>
      <c r="B2532" s="2" t="s">
        <v>72</v>
      </c>
      <c r="C2532" s="2" t="s">
        <v>73</v>
      </c>
      <c r="D2532" s="2"/>
      <c r="E2532" s="2" t="str">
        <f>"FES1162544655"</f>
        <v>FES1162544655</v>
      </c>
      <c r="F2532" s="3">
        <v>42845</v>
      </c>
      <c r="G2532" s="2">
        <v>201710</v>
      </c>
      <c r="H2532" s="2" t="s">
        <v>74</v>
      </c>
      <c r="I2532" s="2" t="s">
        <v>75</v>
      </c>
      <c r="J2532" s="2" t="s">
        <v>76</v>
      </c>
      <c r="K2532" s="2" t="s">
        <v>77</v>
      </c>
      <c r="L2532" s="2" t="s">
        <v>609</v>
      </c>
      <c r="M2532" s="2" t="s">
        <v>610</v>
      </c>
      <c r="N2532" s="2" t="s">
        <v>982</v>
      </c>
      <c r="O2532" s="2" t="s">
        <v>115</v>
      </c>
      <c r="P2532" s="2" t="str">
        <f>"2170563188                    "</f>
        <v xml:space="preserve">2170563188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4.29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1</v>
      </c>
      <c r="BJ2532" s="2">
        <v>0.2</v>
      </c>
      <c r="BK2532" s="2">
        <v>1</v>
      </c>
      <c r="BL2532" s="2">
        <v>41.73</v>
      </c>
      <c r="BM2532" s="2">
        <v>5.84</v>
      </c>
      <c r="BN2532" s="2">
        <v>47.57</v>
      </c>
      <c r="BO2532" s="2">
        <v>47.57</v>
      </c>
      <c r="BP2532" s="2"/>
      <c r="BQ2532" s="2" t="s">
        <v>129</v>
      </c>
      <c r="BR2532" s="2" t="s">
        <v>84</v>
      </c>
      <c r="BS2532" s="3">
        <v>42846</v>
      </c>
      <c r="BT2532" s="4">
        <v>0.52500000000000002</v>
      </c>
      <c r="BU2532" s="2" t="s">
        <v>266</v>
      </c>
      <c r="BV2532" s="2" t="s">
        <v>86</v>
      </c>
      <c r="BW2532" s="2" t="s">
        <v>96</v>
      </c>
      <c r="BX2532" s="2" t="s">
        <v>939</v>
      </c>
      <c r="BY2532" s="2">
        <v>1200</v>
      </c>
      <c r="BZ2532" s="2"/>
      <c r="CA2532" s="2"/>
      <c r="CB2532" s="2"/>
      <c r="CC2532" s="2" t="s">
        <v>610</v>
      </c>
      <c r="CD2532" s="2">
        <v>1911</v>
      </c>
      <c r="CE2532" s="2" t="s">
        <v>118</v>
      </c>
      <c r="CF2532" s="5">
        <v>42849</v>
      </c>
      <c r="CG2532" s="2"/>
      <c r="CH2532" s="2"/>
      <c r="CI2532" s="2">
        <v>1</v>
      </c>
      <c r="CJ2532" s="2">
        <v>1</v>
      </c>
      <c r="CK2532" s="2">
        <v>21</v>
      </c>
      <c r="CL2532" s="2" t="s">
        <v>86</v>
      </c>
      <c r="CM2532" s="2"/>
    </row>
    <row r="2533" spans="1:91">
      <c r="A2533" s="2" t="s">
        <v>71</v>
      </c>
      <c r="B2533" s="2" t="s">
        <v>72</v>
      </c>
      <c r="C2533" s="2" t="s">
        <v>73</v>
      </c>
      <c r="D2533" s="2"/>
      <c r="E2533" s="2" t="str">
        <f>"FES1162544559"</f>
        <v>FES1162544559</v>
      </c>
      <c r="F2533" s="3">
        <v>42845</v>
      </c>
      <c r="G2533" s="2">
        <v>201710</v>
      </c>
      <c r="H2533" s="2" t="s">
        <v>74</v>
      </c>
      <c r="I2533" s="2" t="s">
        <v>75</v>
      </c>
      <c r="J2533" s="2" t="s">
        <v>76</v>
      </c>
      <c r="K2533" s="2" t="s">
        <v>77</v>
      </c>
      <c r="L2533" s="2" t="s">
        <v>131</v>
      </c>
      <c r="M2533" s="2" t="s">
        <v>132</v>
      </c>
      <c r="N2533" s="2" t="s">
        <v>188</v>
      </c>
      <c r="O2533" s="2" t="s">
        <v>115</v>
      </c>
      <c r="P2533" s="2" t="str">
        <f>"2170560950                    "</f>
        <v xml:space="preserve">2170560950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4.29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</v>
      </c>
      <c r="BJ2533" s="2">
        <v>0.2</v>
      </c>
      <c r="BK2533" s="2">
        <v>1</v>
      </c>
      <c r="BL2533" s="2">
        <v>41.73</v>
      </c>
      <c r="BM2533" s="2">
        <v>5.84</v>
      </c>
      <c r="BN2533" s="2">
        <v>47.57</v>
      </c>
      <c r="BO2533" s="2">
        <v>47.57</v>
      </c>
      <c r="BP2533" s="2"/>
      <c r="BQ2533" s="2" t="s">
        <v>83</v>
      </c>
      <c r="BR2533" s="2" t="s">
        <v>84</v>
      </c>
      <c r="BS2533" s="3">
        <v>42846</v>
      </c>
      <c r="BT2533" s="4">
        <v>0.35902777777777778</v>
      </c>
      <c r="BU2533" s="2" t="s">
        <v>1407</v>
      </c>
      <c r="BV2533" s="2" t="s">
        <v>111</v>
      </c>
      <c r="BW2533" s="2"/>
      <c r="BX2533" s="2"/>
      <c r="BY2533" s="2">
        <v>1200</v>
      </c>
      <c r="BZ2533" s="2" t="s">
        <v>27</v>
      </c>
      <c r="CA2533" s="2" t="s">
        <v>2870</v>
      </c>
      <c r="CB2533" s="2"/>
      <c r="CC2533" s="2" t="s">
        <v>132</v>
      </c>
      <c r="CD2533" s="2">
        <v>7460</v>
      </c>
      <c r="CE2533" s="2" t="s">
        <v>118</v>
      </c>
      <c r="CF2533" s="5">
        <v>42846</v>
      </c>
      <c r="CG2533" s="2"/>
      <c r="CH2533" s="2"/>
      <c r="CI2533" s="2">
        <v>1</v>
      </c>
      <c r="CJ2533" s="2">
        <v>1</v>
      </c>
      <c r="CK2533" s="2">
        <v>21</v>
      </c>
      <c r="CL2533" s="2" t="s">
        <v>86</v>
      </c>
      <c r="CM2533" s="2"/>
    </row>
    <row r="2534" spans="1:91">
      <c r="A2534" s="2" t="s">
        <v>71</v>
      </c>
      <c r="B2534" s="2" t="s">
        <v>72</v>
      </c>
      <c r="C2534" s="2" t="s">
        <v>73</v>
      </c>
      <c r="D2534" s="2"/>
      <c r="E2534" s="2" t="str">
        <f>"FES1162544731"</f>
        <v>FES1162544731</v>
      </c>
      <c r="F2534" s="3">
        <v>42845</v>
      </c>
      <c r="G2534" s="2">
        <v>201710</v>
      </c>
      <c r="H2534" s="2" t="s">
        <v>74</v>
      </c>
      <c r="I2534" s="2" t="s">
        <v>75</v>
      </c>
      <c r="J2534" s="2" t="s">
        <v>76</v>
      </c>
      <c r="K2534" s="2" t="s">
        <v>77</v>
      </c>
      <c r="L2534" s="2" t="s">
        <v>74</v>
      </c>
      <c r="M2534" s="2" t="s">
        <v>75</v>
      </c>
      <c r="N2534" s="2" t="s">
        <v>488</v>
      </c>
      <c r="O2534" s="2" t="s">
        <v>115</v>
      </c>
      <c r="P2534" s="2" t="str">
        <f>"2170563287                    "</f>
        <v xml:space="preserve">2170563287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3.35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1</v>
      </c>
      <c r="BJ2534" s="2">
        <v>0.2</v>
      </c>
      <c r="BK2534" s="2">
        <v>1</v>
      </c>
      <c r="BL2534" s="2">
        <v>32.6</v>
      </c>
      <c r="BM2534" s="2">
        <v>4.5599999999999996</v>
      </c>
      <c r="BN2534" s="2">
        <v>37.159999999999997</v>
      </c>
      <c r="BO2534" s="2">
        <v>37.159999999999997</v>
      </c>
      <c r="BP2534" s="2"/>
      <c r="BQ2534" s="2" t="s">
        <v>489</v>
      </c>
      <c r="BR2534" s="2" t="s">
        <v>84</v>
      </c>
      <c r="BS2534" s="3">
        <v>42846</v>
      </c>
      <c r="BT2534" s="4">
        <v>0.41666666666666669</v>
      </c>
      <c r="BU2534" s="2" t="s">
        <v>1750</v>
      </c>
      <c r="BV2534" s="2" t="s">
        <v>111</v>
      </c>
      <c r="BW2534" s="2"/>
      <c r="BX2534" s="2"/>
      <c r="BY2534" s="2">
        <v>1200</v>
      </c>
      <c r="BZ2534" s="2"/>
      <c r="CA2534" s="2"/>
      <c r="CB2534" s="2"/>
      <c r="CC2534" s="2" t="s">
        <v>75</v>
      </c>
      <c r="CD2534" s="2">
        <v>1645</v>
      </c>
      <c r="CE2534" s="2" t="s">
        <v>118</v>
      </c>
      <c r="CF2534" s="5">
        <v>42849</v>
      </c>
      <c r="CG2534" s="2"/>
      <c r="CH2534" s="2"/>
      <c r="CI2534" s="2">
        <v>1</v>
      </c>
      <c r="CJ2534" s="2">
        <v>1</v>
      </c>
      <c r="CK2534" s="2">
        <v>22</v>
      </c>
      <c r="CL2534" s="2" t="s">
        <v>86</v>
      </c>
      <c r="CM2534" s="2"/>
    </row>
    <row r="2535" spans="1:91">
      <c r="A2535" s="2" t="s">
        <v>71</v>
      </c>
      <c r="B2535" s="2" t="s">
        <v>72</v>
      </c>
      <c r="C2535" s="2" t="s">
        <v>73</v>
      </c>
      <c r="D2535" s="2"/>
      <c r="E2535" s="2" t="str">
        <f>"FES1162544490"</f>
        <v>FES1162544490</v>
      </c>
      <c r="F2535" s="3">
        <v>42845</v>
      </c>
      <c r="G2535" s="2">
        <v>201710</v>
      </c>
      <c r="H2535" s="2" t="s">
        <v>74</v>
      </c>
      <c r="I2535" s="2" t="s">
        <v>75</v>
      </c>
      <c r="J2535" s="2" t="s">
        <v>76</v>
      </c>
      <c r="K2535" s="2" t="s">
        <v>77</v>
      </c>
      <c r="L2535" s="2" t="s">
        <v>74</v>
      </c>
      <c r="M2535" s="2" t="s">
        <v>75</v>
      </c>
      <c r="N2535" s="2" t="s">
        <v>2871</v>
      </c>
      <c r="O2535" s="2" t="s">
        <v>115</v>
      </c>
      <c r="P2535" s="2" t="str">
        <f>"2170563082                    "</f>
        <v xml:space="preserve">2170563082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3.35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1</v>
      </c>
      <c r="BJ2535" s="2">
        <v>0.2</v>
      </c>
      <c r="BK2535" s="2">
        <v>1</v>
      </c>
      <c r="BL2535" s="2">
        <v>32.6</v>
      </c>
      <c r="BM2535" s="2">
        <v>4.5599999999999996</v>
      </c>
      <c r="BN2535" s="2">
        <v>37.159999999999997</v>
      </c>
      <c r="BO2535" s="2">
        <v>37.159999999999997</v>
      </c>
      <c r="BP2535" s="2"/>
      <c r="BQ2535" s="2"/>
      <c r="BR2535" s="2" t="s">
        <v>84</v>
      </c>
      <c r="BS2535" s="3">
        <v>42846</v>
      </c>
      <c r="BT2535" s="4">
        <v>0.37013888888888885</v>
      </c>
      <c r="BU2535" s="2" t="s">
        <v>290</v>
      </c>
      <c r="BV2535" s="2" t="s">
        <v>111</v>
      </c>
      <c r="BW2535" s="2"/>
      <c r="BX2535" s="2"/>
      <c r="BY2535" s="2">
        <v>1200</v>
      </c>
      <c r="BZ2535" s="2"/>
      <c r="CA2535" s="2" t="s">
        <v>2027</v>
      </c>
      <c r="CB2535" s="2"/>
      <c r="CC2535" s="2" t="s">
        <v>75</v>
      </c>
      <c r="CD2535" s="2">
        <v>1609</v>
      </c>
      <c r="CE2535" s="2" t="s">
        <v>118</v>
      </c>
      <c r="CF2535" s="5">
        <v>42849</v>
      </c>
      <c r="CG2535" s="2"/>
      <c r="CH2535" s="2"/>
      <c r="CI2535" s="2">
        <v>1</v>
      </c>
      <c r="CJ2535" s="2">
        <v>1</v>
      </c>
      <c r="CK2535" s="2">
        <v>22</v>
      </c>
      <c r="CL2535" s="2" t="s">
        <v>86</v>
      </c>
      <c r="CM2535" s="2"/>
    </row>
    <row r="2536" spans="1:91">
      <c r="A2536" s="2" t="s">
        <v>71</v>
      </c>
      <c r="B2536" s="2" t="s">
        <v>72</v>
      </c>
      <c r="C2536" s="2" t="s">
        <v>73</v>
      </c>
      <c r="D2536" s="2"/>
      <c r="E2536" s="2" t="str">
        <f>"FES1162544523"</f>
        <v>FES1162544523</v>
      </c>
      <c r="F2536" s="3">
        <v>42845</v>
      </c>
      <c r="G2536" s="2">
        <v>201710</v>
      </c>
      <c r="H2536" s="2" t="s">
        <v>74</v>
      </c>
      <c r="I2536" s="2" t="s">
        <v>75</v>
      </c>
      <c r="J2536" s="2" t="s">
        <v>76</v>
      </c>
      <c r="K2536" s="2" t="s">
        <v>77</v>
      </c>
      <c r="L2536" s="2" t="s">
        <v>119</v>
      </c>
      <c r="M2536" s="2" t="s">
        <v>120</v>
      </c>
      <c r="N2536" s="2" t="s">
        <v>725</v>
      </c>
      <c r="O2536" s="2" t="s">
        <v>115</v>
      </c>
      <c r="P2536" s="2" t="str">
        <f>"2170560432                    "</f>
        <v xml:space="preserve">2170560432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3.35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1</v>
      </c>
      <c r="BJ2536" s="2">
        <v>0.2</v>
      </c>
      <c r="BK2536" s="2">
        <v>1</v>
      </c>
      <c r="BL2536" s="2">
        <v>32.6</v>
      </c>
      <c r="BM2536" s="2">
        <v>4.5599999999999996</v>
      </c>
      <c r="BN2536" s="2">
        <v>37.159999999999997</v>
      </c>
      <c r="BO2536" s="2">
        <v>37.159999999999997</v>
      </c>
      <c r="BP2536" s="2"/>
      <c r="BQ2536" s="2" t="s">
        <v>726</v>
      </c>
      <c r="BR2536" s="2" t="s">
        <v>84</v>
      </c>
      <c r="BS2536" s="3">
        <v>42846</v>
      </c>
      <c r="BT2536" s="4">
        <v>0.3979166666666667</v>
      </c>
      <c r="BU2536" s="2" t="s">
        <v>767</v>
      </c>
      <c r="BV2536" s="2" t="s">
        <v>111</v>
      </c>
      <c r="BW2536" s="2"/>
      <c r="BX2536" s="2"/>
      <c r="BY2536" s="2">
        <v>1200</v>
      </c>
      <c r="BZ2536" s="2"/>
      <c r="CA2536" s="2" t="s">
        <v>125</v>
      </c>
      <c r="CB2536" s="2"/>
      <c r="CC2536" s="2" t="s">
        <v>120</v>
      </c>
      <c r="CD2536" s="2">
        <v>2162</v>
      </c>
      <c r="CE2536" s="2" t="s">
        <v>118</v>
      </c>
      <c r="CF2536" s="5">
        <v>42849</v>
      </c>
      <c r="CG2536" s="2"/>
      <c r="CH2536" s="2"/>
      <c r="CI2536" s="2">
        <v>1</v>
      </c>
      <c r="CJ2536" s="2">
        <v>1</v>
      </c>
      <c r="CK2536" s="2">
        <v>22</v>
      </c>
      <c r="CL2536" s="2" t="s">
        <v>86</v>
      </c>
      <c r="CM2536" s="2"/>
    </row>
    <row r="2537" spans="1:91">
      <c r="A2537" s="2" t="s">
        <v>71</v>
      </c>
      <c r="B2537" s="2" t="s">
        <v>72</v>
      </c>
      <c r="C2537" s="2" t="s">
        <v>73</v>
      </c>
      <c r="D2537" s="2"/>
      <c r="E2537" s="2" t="str">
        <f>"FES1162544698"</f>
        <v>FES1162544698</v>
      </c>
      <c r="F2537" s="3">
        <v>42845</v>
      </c>
      <c r="G2537" s="2">
        <v>201710</v>
      </c>
      <c r="H2537" s="2" t="s">
        <v>74</v>
      </c>
      <c r="I2537" s="2" t="s">
        <v>75</v>
      </c>
      <c r="J2537" s="2" t="s">
        <v>76</v>
      </c>
      <c r="K2537" s="2" t="s">
        <v>77</v>
      </c>
      <c r="L2537" s="2" t="s">
        <v>358</v>
      </c>
      <c r="M2537" s="2" t="s">
        <v>359</v>
      </c>
      <c r="N2537" s="2" t="s">
        <v>686</v>
      </c>
      <c r="O2537" s="2" t="s">
        <v>115</v>
      </c>
      <c r="P2537" s="2" t="str">
        <f>"2170563257                    "</f>
        <v xml:space="preserve">2170563257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4.29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</v>
      </c>
      <c r="BJ2537" s="2">
        <v>0.2</v>
      </c>
      <c r="BK2537" s="2">
        <v>1</v>
      </c>
      <c r="BL2537" s="2">
        <v>41.73</v>
      </c>
      <c r="BM2537" s="2">
        <v>5.84</v>
      </c>
      <c r="BN2537" s="2">
        <v>47.57</v>
      </c>
      <c r="BO2537" s="2">
        <v>47.57</v>
      </c>
      <c r="BP2537" s="2"/>
      <c r="BQ2537" s="2" t="s">
        <v>687</v>
      </c>
      <c r="BR2537" s="2" t="s">
        <v>84</v>
      </c>
      <c r="BS2537" s="3">
        <v>42846</v>
      </c>
      <c r="BT2537" s="4">
        <v>0.30972222222222223</v>
      </c>
      <c r="BU2537" s="2" t="s">
        <v>687</v>
      </c>
      <c r="BV2537" s="2" t="s">
        <v>111</v>
      </c>
      <c r="BW2537" s="2"/>
      <c r="BX2537" s="2"/>
      <c r="BY2537" s="2">
        <v>1200</v>
      </c>
      <c r="BZ2537" s="2" t="s">
        <v>27</v>
      </c>
      <c r="CA2537" s="2"/>
      <c r="CB2537" s="2"/>
      <c r="CC2537" s="2" t="s">
        <v>359</v>
      </c>
      <c r="CD2537" s="2">
        <v>6229</v>
      </c>
      <c r="CE2537" s="2" t="s">
        <v>118</v>
      </c>
      <c r="CF2537" s="5">
        <v>42849</v>
      </c>
      <c r="CG2537" s="2"/>
      <c r="CH2537" s="2"/>
      <c r="CI2537" s="2">
        <v>1</v>
      </c>
      <c r="CJ2537" s="2">
        <v>1</v>
      </c>
      <c r="CK2537" s="2">
        <v>21</v>
      </c>
      <c r="CL2537" s="2" t="s">
        <v>86</v>
      </c>
      <c r="CM2537" s="2"/>
    </row>
    <row r="2538" spans="1:91">
      <c r="A2538" s="2" t="s">
        <v>71</v>
      </c>
      <c r="B2538" s="2" t="s">
        <v>72</v>
      </c>
      <c r="C2538" s="2" t="s">
        <v>73</v>
      </c>
      <c r="D2538" s="2"/>
      <c r="E2538" s="2" t="str">
        <f>"FES1162544526"</f>
        <v>FES1162544526</v>
      </c>
      <c r="F2538" s="3">
        <v>42845</v>
      </c>
      <c r="G2538" s="2">
        <v>201710</v>
      </c>
      <c r="H2538" s="2" t="s">
        <v>74</v>
      </c>
      <c r="I2538" s="2" t="s">
        <v>75</v>
      </c>
      <c r="J2538" s="2" t="s">
        <v>76</v>
      </c>
      <c r="K2538" s="2" t="s">
        <v>77</v>
      </c>
      <c r="L2538" s="2" t="s">
        <v>190</v>
      </c>
      <c r="M2538" s="2" t="s">
        <v>191</v>
      </c>
      <c r="N2538" s="2" t="s">
        <v>870</v>
      </c>
      <c r="O2538" s="2" t="s">
        <v>115</v>
      </c>
      <c r="P2538" s="2" t="str">
        <f>"2170560641                    "</f>
        <v xml:space="preserve">2170560641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6.03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1</v>
      </c>
      <c r="BJ2538" s="2">
        <v>0.2</v>
      </c>
      <c r="BK2538" s="2">
        <v>1</v>
      </c>
      <c r="BL2538" s="2">
        <v>58.68</v>
      </c>
      <c r="BM2538" s="2">
        <v>8.2200000000000006</v>
      </c>
      <c r="BN2538" s="2">
        <v>66.900000000000006</v>
      </c>
      <c r="BO2538" s="2">
        <v>66.900000000000006</v>
      </c>
      <c r="BP2538" s="2"/>
      <c r="BQ2538" s="2" t="s">
        <v>871</v>
      </c>
      <c r="BR2538" s="2" t="s">
        <v>84</v>
      </c>
      <c r="BS2538" s="3">
        <v>42846</v>
      </c>
      <c r="BT2538" s="4">
        <v>0.30208333333333331</v>
      </c>
      <c r="BU2538" s="2" t="s">
        <v>2872</v>
      </c>
      <c r="BV2538" s="2" t="s">
        <v>111</v>
      </c>
      <c r="BW2538" s="2"/>
      <c r="BX2538" s="2"/>
      <c r="BY2538" s="2">
        <v>1200</v>
      </c>
      <c r="BZ2538" s="2"/>
      <c r="CA2538" s="2"/>
      <c r="CB2538" s="2"/>
      <c r="CC2538" s="2" t="s">
        <v>191</v>
      </c>
      <c r="CD2538" s="2">
        <v>1754</v>
      </c>
      <c r="CE2538" s="2" t="s">
        <v>118</v>
      </c>
      <c r="CF2538" s="5">
        <v>42849</v>
      </c>
      <c r="CG2538" s="2"/>
      <c r="CH2538" s="2"/>
      <c r="CI2538" s="2">
        <v>1</v>
      </c>
      <c r="CJ2538" s="2">
        <v>1</v>
      </c>
      <c r="CK2538" s="2">
        <v>24</v>
      </c>
      <c r="CL2538" s="2" t="s">
        <v>86</v>
      </c>
      <c r="CM2538" s="2"/>
    </row>
    <row r="2539" spans="1:91">
      <c r="A2539" s="2" t="s">
        <v>71</v>
      </c>
      <c r="B2539" s="2" t="s">
        <v>72</v>
      </c>
      <c r="C2539" s="2" t="s">
        <v>73</v>
      </c>
      <c r="D2539" s="2"/>
      <c r="E2539" s="2" t="str">
        <f>"FES1162544525"</f>
        <v>FES1162544525</v>
      </c>
      <c r="F2539" s="3">
        <v>42845</v>
      </c>
      <c r="G2539" s="2">
        <v>201710</v>
      </c>
      <c r="H2539" s="2" t="s">
        <v>74</v>
      </c>
      <c r="I2539" s="2" t="s">
        <v>75</v>
      </c>
      <c r="J2539" s="2" t="s">
        <v>76</v>
      </c>
      <c r="K2539" s="2" t="s">
        <v>77</v>
      </c>
      <c r="L2539" s="2" t="s">
        <v>176</v>
      </c>
      <c r="M2539" s="2" t="s">
        <v>176</v>
      </c>
      <c r="N2539" s="2" t="s">
        <v>460</v>
      </c>
      <c r="O2539" s="2" t="s">
        <v>115</v>
      </c>
      <c r="P2539" s="2" t="str">
        <f>"2170560552                    "</f>
        <v xml:space="preserve">2170560552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4.29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1</v>
      </c>
      <c r="BJ2539" s="2">
        <v>0.2</v>
      </c>
      <c r="BK2539" s="2">
        <v>1</v>
      </c>
      <c r="BL2539" s="2">
        <v>41.73</v>
      </c>
      <c r="BM2539" s="2">
        <v>5.84</v>
      </c>
      <c r="BN2539" s="2">
        <v>47.57</v>
      </c>
      <c r="BO2539" s="2">
        <v>47.57</v>
      </c>
      <c r="BP2539" s="2"/>
      <c r="BQ2539" s="2" t="s">
        <v>461</v>
      </c>
      <c r="BR2539" s="2" t="s">
        <v>84</v>
      </c>
      <c r="BS2539" s="3">
        <v>42846</v>
      </c>
      <c r="BT2539" s="4">
        <v>0.52430555555555558</v>
      </c>
      <c r="BU2539" s="2" t="s">
        <v>2642</v>
      </c>
      <c r="BV2539" s="2" t="s">
        <v>111</v>
      </c>
      <c r="BW2539" s="2"/>
      <c r="BX2539" s="2"/>
      <c r="BY2539" s="2">
        <v>1200</v>
      </c>
      <c r="BZ2539" s="2" t="s">
        <v>27</v>
      </c>
      <c r="CA2539" s="2"/>
      <c r="CB2539" s="2"/>
      <c r="CC2539" s="2" t="s">
        <v>176</v>
      </c>
      <c r="CD2539" s="2">
        <v>7646</v>
      </c>
      <c r="CE2539" s="2" t="s">
        <v>118</v>
      </c>
      <c r="CF2539" s="5">
        <v>42849</v>
      </c>
      <c r="CG2539" s="2"/>
      <c r="CH2539" s="2"/>
      <c r="CI2539" s="2">
        <v>1</v>
      </c>
      <c r="CJ2539" s="2">
        <v>1</v>
      </c>
      <c r="CK2539" s="2">
        <v>21</v>
      </c>
      <c r="CL2539" s="2" t="s">
        <v>86</v>
      </c>
      <c r="CM2539" s="2"/>
    </row>
    <row r="2540" spans="1:91">
      <c r="A2540" s="2" t="s">
        <v>71</v>
      </c>
      <c r="B2540" s="2" t="s">
        <v>72</v>
      </c>
      <c r="C2540" s="2" t="s">
        <v>73</v>
      </c>
      <c r="D2540" s="2"/>
      <c r="E2540" s="2" t="str">
        <f>"FES1162544785"</f>
        <v>FES1162544785</v>
      </c>
      <c r="F2540" s="3">
        <v>42845</v>
      </c>
      <c r="G2540" s="2">
        <v>201710</v>
      </c>
      <c r="H2540" s="2" t="s">
        <v>74</v>
      </c>
      <c r="I2540" s="2" t="s">
        <v>75</v>
      </c>
      <c r="J2540" s="2" t="s">
        <v>76</v>
      </c>
      <c r="K2540" s="2" t="s">
        <v>77</v>
      </c>
      <c r="L2540" s="2" t="s">
        <v>160</v>
      </c>
      <c r="M2540" s="2" t="s">
        <v>161</v>
      </c>
      <c r="N2540" s="2" t="s">
        <v>1489</v>
      </c>
      <c r="O2540" s="2" t="s">
        <v>115</v>
      </c>
      <c r="P2540" s="2" t="str">
        <f>"2170563342                    "</f>
        <v xml:space="preserve">2170563342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4.29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1</v>
      </c>
      <c r="BJ2540" s="2">
        <v>0.2</v>
      </c>
      <c r="BK2540" s="2">
        <v>1</v>
      </c>
      <c r="BL2540" s="2">
        <v>41.73</v>
      </c>
      <c r="BM2540" s="2">
        <v>5.84</v>
      </c>
      <c r="BN2540" s="2">
        <v>47.57</v>
      </c>
      <c r="BO2540" s="2">
        <v>47.57</v>
      </c>
      <c r="BP2540" s="2"/>
      <c r="BQ2540" s="2" t="s">
        <v>129</v>
      </c>
      <c r="BR2540" s="2" t="s">
        <v>84</v>
      </c>
      <c r="BS2540" s="3">
        <v>42846</v>
      </c>
      <c r="BT2540" s="4">
        <v>0.41666666666666669</v>
      </c>
      <c r="BU2540" s="2" t="s">
        <v>1490</v>
      </c>
      <c r="BV2540" s="2" t="s">
        <v>111</v>
      </c>
      <c r="BW2540" s="2"/>
      <c r="BX2540" s="2"/>
      <c r="BY2540" s="2">
        <v>1200</v>
      </c>
      <c r="BZ2540" s="2"/>
      <c r="CA2540" s="2"/>
      <c r="CB2540" s="2"/>
      <c r="CC2540" s="2" t="s">
        <v>161</v>
      </c>
      <c r="CD2540" s="2">
        <v>5201</v>
      </c>
      <c r="CE2540" s="2" t="s">
        <v>118</v>
      </c>
      <c r="CF2540" s="5">
        <v>42849</v>
      </c>
      <c r="CG2540" s="2"/>
      <c r="CH2540" s="2"/>
      <c r="CI2540" s="2">
        <v>1</v>
      </c>
      <c r="CJ2540" s="2">
        <v>1</v>
      </c>
      <c r="CK2540" s="2">
        <v>21</v>
      </c>
      <c r="CL2540" s="2" t="s">
        <v>86</v>
      </c>
      <c r="CM2540" s="2"/>
    </row>
    <row r="2541" spans="1:91">
      <c r="A2541" s="2" t="s">
        <v>71</v>
      </c>
      <c r="B2541" s="2" t="s">
        <v>72</v>
      </c>
      <c r="C2541" s="2" t="s">
        <v>73</v>
      </c>
      <c r="D2541" s="2"/>
      <c r="E2541" s="2" t="str">
        <f>"FES1162544563"</f>
        <v>FES1162544563</v>
      </c>
      <c r="F2541" s="3">
        <v>42845</v>
      </c>
      <c r="G2541" s="2">
        <v>201710</v>
      </c>
      <c r="H2541" s="2" t="s">
        <v>74</v>
      </c>
      <c r="I2541" s="2" t="s">
        <v>75</v>
      </c>
      <c r="J2541" s="2" t="s">
        <v>76</v>
      </c>
      <c r="K2541" s="2" t="s">
        <v>77</v>
      </c>
      <c r="L2541" s="2" t="s">
        <v>74</v>
      </c>
      <c r="M2541" s="2" t="s">
        <v>75</v>
      </c>
      <c r="N2541" s="2" t="s">
        <v>488</v>
      </c>
      <c r="O2541" s="2" t="s">
        <v>115</v>
      </c>
      <c r="P2541" s="2" t="str">
        <f>"2170560991                    "</f>
        <v xml:space="preserve">2170560991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3.35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</v>
      </c>
      <c r="BJ2541" s="2">
        <v>0.2</v>
      </c>
      <c r="BK2541" s="2">
        <v>1</v>
      </c>
      <c r="BL2541" s="2">
        <v>32.6</v>
      </c>
      <c r="BM2541" s="2">
        <v>4.5599999999999996</v>
      </c>
      <c r="BN2541" s="2">
        <v>37.159999999999997</v>
      </c>
      <c r="BO2541" s="2">
        <v>37.159999999999997</v>
      </c>
      <c r="BP2541" s="2"/>
      <c r="BQ2541" s="2" t="s">
        <v>489</v>
      </c>
      <c r="BR2541" s="2" t="s">
        <v>84</v>
      </c>
      <c r="BS2541" s="3">
        <v>42846</v>
      </c>
      <c r="BT2541" s="4">
        <v>0.41666666666666669</v>
      </c>
      <c r="BU2541" s="2" t="s">
        <v>1750</v>
      </c>
      <c r="BV2541" s="2" t="s">
        <v>111</v>
      </c>
      <c r="BW2541" s="2"/>
      <c r="BX2541" s="2"/>
      <c r="BY2541" s="2">
        <v>1200</v>
      </c>
      <c r="BZ2541" s="2"/>
      <c r="CA2541" s="2"/>
      <c r="CB2541" s="2"/>
      <c r="CC2541" s="2" t="s">
        <v>75</v>
      </c>
      <c r="CD2541" s="2">
        <v>1645</v>
      </c>
      <c r="CE2541" s="2" t="s">
        <v>118</v>
      </c>
      <c r="CF2541" s="5">
        <v>42849</v>
      </c>
      <c r="CG2541" s="2"/>
      <c r="CH2541" s="2"/>
      <c r="CI2541" s="2">
        <v>1</v>
      </c>
      <c r="CJ2541" s="2">
        <v>1</v>
      </c>
      <c r="CK2541" s="2">
        <v>22</v>
      </c>
      <c r="CL2541" s="2" t="s">
        <v>86</v>
      </c>
      <c r="CM2541" s="2"/>
    </row>
    <row r="2542" spans="1:91">
      <c r="A2542" s="2" t="s">
        <v>71</v>
      </c>
      <c r="B2542" s="2" t="s">
        <v>72</v>
      </c>
      <c r="C2542" s="2" t="s">
        <v>73</v>
      </c>
      <c r="D2542" s="2"/>
      <c r="E2542" s="2" t="str">
        <f>"FES1162544443"</f>
        <v>FES1162544443</v>
      </c>
      <c r="F2542" s="3">
        <v>42845</v>
      </c>
      <c r="G2542" s="2">
        <v>201710</v>
      </c>
      <c r="H2542" s="2" t="s">
        <v>74</v>
      </c>
      <c r="I2542" s="2" t="s">
        <v>75</v>
      </c>
      <c r="J2542" s="2" t="s">
        <v>76</v>
      </c>
      <c r="K2542" s="2" t="s">
        <v>77</v>
      </c>
      <c r="L2542" s="2" t="s">
        <v>609</v>
      </c>
      <c r="M2542" s="2" t="s">
        <v>610</v>
      </c>
      <c r="N2542" s="2" t="s">
        <v>2873</v>
      </c>
      <c r="O2542" s="2" t="s">
        <v>115</v>
      </c>
      <c r="P2542" s="2" t="str">
        <f>"2170563040                    "</f>
        <v xml:space="preserve">2170563040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4.29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41.73</v>
      </c>
      <c r="BM2542" s="2">
        <v>5.84</v>
      </c>
      <c r="BN2542" s="2">
        <v>47.57</v>
      </c>
      <c r="BO2542" s="2">
        <v>47.57</v>
      </c>
      <c r="BP2542" s="2"/>
      <c r="BQ2542" s="2" t="s">
        <v>170</v>
      </c>
      <c r="BR2542" s="2" t="s">
        <v>84</v>
      </c>
      <c r="BS2542" s="3">
        <v>42846</v>
      </c>
      <c r="BT2542" s="4">
        <v>0.43333333333333335</v>
      </c>
      <c r="BU2542" s="2" t="s">
        <v>2874</v>
      </c>
      <c r="BV2542" s="2" t="s">
        <v>111</v>
      </c>
      <c r="BW2542" s="2"/>
      <c r="BX2542" s="2"/>
      <c r="BY2542" s="2">
        <v>1200</v>
      </c>
      <c r="BZ2542" s="2" t="s">
        <v>27</v>
      </c>
      <c r="CA2542" s="2"/>
      <c r="CB2542" s="2"/>
      <c r="CC2542" s="2" t="s">
        <v>610</v>
      </c>
      <c r="CD2542" s="2">
        <v>1911</v>
      </c>
      <c r="CE2542" s="2" t="s">
        <v>118</v>
      </c>
      <c r="CF2542" s="5">
        <v>42849</v>
      </c>
      <c r="CG2542" s="2"/>
      <c r="CH2542" s="2"/>
      <c r="CI2542" s="2">
        <v>1</v>
      </c>
      <c r="CJ2542" s="2">
        <v>1</v>
      </c>
      <c r="CK2542" s="2">
        <v>21</v>
      </c>
      <c r="CL2542" s="2" t="s">
        <v>86</v>
      </c>
      <c r="CM2542" s="2"/>
    </row>
    <row r="2543" spans="1:91">
      <c r="A2543" s="2" t="s">
        <v>71</v>
      </c>
      <c r="B2543" s="2" t="s">
        <v>72</v>
      </c>
      <c r="C2543" s="2" t="s">
        <v>73</v>
      </c>
      <c r="D2543" s="2"/>
      <c r="E2543" s="2" t="str">
        <f>"FES1162544575"</f>
        <v>FES1162544575</v>
      </c>
      <c r="F2543" s="3">
        <v>42845</v>
      </c>
      <c r="G2543" s="2">
        <v>201710</v>
      </c>
      <c r="H2543" s="2" t="s">
        <v>74</v>
      </c>
      <c r="I2543" s="2" t="s">
        <v>75</v>
      </c>
      <c r="J2543" s="2" t="s">
        <v>76</v>
      </c>
      <c r="K2543" s="2" t="s">
        <v>77</v>
      </c>
      <c r="L2543" s="2" t="s">
        <v>496</v>
      </c>
      <c r="M2543" s="2" t="s">
        <v>497</v>
      </c>
      <c r="N2543" s="2" t="s">
        <v>2875</v>
      </c>
      <c r="O2543" s="2" t="s">
        <v>115</v>
      </c>
      <c r="P2543" s="2" t="str">
        <f>"2170561197                    "</f>
        <v xml:space="preserve">2170561197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3.35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1</v>
      </c>
      <c r="BJ2543" s="2">
        <v>0.2</v>
      </c>
      <c r="BK2543" s="2">
        <v>1</v>
      </c>
      <c r="BL2543" s="2">
        <v>32.6</v>
      </c>
      <c r="BM2543" s="2">
        <v>4.5599999999999996</v>
      </c>
      <c r="BN2543" s="2">
        <v>37.159999999999997</v>
      </c>
      <c r="BO2543" s="2">
        <v>37.159999999999997</v>
      </c>
      <c r="BP2543" s="2"/>
      <c r="BQ2543" s="2" t="s">
        <v>2876</v>
      </c>
      <c r="BR2543" s="2" t="s">
        <v>84</v>
      </c>
      <c r="BS2543" s="3">
        <v>42846</v>
      </c>
      <c r="BT2543" s="4">
        <v>0.375</v>
      </c>
      <c r="BU2543" s="2" t="s">
        <v>1410</v>
      </c>
      <c r="BV2543" s="2" t="s">
        <v>111</v>
      </c>
      <c r="BW2543" s="2"/>
      <c r="BX2543" s="2"/>
      <c r="BY2543" s="2">
        <v>1200</v>
      </c>
      <c r="BZ2543" s="2"/>
      <c r="CA2543" s="2" t="s">
        <v>1402</v>
      </c>
      <c r="CB2543" s="2"/>
      <c r="CC2543" s="2" t="s">
        <v>497</v>
      </c>
      <c r="CD2543" s="2">
        <v>1559</v>
      </c>
      <c r="CE2543" s="2" t="s">
        <v>118</v>
      </c>
      <c r="CF2543" s="5">
        <v>42849</v>
      </c>
      <c r="CG2543" s="2"/>
      <c r="CH2543" s="2"/>
      <c r="CI2543" s="2">
        <v>1</v>
      </c>
      <c r="CJ2543" s="2">
        <v>1</v>
      </c>
      <c r="CK2543" s="2">
        <v>22</v>
      </c>
      <c r="CL2543" s="2" t="s">
        <v>86</v>
      </c>
      <c r="CM2543" s="2"/>
    </row>
    <row r="2544" spans="1:91">
      <c r="A2544" s="2" t="s">
        <v>71</v>
      </c>
      <c r="B2544" s="2" t="s">
        <v>72</v>
      </c>
      <c r="C2544" s="2" t="s">
        <v>73</v>
      </c>
      <c r="D2544" s="2"/>
      <c r="E2544" s="2" t="str">
        <f>"FES1162544543"</f>
        <v>FES1162544543</v>
      </c>
      <c r="F2544" s="3">
        <v>42845</v>
      </c>
      <c r="G2544" s="2">
        <v>201710</v>
      </c>
      <c r="H2544" s="2" t="s">
        <v>74</v>
      </c>
      <c r="I2544" s="2" t="s">
        <v>75</v>
      </c>
      <c r="J2544" s="2" t="s">
        <v>76</v>
      </c>
      <c r="K2544" s="2" t="s">
        <v>77</v>
      </c>
      <c r="L2544" s="2" t="s">
        <v>91</v>
      </c>
      <c r="M2544" s="2" t="s">
        <v>92</v>
      </c>
      <c r="N2544" s="2" t="s">
        <v>1475</v>
      </c>
      <c r="O2544" s="2" t="s">
        <v>115</v>
      </c>
      <c r="P2544" s="2" t="str">
        <f>"2170563123                    "</f>
        <v xml:space="preserve">2170563123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3.35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1</v>
      </c>
      <c r="BJ2544" s="2">
        <v>0.2</v>
      </c>
      <c r="BK2544" s="2">
        <v>1</v>
      </c>
      <c r="BL2544" s="2">
        <v>32.6</v>
      </c>
      <c r="BM2544" s="2">
        <v>4.5599999999999996</v>
      </c>
      <c r="BN2544" s="2">
        <v>37.159999999999997</v>
      </c>
      <c r="BO2544" s="2">
        <v>37.159999999999997</v>
      </c>
      <c r="BP2544" s="2"/>
      <c r="BQ2544" s="2" t="s">
        <v>1476</v>
      </c>
      <c r="BR2544" s="2" t="s">
        <v>84</v>
      </c>
      <c r="BS2544" s="3">
        <v>42846</v>
      </c>
      <c r="BT2544" s="4">
        <v>0.41666666666666669</v>
      </c>
      <c r="BU2544" s="2" t="s">
        <v>2877</v>
      </c>
      <c r="BV2544" s="2" t="s">
        <v>111</v>
      </c>
      <c r="BW2544" s="2"/>
      <c r="BX2544" s="2"/>
      <c r="BY2544" s="2">
        <v>1200</v>
      </c>
      <c r="BZ2544" s="2"/>
      <c r="CA2544" s="2"/>
      <c r="CB2544" s="2"/>
      <c r="CC2544" s="2" t="s">
        <v>92</v>
      </c>
      <c r="CD2544" s="2">
        <v>1422</v>
      </c>
      <c r="CE2544" s="2" t="s">
        <v>118</v>
      </c>
      <c r="CF2544" s="5">
        <v>42849</v>
      </c>
      <c r="CG2544" s="2"/>
      <c r="CH2544" s="2"/>
      <c r="CI2544" s="2">
        <v>1</v>
      </c>
      <c r="CJ2544" s="2">
        <v>1</v>
      </c>
      <c r="CK2544" s="2">
        <v>22</v>
      </c>
      <c r="CL2544" s="2" t="s">
        <v>86</v>
      </c>
      <c r="CM2544" s="2"/>
    </row>
    <row r="2545" spans="1:91">
      <c r="A2545" s="2" t="s">
        <v>71</v>
      </c>
      <c r="B2545" s="2" t="s">
        <v>72</v>
      </c>
      <c r="C2545" s="2" t="s">
        <v>73</v>
      </c>
      <c r="D2545" s="2"/>
      <c r="E2545" s="2" t="str">
        <f>"FES1162544693"</f>
        <v>FES1162544693</v>
      </c>
      <c r="F2545" s="3">
        <v>42845</v>
      </c>
      <c r="G2545" s="2">
        <v>201710</v>
      </c>
      <c r="H2545" s="2" t="s">
        <v>74</v>
      </c>
      <c r="I2545" s="2" t="s">
        <v>75</v>
      </c>
      <c r="J2545" s="2" t="s">
        <v>76</v>
      </c>
      <c r="K2545" s="2" t="s">
        <v>77</v>
      </c>
      <c r="L2545" s="2" t="s">
        <v>160</v>
      </c>
      <c r="M2545" s="2" t="s">
        <v>161</v>
      </c>
      <c r="N2545" s="2" t="s">
        <v>2878</v>
      </c>
      <c r="O2545" s="2" t="s">
        <v>115</v>
      </c>
      <c r="P2545" s="2" t="str">
        <f>"2170563252                    "</f>
        <v xml:space="preserve">2170563252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4.29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1</v>
      </c>
      <c r="BJ2545" s="2">
        <v>0.2</v>
      </c>
      <c r="BK2545" s="2">
        <v>1</v>
      </c>
      <c r="BL2545" s="2">
        <v>41.73</v>
      </c>
      <c r="BM2545" s="2">
        <v>5.84</v>
      </c>
      <c r="BN2545" s="2">
        <v>47.57</v>
      </c>
      <c r="BO2545" s="2">
        <v>47.57</v>
      </c>
      <c r="BP2545" s="2"/>
      <c r="BQ2545" s="2"/>
      <c r="BR2545" s="2" t="s">
        <v>84</v>
      </c>
      <c r="BS2545" s="3">
        <v>42846</v>
      </c>
      <c r="BT2545" s="4">
        <v>0.41666666666666669</v>
      </c>
      <c r="BU2545" s="2" t="s">
        <v>1136</v>
      </c>
      <c r="BV2545" s="2" t="s">
        <v>111</v>
      </c>
      <c r="BW2545" s="2"/>
      <c r="BX2545" s="2"/>
      <c r="BY2545" s="2">
        <v>1200</v>
      </c>
      <c r="BZ2545" s="2" t="s">
        <v>27</v>
      </c>
      <c r="CA2545" s="2"/>
      <c r="CB2545" s="2"/>
      <c r="CC2545" s="2" t="s">
        <v>161</v>
      </c>
      <c r="CD2545" s="2">
        <v>5201</v>
      </c>
      <c r="CE2545" s="2" t="s">
        <v>118</v>
      </c>
      <c r="CF2545" s="5">
        <v>42849</v>
      </c>
      <c r="CG2545" s="2"/>
      <c r="CH2545" s="2"/>
      <c r="CI2545" s="2">
        <v>1</v>
      </c>
      <c r="CJ2545" s="2">
        <v>1</v>
      </c>
      <c r="CK2545" s="2">
        <v>21</v>
      </c>
      <c r="CL2545" s="2" t="s">
        <v>86</v>
      </c>
      <c r="CM2545" s="2"/>
    </row>
    <row r="2546" spans="1:91">
      <c r="A2546" s="2" t="s">
        <v>71</v>
      </c>
      <c r="B2546" s="2" t="s">
        <v>72</v>
      </c>
      <c r="C2546" s="2" t="s">
        <v>73</v>
      </c>
      <c r="D2546" s="2"/>
      <c r="E2546" s="2" t="str">
        <f>"FES1162544770"</f>
        <v>FES1162544770</v>
      </c>
      <c r="F2546" s="3">
        <v>42845</v>
      </c>
      <c r="G2546" s="2">
        <v>201710</v>
      </c>
      <c r="H2546" s="2" t="s">
        <v>74</v>
      </c>
      <c r="I2546" s="2" t="s">
        <v>75</v>
      </c>
      <c r="J2546" s="2" t="s">
        <v>76</v>
      </c>
      <c r="K2546" s="2" t="s">
        <v>77</v>
      </c>
      <c r="L2546" s="2" t="s">
        <v>74</v>
      </c>
      <c r="M2546" s="2" t="s">
        <v>75</v>
      </c>
      <c r="N2546" s="2" t="s">
        <v>2879</v>
      </c>
      <c r="O2546" s="2" t="s">
        <v>115</v>
      </c>
      <c r="P2546" s="2" t="str">
        <f>"2170563327                    "</f>
        <v xml:space="preserve">2170563327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3.35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1</v>
      </c>
      <c r="BJ2546" s="2">
        <v>0.2</v>
      </c>
      <c r="BK2546" s="2">
        <v>1</v>
      </c>
      <c r="BL2546" s="2">
        <v>32.6</v>
      </c>
      <c r="BM2546" s="2">
        <v>4.5599999999999996</v>
      </c>
      <c r="BN2546" s="2">
        <v>37.159999999999997</v>
      </c>
      <c r="BO2546" s="2">
        <v>37.159999999999997</v>
      </c>
      <c r="BP2546" s="2"/>
      <c r="BQ2546" s="2" t="s">
        <v>2880</v>
      </c>
      <c r="BR2546" s="2" t="s">
        <v>84</v>
      </c>
      <c r="BS2546" s="3">
        <v>42846</v>
      </c>
      <c r="BT2546" s="4">
        <v>0.41666666666666669</v>
      </c>
      <c r="BU2546" s="2" t="s">
        <v>290</v>
      </c>
      <c r="BV2546" s="2" t="s">
        <v>111</v>
      </c>
      <c r="BW2546" s="2"/>
      <c r="BX2546" s="2"/>
      <c r="BY2546" s="2">
        <v>1200</v>
      </c>
      <c r="BZ2546" s="2"/>
      <c r="CA2546" s="2"/>
      <c r="CB2546" s="2"/>
      <c r="CC2546" s="2" t="s">
        <v>75</v>
      </c>
      <c r="CD2546" s="2">
        <v>1666</v>
      </c>
      <c r="CE2546" s="2" t="s">
        <v>118</v>
      </c>
      <c r="CF2546" s="5">
        <v>42849</v>
      </c>
      <c r="CG2546" s="2"/>
      <c r="CH2546" s="2"/>
      <c r="CI2546" s="2">
        <v>1</v>
      </c>
      <c r="CJ2546" s="2">
        <v>1</v>
      </c>
      <c r="CK2546" s="2">
        <v>22</v>
      </c>
      <c r="CL2546" s="2" t="s">
        <v>86</v>
      </c>
      <c r="CM2546" s="2"/>
    </row>
    <row r="2547" spans="1:91">
      <c r="A2547" s="2" t="s">
        <v>71</v>
      </c>
      <c r="B2547" s="2" t="s">
        <v>72</v>
      </c>
      <c r="C2547" s="2" t="s">
        <v>73</v>
      </c>
      <c r="D2547" s="2"/>
      <c r="E2547" s="2" t="str">
        <f>"FES1162544656"</f>
        <v>FES1162544656</v>
      </c>
      <c r="F2547" s="3">
        <v>42845</v>
      </c>
      <c r="G2547" s="2">
        <v>201710</v>
      </c>
      <c r="H2547" s="2" t="s">
        <v>74</v>
      </c>
      <c r="I2547" s="2" t="s">
        <v>75</v>
      </c>
      <c r="J2547" s="2" t="s">
        <v>76</v>
      </c>
      <c r="K2547" s="2" t="s">
        <v>77</v>
      </c>
      <c r="L2547" s="2" t="s">
        <v>112</v>
      </c>
      <c r="M2547" s="2" t="s">
        <v>113</v>
      </c>
      <c r="N2547" s="2" t="s">
        <v>386</v>
      </c>
      <c r="O2547" s="2" t="s">
        <v>115</v>
      </c>
      <c r="P2547" s="2" t="str">
        <f>"2170563200                    "</f>
        <v xml:space="preserve">2170563200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4.29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1</v>
      </c>
      <c r="BJ2547" s="2">
        <v>0.2</v>
      </c>
      <c r="BK2547" s="2">
        <v>1</v>
      </c>
      <c r="BL2547" s="2">
        <v>41.73</v>
      </c>
      <c r="BM2547" s="2">
        <v>5.84</v>
      </c>
      <c r="BN2547" s="2">
        <v>47.57</v>
      </c>
      <c r="BO2547" s="2">
        <v>47.57</v>
      </c>
      <c r="BP2547" s="2"/>
      <c r="BQ2547" s="2" t="s">
        <v>122</v>
      </c>
      <c r="BR2547" s="2" t="s">
        <v>84</v>
      </c>
      <c r="BS2547" s="3">
        <v>42846</v>
      </c>
      <c r="BT2547" s="4">
        <v>0.41944444444444445</v>
      </c>
      <c r="BU2547" s="2" t="s">
        <v>387</v>
      </c>
      <c r="BV2547" s="2" t="s">
        <v>111</v>
      </c>
      <c r="BW2547" s="2"/>
      <c r="BX2547" s="2"/>
      <c r="BY2547" s="2">
        <v>1200</v>
      </c>
      <c r="BZ2547" s="2" t="s">
        <v>27</v>
      </c>
      <c r="CA2547" s="2" t="s">
        <v>159</v>
      </c>
      <c r="CB2547" s="2"/>
      <c r="CC2547" s="2" t="s">
        <v>113</v>
      </c>
      <c r="CD2547" s="2">
        <v>3200</v>
      </c>
      <c r="CE2547" s="2" t="s">
        <v>118</v>
      </c>
      <c r="CF2547" s="5">
        <v>42849</v>
      </c>
      <c r="CG2547" s="2"/>
      <c r="CH2547" s="2"/>
      <c r="CI2547" s="2">
        <v>1</v>
      </c>
      <c r="CJ2547" s="2">
        <v>1</v>
      </c>
      <c r="CK2547" s="2">
        <v>21</v>
      </c>
      <c r="CL2547" s="2" t="s">
        <v>86</v>
      </c>
      <c r="CM2547" s="2"/>
    </row>
    <row r="2548" spans="1:91">
      <c r="A2548" s="2" t="s">
        <v>71</v>
      </c>
      <c r="B2548" s="2" t="s">
        <v>72</v>
      </c>
      <c r="C2548" s="2" t="s">
        <v>73</v>
      </c>
      <c r="D2548" s="2"/>
      <c r="E2548" s="2" t="str">
        <f>"FES1162544617"</f>
        <v>FES1162544617</v>
      </c>
      <c r="F2548" s="3">
        <v>42845</v>
      </c>
      <c r="G2548" s="2">
        <v>201710</v>
      </c>
      <c r="H2548" s="2" t="s">
        <v>74</v>
      </c>
      <c r="I2548" s="2" t="s">
        <v>75</v>
      </c>
      <c r="J2548" s="2" t="s">
        <v>76</v>
      </c>
      <c r="K2548" s="2" t="s">
        <v>77</v>
      </c>
      <c r="L2548" s="2" t="s">
        <v>187</v>
      </c>
      <c r="M2548" s="2" t="s">
        <v>146</v>
      </c>
      <c r="N2548" s="2" t="s">
        <v>427</v>
      </c>
      <c r="O2548" s="2" t="s">
        <v>115</v>
      </c>
      <c r="P2548" s="2" t="str">
        <f>"2170563164                    "</f>
        <v xml:space="preserve">2170563164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5.36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2.4</v>
      </c>
      <c r="BJ2548" s="2">
        <v>1.8</v>
      </c>
      <c r="BK2548" s="2">
        <v>2.5</v>
      </c>
      <c r="BL2548" s="2">
        <v>52.16</v>
      </c>
      <c r="BM2548" s="2">
        <v>7.3</v>
      </c>
      <c r="BN2548" s="2">
        <v>59.46</v>
      </c>
      <c r="BO2548" s="2">
        <v>59.46</v>
      </c>
      <c r="BP2548" s="2"/>
      <c r="BQ2548" s="2" t="s">
        <v>1208</v>
      </c>
      <c r="BR2548" s="2" t="s">
        <v>84</v>
      </c>
      <c r="BS2548" s="3">
        <v>42849</v>
      </c>
      <c r="BT2548" s="4">
        <v>0.40902777777777777</v>
      </c>
      <c r="BU2548" s="2" t="s">
        <v>1875</v>
      </c>
      <c r="BV2548" s="2" t="s">
        <v>86</v>
      </c>
      <c r="BW2548" s="2"/>
      <c r="BX2548" s="2"/>
      <c r="BY2548" s="2">
        <v>8898.7900000000009</v>
      </c>
      <c r="BZ2548" s="2" t="s">
        <v>27</v>
      </c>
      <c r="CA2548" s="2"/>
      <c r="CB2548" s="2"/>
      <c r="CC2548" s="2" t="s">
        <v>146</v>
      </c>
      <c r="CD2548" s="2">
        <v>184</v>
      </c>
      <c r="CE2548" s="2" t="s">
        <v>89</v>
      </c>
      <c r="CF2548" s="5">
        <v>42851</v>
      </c>
      <c r="CG2548" s="2"/>
      <c r="CH2548" s="2"/>
      <c r="CI2548" s="2">
        <v>0</v>
      </c>
      <c r="CJ2548" s="2">
        <v>0</v>
      </c>
      <c r="CK2548" s="2">
        <v>21</v>
      </c>
      <c r="CL2548" s="2" t="s">
        <v>86</v>
      </c>
      <c r="CM2548" s="2"/>
    </row>
    <row r="2549" spans="1:91">
      <c r="A2549" s="2" t="s">
        <v>71</v>
      </c>
      <c r="B2549" s="2" t="s">
        <v>72</v>
      </c>
      <c r="C2549" s="2" t="s">
        <v>73</v>
      </c>
      <c r="D2549" s="2"/>
      <c r="E2549" s="2" t="str">
        <f>"FES1162544784"</f>
        <v>FES1162544784</v>
      </c>
      <c r="F2549" s="3">
        <v>42845</v>
      </c>
      <c r="G2549" s="2">
        <v>201710</v>
      </c>
      <c r="H2549" s="2" t="s">
        <v>74</v>
      </c>
      <c r="I2549" s="2" t="s">
        <v>75</v>
      </c>
      <c r="J2549" s="2" t="s">
        <v>76</v>
      </c>
      <c r="K2549" s="2" t="s">
        <v>77</v>
      </c>
      <c r="L2549" s="2" t="s">
        <v>2142</v>
      </c>
      <c r="M2549" s="2" t="s">
        <v>2143</v>
      </c>
      <c r="N2549" s="2" t="s">
        <v>2144</v>
      </c>
      <c r="O2549" s="2" t="s">
        <v>115</v>
      </c>
      <c r="P2549" s="2" t="str">
        <f>"2170562141                    "</f>
        <v xml:space="preserve">2170562141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8.31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1.7</v>
      </c>
      <c r="BJ2549" s="2">
        <v>0.2</v>
      </c>
      <c r="BK2549" s="2">
        <v>2</v>
      </c>
      <c r="BL2549" s="2">
        <v>80.849999999999994</v>
      </c>
      <c r="BM2549" s="2">
        <v>11.32</v>
      </c>
      <c r="BN2549" s="2">
        <v>92.17</v>
      </c>
      <c r="BO2549" s="2">
        <v>92.17</v>
      </c>
      <c r="BP2549" s="2"/>
      <c r="BQ2549" s="2"/>
      <c r="BR2549" s="2" t="s">
        <v>84</v>
      </c>
      <c r="BS2549" s="3">
        <v>42846</v>
      </c>
      <c r="BT2549" s="4">
        <v>0.38194444444444442</v>
      </c>
      <c r="BU2549" s="2" t="s">
        <v>2881</v>
      </c>
      <c r="BV2549" s="2" t="s">
        <v>111</v>
      </c>
      <c r="BW2549" s="2"/>
      <c r="BX2549" s="2"/>
      <c r="BY2549" s="2">
        <v>1200</v>
      </c>
      <c r="BZ2549" s="2"/>
      <c r="CA2549" s="2"/>
      <c r="CB2549" s="2"/>
      <c r="CC2549" s="2" t="s">
        <v>2143</v>
      </c>
      <c r="CD2549" s="2">
        <v>4490</v>
      </c>
      <c r="CE2549" s="2" t="s">
        <v>118</v>
      </c>
      <c r="CF2549" s="5">
        <v>42849</v>
      </c>
      <c r="CG2549" s="2"/>
      <c r="CH2549" s="2"/>
      <c r="CI2549" s="2">
        <v>1</v>
      </c>
      <c r="CJ2549" s="2">
        <v>1</v>
      </c>
      <c r="CK2549" s="2">
        <v>23</v>
      </c>
      <c r="CL2549" s="2" t="s">
        <v>86</v>
      </c>
      <c r="CM2549" s="2"/>
    </row>
    <row r="2550" spans="1:91">
      <c r="A2550" s="2" t="s">
        <v>71</v>
      </c>
      <c r="B2550" s="2" t="s">
        <v>72</v>
      </c>
      <c r="C2550" s="2" t="s">
        <v>73</v>
      </c>
      <c r="D2550" s="2"/>
      <c r="E2550" s="2" t="str">
        <f>"FES1162544612"</f>
        <v>FES1162544612</v>
      </c>
      <c r="F2550" s="3">
        <v>42845</v>
      </c>
      <c r="G2550" s="2">
        <v>201710</v>
      </c>
      <c r="H2550" s="2" t="s">
        <v>74</v>
      </c>
      <c r="I2550" s="2" t="s">
        <v>75</v>
      </c>
      <c r="J2550" s="2" t="s">
        <v>76</v>
      </c>
      <c r="K2550" s="2" t="s">
        <v>77</v>
      </c>
      <c r="L2550" s="2" t="s">
        <v>99</v>
      </c>
      <c r="M2550" s="2" t="s">
        <v>100</v>
      </c>
      <c r="N2550" s="2" t="s">
        <v>555</v>
      </c>
      <c r="O2550" s="2" t="s">
        <v>115</v>
      </c>
      <c r="P2550" s="2" t="str">
        <f>"2170562157                    "</f>
        <v xml:space="preserve">2170562157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5.36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2.5</v>
      </c>
      <c r="BJ2550" s="2">
        <v>1.7</v>
      </c>
      <c r="BK2550" s="2">
        <v>2.5</v>
      </c>
      <c r="BL2550" s="2">
        <v>52.16</v>
      </c>
      <c r="BM2550" s="2">
        <v>7.3</v>
      </c>
      <c r="BN2550" s="2">
        <v>59.46</v>
      </c>
      <c r="BO2550" s="2">
        <v>59.46</v>
      </c>
      <c r="BP2550" s="2"/>
      <c r="BQ2550" s="2">
        <v>1162544612</v>
      </c>
      <c r="BR2550" s="2" t="s">
        <v>84</v>
      </c>
      <c r="BS2550" s="3">
        <v>42846</v>
      </c>
      <c r="BT2550" s="4">
        <v>0.40763888888888888</v>
      </c>
      <c r="BU2550" s="2" t="s">
        <v>2882</v>
      </c>
      <c r="BV2550" s="2" t="s">
        <v>111</v>
      </c>
      <c r="BW2550" s="2"/>
      <c r="BX2550" s="2"/>
      <c r="BY2550" s="2">
        <v>8663.4599999999991</v>
      </c>
      <c r="BZ2550" s="2" t="s">
        <v>27</v>
      </c>
      <c r="CA2550" s="2" t="s">
        <v>106</v>
      </c>
      <c r="CB2550" s="2"/>
      <c r="CC2550" s="2" t="s">
        <v>100</v>
      </c>
      <c r="CD2550" s="2">
        <v>6001</v>
      </c>
      <c r="CE2550" s="2" t="s">
        <v>118</v>
      </c>
      <c r="CF2550" s="5">
        <v>42846</v>
      </c>
      <c r="CG2550" s="2"/>
      <c r="CH2550" s="2"/>
      <c r="CI2550" s="2">
        <v>1</v>
      </c>
      <c r="CJ2550" s="2">
        <v>1</v>
      </c>
      <c r="CK2550" s="2">
        <v>21</v>
      </c>
      <c r="CL2550" s="2" t="s">
        <v>86</v>
      </c>
      <c r="CM2550" s="2"/>
    </row>
    <row r="2551" spans="1:91">
      <c r="A2551" s="2" t="s">
        <v>71</v>
      </c>
      <c r="B2551" s="2" t="s">
        <v>72</v>
      </c>
      <c r="C2551" s="2" t="s">
        <v>73</v>
      </c>
      <c r="D2551" s="2"/>
      <c r="E2551" s="2" t="str">
        <f>"FES1162544769"</f>
        <v>FES1162544769</v>
      </c>
      <c r="F2551" s="3">
        <v>42845</v>
      </c>
      <c r="G2551" s="2">
        <v>201710</v>
      </c>
      <c r="H2551" s="2" t="s">
        <v>74</v>
      </c>
      <c r="I2551" s="2" t="s">
        <v>75</v>
      </c>
      <c r="J2551" s="2" t="s">
        <v>76</v>
      </c>
      <c r="K2551" s="2" t="s">
        <v>77</v>
      </c>
      <c r="L2551" s="2" t="s">
        <v>294</v>
      </c>
      <c r="M2551" s="2" t="s">
        <v>295</v>
      </c>
      <c r="N2551" s="2" t="s">
        <v>2706</v>
      </c>
      <c r="O2551" s="2" t="s">
        <v>115</v>
      </c>
      <c r="P2551" s="2" t="str">
        <f>"2170563326                    "</f>
        <v xml:space="preserve">2170563326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4.29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1</v>
      </c>
      <c r="BJ2551" s="2">
        <v>0.2</v>
      </c>
      <c r="BK2551" s="2">
        <v>1</v>
      </c>
      <c r="BL2551" s="2">
        <v>41.73</v>
      </c>
      <c r="BM2551" s="2">
        <v>5.84</v>
      </c>
      <c r="BN2551" s="2">
        <v>47.57</v>
      </c>
      <c r="BO2551" s="2">
        <v>47.57</v>
      </c>
      <c r="BP2551" s="2"/>
      <c r="BQ2551" s="2" t="s">
        <v>116</v>
      </c>
      <c r="BR2551" s="2" t="s">
        <v>84</v>
      </c>
      <c r="BS2551" s="3">
        <v>42846</v>
      </c>
      <c r="BT2551" s="4">
        <v>0.41875000000000001</v>
      </c>
      <c r="BU2551" s="2" t="s">
        <v>2034</v>
      </c>
      <c r="BV2551" s="2" t="s">
        <v>111</v>
      </c>
      <c r="BW2551" s="2"/>
      <c r="BX2551" s="2"/>
      <c r="BY2551" s="2">
        <v>1200</v>
      </c>
      <c r="BZ2551" s="2"/>
      <c r="CA2551" s="2"/>
      <c r="CB2551" s="2"/>
      <c r="CC2551" s="2" t="s">
        <v>295</v>
      </c>
      <c r="CD2551" s="2">
        <v>3610</v>
      </c>
      <c r="CE2551" s="2" t="s">
        <v>118</v>
      </c>
      <c r="CF2551" s="5">
        <v>42849</v>
      </c>
      <c r="CG2551" s="2"/>
      <c r="CH2551" s="2"/>
      <c r="CI2551" s="2">
        <v>1</v>
      </c>
      <c r="CJ2551" s="2">
        <v>1</v>
      </c>
      <c r="CK2551" s="2">
        <v>21</v>
      </c>
      <c r="CL2551" s="2" t="s">
        <v>86</v>
      </c>
      <c r="CM2551" s="2"/>
    </row>
    <row r="2552" spans="1:91">
      <c r="A2552" s="2" t="s">
        <v>71</v>
      </c>
      <c r="B2552" s="2" t="s">
        <v>72</v>
      </c>
      <c r="C2552" s="2" t="s">
        <v>73</v>
      </c>
      <c r="D2552" s="2"/>
      <c r="E2552" s="2" t="str">
        <f>"FES1162544625"</f>
        <v>FES1162544625</v>
      </c>
      <c r="F2552" s="3">
        <v>42845</v>
      </c>
      <c r="G2552" s="2">
        <v>201710</v>
      </c>
      <c r="H2552" s="2" t="s">
        <v>74</v>
      </c>
      <c r="I2552" s="2" t="s">
        <v>75</v>
      </c>
      <c r="J2552" s="2" t="s">
        <v>76</v>
      </c>
      <c r="K2552" s="2" t="s">
        <v>77</v>
      </c>
      <c r="L2552" s="2" t="s">
        <v>180</v>
      </c>
      <c r="M2552" s="2" t="s">
        <v>181</v>
      </c>
      <c r="N2552" s="2" t="s">
        <v>182</v>
      </c>
      <c r="O2552" s="2" t="s">
        <v>115</v>
      </c>
      <c r="P2552" s="2" t="str">
        <f>"2170563177                    "</f>
        <v xml:space="preserve">2170563177 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15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2</v>
      </c>
      <c r="BI2552" s="2">
        <v>6.6</v>
      </c>
      <c r="BJ2552" s="2">
        <v>3</v>
      </c>
      <c r="BK2552" s="2">
        <v>7</v>
      </c>
      <c r="BL2552" s="2">
        <v>146.04</v>
      </c>
      <c r="BM2552" s="2">
        <v>20.45</v>
      </c>
      <c r="BN2552" s="2">
        <v>166.49</v>
      </c>
      <c r="BO2552" s="2">
        <v>166.49</v>
      </c>
      <c r="BP2552" s="2"/>
      <c r="BQ2552" s="2" t="s">
        <v>183</v>
      </c>
      <c r="BR2552" s="2" t="s">
        <v>84</v>
      </c>
      <c r="BS2552" s="3">
        <v>42846</v>
      </c>
      <c r="BT2552" s="4">
        <v>0.4375</v>
      </c>
      <c r="BU2552" s="2" t="s">
        <v>2883</v>
      </c>
      <c r="BV2552" s="2" t="s">
        <v>111</v>
      </c>
      <c r="BW2552" s="2"/>
      <c r="BX2552" s="2"/>
      <c r="BY2552" s="2">
        <v>15220</v>
      </c>
      <c r="BZ2552" s="2" t="s">
        <v>27</v>
      </c>
      <c r="CA2552" s="2"/>
      <c r="CB2552" s="2"/>
      <c r="CC2552" s="2" t="s">
        <v>181</v>
      </c>
      <c r="CD2552" s="2">
        <v>4001</v>
      </c>
      <c r="CE2552" s="2" t="s">
        <v>89</v>
      </c>
      <c r="CF2552" s="5">
        <v>42849</v>
      </c>
      <c r="CG2552" s="2"/>
      <c r="CH2552" s="2"/>
      <c r="CI2552" s="2">
        <v>1</v>
      </c>
      <c r="CJ2552" s="2">
        <v>1</v>
      </c>
      <c r="CK2552" s="2">
        <v>21</v>
      </c>
      <c r="CL2552" s="2" t="s">
        <v>86</v>
      </c>
      <c r="CM2552" s="2"/>
    </row>
    <row r="2553" spans="1:91">
      <c r="A2553" s="2" t="s">
        <v>71</v>
      </c>
      <c r="B2553" s="2" t="s">
        <v>72</v>
      </c>
      <c r="C2553" s="2" t="s">
        <v>73</v>
      </c>
      <c r="D2553" s="2"/>
      <c r="E2553" s="2" t="str">
        <f>"FES1162544571"</f>
        <v>FES1162544571</v>
      </c>
      <c r="F2553" s="3">
        <v>42845</v>
      </c>
      <c r="G2553" s="2">
        <v>201710</v>
      </c>
      <c r="H2553" s="2" t="s">
        <v>74</v>
      </c>
      <c r="I2553" s="2" t="s">
        <v>75</v>
      </c>
      <c r="J2553" s="2" t="s">
        <v>76</v>
      </c>
      <c r="K2553" s="2" t="s">
        <v>77</v>
      </c>
      <c r="L2553" s="2" t="s">
        <v>322</v>
      </c>
      <c r="M2553" s="2" t="s">
        <v>323</v>
      </c>
      <c r="N2553" s="2" t="s">
        <v>1893</v>
      </c>
      <c r="O2553" s="2" t="s">
        <v>115</v>
      </c>
      <c r="P2553" s="2" t="str">
        <f>"2170561107                    "</f>
        <v xml:space="preserve">2170561107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3.35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1</v>
      </c>
      <c r="BJ2553" s="2">
        <v>0.2</v>
      </c>
      <c r="BK2553" s="2">
        <v>1</v>
      </c>
      <c r="BL2553" s="2">
        <v>32.6</v>
      </c>
      <c r="BM2553" s="2">
        <v>4.5599999999999996</v>
      </c>
      <c r="BN2553" s="2">
        <v>37.159999999999997</v>
      </c>
      <c r="BO2553" s="2">
        <v>37.159999999999997</v>
      </c>
      <c r="BP2553" s="2"/>
      <c r="BQ2553" s="2"/>
      <c r="BR2553" s="2" t="s">
        <v>84</v>
      </c>
      <c r="BS2553" s="3">
        <v>42846</v>
      </c>
      <c r="BT2553" s="4">
        <v>0.41666666666666669</v>
      </c>
      <c r="BU2553" s="2" t="s">
        <v>124</v>
      </c>
      <c r="BV2553" s="2" t="s">
        <v>111</v>
      </c>
      <c r="BW2553" s="2"/>
      <c r="BX2553" s="2"/>
      <c r="BY2553" s="2">
        <v>1200</v>
      </c>
      <c r="BZ2553" s="2"/>
      <c r="CA2553" s="2"/>
      <c r="CB2553" s="2"/>
      <c r="CC2553" s="2" t="s">
        <v>323</v>
      </c>
      <c r="CD2553" s="2">
        <v>1682</v>
      </c>
      <c r="CE2553" s="2" t="s">
        <v>118</v>
      </c>
      <c r="CF2553" s="5">
        <v>42849</v>
      </c>
      <c r="CG2553" s="2"/>
      <c r="CH2553" s="2"/>
      <c r="CI2553" s="2">
        <v>1</v>
      </c>
      <c r="CJ2553" s="2">
        <v>1</v>
      </c>
      <c r="CK2553" s="2">
        <v>22</v>
      </c>
      <c r="CL2553" s="2" t="s">
        <v>86</v>
      </c>
      <c r="CM2553" s="2"/>
    </row>
    <row r="2554" spans="1:91">
      <c r="A2554" s="2" t="s">
        <v>71</v>
      </c>
      <c r="B2554" s="2" t="s">
        <v>72</v>
      </c>
      <c r="C2554" s="2" t="s">
        <v>73</v>
      </c>
      <c r="D2554" s="2"/>
      <c r="E2554" s="2" t="str">
        <f>"FES1162544531"</f>
        <v>FES1162544531</v>
      </c>
      <c r="F2554" s="3">
        <v>42845</v>
      </c>
      <c r="G2554" s="2">
        <v>201710</v>
      </c>
      <c r="H2554" s="2" t="s">
        <v>74</v>
      </c>
      <c r="I2554" s="2" t="s">
        <v>75</v>
      </c>
      <c r="J2554" s="2" t="s">
        <v>76</v>
      </c>
      <c r="K2554" s="2" t="s">
        <v>77</v>
      </c>
      <c r="L2554" s="2" t="s">
        <v>99</v>
      </c>
      <c r="M2554" s="2" t="s">
        <v>100</v>
      </c>
      <c r="N2554" s="2" t="s">
        <v>108</v>
      </c>
      <c r="O2554" s="2" t="s">
        <v>115</v>
      </c>
      <c r="P2554" s="2" t="str">
        <f>"2170560851                    "</f>
        <v xml:space="preserve">2170560851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11.79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2</v>
      </c>
      <c r="BJ2554" s="2">
        <v>5.2</v>
      </c>
      <c r="BK2554" s="2">
        <v>5.5</v>
      </c>
      <c r="BL2554" s="2">
        <v>114.75</v>
      </c>
      <c r="BM2554" s="2">
        <v>16.07</v>
      </c>
      <c r="BN2554" s="2">
        <v>130.82</v>
      </c>
      <c r="BO2554" s="2">
        <v>130.82</v>
      </c>
      <c r="BP2554" s="2"/>
      <c r="BQ2554" s="2" t="s">
        <v>109</v>
      </c>
      <c r="BR2554" s="2" t="s">
        <v>84</v>
      </c>
      <c r="BS2554" s="3">
        <v>42846</v>
      </c>
      <c r="BT2554" s="4">
        <v>0.40277777777777773</v>
      </c>
      <c r="BU2554" s="2" t="s">
        <v>2884</v>
      </c>
      <c r="BV2554" s="2" t="s">
        <v>111</v>
      </c>
      <c r="BW2554" s="2"/>
      <c r="BX2554" s="2"/>
      <c r="BY2554" s="2">
        <v>25760.7</v>
      </c>
      <c r="BZ2554" s="2" t="s">
        <v>27</v>
      </c>
      <c r="CA2554" s="2"/>
      <c r="CB2554" s="2"/>
      <c r="CC2554" s="2" t="s">
        <v>100</v>
      </c>
      <c r="CD2554" s="2">
        <v>6001</v>
      </c>
      <c r="CE2554" s="2" t="s">
        <v>172</v>
      </c>
      <c r="CF2554" s="5">
        <v>42849</v>
      </c>
      <c r="CG2554" s="2"/>
      <c r="CH2554" s="2"/>
      <c r="CI2554" s="2">
        <v>1</v>
      </c>
      <c r="CJ2554" s="2">
        <v>1</v>
      </c>
      <c r="CK2554" s="2">
        <v>21</v>
      </c>
      <c r="CL2554" s="2" t="s">
        <v>86</v>
      </c>
      <c r="CM2554" s="2"/>
    </row>
    <row r="2555" spans="1:91">
      <c r="A2555" s="2" t="s">
        <v>71</v>
      </c>
      <c r="B2555" s="2" t="s">
        <v>72</v>
      </c>
      <c r="C2555" s="2" t="s">
        <v>73</v>
      </c>
      <c r="D2555" s="2"/>
      <c r="E2555" s="2" t="str">
        <f>"FES1162544771"</f>
        <v>FES1162544771</v>
      </c>
      <c r="F2555" s="3">
        <v>42845</v>
      </c>
      <c r="G2555" s="2">
        <v>201710</v>
      </c>
      <c r="H2555" s="2" t="s">
        <v>74</v>
      </c>
      <c r="I2555" s="2" t="s">
        <v>75</v>
      </c>
      <c r="J2555" s="2" t="s">
        <v>76</v>
      </c>
      <c r="K2555" s="2" t="s">
        <v>77</v>
      </c>
      <c r="L2555" s="2" t="s">
        <v>99</v>
      </c>
      <c r="M2555" s="2" t="s">
        <v>100</v>
      </c>
      <c r="N2555" s="2" t="s">
        <v>876</v>
      </c>
      <c r="O2555" s="2" t="s">
        <v>115</v>
      </c>
      <c r="P2555" s="2" t="str">
        <f>"2170563328                    "</f>
        <v xml:space="preserve">2170563328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4.29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1</v>
      </c>
      <c r="BJ2555" s="2">
        <v>0.2</v>
      </c>
      <c r="BK2555" s="2">
        <v>1</v>
      </c>
      <c r="BL2555" s="2">
        <v>41.73</v>
      </c>
      <c r="BM2555" s="2">
        <v>5.84</v>
      </c>
      <c r="BN2555" s="2">
        <v>47.57</v>
      </c>
      <c r="BO2555" s="2">
        <v>47.57</v>
      </c>
      <c r="BP2555" s="2"/>
      <c r="BQ2555" s="2" t="s">
        <v>877</v>
      </c>
      <c r="BR2555" s="2" t="s">
        <v>84</v>
      </c>
      <c r="BS2555" s="3">
        <v>42846</v>
      </c>
      <c r="BT2555" s="4">
        <v>0.29166666666666669</v>
      </c>
      <c r="BU2555" s="2" t="s">
        <v>2843</v>
      </c>
      <c r="BV2555" s="2" t="s">
        <v>111</v>
      </c>
      <c r="BW2555" s="2"/>
      <c r="BX2555" s="2"/>
      <c r="BY2555" s="2">
        <v>1200</v>
      </c>
      <c r="BZ2555" s="2"/>
      <c r="CA2555" s="2" t="s">
        <v>106</v>
      </c>
      <c r="CB2555" s="2"/>
      <c r="CC2555" s="2" t="s">
        <v>100</v>
      </c>
      <c r="CD2555" s="2">
        <v>6012</v>
      </c>
      <c r="CE2555" s="2" t="s">
        <v>118</v>
      </c>
      <c r="CF2555" s="5">
        <v>42846</v>
      </c>
      <c r="CG2555" s="2"/>
      <c r="CH2555" s="2"/>
      <c r="CI2555" s="2">
        <v>1</v>
      </c>
      <c r="CJ2555" s="2">
        <v>1</v>
      </c>
      <c r="CK2555" s="2">
        <v>21</v>
      </c>
      <c r="CL2555" s="2" t="s">
        <v>86</v>
      </c>
      <c r="CM2555" s="2"/>
    </row>
    <row r="2556" spans="1:91">
      <c r="A2556" s="2" t="s">
        <v>71</v>
      </c>
      <c r="B2556" s="2" t="s">
        <v>72</v>
      </c>
      <c r="C2556" s="2" t="s">
        <v>73</v>
      </c>
      <c r="D2556" s="2"/>
      <c r="E2556" s="2" t="str">
        <f>"FES1162544465"</f>
        <v>FES1162544465</v>
      </c>
      <c r="F2556" s="3">
        <v>42845</v>
      </c>
      <c r="G2556" s="2">
        <v>201710</v>
      </c>
      <c r="H2556" s="2" t="s">
        <v>74</v>
      </c>
      <c r="I2556" s="2" t="s">
        <v>75</v>
      </c>
      <c r="J2556" s="2" t="s">
        <v>76</v>
      </c>
      <c r="K2556" s="2" t="s">
        <v>77</v>
      </c>
      <c r="L2556" s="2" t="s">
        <v>131</v>
      </c>
      <c r="M2556" s="2" t="s">
        <v>132</v>
      </c>
      <c r="N2556" s="2" t="s">
        <v>1925</v>
      </c>
      <c r="O2556" s="2" t="s">
        <v>115</v>
      </c>
      <c r="P2556" s="2" t="str">
        <f>"2170561163                    "</f>
        <v xml:space="preserve">2170561163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22.51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10.1</v>
      </c>
      <c r="BJ2556" s="2">
        <v>8.6999999999999993</v>
      </c>
      <c r="BK2556" s="2">
        <v>10.5</v>
      </c>
      <c r="BL2556" s="2">
        <v>219.07</v>
      </c>
      <c r="BM2556" s="2">
        <v>30.67</v>
      </c>
      <c r="BN2556" s="2">
        <v>249.74</v>
      </c>
      <c r="BO2556" s="2">
        <v>249.74</v>
      </c>
      <c r="BP2556" s="2"/>
      <c r="BQ2556" s="2" t="s">
        <v>1926</v>
      </c>
      <c r="BR2556" s="2" t="s">
        <v>84</v>
      </c>
      <c r="BS2556" s="3">
        <v>42846</v>
      </c>
      <c r="BT2556" s="4">
        <v>0.41666666666666669</v>
      </c>
      <c r="BU2556" s="2" t="s">
        <v>2885</v>
      </c>
      <c r="BV2556" s="2" t="s">
        <v>111</v>
      </c>
      <c r="BW2556" s="2"/>
      <c r="BX2556" s="2"/>
      <c r="BY2556" s="2">
        <v>43548.51</v>
      </c>
      <c r="BZ2556" s="2" t="s">
        <v>27</v>
      </c>
      <c r="CA2556" s="2"/>
      <c r="CB2556" s="2"/>
      <c r="CC2556" s="2" t="s">
        <v>132</v>
      </c>
      <c r="CD2556" s="2">
        <v>7530</v>
      </c>
      <c r="CE2556" s="2" t="s">
        <v>89</v>
      </c>
      <c r="CF2556" s="5">
        <v>42849</v>
      </c>
      <c r="CG2556" s="2"/>
      <c r="CH2556" s="2"/>
      <c r="CI2556" s="2">
        <v>1</v>
      </c>
      <c r="CJ2556" s="2">
        <v>1</v>
      </c>
      <c r="CK2556" s="2">
        <v>21</v>
      </c>
      <c r="CL2556" s="2" t="s">
        <v>86</v>
      </c>
      <c r="CM2556" s="2"/>
    </row>
    <row r="2557" spans="1:91">
      <c r="A2557" s="2" t="s">
        <v>71</v>
      </c>
      <c r="B2557" s="2" t="s">
        <v>72</v>
      </c>
      <c r="C2557" s="2" t="s">
        <v>73</v>
      </c>
      <c r="D2557" s="2"/>
      <c r="E2557" s="2" t="str">
        <f>"FES1162544529"</f>
        <v>FES1162544529</v>
      </c>
      <c r="F2557" s="3">
        <v>42845</v>
      </c>
      <c r="G2557" s="2">
        <v>201710</v>
      </c>
      <c r="H2557" s="2" t="s">
        <v>74</v>
      </c>
      <c r="I2557" s="2" t="s">
        <v>75</v>
      </c>
      <c r="J2557" s="2" t="s">
        <v>76</v>
      </c>
      <c r="K2557" s="2" t="s">
        <v>77</v>
      </c>
      <c r="L2557" s="2" t="s">
        <v>180</v>
      </c>
      <c r="M2557" s="2" t="s">
        <v>181</v>
      </c>
      <c r="N2557" s="2" t="s">
        <v>320</v>
      </c>
      <c r="O2557" s="2" t="s">
        <v>115</v>
      </c>
      <c r="P2557" s="2" t="str">
        <f>"2170560835                    "</f>
        <v xml:space="preserve">2170560835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15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7</v>
      </c>
      <c r="BJ2557" s="2">
        <v>3</v>
      </c>
      <c r="BK2557" s="2">
        <v>7</v>
      </c>
      <c r="BL2557" s="2">
        <v>146.04</v>
      </c>
      <c r="BM2557" s="2">
        <v>20.45</v>
      </c>
      <c r="BN2557" s="2">
        <v>166.49</v>
      </c>
      <c r="BO2557" s="2">
        <v>166.49</v>
      </c>
      <c r="BP2557" s="2"/>
      <c r="BQ2557" s="2" t="s">
        <v>129</v>
      </c>
      <c r="BR2557" s="2" t="s">
        <v>84</v>
      </c>
      <c r="BS2557" s="3">
        <v>42846</v>
      </c>
      <c r="BT2557" s="4">
        <v>0.4375</v>
      </c>
      <c r="BU2557" s="2" t="s">
        <v>2469</v>
      </c>
      <c r="BV2557" s="2" t="s">
        <v>111</v>
      </c>
      <c r="BW2557" s="2"/>
      <c r="BX2557" s="2"/>
      <c r="BY2557" s="2">
        <v>14800.02</v>
      </c>
      <c r="BZ2557" s="2" t="s">
        <v>27</v>
      </c>
      <c r="CA2557" s="2"/>
      <c r="CB2557" s="2"/>
      <c r="CC2557" s="2" t="s">
        <v>181</v>
      </c>
      <c r="CD2557" s="2">
        <v>4051</v>
      </c>
      <c r="CE2557" s="2" t="s">
        <v>89</v>
      </c>
      <c r="CF2557" s="5">
        <v>42849</v>
      </c>
      <c r="CG2557" s="2"/>
      <c r="CH2557" s="2"/>
      <c r="CI2557" s="2">
        <v>1</v>
      </c>
      <c r="CJ2557" s="2">
        <v>1</v>
      </c>
      <c r="CK2557" s="2">
        <v>21</v>
      </c>
      <c r="CL2557" s="2" t="s">
        <v>86</v>
      </c>
      <c r="CM2557" s="2"/>
    </row>
    <row r="2558" spans="1:91">
      <c r="A2558" s="2" t="s">
        <v>71</v>
      </c>
      <c r="B2558" s="2" t="s">
        <v>72</v>
      </c>
      <c r="C2558" s="2" t="s">
        <v>73</v>
      </c>
      <c r="D2558" s="2"/>
      <c r="E2558" s="2" t="str">
        <f>"FES1162544779"</f>
        <v>FES1162544779</v>
      </c>
      <c r="F2558" s="3">
        <v>42845</v>
      </c>
      <c r="G2558" s="2">
        <v>201710</v>
      </c>
      <c r="H2558" s="2" t="s">
        <v>74</v>
      </c>
      <c r="I2558" s="2" t="s">
        <v>75</v>
      </c>
      <c r="J2558" s="2" t="s">
        <v>76</v>
      </c>
      <c r="K2558" s="2" t="s">
        <v>77</v>
      </c>
      <c r="L2558" s="2" t="s">
        <v>160</v>
      </c>
      <c r="M2558" s="2" t="s">
        <v>161</v>
      </c>
      <c r="N2558" s="2" t="s">
        <v>1042</v>
      </c>
      <c r="O2558" s="2" t="s">
        <v>115</v>
      </c>
      <c r="P2558" s="2" t="str">
        <f>"2170563331                    "</f>
        <v xml:space="preserve">2170563331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4.29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2</v>
      </c>
      <c r="BJ2558" s="2">
        <v>1.1000000000000001</v>
      </c>
      <c r="BK2558" s="2">
        <v>2</v>
      </c>
      <c r="BL2558" s="2">
        <v>41.73</v>
      </c>
      <c r="BM2558" s="2">
        <v>5.84</v>
      </c>
      <c r="BN2558" s="2">
        <v>47.57</v>
      </c>
      <c r="BO2558" s="2">
        <v>47.57</v>
      </c>
      <c r="BP2558" s="2"/>
      <c r="BQ2558" s="2" t="s">
        <v>1043</v>
      </c>
      <c r="BR2558" s="2" t="s">
        <v>84</v>
      </c>
      <c r="BS2558" s="3">
        <v>42846</v>
      </c>
      <c r="BT2558" s="4">
        <v>0.41666666666666669</v>
      </c>
      <c r="BU2558" s="2" t="s">
        <v>2886</v>
      </c>
      <c r="BV2558" s="2" t="s">
        <v>111</v>
      </c>
      <c r="BW2558" s="2"/>
      <c r="BX2558" s="2"/>
      <c r="BY2558" s="2">
        <v>5320</v>
      </c>
      <c r="BZ2558" s="2"/>
      <c r="CA2558" s="2"/>
      <c r="CB2558" s="2"/>
      <c r="CC2558" s="2" t="s">
        <v>161</v>
      </c>
      <c r="CD2558" s="2">
        <v>5201</v>
      </c>
      <c r="CE2558" s="2" t="s">
        <v>89</v>
      </c>
      <c r="CF2558" s="5">
        <v>42849</v>
      </c>
      <c r="CG2558" s="2"/>
      <c r="CH2558" s="2"/>
      <c r="CI2558" s="2">
        <v>1</v>
      </c>
      <c r="CJ2558" s="2">
        <v>1</v>
      </c>
      <c r="CK2558" s="2">
        <v>21</v>
      </c>
      <c r="CL2558" s="2" t="s">
        <v>86</v>
      </c>
      <c r="CM2558" s="2"/>
    </row>
    <row r="2559" spans="1:91">
      <c r="A2559" s="2" t="s">
        <v>71</v>
      </c>
      <c r="B2559" s="2" t="s">
        <v>72</v>
      </c>
      <c r="C2559" s="2" t="s">
        <v>73</v>
      </c>
      <c r="D2559" s="2"/>
      <c r="E2559" s="2" t="str">
        <f>"FES1162544566"</f>
        <v>FES1162544566</v>
      </c>
      <c r="F2559" s="3">
        <v>42845</v>
      </c>
      <c r="G2559" s="2">
        <v>201710</v>
      </c>
      <c r="H2559" s="2" t="s">
        <v>74</v>
      </c>
      <c r="I2559" s="2" t="s">
        <v>75</v>
      </c>
      <c r="J2559" s="2" t="s">
        <v>76</v>
      </c>
      <c r="K2559" s="2" t="s">
        <v>77</v>
      </c>
      <c r="L2559" s="2" t="s">
        <v>99</v>
      </c>
      <c r="M2559" s="2" t="s">
        <v>100</v>
      </c>
      <c r="N2559" s="2" t="s">
        <v>513</v>
      </c>
      <c r="O2559" s="2" t="s">
        <v>115</v>
      </c>
      <c r="P2559" s="2" t="str">
        <f>"2170561005                    "</f>
        <v xml:space="preserve">2170561005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4.29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1</v>
      </c>
      <c r="BJ2559" s="2">
        <v>0.2</v>
      </c>
      <c r="BK2559" s="2">
        <v>1</v>
      </c>
      <c r="BL2559" s="2">
        <v>41.73</v>
      </c>
      <c r="BM2559" s="2">
        <v>5.84</v>
      </c>
      <c r="BN2559" s="2">
        <v>47.57</v>
      </c>
      <c r="BO2559" s="2">
        <v>47.57</v>
      </c>
      <c r="BP2559" s="2"/>
      <c r="BQ2559" s="2" t="s">
        <v>515</v>
      </c>
      <c r="BR2559" s="2" t="s">
        <v>84</v>
      </c>
      <c r="BS2559" s="3">
        <v>42846</v>
      </c>
      <c r="BT2559" s="4">
        <v>0.40972222222222227</v>
      </c>
      <c r="BU2559" s="2" t="s">
        <v>2887</v>
      </c>
      <c r="BV2559" s="2" t="s">
        <v>111</v>
      </c>
      <c r="BW2559" s="2"/>
      <c r="BX2559" s="2"/>
      <c r="BY2559" s="2">
        <v>1200</v>
      </c>
      <c r="BZ2559" s="2" t="s">
        <v>27</v>
      </c>
      <c r="CA2559" s="2" t="s">
        <v>2888</v>
      </c>
      <c r="CB2559" s="2"/>
      <c r="CC2559" s="2" t="s">
        <v>100</v>
      </c>
      <c r="CD2559" s="2">
        <v>6045</v>
      </c>
      <c r="CE2559" s="2" t="s">
        <v>118</v>
      </c>
      <c r="CF2559" s="5">
        <v>42846</v>
      </c>
      <c r="CG2559" s="2"/>
      <c r="CH2559" s="2"/>
      <c r="CI2559" s="2">
        <v>1</v>
      </c>
      <c r="CJ2559" s="2">
        <v>1</v>
      </c>
      <c r="CK2559" s="2">
        <v>21</v>
      </c>
      <c r="CL2559" s="2" t="s">
        <v>86</v>
      </c>
      <c r="CM2559" s="2"/>
    </row>
    <row r="2560" spans="1:91">
      <c r="A2560" s="2" t="s">
        <v>71</v>
      </c>
      <c r="B2560" s="2" t="s">
        <v>72</v>
      </c>
      <c r="C2560" s="2" t="s">
        <v>73</v>
      </c>
      <c r="D2560" s="2"/>
      <c r="E2560" s="2" t="str">
        <f>"FES1162544573"</f>
        <v>FES1162544573</v>
      </c>
      <c r="F2560" s="3">
        <v>42845</v>
      </c>
      <c r="G2560" s="2">
        <v>201710</v>
      </c>
      <c r="H2560" s="2" t="s">
        <v>74</v>
      </c>
      <c r="I2560" s="2" t="s">
        <v>75</v>
      </c>
      <c r="J2560" s="2" t="s">
        <v>76</v>
      </c>
      <c r="K2560" s="2" t="s">
        <v>77</v>
      </c>
      <c r="L2560" s="2" t="s">
        <v>131</v>
      </c>
      <c r="M2560" s="2" t="s">
        <v>132</v>
      </c>
      <c r="N2560" s="2" t="s">
        <v>1497</v>
      </c>
      <c r="O2560" s="2" t="s">
        <v>115</v>
      </c>
      <c r="P2560" s="2" t="str">
        <f>"2170561169                    "</f>
        <v xml:space="preserve">2170561169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4.29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1</v>
      </c>
      <c r="BJ2560" s="2">
        <v>0.2</v>
      </c>
      <c r="BK2560" s="2">
        <v>1</v>
      </c>
      <c r="BL2560" s="2">
        <v>41.73</v>
      </c>
      <c r="BM2560" s="2">
        <v>5.84</v>
      </c>
      <c r="BN2560" s="2">
        <v>47.57</v>
      </c>
      <c r="BO2560" s="2">
        <v>47.57</v>
      </c>
      <c r="BP2560" s="2"/>
      <c r="BQ2560" s="2" t="s">
        <v>1498</v>
      </c>
      <c r="BR2560" s="2" t="s">
        <v>84</v>
      </c>
      <c r="BS2560" s="3">
        <v>42846</v>
      </c>
      <c r="BT2560" s="4">
        <v>0.41666666666666669</v>
      </c>
      <c r="BU2560" s="2" t="s">
        <v>1499</v>
      </c>
      <c r="BV2560" s="2" t="s">
        <v>111</v>
      </c>
      <c r="BW2560" s="2"/>
      <c r="BX2560" s="2"/>
      <c r="BY2560" s="2">
        <v>1200</v>
      </c>
      <c r="BZ2560" s="2" t="s">
        <v>27</v>
      </c>
      <c r="CA2560" s="2"/>
      <c r="CB2560" s="2"/>
      <c r="CC2560" s="2" t="s">
        <v>132</v>
      </c>
      <c r="CD2560" s="2">
        <v>7441</v>
      </c>
      <c r="CE2560" s="2" t="s">
        <v>118</v>
      </c>
      <c r="CF2560" s="5">
        <v>42849</v>
      </c>
      <c r="CG2560" s="2"/>
      <c r="CH2560" s="2"/>
      <c r="CI2560" s="2">
        <v>1</v>
      </c>
      <c r="CJ2560" s="2">
        <v>1</v>
      </c>
      <c r="CK2560" s="2">
        <v>21</v>
      </c>
      <c r="CL2560" s="2" t="s">
        <v>86</v>
      </c>
      <c r="CM2560" s="2"/>
    </row>
    <row r="2561" spans="1:91">
      <c r="A2561" s="2" t="s">
        <v>71</v>
      </c>
      <c r="B2561" s="2" t="s">
        <v>72</v>
      </c>
      <c r="C2561" s="2" t="s">
        <v>73</v>
      </c>
      <c r="D2561" s="2"/>
      <c r="E2561" s="2" t="str">
        <f>"FES1162544685"</f>
        <v>FES1162544685</v>
      </c>
      <c r="F2561" s="3">
        <v>42845</v>
      </c>
      <c r="G2561" s="2">
        <v>201710</v>
      </c>
      <c r="H2561" s="2" t="s">
        <v>74</v>
      </c>
      <c r="I2561" s="2" t="s">
        <v>75</v>
      </c>
      <c r="J2561" s="2" t="s">
        <v>76</v>
      </c>
      <c r="K2561" s="2" t="s">
        <v>77</v>
      </c>
      <c r="L2561" s="2" t="s">
        <v>496</v>
      </c>
      <c r="M2561" s="2" t="s">
        <v>497</v>
      </c>
      <c r="N2561" s="2" t="s">
        <v>1357</v>
      </c>
      <c r="O2561" s="2" t="s">
        <v>115</v>
      </c>
      <c r="P2561" s="2" t="str">
        <f>"2170563244                    "</f>
        <v xml:space="preserve">2170563244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3.35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2</v>
      </c>
      <c r="BJ2561" s="2">
        <v>1.9</v>
      </c>
      <c r="BK2561" s="2">
        <v>2</v>
      </c>
      <c r="BL2561" s="2">
        <v>32.6</v>
      </c>
      <c r="BM2561" s="2">
        <v>4.5599999999999996</v>
      </c>
      <c r="BN2561" s="2">
        <v>37.159999999999997</v>
      </c>
      <c r="BO2561" s="2">
        <v>37.159999999999997</v>
      </c>
      <c r="BP2561" s="2"/>
      <c r="BQ2561" s="2" t="s">
        <v>1358</v>
      </c>
      <c r="BR2561" s="2" t="s">
        <v>84</v>
      </c>
      <c r="BS2561" s="3">
        <v>42846</v>
      </c>
      <c r="BT2561" s="4">
        <v>0.43124999999999997</v>
      </c>
      <c r="BU2561" s="2" t="s">
        <v>708</v>
      </c>
      <c r="BV2561" s="2" t="s">
        <v>111</v>
      </c>
      <c r="BW2561" s="2"/>
      <c r="BX2561" s="2"/>
      <c r="BY2561" s="2">
        <v>9573.77</v>
      </c>
      <c r="BZ2561" s="2"/>
      <c r="CA2561" s="2"/>
      <c r="CB2561" s="2"/>
      <c r="CC2561" s="2" t="s">
        <v>497</v>
      </c>
      <c r="CD2561" s="2">
        <v>1559</v>
      </c>
      <c r="CE2561" s="2" t="s">
        <v>118</v>
      </c>
      <c r="CF2561" s="5">
        <v>42849</v>
      </c>
      <c r="CG2561" s="2"/>
      <c r="CH2561" s="2"/>
      <c r="CI2561" s="2">
        <v>1</v>
      </c>
      <c r="CJ2561" s="2">
        <v>1</v>
      </c>
      <c r="CK2561" s="2">
        <v>22</v>
      </c>
      <c r="CL2561" s="2" t="s">
        <v>86</v>
      </c>
      <c r="CM2561" s="2"/>
    </row>
    <row r="2562" spans="1:91">
      <c r="A2562" s="2" t="s">
        <v>71</v>
      </c>
      <c r="B2562" s="2" t="s">
        <v>72</v>
      </c>
      <c r="C2562" s="2" t="s">
        <v>73</v>
      </c>
      <c r="D2562" s="2"/>
      <c r="E2562" s="2" t="str">
        <f>"FES1162544663"</f>
        <v>FES1162544663</v>
      </c>
      <c r="F2562" s="3">
        <v>42845</v>
      </c>
      <c r="G2562" s="2">
        <v>201710</v>
      </c>
      <c r="H2562" s="2" t="s">
        <v>74</v>
      </c>
      <c r="I2562" s="2" t="s">
        <v>75</v>
      </c>
      <c r="J2562" s="2" t="s">
        <v>76</v>
      </c>
      <c r="K2562" s="2" t="s">
        <v>77</v>
      </c>
      <c r="L2562" s="2" t="s">
        <v>496</v>
      </c>
      <c r="M2562" s="2" t="s">
        <v>497</v>
      </c>
      <c r="N2562" s="2" t="s">
        <v>1357</v>
      </c>
      <c r="O2562" s="2" t="s">
        <v>115</v>
      </c>
      <c r="P2562" s="2" t="str">
        <f>"2170563213                    "</f>
        <v xml:space="preserve">2170563213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3.35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1.2</v>
      </c>
      <c r="BJ2562" s="2">
        <v>2.2000000000000002</v>
      </c>
      <c r="BK2562" s="2">
        <v>3</v>
      </c>
      <c r="BL2562" s="2">
        <v>32.6</v>
      </c>
      <c r="BM2562" s="2">
        <v>4.5599999999999996</v>
      </c>
      <c r="BN2562" s="2">
        <v>37.159999999999997</v>
      </c>
      <c r="BO2562" s="2">
        <v>37.159999999999997</v>
      </c>
      <c r="BP2562" s="2"/>
      <c r="BQ2562" s="2" t="s">
        <v>1358</v>
      </c>
      <c r="BR2562" s="2" t="s">
        <v>84</v>
      </c>
      <c r="BS2562" s="3">
        <v>42846</v>
      </c>
      <c r="BT2562" s="4">
        <v>0.4368055555555555</v>
      </c>
      <c r="BU2562" s="2" t="s">
        <v>2012</v>
      </c>
      <c r="BV2562" s="2" t="s">
        <v>111</v>
      </c>
      <c r="BW2562" s="2"/>
      <c r="BX2562" s="2"/>
      <c r="BY2562" s="2">
        <v>10845.96</v>
      </c>
      <c r="BZ2562" s="2"/>
      <c r="CA2562" s="2"/>
      <c r="CB2562" s="2"/>
      <c r="CC2562" s="2" t="s">
        <v>497</v>
      </c>
      <c r="CD2562" s="2">
        <v>1559</v>
      </c>
      <c r="CE2562" s="2" t="s">
        <v>89</v>
      </c>
      <c r="CF2562" s="5">
        <v>42849</v>
      </c>
      <c r="CG2562" s="2"/>
      <c r="CH2562" s="2"/>
      <c r="CI2562" s="2">
        <v>1</v>
      </c>
      <c r="CJ2562" s="2">
        <v>1</v>
      </c>
      <c r="CK2562" s="2">
        <v>22</v>
      </c>
      <c r="CL2562" s="2" t="s">
        <v>86</v>
      </c>
      <c r="CM2562" s="2"/>
    </row>
    <row r="2563" spans="1:91">
      <c r="A2563" s="2" t="s">
        <v>71</v>
      </c>
      <c r="B2563" s="2" t="s">
        <v>72</v>
      </c>
      <c r="C2563" s="2" t="s">
        <v>73</v>
      </c>
      <c r="D2563" s="2"/>
      <c r="E2563" s="2" t="str">
        <f>"FES1162544477"</f>
        <v>FES1162544477</v>
      </c>
      <c r="F2563" s="3">
        <v>42845</v>
      </c>
      <c r="G2563" s="2">
        <v>201710</v>
      </c>
      <c r="H2563" s="2" t="s">
        <v>74</v>
      </c>
      <c r="I2563" s="2" t="s">
        <v>75</v>
      </c>
      <c r="J2563" s="2" t="s">
        <v>76</v>
      </c>
      <c r="K2563" s="2" t="s">
        <v>77</v>
      </c>
      <c r="L2563" s="2" t="s">
        <v>131</v>
      </c>
      <c r="M2563" s="2" t="s">
        <v>132</v>
      </c>
      <c r="N2563" s="2" t="s">
        <v>1180</v>
      </c>
      <c r="O2563" s="2" t="s">
        <v>115</v>
      </c>
      <c r="P2563" s="2" t="str">
        <f>"2170563059                    "</f>
        <v xml:space="preserve">2170563059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4.29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1</v>
      </c>
      <c r="BJ2563" s="2">
        <v>0.2</v>
      </c>
      <c r="BK2563" s="2">
        <v>1</v>
      </c>
      <c r="BL2563" s="2">
        <v>41.73</v>
      </c>
      <c r="BM2563" s="2">
        <v>5.84</v>
      </c>
      <c r="BN2563" s="2">
        <v>47.57</v>
      </c>
      <c r="BO2563" s="2">
        <v>47.57</v>
      </c>
      <c r="BP2563" s="2"/>
      <c r="BQ2563" s="2" t="s">
        <v>129</v>
      </c>
      <c r="BR2563" s="2" t="s">
        <v>84</v>
      </c>
      <c r="BS2563" s="3">
        <v>42846</v>
      </c>
      <c r="BT2563" s="4">
        <v>0.40208333333333335</v>
      </c>
      <c r="BU2563" s="2" t="s">
        <v>1181</v>
      </c>
      <c r="BV2563" s="2" t="s">
        <v>111</v>
      </c>
      <c r="BW2563" s="2"/>
      <c r="BX2563" s="2"/>
      <c r="BY2563" s="2">
        <v>1200</v>
      </c>
      <c r="BZ2563" s="2" t="s">
        <v>27</v>
      </c>
      <c r="CA2563" s="2" t="s">
        <v>2870</v>
      </c>
      <c r="CB2563" s="2"/>
      <c r="CC2563" s="2" t="s">
        <v>132</v>
      </c>
      <c r="CD2563" s="2">
        <v>7460</v>
      </c>
      <c r="CE2563" s="2" t="s">
        <v>118</v>
      </c>
      <c r="CF2563" s="5">
        <v>42846</v>
      </c>
      <c r="CG2563" s="2"/>
      <c r="CH2563" s="2"/>
      <c r="CI2563" s="2">
        <v>1</v>
      </c>
      <c r="CJ2563" s="2">
        <v>1</v>
      </c>
      <c r="CK2563" s="2">
        <v>21</v>
      </c>
      <c r="CL2563" s="2" t="s">
        <v>86</v>
      </c>
      <c r="CM2563" s="2"/>
    </row>
    <row r="2564" spans="1:91">
      <c r="A2564" s="2" t="s">
        <v>71</v>
      </c>
      <c r="B2564" s="2" t="s">
        <v>72</v>
      </c>
      <c r="C2564" s="2" t="s">
        <v>73</v>
      </c>
      <c r="D2564" s="2"/>
      <c r="E2564" s="2" t="str">
        <f>"FES1162544689"</f>
        <v>FES1162544689</v>
      </c>
      <c r="F2564" s="3">
        <v>42845</v>
      </c>
      <c r="G2564" s="2">
        <v>201710</v>
      </c>
      <c r="H2564" s="2" t="s">
        <v>74</v>
      </c>
      <c r="I2564" s="2" t="s">
        <v>75</v>
      </c>
      <c r="J2564" s="2" t="s">
        <v>76</v>
      </c>
      <c r="K2564" s="2" t="s">
        <v>77</v>
      </c>
      <c r="L2564" s="2" t="s">
        <v>166</v>
      </c>
      <c r="M2564" s="2" t="s">
        <v>167</v>
      </c>
      <c r="N2564" s="2" t="s">
        <v>1425</v>
      </c>
      <c r="O2564" s="2" t="s">
        <v>115</v>
      </c>
      <c r="P2564" s="2" t="str">
        <f>"2170563250                    "</f>
        <v xml:space="preserve">2170563250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3.35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1</v>
      </c>
      <c r="BJ2564" s="2">
        <v>0.2</v>
      </c>
      <c r="BK2564" s="2">
        <v>1</v>
      </c>
      <c r="BL2564" s="2">
        <v>32.6</v>
      </c>
      <c r="BM2564" s="2">
        <v>4.5599999999999996</v>
      </c>
      <c r="BN2564" s="2">
        <v>37.159999999999997</v>
      </c>
      <c r="BO2564" s="2">
        <v>37.159999999999997</v>
      </c>
      <c r="BP2564" s="2"/>
      <c r="BQ2564" s="2" t="s">
        <v>727</v>
      </c>
      <c r="BR2564" s="2" t="s">
        <v>84</v>
      </c>
      <c r="BS2564" s="3">
        <v>42846</v>
      </c>
      <c r="BT2564" s="4">
        <v>0.41666666666666669</v>
      </c>
      <c r="BU2564" s="2" t="s">
        <v>2889</v>
      </c>
      <c r="BV2564" s="2" t="s">
        <v>111</v>
      </c>
      <c r="BW2564" s="2"/>
      <c r="BX2564" s="2"/>
      <c r="BY2564" s="2">
        <v>1200</v>
      </c>
      <c r="BZ2564" s="2"/>
      <c r="CA2564" s="2"/>
      <c r="CB2564" s="2"/>
      <c r="CC2564" s="2" t="s">
        <v>167</v>
      </c>
      <c r="CD2564" s="2">
        <v>2091</v>
      </c>
      <c r="CE2564" s="2" t="s">
        <v>118</v>
      </c>
      <c r="CF2564" s="5">
        <v>42849</v>
      </c>
      <c r="CG2564" s="2"/>
      <c r="CH2564" s="2"/>
      <c r="CI2564" s="2">
        <v>1</v>
      </c>
      <c r="CJ2564" s="2">
        <v>1</v>
      </c>
      <c r="CK2564" s="2">
        <v>22</v>
      </c>
      <c r="CL2564" s="2" t="s">
        <v>86</v>
      </c>
      <c r="CM2564" s="2"/>
    </row>
    <row r="2565" spans="1:91">
      <c r="A2565" s="2" t="s">
        <v>71</v>
      </c>
      <c r="B2565" s="2" t="s">
        <v>72</v>
      </c>
      <c r="C2565" s="2" t="s">
        <v>73</v>
      </c>
      <c r="D2565" s="2"/>
      <c r="E2565" s="2" t="str">
        <f>"FES1162544545"</f>
        <v>FES1162544545</v>
      </c>
      <c r="F2565" s="3">
        <v>42845</v>
      </c>
      <c r="G2565" s="2">
        <v>201710</v>
      </c>
      <c r="H2565" s="2" t="s">
        <v>74</v>
      </c>
      <c r="I2565" s="2" t="s">
        <v>75</v>
      </c>
      <c r="J2565" s="2" t="s">
        <v>76</v>
      </c>
      <c r="K2565" s="2" t="s">
        <v>77</v>
      </c>
      <c r="L2565" s="2" t="s">
        <v>74</v>
      </c>
      <c r="M2565" s="2" t="s">
        <v>75</v>
      </c>
      <c r="N2565" s="2" t="s">
        <v>2890</v>
      </c>
      <c r="O2565" s="2" t="s">
        <v>115</v>
      </c>
      <c r="P2565" s="2" t="str">
        <f>"2170560288                    "</f>
        <v xml:space="preserve">2170560288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3.35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1</v>
      </c>
      <c r="BJ2565" s="2">
        <v>0.2</v>
      </c>
      <c r="BK2565" s="2">
        <v>1</v>
      </c>
      <c r="BL2565" s="2">
        <v>32.6</v>
      </c>
      <c r="BM2565" s="2">
        <v>4.5599999999999996</v>
      </c>
      <c r="BN2565" s="2">
        <v>37.159999999999997</v>
      </c>
      <c r="BO2565" s="2">
        <v>37.159999999999997</v>
      </c>
      <c r="BP2565" s="2"/>
      <c r="BQ2565" s="2" t="s">
        <v>122</v>
      </c>
      <c r="BR2565" s="2" t="s">
        <v>84</v>
      </c>
      <c r="BS2565" s="3">
        <v>42846</v>
      </c>
      <c r="BT2565" s="4">
        <v>0.33888888888888885</v>
      </c>
      <c r="BU2565" s="2" t="s">
        <v>2891</v>
      </c>
      <c r="BV2565" s="2" t="s">
        <v>111</v>
      </c>
      <c r="BW2565" s="2"/>
      <c r="BX2565" s="2"/>
      <c r="BY2565" s="2">
        <v>1200</v>
      </c>
      <c r="BZ2565" s="2"/>
      <c r="CA2565" s="2" t="s">
        <v>1687</v>
      </c>
      <c r="CB2565" s="2"/>
      <c r="CC2565" s="2" t="s">
        <v>75</v>
      </c>
      <c r="CD2565" s="2">
        <v>1614</v>
      </c>
      <c r="CE2565" s="2" t="s">
        <v>118</v>
      </c>
      <c r="CF2565" s="5">
        <v>42846</v>
      </c>
      <c r="CG2565" s="2"/>
      <c r="CH2565" s="2"/>
      <c r="CI2565" s="2">
        <v>1</v>
      </c>
      <c r="CJ2565" s="2">
        <v>1</v>
      </c>
      <c r="CK2565" s="2">
        <v>22</v>
      </c>
      <c r="CL2565" s="2" t="s">
        <v>86</v>
      </c>
      <c r="CM2565" s="2"/>
    </row>
    <row r="2566" spans="1:91">
      <c r="A2566" s="2" t="s">
        <v>71</v>
      </c>
      <c r="B2566" s="2" t="s">
        <v>72</v>
      </c>
      <c r="C2566" s="2" t="s">
        <v>73</v>
      </c>
      <c r="D2566" s="2"/>
      <c r="E2566" s="2" t="str">
        <f>"FES1162544451"</f>
        <v>FES1162544451</v>
      </c>
      <c r="F2566" s="3">
        <v>42845</v>
      </c>
      <c r="G2566" s="2">
        <v>201710</v>
      </c>
      <c r="H2566" s="2" t="s">
        <v>74</v>
      </c>
      <c r="I2566" s="2" t="s">
        <v>75</v>
      </c>
      <c r="J2566" s="2" t="s">
        <v>76</v>
      </c>
      <c r="K2566" s="2" t="s">
        <v>77</v>
      </c>
      <c r="L2566" s="2" t="s">
        <v>131</v>
      </c>
      <c r="M2566" s="2" t="s">
        <v>132</v>
      </c>
      <c r="N2566" s="2" t="s">
        <v>1081</v>
      </c>
      <c r="O2566" s="2" t="s">
        <v>115</v>
      </c>
      <c r="P2566" s="2" t="str">
        <f>"2170563049                    "</f>
        <v xml:space="preserve">2170563049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4.29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1</v>
      </c>
      <c r="BJ2566" s="2">
        <v>0.2</v>
      </c>
      <c r="BK2566" s="2">
        <v>1</v>
      </c>
      <c r="BL2566" s="2">
        <v>41.73</v>
      </c>
      <c r="BM2566" s="2">
        <v>5.84</v>
      </c>
      <c r="BN2566" s="2">
        <v>47.57</v>
      </c>
      <c r="BO2566" s="2">
        <v>47.57</v>
      </c>
      <c r="BP2566" s="2"/>
      <c r="BQ2566" s="2" t="s">
        <v>1082</v>
      </c>
      <c r="BR2566" s="2" t="s">
        <v>84</v>
      </c>
      <c r="BS2566" s="3">
        <v>42846</v>
      </c>
      <c r="BT2566" s="4">
        <v>0.35416666666666669</v>
      </c>
      <c r="BU2566" s="2" t="s">
        <v>2892</v>
      </c>
      <c r="BV2566" s="2" t="s">
        <v>111</v>
      </c>
      <c r="BW2566" s="2"/>
      <c r="BX2566" s="2"/>
      <c r="BY2566" s="2">
        <v>1200</v>
      </c>
      <c r="BZ2566" s="2" t="s">
        <v>27</v>
      </c>
      <c r="CA2566" s="2" t="s">
        <v>2870</v>
      </c>
      <c r="CB2566" s="2"/>
      <c r="CC2566" s="2" t="s">
        <v>132</v>
      </c>
      <c r="CD2566" s="2">
        <v>7460</v>
      </c>
      <c r="CE2566" s="2" t="s">
        <v>118</v>
      </c>
      <c r="CF2566" s="5">
        <v>42846</v>
      </c>
      <c r="CG2566" s="2"/>
      <c r="CH2566" s="2"/>
      <c r="CI2566" s="2">
        <v>1</v>
      </c>
      <c r="CJ2566" s="2">
        <v>1</v>
      </c>
      <c r="CK2566" s="2">
        <v>21</v>
      </c>
      <c r="CL2566" s="2" t="s">
        <v>86</v>
      </c>
      <c r="CM2566" s="2"/>
    </row>
    <row r="2567" spans="1:91">
      <c r="A2567" s="2" t="s">
        <v>71</v>
      </c>
      <c r="B2567" s="2" t="s">
        <v>72</v>
      </c>
      <c r="C2567" s="2" t="s">
        <v>73</v>
      </c>
      <c r="D2567" s="2"/>
      <c r="E2567" s="2" t="str">
        <f>"FES1162544578"</f>
        <v>FES1162544578</v>
      </c>
      <c r="F2567" s="3">
        <v>42845</v>
      </c>
      <c r="G2567" s="2">
        <v>201710</v>
      </c>
      <c r="H2567" s="2" t="s">
        <v>74</v>
      </c>
      <c r="I2567" s="2" t="s">
        <v>75</v>
      </c>
      <c r="J2567" s="2" t="s">
        <v>76</v>
      </c>
      <c r="K2567" s="2" t="s">
        <v>77</v>
      </c>
      <c r="L2567" s="2" t="s">
        <v>260</v>
      </c>
      <c r="M2567" s="2" t="s">
        <v>261</v>
      </c>
      <c r="N2567" s="2" t="s">
        <v>470</v>
      </c>
      <c r="O2567" s="2" t="s">
        <v>115</v>
      </c>
      <c r="P2567" s="2" t="str">
        <f>"2170562913                    "</f>
        <v xml:space="preserve">2170562913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3.35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1</v>
      </c>
      <c r="BJ2567" s="2">
        <v>0.2</v>
      </c>
      <c r="BK2567" s="2">
        <v>1</v>
      </c>
      <c r="BL2567" s="2">
        <v>32.6</v>
      </c>
      <c r="BM2567" s="2">
        <v>4.5599999999999996</v>
      </c>
      <c r="BN2567" s="2">
        <v>37.159999999999997</v>
      </c>
      <c r="BO2567" s="2">
        <v>37.159999999999997</v>
      </c>
      <c r="BP2567" s="2"/>
      <c r="BQ2567" s="2" t="s">
        <v>471</v>
      </c>
      <c r="BR2567" s="2" t="s">
        <v>84</v>
      </c>
      <c r="BS2567" s="3">
        <v>42846</v>
      </c>
      <c r="BT2567" s="4">
        <v>0.3125</v>
      </c>
      <c r="BU2567" s="2" t="s">
        <v>2893</v>
      </c>
      <c r="BV2567" s="2" t="s">
        <v>111</v>
      </c>
      <c r="BW2567" s="2"/>
      <c r="BX2567" s="2"/>
      <c r="BY2567" s="2">
        <v>1200</v>
      </c>
      <c r="BZ2567" s="2"/>
      <c r="CA2567" s="2"/>
      <c r="CB2567" s="2"/>
      <c r="CC2567" s="2" t="s">
        <v>261</v>
      </c>
      <c r="CD2567" s="2">
        <v>1449</v>
      </c>
      <c r="CE2567" s="2" t="s">
        <v>118</v>
      </c>
      <c r="CF2567" s="5">
        <v>42849</v>
      </c>
      <c r="CG2567" s="2"/>
      <c r="CH2567" s="2"/>
      <c r="CI2567" s="2">
        <v>1</v>
      </c>
      <c r="CJ2567" s="2">
        <v>1</v>
      </c>
      <c r="CK2567" s="2">
        <v>22</v>
      </c>
      <c r="CL2567" s="2" t="s">
        <v>86</v>
      </c>
      <c r="CM2567" s="2"/>
    </row>
    <row r="2568" spans="1:91">
      <c r="A2568" s="2" t="s">
        <v>71</v>
      </c>
      <c r="B2568" s="2" t="s">
        <v>72</v>
      </c>
      <c r="C2568" s="2" t="s">
        <v>73</v>
      </c>
      <c r="D2568" s="2"/>
      <c r="E2568" s="2" t="str">
        <f>"FES1162544518"</f>
        <v>FES1162544518</v>
      </c>
      <c r="F2568" s="3">
        <v>42845</v>
      </c>
      <c r="G2568" s="2">
        <v>201710</v>
      </c>
      <c r="H2568" s="2" t="s">
        <v>74</v>
      </c>
      <c r="I2568" s="2" t="s">
        <v>75</v>
      </c>
      <c r="J2568" s="2" t="s">
        <v>76</v>
      </c>
      <c r="K2568" s="2" t="s">
        <v>77</v>
      </c>
      <c r="L2568" s="2" t="s">
        <v>1611</v>
      </c>
      <c r="M2568" s="2" t="s">
        <v>1612</v>
      </c>
      <c r="N2568" s="2" t="s">
        <v>1613</v>
      </c>
      <c r="O2568" s="2" t="s">
        <v>115</v>
      </c>
      <c r="P2568" s="2" t="str">
        <f>"2170559872                    "</f>
        <v xml:space="preserve">2170559872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8.31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1</v>
      </c>
      <c r="BJ2568" s="2">
        <v>0.2</v>
      </c>
      <c r="BK2568" s="2">
        <v>1</v>
      </c>
      <c r="BL2568" s="2">
        <v>80.849999999999994</v>
      </c>
      <c r="BM2568" s="2">
        <v>11.32</v>
      </c>
      <c r="BN2568" s="2">
        <v>92.17</v>
      </c>
      <c r="BO2568" s="2">
        <v>92.17</v>
      </c>
      <c r="BP2568" s="2"/>
      <c r="BQ2568" s="2" t="s">
        <v>1614</v>
      </c>
      <c r="BR2568" s="2" t="s">
        <v>84</v>
      </c>
      <c r="BS2568" s="3">
        <v>42846</v>
      </c>
      <c r="BT2568" s="4">
        <v>0.39583333333333331</v>
      </c>
      <c r="BU2568" s="2" t="s">
        <v>1092</v>
      </c>
      <c r="BV2568" s="2" t="s">
        <v>111</v>
      </c>
      <c r="BW2568" s="2"/>
      <c r="BX2568" s="2"/>
      <c r="BY2568" s="2">
        <v>1200</v>
      </c>
      <c r="BZ2568" s="2" t="s">
        <v>27</v>
      </c>
      <c r="CA2568" s="2"/>
      <c r="CB2568" s="2"/>
      <c r="CC2568" s="2" t="s">
        <v>1612</v>
      </c>
      <c r="CD2568" s="2">
        <v>9880</v>
      </c>
      <c r="CE2568" s="2" t="s">
        <v>118</v>
      </c>
      <c r="CF2568" s="5">
        <v>42850</v>
      </c>
      <c r="CG2568" s="2"/>
      <c r="CH2568" s="2"/>
      <c r="CI2568" s="2">
        <v>1</v>
      </c>
      <c r="CJ2568" s="2">
        <v>1</v>
      </c>
      <c r="CK2568" s="2">
        <v>23</v>
      </c>
      <c r="CL2568" s="2" t="s">
        <v>86</v>
      </c>
      <c r="CM2568" s="2"/>
    </row>
    <row r="2569" spans="1:91">
      <c r="A2569" s="2" t="s">
        <v>71</v>
      </c>
      <c r="B2569" s="2" t="s">
        <v>72</v>
      </c>
      <c r="C2569" s="2" t="s">
        <v>73</v>
      </c>
      <c r="D2569" s="2"/>
      <c r="E2569" s="2" t="str">
        <f>"FES1162544502"</f>
        <v>FES1162544502</v>
      </c>
      <c r="F2569" s="3">
        <v>42845</v>
      </c>
      <c r="G2569" s="2">
        <v>201710</v>
      </c>
      <c r="H2569" s="2" t="s">
        <v>74</v>
      </c>
      <c r="I2569" s="2" t="s">
        <v>75</v>
      </c>
      <c r="J2569" s="2" t="s">
        <v>76</v>
      </c>
      <c r="K2569" s="2" t="s">
        <v>77</v>
      </c>
      <c r="L2569" s="2" t="s">
        <v>516</v>
      </c>
      <c r="M2569" s="2" t="s">
        <v>517</v>
      </c>
      <c r="N2569" s="2" t="s">
        <v>808</v>
      </c>
      <c r="O2569" s="2" t="s">
        <v>115</v>
      </c>
      <c r="P2569" s="2" t="str">
        <f>"2170563097                    "</f>
        <v xml:space="preserve">2170563097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3.35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1.9</v>
      </c>
      <c r="BJ2569" s="2">
        <v>3.2</v>
      </c>
      <c r="BK2569" s="2">
        <v>4</v>
      </c>
      <c r="BL2569" s="2">
        <v>32.6</v>
      </c>
      <c r="BM2569" s="2">
        <v>4.5599999999999996</v>
      </c>
      <c r="BN2569" s="2">
        <v>37.159999999999997</v>
      </c>
      <c r="BO2569" s="2">
        <v>37.159999999999997</v>
      </c>
      <c r="BP2569" s="2"/>
      <c r="BQ2569" s="2" t="s">
        <v>809</v>
      </c>
      <c r="BR2569" s="2" t="s">
        <v>84</v>
      </c>
      <c r="BS2569" s="3">
        <v>42846</v>
      </c>
      <c r="BT2569" s="4">
        <v>0.41666666666666669</v>
      </c>
      <c r="BU2569" s="2" t="s">
        <v>2894</v>
      </c>
      <c r="BV2569" s="2" t="s">
        <v>111</v>
      </c>
      <c r="BW2569" s="2"/>
      <c r="BX2569" s="2"/>
      <c r="BY2569" s="2">
        <v>15764.02</v>
      </c>
      <c r="BZ2569" s="2"/>
      <c r="CA2569" s="2"/>
      <c r="CB2569" s="2"/>
      <c r="CC2569" s="2" t="s">
        <v>517</v>
      </c>
      <c r="CD2569" s="2">
        <v>1459</v>
      </c>
      <c r="CE2569" s="2" t="s">
        <v>89</v>
      </c>
      <c r="CF2569" s="5">
        <v>42849</v>
      </c>
      <c r="CG2569" s="2"/>
      <c r="CH2569" s="2"/>
      <c r="CI2569" s="2">
        <v>1</v>
      </c>
      <c r="CJ2569" s="2">
        <v>1</v>
      </c>
      <c r="CK2569" s="2">
        <v>22</v>
      </c>
      <c r="CL2569" s="2" t="s">
        <v>86</v>
      </c>
      <c r="CM2569" s="2"/>
    </row>
    <row r="2570" spans="1:91">
      <c r="A2570" s="2" t="s">
        <v>71</v>
      </c>
      <c r="B2570" s="2" t="s">
        <v>72</v>
      </c>
      <c r="C2570" s="2" t="s">
        <v>73</v>
      </c>
      <c r="D2570" s="2"/>
      <c r="E2570" s="2" t="str">
        <f>"FES1162544532"</f>
        <v>FES1162544532</v>
      </c>
      <c r="F2570" s="3">
        <v>42845</v>
      </c>
      <c r="G2570" s="2">
        <v>201710</v>
      </c>
      <c r="H2570" s="2" t="s">
        <v>74</v>
      </c>
      <c r="I2570" s="2" t="s">
        <v>75</v>
      </c>
      <c r="J2570" s="2" t="s">
        <v>76</v>
      </c>
      <c r="K2570" s="2" t="s">
        <v>77</v>
      </c>
      <c r="L2570" s="2" t="s">
        <v>180</v>
      </c>
      <c r="M2570" s="2" t="s">
        <v>181</v>
      </c>
      <c r="N2570" s="2" t="s">
        <v>734</v>
      </c>
      <c r="O2570" s="2" t="s">
        <v>115</v>
      </c>
      <c r="P2570" s="2" t="str">
        <f>"2170560853                    "</f>
        <v xml:space="preserve">2170560853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4.29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1</v>
      </c>
      <c r="BJ2570" s="2">
        <v>0.2</v>
      </c>
      <c r="BK2570" s="2">
        <v>1</v>
      </c>
      <c r="BL2570" s="2">
        <v>41.73</v>
      </c>
      <c r="BM2570" s="2">
        <v>5.84</v>
      </c>
      <c r="BN2570" s="2">
        <v>47.57</v>
      </c>
      <c r="BO2570" s="2">
        <v>47.57</v>
      </c>
      <c r="BP2570" s="2"/>
      <c r="BQ2570" s="2" t="s">
        <v>735</v>
      </c>
      <c r="BR2570" s="2" t="s">
        <v>84</v>
      </c>
      <c r="BS2570" s="3">
        <v>42846</v>
      </c>
      <c r="BT2570" s="4">
        <v>0.29305555555555557</v>
      </c>
      <c r="BU2570" s="2" t="s">
        <v>2895</v>
      </c>
      <c r="BV2570" s="2" t="s">
        <v>111</v>
      </c>
      <c r="BW2570" s="2"/>
      <c r="BX2570" s="2"/>
      <c r="BY2570" s="2">
        <v>1200</v>
      </c>
      <c r="BZ2570" s="2" t="s">
        <v>27</v>
      </c>
      <c r="CA2570" s="2"/>
      <c r="CB2570" s="2"/>
      <c r="CC2570" s="2" t="s">
        <v>181</v>
      </c>
      <c r="CD2570" s="2">
        <v>4001</v>
      </c>
      <c r="CE2570" s="2" t="s">
        <v>118</v>
      </c>
      <c r="CF2570" s="5">
        <v>42849</v>
      </c>
      <c r="CG2570" s="2"/>
      <c r="CH2570" s="2"/>
      <c r="CI2570" s="2">
        <v>1</v>
      </c>
      <c r="CJ2570" s="2">
        <v>1</v>
      </c>
      <c r="CK2570" s="2">
        <v>21</v>
      </c>
      <c r="CL2570" s="2" t="s">
        <v>86</v>
      </c>
      <c r="CM2570" s="2"/>
    </row>
    <row r="2571" spans="1:91">
      <c r="A2571" s="2" t="s">
        <v>71</v>
      </c>
      <c r="B2571" s="2" t="s">
        <v>72</v>
      </c>
      <c r="C2571" s="2" t="s">
        <v>73</v>
      </c>
      <c r="D2571" s="2"/>
      <c r="E2571" s="2" t="str">
        <f>"FES1162544562"</f>
        <v>FES1162544562</v>
      </c>
      <c r="F2571" s="3">
        <v>42845</v>
      </c>
      <c r="G2571" s="2">
        <v>201710</v>
      </c>
      <c r="H2571" s="2" t="s">
        <v>74</v>
      </c>
      <c r="I2571" s="2" t="s">
        <v>75</v>
      </c>
      <c r="J2571" s="2" t="s">
        <v>76</v>
      </c>
      <c r="K2571" s="2" t="s">
        <v>77</v>
      </c>
      <c r="L2571" s="2" t="s">
        <v>180</v>
      </c>
      <c r="M2571" s="2" t="s">
        <v>181</v>
      </c>
      <c r="N2571" s="2" t="s">
        <v>348</v>
      </c>
      <c r="O2571" s="2" t="s">
        <v>115</v>
      </c>
      <c r="P2571" s="2" t="str">
        <f>"2170560966                    "</f>
        <v xml:space="preserve">2170560966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4.29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1</v>
      </c>
      <c r="BJ2571" s="2">
        <v>0.2</v>
      </c>
      <c r="BK2571" s="2">
        <v>1</v>
      </c>
      <c r="BL2571" s="2">
        <v>41.73</v>
      </c>
      <c r="BM2571" s="2">
        <v>5.84</v>
      </c>
      <c r="BN2571" s="2">
        <v>47.57</v>
      </c>
      <c r="BO2571" s="2">
        <v>47.57</v>
      </c>
      <c r="BP2571" s="2"/>
      <c r="BQ2571" s="2" t="s">
        <v>349</v>
      </c>
      <c r="BR2571" s="2" t="s">
        <v>84</v>
      </c>
      <c r="BS2571" s="3">
        <v>42846</v>
      </c>
      <c r="BT2571" s="4">
        <v>0.28125</v>
      </c>
      <c r="BU2571" s="2" t="s">
        <v>1691</v>
      </c>
      <c r="BV2571" s="2" t="s">
        <v>111</v>
      </c>
      <c r="BW2571" s="2"/>
      <c r="BX2571" s="2"/>
      <c r="BY2571" s="2">
        <v>1200</v>
      </c>
      <c r="BZ2571" s="2" t="s">
        <v>27</v>
      </c>
      <c r="CA2571" s="2"/>
      <c r="CB2571" s="2"/>
      <c r="CC2571" s="2" t="s">
        <v>181</v>
      </c>
      <c r="CD2571" s="2">
        <v>4001</v>
      </c>
      <c r="CE2571" s="2" t="s">
        <v>118</v>
      </c>
      <c r="CF2571" s="5">
        <v>42849</v>
      </c>
      <c r="CG2571" s="2"/>
      <c r="CH2571" s="2"/>
      <c r="CI2571" s="2">
        <v>1</v>
      </c>
      <c r="CJ2571" s="2">
        <v>1</v>
      </c>
      <c r="CK2571" s="2">
        <v>21</v>
      </c>
      <c r="CL2571" s="2" t="s">
        <v>86</v>
      </c>
      <c r="CM2571" s="2"/>
    </row>
    <row r="2572" spans="1:91">
      <c r="A2572" s="2" t="s">
        <v>71</v>
      </c>
      <c r="B2572" s="2" t="s">
        <v>72</v>
      </c>
      <c r="C2572" s="2" t="s">
        <v>73</v>
      </c>
      <c r="D2572" s="2"/>
      <c r="E2572" s="2" t="str">
        <f>"FES1162544752"</f>
        <v>FES1162544752</v>
      </c>
      <c r="F2572" s="3">
        <v>42845</v>
      </c>
      <c r="G2572" s="2">
        <v>201710</v>
      </c>
      <c r="H2572" s="2" t="s">
        <v>74</v>
      </c>
      <c r="I2572" s="2" t="s">
        <v>75</v>
      </c>
      <c r="J2572" s="2" t="s">
        <v>76</v>
      </c>
      <c r="K2572" s="2" t="s">
        <v>77</v>
      </c>
      <c r="L2572" s="2" t="s">
        <v>112</v>
      </c>
      <c r="M2572" s="2" t="s">
        <v>113</v>
      </c>
      <c r="N2572" s="2" t="s">
        <v>386</v>
      </c>
      <c r="O2572" s="2" t="s">
        <v>115</v>
      </c>
      <c r="P2572" s="2" t="str">
        <f>"2170563308                    "</f>
        <v xml:space="preserve">2170563308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4.29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1</v>
      </c>
      <c r="BJ2572" s="2">
        <v>0.2</v>
      </c>
      <c r="BK2572" s="2">
        <v>1</v>
      </c>
      <c r="BL2572" s="2">
        <v>41.73</v>
      </c>
      <c r="BM2572" s="2">
        <v>5.84</v>
      </c>
      <c r="BN2572" s="2">
        <v>47.57</v>
      </c>
      <c r="BO2572" s="2">
        <v>47.57</v>
      </c>
      <c r="BP2572" s="2"/>
      <c r="BQ2572" s="2" t="s">
        <v>122</v>
      </c>
      <c r="BR2572" s="2" t="s">
        <v>84</v>
      </c>
      <c r="BS2572" s="3">
        <v>42846</v>
      </c>
      <c r="BT2572" s="4">
        <v>0.41944444444444445</v>
      </c>
      <c r="BU2572" s="2" t="s">
        <v>387</v>
      </c>
      <c r="BV2572" s="2" t="s">
        <v>111</v>
      </c>
      <c r="BW2572" s="2"/>
      <c r="BX2572" s="2"/>
      <c r="BY2572" s="2">
        <v>1200</v>
      </c>
      <c r="BZ2572" s="2"/>
      <c r="CA2572" s="2" t="s">
        <v>159</v>
      </c>
      <c r="CB2572" s="2"/>
      <c r="CC2572" s="2" t="s">
        <v>113</v>
      </c>
      <c r="CD2572" s="2">
        <v>3200</v>
      </c>
      <c r="CE2572" s="2" t="s">
        <v>118</v>
      </c>
      <c r="CF2572" s="5">
        <v>42849</v>
      </c>
      <c r="CG2572" s="2"/>
      <c r="CH2572" s="2"/>
      <c r="CI2572" s="2">
        <v>1</v>
      </c>
      <c r="CJ2572" s="2">
        <v>1</v>
      </c>
      <c r="CK2572" s="2">
        <v>21</v>
      </c>
      <c r="CL2572" s="2" t="s">
        <v>86</v>
      </c>
      <c r="CM2572" s="2"/>
    </row>
    <row r="2573" spans="1:91">
      <c r="A2573" s="2" t="s">
        <v>71</v>
      </c>
      <c r="B2573" s="2" t="s">
        <v>72</v>
      </c>
      <c r="C2573" s="2" t="s">
        <v>73</v>
      </c>
      <c r="D2573" s="2"/>
      <c r="E2573" s="2" t="str">
        <f>"FES1162544590"</f>
        <v>FES1162544590</v>
      </c>
      <c r="F2573" s="3">
        <v>42845</v>
      </c>
      <c r="G2573" s="2">
        <v>201710</v>
      </c>
      <c r="H2573" s="2" t="s">
        <v>74</v>
      </c>
      <c r="I2573" s="2" t="s">
        <v>75</v>
      </c>
      <c r="J2573" s="2" t="s">
        <v>76</v>
      </c>
      <c r="K2573" s="2" t="s">
        <v>77</v>
      </c>
      <c r="L2573" s="2" t="s">
        <v>131</v>
      </c>
      <c r="M2573" s="2" t="s">
        <v>132</v>
      </c>
      <c r="N2573" s="2" t="s">
        <v>388</v>
      </c>
      <c r="O2573" s="2" t="s">
        <v>115</v>
      </c>
      <c r="P2573" s="2" t="str">
        <f>"2170562831                    "</f>
        <v xml:space="preserve">2170562831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4.29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1</v>
      </c>
      <c r="BJ2573" s="2">
        <v>0.2</v>
      </c>
      <c r="BK2573" s="2">
        <v>1</v>
      </c>
      <c r="BL2573" s="2">
        <v>41.73</v>
      </c>
      <c r="BM2573" s="2">
        <v>5.84</v>
      </c>
      <c r="BN2573" s="2">
        <v>47.57</v>
      </c>
      <c r="BO2573" s="2">
        <v>47.57</v>
      </c>
      <c r="BP2573" s="2"/>
      <c r="BQ2573" s="2" t="s">
        <v>129</v>
      </c>
      <c r="BR2573" s="2" t="s">
        <v>84</v>
      </c>
      <c r="BS2573" s="3">
        <v>42846</v>
      </c>
      <c r="BT2573" s="4">
        <v>0.41666666666666669</v>
      </c>
      <c r="BU2573" s="2" t="s">
        <v>389</v>
      </c>
      <c r="BV2573" s="2" t="s">
        <v>111</v>
      </c>
      <c r="BW2573" s="2"/>
      <c r="BX2573" s="2"/>
      <c r="BY2573" s="2">
        <v>1200</v>
      </c>
      <c r="BZ2573" s="2" t="s">
        <v>27</v>
      </c>
      <c r="CA2573" s="2"/>
      <c r="CB2573" s="2"/>
      <c r="CC2573" s="2" t="s">
        <v>132</v>
      </c>
      <c r="CD2573" s="2">
        <v>7800</v>
      </c>
      <c r="CE2573" s="2" t="s">
        <v>118</v>
      </c>
      <c r="CF2573" s="5">
        <v>42849</v>
      </c>
      <c r="CG2573" s="2"/>
      <c r="CH2573" s="2"/>
      <c r="CI2573" s="2">
        <v>1</v>
      </c>
      <c r="CJ2573" s="2">
        <v>1</v>
      </c>
      <c r="CK2573" s="2">
        <v>21</v>
      </c>
      <c r="CL2573" s="2" t="s">
        <v>86</v>
      </c>
      <c r="CM2573" s="2"/>
    </row>
    <row r="2574" spans="1:91">
      <c r="A2574" s="2" t="s">
        <v>71</v>
      </c>
      <c r="B2574" s="2" t="s">
        <v>72</v>
      </c>
      <c r="C2574" s="2" t="s">
        <v>73</v>
      </c>
      <c r="D2574" s="2"/>
      <c r="E2574" s="2" t="str">
        <f>"FES1162544760"</f>
        <v>FES1162544760</v>
      </c>
      <c r="F2574" s="3">
        <v>42845</v>
      </c>
      <c r="G2574" s="2">
        <v>201710</v>
      </c>
      <c r="H2574" s="2" t="s">
        <v>74</v>
      </c>
      <c r="I2574" s="2" t="s">
        <v>75</v>
      </c>
      <c r="J2574" s="2" t="s">
        <v>76</v>
      </c>
      <c r="K2574" s="2" t="s">
        <v>77</v>
      </c>
      <c r="L2574" s="2" t="s">
        <v>112</v>
      </c>
      <c r="M2574" s="2" t="s">
        <v>113</v>
      </c>
      <c r="N2574" s="2" t="s">
        <v>2462</v>
      </c>
      <c r="O2574" s="2" t="s">
        <v>115</v>
      </c>
      <c r="P2574" s="2" t="str">
        <f>"2170563317                    "</f>
        <v xml:space="preserve">2170563317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4.29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1</v>
      </c>
      <c r="BJ2574" s="2">
        <v>0.2</v>
      </c>
      <c r="BK2574" s="2">
        <v>1</v>
      </c>
      <c r="BL2574" s="2">
        <v>41.73</v>
      </c>
      <c r="BM2574" s="2">
        <v>5.84</v>
      </c>
      <c r="BN2574" s="2">
        <v>47.57</v>
      </c>
      <c r="BO2574" s="2">
        <v>47.57</v>
      </c>
      <c r="BP2574" s="2"/>
      <c r="BQ2574" s="2" t="s">
        <v>2463</v>
      </c>
      <c r="BR2574" s="2" t="s">
        <v>84</v>
      </c>
      <c r="BS2574" s="3">
        <v>42846</v>
      </c>
      <c r="BT2574" s="4">
        <v>0.34375</v>
      </c>
      <c r="BU2574" s="2" t="s">
        <v>2896</v>
      </c>
      <c r="BV2574" s="2" t="s">
        <v>111</v>
      </c>
      <c r="BW2574" s="2"/>
      <c r="BX2574" s="2"/>
      <c r="BY2574" s="2">
        <v>1200</v>
      </c>
      <c r="BZ2574" s="2"/>
      <c r="CA2574" s="2"/>
      <c r="CB2574" s="2"/>
      <c r="CC2574" s="2" t="s">
        <v>113</v>
      </c>
      <c r="CD2574" s="2">
        <v>3201</v>
      </c>
      <c r="CE2574" s="2" t="s">
        <v>118</v>
      </c>
      <c r="CF2574" s="5">
        <v>42849</v>
      </c>
      <c r="CG2574" s="2"/>
      <c r="CH2574" s="2"/>
      <c r="CI2574" s="2">
        <v>1</v>
      </c>
      <c r="CJ2574" s="2">
        <v>1</v>
      </c>
      <c r="CK2574" s="2">
        <v>21</v>
      </c>
      <c r="CL2574" s="2" t="s">
        <v>86</v>
      </c>
      <c r="CM2574" s="2"/>
    </row>
    <row r="2575" spans="1:91">
      <c r="A2575" s="2" t="s">
        <v>71</v>
      </c>
      <c r="B2575" s="2" t="s">
        <v>72</v>
      </c>
      <c r="C2575" s="2" t="s">
        <v>73</v>
      </c>
      <c r="D2575" s="2"/>
      <c r="E2575" s="2" t="str">
        <f>"FES1162544467"</f>
        <v>FES1162544467</v>
      </c>
      <c r="F2575" s="3">
        <v>42845</v>
      </c>
      <c r="G2575" s="2">
        <v>201710</v>
      </c>
      <c r="H2575" s="2" t="s">
        <v>74</v>
      </c>
      <c r="I2575" s="2" t="s">
        <v>75</v>
      </c>
      <c r="J2575" s="2" t="s">
        <v>76</v>
      </c>
      <c r="K2575" s="2" t="s">
        <v>77</v>
      </c>
      <c r="L2575" s="2" t="s">
        <v>443</v>
      </c>
      <c r="M2575" s="2" t="s">
        <v>444</v>
      </c>
      <c r="N2575" s="2" t="s">
        <v>627</v>
      </c>
      <c r="O2575" s="2" t="s">
        <v>115</v>
      </c>
      <c r="P2575" s="2" t="str">
        <f>"2170562062                    "</f>
        <v xml:space="preserve">2170562062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4.29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1</v>
      </c>
      <c r="BJ2575" s="2">
        <v>0.2</v>
      </c>
      <c r="BK2575" s="2">
        <v>1</v>
      </c>
      <c r="BL2575" s="2">
        <v>41.73</v>
      </c>
      <c r="BM2575" s="2">
        <v>5.84</v>
      </c>
      <c r="BN2575" s="2">
        <v>47.57</v>
      </c>
      <c r="BO2575" s="2">
        <v>47.57</v>
      </c>
      <c r="BP2575" s="2"/>
      <c r="BQ2575" s="2" t="s">
        <v>628</v>
      </c>
      <c r="BR2575" s="2" t="s">
        <v>84</v>
      </c>
      <c r="BS2575" s="3">
        <v>42846</v>
      </c>
      <c r="BT2575" s="4">
        <v>0.41666666666666669</v>
      </c>
      <c r="BU2575" s="2" t="s">
        <v>2897</v>
      </c>
      <c r="BV2575" s="2" t="s">
        <v>111</v>
      </c>
      <c r="BW2575" s="2"/>
      <c r="BX2575" s="2"/>
      <c r="BY2575" s="2">
        <v>1200</v>
      </c>
      <c r="BZ2575" s="2" t="s">
        <v>27</v>
      </c>
      <c r="CA2575" s="2"/>
      <c r="CB2575" s="2"/>
      <c r="CC2575" s="2" t="s">
        <v>444</v>
      </c>
      <c r="CD2575" s="2">
        <v>7130</v>
      </c>
      <c r="CE2575" s="2" t="s">
        <v>118</v>
      </c>
      <c r="CF2575" s="5">
        <v>42849</v>
      </c>
      <c r="CG2575" s="2"/>
      <c r="CH2575" s="2"/>
      <c r="CI2575" s="2">
        <v>1</v>
      </c>
      <c r="CJ2575" s="2">
        <v>1</v>
      </c>
      <c r="CK2575" s="2">
        <v>21</v>
      </c>
      <c r="CL2575" s="2" t="s">
        <v>86</v>
      </c>
      <c r="CM2575" s="2"/>
    </row>
    <row r="2576" spans="1:91">
      <c r="A2576" s="2" t="s">
        <v>71</v>
      </c>
      <c r="B2576" s="2" t="s">
        <v>72</v>
      </c>
      <c r="C2576" s="2" t="s">
        <v>73</v>
      </c>
      <c r="D2576" s="2"/>
      <c r="E2576" s="2" t="str">
        <f>"FES1162544588"</f>
        <v>FES1162544588</v>
      </c>
      <c r="F2576" s="3">
        <v>42845</v>
      </c>
      <c r="G2576" s="2">
        <v>201710</v>
      </c>
      <c r="H2576" s="2" t="s">
        <v>74</v>
      </c>
      <c r="I2576" s="2" t="s">
        <v>75</v>
      </c>
      <c r="J2576" s="2" t="s">
        <v>76</v>
      </c>
      <c r="K2576" s="2" t="s">
        <v>77</v>
      </c>
      <c r="L2576" s="2" t="s">
        <v>139</v>
      </c>
      <c r="M2576" s="2" t="s">
        <v>140</v>
      </c>
      <c r="N2576" s="2" t="s">
        <v>1713</v>
      </c>
      <c r="O2576" s="2" t="s">
        <v>115</v>
      </c>
      <c r="P2576" s="2" t="str">
        <f>"2170562800                    "</f>
        <v xml:space="preserve">2170562800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4.29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1</v>
      </c>
      <c r="BJ2576" s="2">
        <v>0.2</v>
      </c>
      <c r="BK2576" s="2">
        <v>1</v>
      </c>
      <c r="BL2576" s="2">
        <v>41.73</v>
      </c>
      <c r="BM2576" s="2">
        <v>5.84</v>
      </c>
      <c r="BN2576" s="2">
        <v>47.57</v>
      </c>
      <c r="BO2576" s="2">
        <v>47.57</v>
      </c>
      <c r="BP2576" s="2"/>
      <c r="BQ2576" s="2" t="s">
        <v>1714</v>
      </c>
      <c r="BR2576" s="2" t="s">
        <v>84</v>
      </c>
      <c r="BS2576" s="3">
        <v>42846</v>
      </c>
      <c r="BT2576" s="4">
        <v>0.53472222222222221</v>
      </c>
      <c r="BU2576" s="2" t="s">
        <v>1715</v>
      </c>
      <c r="BV2576" s="2" t="s">
        <v>86</v>
      </c>
      <c r="BW2576" s="2" t="s">
        <v>164</v>
      </c>
      <c r="BX2576" s="2" t="s">
        <v>786</v>
      </c>
      <c r="BY2576" s="2">
        <v>1200</v>
      </c>
      <c r="BZ2576" s="2"/>
      <c r="CA2576" s="2"/>
      <c r="CB2576" s="2"/>
      <c r="CC2576" s="2" t="s">
        <v>140</v>
      </c>
      <c r="CD2576" s="2">
        <v>157</v>
      </c>
      <c r="CE2576" s="2" t="s">
        <v>118</v>
      </c>
      <c r="CF2576" s="5">
        <v>42851</v>
      </c>
      <c r="CG2576" s="2"/>
      <c r="CH2576" s="2"/>
      <c r="CI2576" s="2">
        <v>0</v>
      </c>
      <c r="CJ2576" s="2">
        <v>0</v>
      </c>
      <c r="CK2576" s="2">
        <v>21</v>
      </c>
      <c r="CL2576" s="2" t="s">
        <v>86</v>
      </c>
      <c r="CM2576" s="2"/>
    </row>
    <row r="2577" spans="1:91">
      <c r="A2577" s="2" t="s">
        <v>71</v>
      </c>
      <c r="B2577" s="2" t="s">
        <v>72</v>
      </c>
      <c r="C2577" s="2" t="s">
        <v>73</v>
      </c>
      <c r="D2577" s="2"/>
      <c r="E2577" s="2" t="str">
        <f>"FES1162544538"</f>
        <v>FES1162544538</v>
      </c>
      <c r="F2577" s="3">
        <v>42845</v>
      </c>
      <c r="G2577" s="2">
        <v>201710</v>
      </c>
      <c r="H2577" s="2" t="s">
        <v>74</v>
      </c>
      <c r="I2577" s="2" t="s">
        <v>75</v>
      </c>
      <c r="J2577" s="2" t="s">
        <v>76</v>
      </c>
      <c r="K2577" s="2" t="s">
        <v>77</v>
      </c>
      <c r="L2577" s="2" t="s">
        <v>131</v>
      </c>
      <c r="M2577" s="2" t="s">
        <v>132</v>
      </c>
      <c r="N2577" s="2" t="s">
        <v>1212</v>
      </c>
      <c r="O2577" s="2" t="s">
        <v>115</v>
      </c>
      <c r="P2577" s="2" t="str">
        <f>"2170562265                    "</f>
        <v xml:space="preserve">2170562265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4.29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1</v>
      </c>
      <c r="BJ2577" s="2">
        <v>0.2</v>
      </c>
      <c r="BK2577" s="2">
        <v>1</v>
      </c>
      <c r="BL2577" s="2">
        <v>41.73</v>
      </c>
      <c r="BM2577" s="2">
        <v>5.84</v>
      </c>
      <c r="BN2577" s="2">
        <v>47.57</v>
      </c>
      <c r="BO2577" s="2">
        <v>47.57</v>
      </c>
      <c r="BP2577" s="2"/>
      <c r="BQ2577" s="2" t="s">
        <v>129</v>
      </c>
      <c r="BR2577" s="2" t="s">
        <v>84</v>
      </c>
      <c r="BS2577" s="3">
        <v>42846</v>
      </c>
      <c r="BT2577" s="4">
        <v>0.44375000000000003</v>
      </c>
      <c r="BU2577" s="2" t="s">
        <v>1213</v>
      </c>
      <c r="BV2577" s="2" t="s">
        <v>111</v>
      </c>
      <c r="BW2577" s="2"/>
      <c r="BX2577" s="2"/>
      <c r="BY2577" s="2">
        <v>1200</v>
      </c>
      <c r="BZ2577" s="2" t="s">
        <v>27</v>
      </c>
      <c r="CA2577" s="2" t="s">
        <v>2870</v>
      </c>
      <c r="CB2577" s="2"/>
      <c r="CC2577" s="2" t="s">
        <v>132</v>
      </c>
      <c r="CD2577" s="2">
        <v>7460</v>
      </c>
      <c r="CE2577" s="2" t="s">
        <v>118</v>
      </c>
      <c r="CF2577" s="5">
        <v>42846</v>
      </c>
      <c r="CG2577" s="2"/>
      <c r="CH2577" s="2"/>
      <c r="CI2577" s="2">
        <v>1</v>
      </c>
      <c r="CJ2577" s="2">
        <v>1</v>
      </c>
      <c r="CK2577" s="2">
        <v>21</v>
      </c>
      <c r="CL2577" s="2" t="s">
        <v>86</v>
      </c>
      <c r="CM2577" s="2"/>
    </row>
    <row r="2578" spans="1:91">
      <c r="A2578" s="2" t="s">
        <v>71</v>
      </c>
      <c r="B2578" s="2" t="s">
        <v>72</v>
      </c>
      <c r="C2578" s="2" t="s">
        <v>73</v>
      </c>
      <c r="D2578" s="2"/>
      <c r="E2578" s="2" t="str">
        <f>"FES1162544736"</f>
        <v>FES1162544736</v>
      </c>
      <c r="F2578" s="3">
        <v>42845</v>
      </c>
      <c r="G2578" s="2">
        <v>201710</v>
      </c>
      <c r="H2578" s="2" t="s">
        <v>74</v>
      </c>
      <c r="I2578" s="2" t="s">
        <v>75</v>
      </c>
      <c r="J2578" s="2" t="s">
        <v>76</v>
      </c>
      <c r="K2578" s="2" t="s">
        <v>77</v>
      </c>
      <c r="L2578" s="2" t="s">
        <v>396</v>
      </c>
      <c r="M2578" s="2" t="s">
        <v>397</v>
      </c>
      <c r="N2578" s="2" t="s">
        <v>1447</v>
      </c>
      <c r="O2578" s="2" t="s">
        <v>115</v>
      </c>
      <c r="P2578" s="2" t="str">
        <f>"2170556122                    "</f>
        <v xml:space="preserve">2170556122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26.79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2</v>
      </c>
      <c r="BI2578" s="2">
        <v>12.3</v>
      </c>
      <c r="BJ2578" s="2">
        <v>5.2</v>
      </c>
      <c r="BK2578" s="2">
        <v>12.5</v>
      </c>
      <c r="BL2578" s="2">
        <v>260.79000000000002</v>
      </c>
      <c r="BM2578" s="2">
        <v>36.51</v>
      </c>
      <c r="BN2578" s="2">
        <v>297.3</v>
      </c>
      <c r="BO2578" s="2">
        <v>297.3</v>
      </c>
      <c r="BP2578" s="2"/>
      <c r="BQ2578" s="2" t="s">
        <v>1448</v>
      </c>
      <c r="BR2578" s="2" t="s">
        <v>84</v>
      </c>
      <c r="BS2578" s="3">
        <v>42846</v>
      </c>
      <c r="BT2578" s="4">
        <v>0.4375</v>
      </c>
      <c r="BU2578" s="2" t="s">
        <v>1100</v>
      </c>
      <c r="BV2578" s="2" t="s">
        <v>111</v>
      </c>
      <c r="BW2578" s="2"/>
      <c r="BX2578" s="2"/>
      <c r="BY2578" s="2">
        <v>25972</v>
      </c>
      <c r="BZ2578" s="2"/>
      <c r="CA2578" s="2" t="s">
        <v>159</v>
      </c>
      <c r="CB2578" s="2"/>
      <c r="CC2578" s="2" t="s">
        <v>397</v>
      </c>
      <c r="CD2578" s="2">
        <v>4300</v>
      </c>
      <c r="CE2578" s="2" t="s">
        <v>89</v>
      </c>
      <c r="CF2578" s="5">
        <v>42849</v>
      </c>
      <c r="CG2578" s="2"/>
      <c r="CH2578" s="2"/>
      <c r="CI2578" s="2">
        <v>1</v>
      </c>
      <c r="CJ2578" s="2">
        <v>1</v>
      </c>
      <c r="CK2578" s="2">
        <v>21</v>
      </c>
      <c r="CL2578" s="2" t="s">
        <v>86</v>
      </c>
      <c r="CM2578" s="2"/>
    </row>
    <row r="2579" spans="1:91">
      <c r="A2579" s="2" t="s">
        <v>71</v>
      </c>
      <c r="B2579" s="2" t="s">
        <v>72</v>
      </c>
      <c r="C2579" s="2" t="s">
        <v>73</v>
      </c>
      <c r="D2579" s="2"/>
      <c r="E2579" s="2" t="str">
        <f>"FES1162544565"</f>
        <v>FES1162544565</v>
      </c>
      <c r="F2579" s="3">
        <v>42845</v>
      </c>
      <c r="G2579" s="2">
        <v>201710</v>
      </c>
      <c r="H2579" s="2" t="s">
        <v>74</v>
      </c>
      <c r="I2579" s="2" t="s">
        <v>75</v>
      </c>
      <c r="J2579" s="2" t="s">
        <v>76</v>
      </c>
      <c r="K2579" s="2" t="s">
        <v>77</v>
      </c>
      <c r="L2579" s="2" t="s">
        <v>1341</v>
      </c>
      <c r="M2579" s="2" t="s">
        <v>1341</v>
      </c>
      <c r="N2579" s="2" t="s">
        <v>1342</v>
      </c>
      <c r="O2579" s="2" t="s">
        <v>115</v>
      </c>
      <c r="P2579" s="2" t="str">
        <f>"2170560997                    "</f>
        <v xml:space="preserve">2170560997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4.29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1</v>
      </c>
      <c r="BJ2579" s="2">
        <v>0.2</v>
      </c>
      <c r="BK2579" s="2">
        <v>1</v>
      </c>
      <c r="BL2579" s="2">
        <v>41.73</v>
      </c>
      <c r="BM2579" s="2">
        <v>5.84</v>
      </c>
      <c r="BN2579" s="2">
        <v>47.57</v>
      </c>
      <c r="BO2579" s="2">
        <v>47.57</v>
      </c>
      <c r="BP2579" s="2"/>
      <c r="BQ2579" s="2" t="s">
        <v>116</v>
      </c>
      <c r="BR2579" s="2" t="s">
        <v>84</v>
      </c>
      <c r="BS2579" s="3">
        <v>42849</v>
      </c>
      <c r="BT2579" s="4">
        <v>0</v>
      </c>
      <c r="BU2579" s="2" t="s">
        <v>1343</v>
      </c>
      <c r="BV2579" s="2" t="s">
        <v>111</v>
      </c>
      <c r="BW2579" s="2"/>
      <c r="BX2579" s="2"/>
      <c r="BY2579" s="2">
        <v>1200</v>
      </c>
      <c r="BZ2579" s="2" t="s">
        <v>27</v>
      </c>
      <c r="CA2579" s="2"/>
      <c r="CB2579" s="2"/>
      <c r="CC2579" s="2" t="s">
        <v>1341</v>
      </c>
      <c r="CD2579" s="2">
        <v>6835</v>
      </c>
      <c r="CE2579" s="2" t="s">
        <v>118</v>
      </c>
      <c r="CF2579" s="5">
        <v>42853</v>
      </c>
      <c r="CG2579" s="2"/>
      <c r="CH2579" s="2"/>
      <c r="CI2579" s="2">
        <v>3</v>
      </c>
      <c r="CJ2579" s="2">
        <v>2</v>
      </c>
      <c r="CK2579" s="2">
        <v>21</v>
      </c>
      <c r="CL2579" s="2" t="s">
        <v>86</v>
      </c>
      <c r="CM2579" s="2"/>
    </row>
    <row r="2580" spans="1:91">
      <c r="A2580" s="2" t="s">
        <v>71</v>
      </c>
      <c r="B2580" s="2" t="s">
        <v>72</v>
      </c>
      <c r="C2580" s="2" t="s">
        <v>73</v>
      </c>
      <c r="D2580" s="2"/>
      <c r="E2580" s="2" t="str">
        <f>"FES1162544461"</f>
        <v>FES1162544461</v>
      </c>
      <c r="F2580" s="3">
        <v>42845</v>
      </c>
      <c r="G2580" s="2">
        <v>201710</v>
      </c>
      <c r="H2580" s="2" t="s">
        <v>74</v>
      </c>
      <c r="I2580" s="2" t="s">
        <v>75</v>
      </c>
      <c r="J2580" s="2" t="s">
        <v>76</v>
      </c>
      <c r="K2580" s="2" t="s">
        <v>77</v>
      </c>
      <c r="L2580" s="2" t="s">
        <v>166</v>
      </c>
      <c r="M2580" s="2" t="s">
        <v>167</v>
      </c>
      <c r="N2580" s="2" t="s">
        <v>168</v>
      </c>
      <c r="O2580" s="2" t="s">
        <v>115</v>
      </c>
      <c r="P2580" s="2" t="str">
        <f>"2170560911                    "</f>
        <v xml:space="preserve">2170560911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3.35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1</v>
      </c>
      <c r="BJ2580" s="2">
        <v>0.2</v>
      </c>
      <c r="BK2580" s="2">
        <v>1</v>
      </c>
      <c r="BL2580" s="2">
        <v>32.6</v>
      </c>
      <c r="BM2580" s="2">
        <v>4.5599999999999996</v>
      </c>
      <c r="BN2580" s="2">
        <v>37.159999999999997</v>
      </c>
      <c r="BO2580" s="2">
        <v>37.159999999999997</v>
      </c>
      <c r="BP2580" s="2"/>
      <c r="BQ2580" s="2" t="s">
        <v>169</v>
      </c>
      <c r="BR2580" s="2" t="s">
        <v>84</v>
      </c>
      <c r="BS2580" s="3">
        <v>42846</v>
      </c>
      <c r="BT2580" s="4">
        <v>0.41597222222222219</v>
      </c>
      <c r="BU2580" s="2" t="s">
        <v>1317</v>
      </c>
      <c r="BV2580" s="2" t="s">
        <v>111</v>
      </c>
      <c r="BW2580" s="2"/>
      <c r="BX2580" s="2"/>
      <c r="BY2580" s="2">
        <v>1200</v>
      </c>
      <c r="BZ2580" s="2"/>
      <c r="CA2580" s="2" t="s">
        <v>171</v>
      </c>
      <c r="CB2580" s="2"/>
      <c r="CC2580" s="2" t="s">
        <v>167</v>
      </c>
      <c r="CD2580" s="2">
        <v>2094</v>
      </c>
      <c r="CE2580" s="2" t="s">
        <v>118</v>
      </c>
      <c r="CF2580" s="5">
        <v>42846</v>
      </c>
      <c r="CG2580" s="2"/>
      <c r="CH2580" s="2"/>
      <c r="CI2580" s="2">
        <v>1</v>
      </c>
      <c r="CJ2580" s="2">
        <v>1</v>
      </c>
      <c r="CK2580" s="2">
        <v>22</v>
      </c>
      <c r="CL2580" s="2" t="s">
        <v>86</v>
      </c>
      <c r="CM2580" s="2"/>
    </row>
    <row r="2581" spans="1:91">
      <c r="A2581" s="2" t="s">
        <v>71</v>
      </c>
      <c r="B2581" s="2" t="s">
        <v>72</v>
      </c>
      <c r="C2581" s="2" t="s">
        <v>73</v>
      </c>
      <c r="D2581" s="2"/>
      <c r="E2581" s="2" t="str">
        <f>"FES1162544434"</f>
        <v>FES1162544434</v>
      </c>
      <c r="F2581" s="3">
        <v>42845</v>
      </c>
      <c r="G2581" s="2">
        <v>201710</v>
      </c>
      <c r="H2581" s="2" t="s">
        <v>74</v>
      </c>
      <c r="I2581" s="2" t="s">
        <v>75</v>
      </c>
      <c r="J2581" s="2" t="s">
        <v>76</v>
      </c>
      <c r="K2581" s="2" t="s">
        <v>77</v>
      </c>
      <c r="L2581" s="2" t="s">
        <v>260</v>
      </c>
      <c r="M2581" s="2" t="s">
        <v>261</v>
      </c>
      <c r="N2581" s="2" t="s">
        <v>326</v>
      </c>
      <c r="O2581" s="2" t="s">
        <v>115</v>
      </c>
      <c r="P2581" s="2" t="str">
        <f>"2170563026                    "</f>
        <v xml:space="preserve">2170563026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3.35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1</v>
      </c>
      <c r="BJ2581" s="2">
        <v>0.2</v>
      </c>
      <c r="BK2581" s="2">
        <v>1</v>
      </c>
      <c r="BL2581" s="2">
        <v>32.6</v>
      </c>
      <c r="BM2581" s="2">
        <v>4.5599999999999996</v>
      </c>
      <c r="BN2581" s="2">
        <v>37.159999999999997</v>
      </c>
      <c r="BO2581" s="2">
        <v>37.159999999999997</v>
      </c>
      <c r="BP2581" s="2"/>
      <c r="BQ2581" s="2"/>
      <c r="BR2581" s="2" t="s">
        <v>84</v>
      </c>
      <c r="BS2581" s="3">
        <v>42846</v>
      </c>
      <c r="BT2581" s="4">
        <v>0.41666666666666669</v>
      </c>
      <c r="BU2581" s="2" t="s">
        <v>2898</v>
      </c>
      <c r="BV2581" s="2" t="s">
        <v>111</v>
      </c>
      <c r="BW2581" s="2"/>
      <c r="BX2581" s="2"/>
      <c r="BY2581" s="2">
        <v>1200</v>
      </c>
      <c r="BZ2581" s="2" t="s">
        <v>27</v>
      </c>
      <c r="CA2581" s="2"/>
      <c r="CB2581" s="2"/>
      <c r="CC2581" s="2" t="s">
        <v>261</v>
      </c>
      <c r="CD2581" s="2">
        <v>1451</v>
      </c>
      <c r="CE2581" s="2" t="s">
        <v>118</v>
      </c>
      <c r="CF2581" s="5">
        <v>42849</v>
      </c>
      <c r="CG2581" s="2"/>
      <c r="CH2581" s="2"/>
      <c r="CI2581" s="2">
        <v>1</v>
      </c>
      <c r="CJ2581" s="2">
        <v>1</v>
      </c>
      <c r="CK2581" s="2">
        <v>22</v>
      </c>
      <c r="CL2581" s="2" t="s">
        <v>86</v>
      </c>
      <c r="CM2581" s="2"/>
    </row>
    <row r="2582" spans="1:91">
      <c r="A2582" s="2" t="s">
        <v>71</v>
      </c>
      <c r="B2582" s="2" t="s">
        <v>72</v>
      </c>
      <c r="C2582" s="2" t="s">
        <v>73</v>
      </c>
      <c r="D2582" s="2"/>
      <c r="E2582" s="2" t="str">
        <f>"FES1162544591"</f>
        <v>FES1162544591</v>
      </c>
      <c r="F2582" s="3">
        <v>42845</v>
      </c>
      <c r="G2582" s="2">
        <v>201710</v>
      </c>
      <c r="H2582" s="2" t="s">
        <v>74</v>
      </c>
      <c r="I2582" s="2" t="s">
        <v>75</v>
      </c>
      <c r="J2582" s="2" t="s">
        <v>76</v>
      </c>
      <c r="K2582" s="2" t="s">
        <v>77</v>
      </c>
      <c r="L2582" s="2" t="s">
        <v>2658</v>
      </c>
      <c r="M2582" s="2" t="s">
        <v>2659</v>
      </c>
      <c r="N2582" s="2" t="s">
        <v>1486</v>
      </c>
      <c r="O2582" s="2" t="s">
        <v>115</v>
      </c>
      <c r="P2582" s="2" t="str">
        <f>"2170562856                    "</f>
        <v xml:space="preserve">2170562856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8.31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1</v>
      </c>
      <c r="BJ2582" s="2">
        <v>0.2</v>
      </c>
      <c r="BK2582" s="2">
        <v>1</v>
      </c>
      <c r="BL2582" s="2">
        <v>80.849999999999994</v>
      </c>
      <c r="BM2582" s="2">
        <v>11.32</v>
      </c>
      <c r="BN2582" s="2">
        <v>92.17</v>
      </c>
      <c r="BO2582" s="2">
        <v>92.17</v>
      </c>
      <c r="BP2582" s="2"/>
      <c r="BQ2582" s="2" t="s">
        <v>122</v>
      </c>
      <c r="BR2582" s="2" t="s">
        <v>84</v>
      </c>
      <c r="BS2582" s="3">
        <v>42846</v>
      </c>
      <c r="BT2582" s="4">
        <v>0.5</v>
      </c>
      <c r="BU2582" s="2" t="s">
        <v>2834</v>
      </c>
      <c r="BV2582" s="2" t="s">
        <v>111</v>
      </c>
      <c r="BW2582" s="2"/>
      <c r="BX2582" s="2"/>
      <c r="BY2582" s="2">
        <v>1200</v>
      </c>
      <c r="BZ2582" s="2" t="s">
        <v>27</v>
      </c>
      <c r="CA2582" s="2"/>
      <c r="CB2582" s="2"/>
      <c r="CC2582" s="2" t="s">
        <v>2659</v>
      </c>
      <c r="CD2582" s="2">
        <v>9750</v>
      </c>
      <c r="CE2582" s="2" t="s">
        <v>118</v>
      </c>
      <c r="CF2582" s="5">
        <v>42851</v>
      </c>
      <c r="CG2582" s="2"/>
      <c r="CH2582" s="2"/>
      <c r="CI2582" s="2">
        <v>3</v>
      </c>
      <c r="CJ2582" s="2">
        <v>1</v>
      </c>
      <c r="CK2582" s="2">
        <v>23</v>
      </c>
      <c r="CL2582" s="2" t="s">
        <v>86</v>
      </c>
      <c r="CM2582" s="2"/>
    </row>
    <row r="2583" spans="1:91">
      <c r="A2583" s="2" t="s">
        <v>71</v>
      </c>
      <c r="B2583" s="2" t="s">
        <v>72</v>
      </c>
      <c r="C2583" s="2" t="s">
        <v>73</v>
      </c>
      <c r="D2583" s="2"/>
      <c r="E2583" s="2" t="str">
        <f>"FES1162544433"</f>
        <v>FES1162544433</v>
      </c>
      <c r="F2583" s="3">
        <v>42845</v>
      </c>
      <c r="G2583" s="2">
        <v>201710</v>
      </c>
      <c r="H2583" s="2" t="s">
        <v>74</v>
      </c>
      <c r="I2583" s="2" t="s">
        <v>75</v>
      </c>
      <c r="J2583" s="2" t="s">
        <v>76</v>
      </c>
      <c r="K2583" s="2" t="s">
        <v>77</v>
      </c>
      <c r="L2583" s="2" t="s">
        <v>260</v>
      </c>
      <c r="M2583" s="2" t="s">
        <v>261</v>
      </c>
      <c r="N2583" s="2" t="s">
        <v>262</v>
      </c>
      <c r="O2583" s="2" t="s">
        <v>115</v>
      </c>
      <c r="P2583" s="2" t="str">
        <f>"2170562562                    "</f>
        <v xml:space="preserve">2170562562 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3.35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7</v>
      </c>
      <c r="BJ2583" s="2">
        <v>2.6</v>
      </c>
      <c r="BK2583" s="2">
        <v>7</v>
      </c>
      <c r="BL2583" s="2">
        <v>32.6</v>
      </c>
      <c r="BM2583" s="2">
        <v>4.5599999999999996</v>
      </c>
      <c r="BN2583" s="2">
        <v>37.159999999999997</v>
      </c>
      <c r="BO2583" s="2">
        <v>37.159999999999997</v>
      </c>
      <c r="BP2583" s="2"/>
      <c r="BQ2583" s="2" t="s">
        <v>638</v>
      </c>
      <c r="BR2583" s="2" t="s">
        <v>84</v>
      </c>
      <c r="BS2583" s="3">
        <v>42846</v>
      </c>
      <c r="BT2583" s="4">
        <v>0.41666666666666669</v>
      </c>
      <c r="BU2583" s="2" t="s">
        <v>1737</v>
      </c>
      <c r="BV2583" s="2" t="s">
        <v>111</v>
      </c>
      <c r="BW2583" s="2"/>
      <c r="BX2583" s="2"/>
      <c r="BY2583" s="2">
        <v>13132</v>
      </c>
      <c r="BZ2583" s="2"/>
      <c r="CA2583" s="2"/>
      <c r="CB2583" s="2"/>
      <c r="CC2583" s="2" t="s">
        <v>261</v>
      </c>
      <c r="CD2583" s="2">
        <v>1451</v>
      </c>
      <c r="CE2583" s="2" t="s">
        <v>89</v>
      </c>
      <c r="CF2583" s="5">
        <v>42849</v>
      </c>
      <c r="CG2583" s="2"/>
      <c r="CH2583" s="2"/>
      <c r="CI2583" s="2">
        <v>1</v>
      </c>
      <c r="CJ2583" s="2">
        <v>1</v>
      </c>
      <c r="CK2583" s="2">
        <v>22</v>
      </c>
      <c r="CL2583" s="2" t="s">
        <v>86</v>
      </c>
      <c r="CM2583" s="2"/>
    </row>
    <row r="2584" spans="1:91">
      <c r="A2584" s="2" t="s">
        <v>71</v>
      </c>
      <c r="B2584" s="2" t="s">
        <v>72</v>
      </c>
      <c r="C2584" s="2" t="s">
        <v>73</v>
      </c>
      <c r="D2584" s="2"/>
      <c r="E2584" s="2" t="str">
        <f>"FES1162544489"</f>
        <v>FES1162544489</v>
      </c>
      <c r="F2584" s="3">
        <v>42845</v>
      </c>
      <c r="G2584" s="2">
        <v>201710</v>
      </c>
      <c r="H2584" s="2" t="s">
        <v>74</v>
      </c>
      <c r="I2584" s="2" t="s">
        <v>75</v>
      </c>
      <c r="J2584" s="2" t="s">
        <v>76</v>
      </c>
      <c r="K2584" s="2" t="s">
        <v>77</v>
      </c>
      <c r="L2584" s="2" t="s">
        <v>160</v>
      </c>
      <c r="M2584" s="2" t="s">
        <v>161</v>
      </c>
      <c r="N2584" s="2" t="s">
        <v>463</v>
      </c>
      <c r="O2584" s="2" t="s">
        <v>115</v>
      </c>
      <c r="P2584" s="2" t="str">
        <f>"2170563081                    "</f>
        <v xml:space="preserve">2170563081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4.29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1</v>
      </c>
      <c r="BJ2584" s="2">
        <v>0.2</v>
      </c>
      <c r="BK2584" s="2">
        <v>1</v>
      </c>
      <c r="BL2584" s="2">
        <v>41.73</v>
      </c>
      <c r="BM2584" s="2">
        <v>5.84</v>
      </c>
      <c r="BN2584" s="2">
        <v>47.57</v>
      </c>
      <c r="BO2584" s="2">
        <v>47.57</v>
      </c>
      <c r="BP2584" s="2"/>
      <c r="BQ2584" s="2" t="s">
        <v>129</v>
      </c>
      <c r="BR2584" s="2" t="s">
        <v>84</v>
      </c>
      <c r="BS2584" s="3">
        <v>42846</v>
      </c>
      <c r="BT2584" s="4">
        <v>0.41666666666666669</v>
      </c>
      <c r="BU2584" s="2" t="s">
        <v>1971</v>
      </c>
      <c r="BV2584" s="2" t="s">
        <v>111</v>
      </c>
      <c r="BW2584" s="2"/>
      <c r="BX2584" s="2"/>
      <c r="BY2584" s="2">
        <v>1200</v>
      </c>
      <c r="BZ2584" s="2" t="s">
        <v>27</v>
      </c>
      <c r="CA2584" s="2"/>
      <c r="CB2584" s="2"/>
      <c r="CC2584" s="2" t="s">
        <v>161</v>
      </c>
      <c r="CD2584" s="2">
        <v>5201</v>
      </c>
      <c r="CE2584" s="2" t="s">
        <v>118</v>
      </c>
      <c r="CF2584" s="5">
        <v>42849</v>
      </c>
      <c r="CG2584" s="2"/>
      <c r="CH2584" s="2"/>
      <c r="CI2584" s="2">
        <v>1</v>
      </c>
      <c r="CJ2584" s="2">
        <v>1</v>
      </c>
      <c r="CK2584" s="2">
        <v>21</v>
      </c>
      <c r="CL2584" s="2" t="s">
        <v>86</v>
      </c>
      <c r="CM2584" s="2"/>
    </row>
    <row r="2585" spans="1:91">
      <c r="A2585" s="2" t="s">
        <v>71</v>
      </c>
      <c r="B2585" s="2" t="s">
        <v>72</v>
      </c>
      <c r="C2585" s="2" t="s">
        <v>73</v>
      </c>
      <c r="D2585" s="2"/>
      <c r="E2585" s="2" t="str">
        <f>"FES1162544679"</f>
        <v>FES1162544679</v>
      </c>
      <c r="F2585" s="3">
        <v>42845</v>
      </c>
      <c r="G2585" s="2">
        <v>201710</v>
      </c>
      <c r="H2585" s="2" t="s">
        <v>74</v>
      </c>
      <c r="I2585" s="2" t="s">
        <v>75</v>
      </c>
      <c r="J2585" s="2" t="s">
        <v>76</v>
      </c>
      <c r="K2585" s="2" t="s">
        <v>77</v>
      </c>
      <c r="L2585" s="2" t="s">
        <v>187</v>
      </c>
      <c r="M2585" s="2" t="s">
        <v>146</v>
      </c>
      <c r="N2585" s="2" t="s">
        <v>2899</v>
      </c>
      <c r="O2585" s="2" t="s">
        <v>115</v>
      </c>
      <c r="P2585" s="2" t="str">
        <f>"2170563240                    "</f>
        <v xml:space="preserve">2170563240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4.29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1</v>
      </c>
      <c r="BJ2585" s="2">
        <v>0.2</v>
      </c>
      <c r="BK2585" s="2">
        <v>1</v>
      </c>
      <c r="BL2585" s="2">
        <v>41.73</v>
      </c>
      <c r="BM2585" s="2">
        <v>5.84</v>
      </c>
      <c r="BN2585" s="2">
        <v>47.57</v>
      </c>
      <c r="BO2585" s="2">
        <v>47.57</v>
      </c>
      <c r="BP2585" s="2"/>
      <c r="BQ2585" s="2" t="s">
        <v>2900</v>
      </c>
      <c r="BR2585" s="2" t="s">
        <v>84</v>
      </c>
      <c r="BS2585" s="3">
        <v>42846</v>
      </c>
      <c r="BT2585" s="4">
        <v>0.5</v>
      </c>
      <c r="BU2585" s="2" t="s">
        <v>245</v>
      </c>
      <c r="BV2585" s="2" t="s">
        <v>111</v>
      </c>
      <c r="BW2585" s="2"/>
      <c r="BX2585" s="2"/>
      <c r="BY2585" s="2">
        <v>1200</v>
      </c>
      <c r="BZ2585" s="2"/>
      <c r="CA2585" s="2"/>
      <c r="CB2585" s="2"/>
      <c r="CC2585" s="2" t="s">
        <v>146</v>
      </c>
      <c r="CD2585" s="2">
        <v>183</v>
      </c>
      <c r="CE2585" s="2" t="s">
        <v>118</v>
      </c>
      <c r="CF2585" s="5">
        <v>42851</v>
      </c>
      <c r="CG2585" s="2"/>
      <c r="CH2585" s="2"/>
      <c r="CI2585" s="2">
        <v>0</v>
      </c>
      <c r="CJ2585" s="2">
        <v>0</v>
      </c>
      <c r="CK2585" s="2">
        <v>21</v>
      </c>
      <c r="CL2585" s="2" t="s">
        <v>86</v>
      </c>
      <c r="CM2585" s="2"/>
    </row>
    <row r="2586" spans="1:91">
      <c r="A2586" s="2" t="s">
        <v>71</v>
      </c>
      <c r="B2586" s="2" t="s">
        <v>72</v>
      </c>
      <c r="C2586" s="2" t="s">
        <v>73</v>
      </c>
      <c r="D2586" s="2"/>
      <c r="E2586" s="2" t="str">
        <f>"FES1162544639"</f>
        <v>FES1162544639</v>
      </c>
      <c r="F2586" s="3">
        <v>42845</v>
      </c>
      <c r="G2586" s="2">
        <v>201710</v>
      </c>
      <c r="H2586" s="2" t="s">
        <v>74</v>
      </c>
      <c r="I2586" s="2" t="s">
        <v>75</v>
      </c>
      <c r="J2586" s="2" t="s">
        <v>76</v>
      </c>
      <c r="K2586" s="2" t="s">
        <v>77</v>
      </c>
      <c r="L2586" s="2" t="s">
        <v>234</v>
      </c>
      <c r="M2586" s="2" t="s">
        <v>235</v>
      </c>
      <c r="N2586" s="2" t="s">
        <v>236</v>
      </c>
      <c r="O2586" s="2" t="s">
        <v>115</v>
      </c>
      <c r="P2586" s="2" t="str">
        <f>"2170563194                    "</f>
        <v xml:space="preserve">2170563194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4.29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1</v>
      </c>
      <c r="BJ2586" s="2">
        <v>0.2</v>
      </c>
      <c r="BK2586" s="2">
        <v>1</v>
      </c>
      <c r="BL2586" s="2">
        <v>41.73</v>
      </c>
      <c r="BM2586" s="2">
        <v>5.84</v>
      </c>
      <c r="BN2586" s="2">
        <v>47.57</v>
      </c>
      <c r="BO2586" s="2">
        <v>47.57</v>
      </c>
      <c r="BP2586" s="2"/>
      <c r="BQ2586" s="2" t="s">
        <v>285</v>
      </c>
      <c r="BR2586" s="2" t="s">
        <v>84</v>
      </c>
      <c r="BS2586" s="3">
        <v>42846</v>
      </c>
      <c r="BT2586" s="4">
        <v>0.3263888888888889</v>
      </c>
      <c r="BU2586" s="2" t="s">
        <v>385</v>
      </c>
      <c r="BV2586" s="2" t="s">
        <v>111</v>
      </c>
      <c r="BW2586" s="2"/>
      <c r="BX2586" s="2"/>
      <c r="BY2586" s="2">
        <v>1200</v>
      </c>
      <c r="BZ2586" s="2" t="s">
        <v>27</v>
      </c>
      <c r="CA2586" s="2"/>
      <c r="CB2586" s="2"/>
      <c r="CC2586" s="2" t="s">
        <v>235</v>
      </c>
      <c r="CD2586" s="2">
        <v>6220</v>
      </c>
      <c r="CE2586" s="2" t="s">
        <v>118</v>
      </c>
      <c r="CF2586" s="5">
        <v>42849</v>
      </c>
      <c r="CG2586" s="2"/>
      <c r="CH2586" s="2"/>
      <c r="CI2586" s="2">
        <v>1</v>
      </c>
      <c r="CJ2586" s="2">
        <v>1</v>
      </c>
      <c r="CK2586" s="2">
        <v>21</v>
      </c>
      <c r="CL2586" s="2" t="s">
        <v>86</v>
      </c>
      <c r="CM2586" s="2"/>
    </row>
    <row r="2587" spans="1:91">
      <c r="A2587" s="2" t="s">
        <v>71</v>
      </c>
      <c r="B2587" s="2" t="s">
        <v>72</v>
      </c>
      <c r="C2587" s="2" t="s">
        <v>73</v>
      </c>
      <c r="D2587" s="2"/>
      <c r="E2587" s="2" t="str">
        <f>"FES1162544501"</f>
        <v>FES1162544501</v>
      </c>
      <c r="F2587" s="3">
        <v>42845</v>
      </c>
      <c r="G2587" s="2">
        <v>201710</v>
      </c>
      <c r="H2587" s="2" t="s">
        <v>74</v>
      </c>
      <c r="I2587" s="2" t="s">
        <v>75</v>
      </c>
      <c r="J2587" s="2" t="s">
        <v>76</v>
      </c>
      <c r="K2587" s="2" t="s">
        <v>77</v>
      </c>
      <c r="L2587" s="2" t="s">
        <v>74</v>
      </c>
      <c r="M2587" s="2" t="s">
        <v>75</v>
      </c>
      <c r="N2587" s="2" t="s">
        <v>436</v>
      </c>
      <c r="O2587" s="2" t="s">
        <v>115</v>
      </c>
      <c r="P2587" s="2" t="str">
        <f>"2170563096                    "</f>
        <v xml:space="preserve">2170563096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3.35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1</v>
      </c>
      <c r="BJ2587" s="2">
        <v>0.2</v>
      </c>
      <c r="BK2587" s="2">
        <v>1</v>
      </c>
      <c r="BL2587" s="2">
        <v>32.6</v>
      </c>
      <c r="BM2587" s="2">
        <v>4.5599999999999996</v>
      </c>
      <c r="BN2587" s="2">
        <v>37.159999999999997</v>
      </c>
      <c r="BO2587" s="2">
        <v>37.159999999999997</v>
      </c>
      <c r="BP2587" s="2"/>
      <c r="BQ2587" s="2" t="s">
        <v>437</v>
      </c>
      <c r="BR2587" s="2" t="s">
        <v>84</v>
      </c>
      <c r="BS2587" s="3">
        <v>42846</v>
      </c>
      <c r="BT2587" s="4">
        <v>0.37847222222222227</v>
      </c>
      <c r="BU2587" s="2" t="s">
        <v>2152</v>
      </c>
      <c r="BV2587" s="2" t="s">
        <v>111</v>
      </c>
      <c r="BW2587" s="2"/>
      <c r="BX2587" s="2"/>
      <c r="BY2587" s="2">
        <v>1200</v>
      </c>
      <c r="BZ2587" s="2"/>
      <c r="CA2587" s="2" t="s">
        <v>383</v>
      </c>
      <c r="CB2587" s="2"/>
      <c r="CC2587" s="2" t="s">
        <v>75</v>
      </c>
      <c r="CD2587" s="2">
        <v>1600</v>
      </c>
      <c r="CE2587" s="2" t="s">
        <v>118</v>
      </c>
      <c r="CF2587" s="5">
        <v>42846</v>
      </c>
      <c r="CG2587" s="2"/>
      <c r="CH2587" s="2"/>
      <c r="CI2587" s="2">
        <v>1</v>
      </c>
      <c r="CJ2587" s="2">
        <v>1</v>
      </c>
      <c r="CK2587" s="2">
        <v>22</v>
      </c>
      <c r="CL2587" s="2" t="s">
        <v>86</v>
      </c>
      <c r="CM2587" s="2"/>
    </row>
    <row r="2588" spans="1:91">
      <c r="A2588" s="2" t="s">
        <v>71</v>
      </c>
      <c r="B2588" s="2" t="s">
        <v>72</v>
      </c>
      <c r="C2588" s="2" t="s">
        <v>73</v>
      </c>
      <c r="D2588" s="2"/>
      <c r="E2588" s="2" t="str">
        <f>"FES1162544514"</f>
        <v>FES1162544514</v>
      </c>
      <c r="F2588" s="3">
        <v>42845</v>
      </c>
      <c r="G2588" s="2">
        <v>201710</v>
      </c>
      <c r="H2588" s="2" t="s">
        <v>74</v>
      </c>
      <c r="I2588" s="2" t="s">
        <v>75</v>
      </c>
      <c r="J2588" s="2" t="s">
        <v>76</v>
      </c>
      <c r="K2588" s="2" t="s">
        <v>77</v>
      </c>
      <c r="L2588" s="2" t="s">
        <v>401</v>
      </c>
      <c r="M2588" s="2" t="s">
        <v>402</v>
      </c>
      <c r="N2588" s="2" t="s">
        <v>568</v>
      </c>
      <c r="O2588" s="2" t="s">
        <v>115</v>
      </c>
      <c r="P2588" s="2" t="str">
        <f>"2170557572                    "</f>
        <v xml:space="preserve">2170557572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10.72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4.7</v>
      </c>
      <c r="BJ2588" s="2">
        <v>3.2</v>
      </c>
      <c r="BK2588" s="2">
        <v>5</v>
      </c>
      <c r="BL2588" s="2">
        <v>104.32</v>
      </c>
      <c r="BM2588" s="2">
        <v>14.6</v>
      </c>
      <c r="BN2588" s="2">
        <v>118.92</v>
      </c>
      <c r="BO2588" s="2">
        <v>118.92</v>
      </c>
      <c r="BP2588" s="2"/>
      <c r="BQ2588" s="2" t="s">
        <v>569</v>
      </c>
      <c r="BR2588" s="2" t="s">
        <v>84</v>
      </c>
      <c r="BS2588" s="3">
        <v>42846</v>
      </c>
      <c r="BT2588" s="4">
        <v>0.4375</v>
      </c>
      <c r="BU2588" s="2" t="s">
        <v>570</v>
      </c>
      <c r="BV2588" s="2" t="s">
        <v>111</v>
      </c>
      <c r="BW2588" s="2"/>
      <c r="BX2588" s="2"/>
      <c r="BY2588" s="2">
        <v>15951.45</v>
      </c>
      <c r="BZ2588" s="2" t="s">
        <v>27</v>
      </c>
      <c r="CA2588" s="2"/>
      <c r="CB2588" s="2"/>
      <c r="CC2588" s="2" t="s">
        <v>402</v>
      </c>
      <c r="CD2588" s="2">
        <v>4133</v>
      </c>
      <c r="CE2588" s="2" t="s">
        <v>89</v>
      </c>
      <c r="CF2588" s="5">
        <v>42849</v>
      </c>
      <c r="CG2588" s="2"/>
      <c r="CH2588" s="2"/>
      <c r="CI2588" s="2">
        <v>1</v>
      </c>
      <c r="CJ2588" s="2">
        <v>1</v>
      </c>
      <c r="CK2588" s="2">
        <v>21</v>
      </c>
      <c r="CL2588" s="2" t="s">
        <v>86</v>
      </c>
      <c r="CM2588" s="2"/>
    </row>
    <row r="2589" spans="1:91">
      <c r="A2589" s="2" t="s">
        <v>71</v>
      </c>
      <c r="B2589" s="2" t="s">
        <v>72</v>
      </c>
      <c r="C2589" s="2" t="s">
        <v>73</v>
      </c>
      <c r="D2589" s="2"/>
      <c r="E2589" s="2" t="str">
        <f>"FES1162544510"</f>
        <v>FES1162544510</v>
      </c>
      <c r="F2589" s="3">
        <v>42845</v>
      </c>
      <c r="G2589" s="2">
        <v>201710</v>
      </c>
      <c r="H2589" s="2" t="s">
        <v>74</v>
      </c>
      <c r="I2589" s="2" t="s">
        <v>75</v>
      </c>
      <c r="J2589" s="2" t="s">
        <v>76</v>
      </c>
      <c r="K2589" s="2" t="s">
        <v>77</v>
      </c>
      <c r="L2589" s="2" t="s">
        <v>516</v>
      </c>
      <c r="M2589" s="2" t="s">
        <v>517</v>
      </c>
      <c r="N2589" s="2" t="s">
        <v>2901</v>
      </c>
      <c r="O2589" s="2" t="s">
        <v>115</v>
      </c>
      <c r="P2589" s="2" t="str">
        <f>"2170563108                    "</f>
        <v xml:space="preserve">2170563108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3.35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1</v>
      </c>
      <c r="BJ2589" s="2">
        <v>0.2</v>
      </c>
      <c r="BK2589" s="2">
        <v>1</v>
      </c>
      <c r="BL2589" s="2">
        <v>32.6</v>
      </c>
      <c r="BM2589" s="2">
        <v>4.5599999999999996</v>
      </c>
      <c r="BN2589" s="2">
        <v>37.159999999999997</v>
      </c>
      <c r="BO2589" s="2">
        <v>37.159999999999997</v>
      </c>
      <c r="BP2589" s="2"/>
      <c r="BQ2589" s="2" t="s">
        <v>2902</v>
      </c>
      <c r="BR2589" s="2" t="s">
        <v>84</v>
      </c>
      <c r="BS2589" s="3">
        <v>42846</v>
      </c>
      <c r="BT2589" s="4">
        <v>0.30208333333333331</v>
      </c>
      <c r="BU2589" s="2" t="s">
        <v>2903</v>
      </c>
      <c r="BV2589" s="2" t="s">
        <v>111</v>
      </c>
      <c r="BW2589" s="2"/>
      <c r="BX2589" s="2"/>
      <c r="BY2589" s="2">
        <v>1200</v>
      </c>
      <c r="BZ2589" s="2"/>
      <c r="CA2589" s="2" t="s">
        <v>2639</v>
      </c>
      <c r="CB2589" s="2"/>
      <c r="CC2589" s="2" t="s">
        <v>517</v>
      </c>
      <c r="CD2589" s="2">
        <v>1459</v>
      </c>
      <c r="CE2589" s="2" t="s">
        <v>118</v>
      </c>
      <c r="CF2589" s="5">
        <v>42846</v>
      </c>
      <c r="CG2589" s="2"/>
      <c r="CH2589" s="2"/>
      <c r="CI2589" s="2">
        <v>1</v>
      </c>
      <c r="CJ2589" s="2">
        <v>1</v>
      </c>
      <c r="CK2589" s="2">
        <v>22</v>
      </c>
      <c r="CL2589" s="2" t="s">
        <v>86</v>
      </c>
      <c r="CM2589" s="2"/>
    </row>
    <row r="2590" spans="1:91">
      <c r="A2590" s="2" t="s">
        <v>71</v>
      </c>
      <c r="B2590" s="2" t="s">
        <v>72</v>
      </c>
      <c r="C2590" s="2" t="s">
        <v>73</v>
      </c>
      <c r="D2590" s="2"/>
      <c r="E2590" s="2" t="str">
        <f>"FES1162544527"</f>
        <v>FES1162544527</v>
      </c>
      <c r="F2590" s="3">
        <v>42845</v>
      </c>
      <c r="G2590" s="2">
        <v>201710</v>
      </c>
      <c r="H2590" s="2" t="s">
        <v>74</v>
      </c>
      <c r="I2590" s="2" t="s">
        <v>75</v>
      </c>
      <c r="J2590" s="2" t="s">
        <v>76</v>
      </c>
      <c r="K2590" s="2" t="s">
        <v>77</v>
      </c>
      <c r="L2590" s="2" t="s">
        <v>396</v>
      </c>
      <c r="M2590" s="2" t="s">
        <v>397</v>
      </c>
      <c r="N2590" s="2" t="s">
        <v>1572</v>
      </c>
      <c r="O2590" s="2" t="s">
        <v>115</v>
      </c>
      <c r="P2590" s="2" t="str">
        <f>"2170560645                    "</f>
        <v xml:space="preserve">2170560645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4.29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1</v>
      </c>
      <c r="BI2590" s="2">
        <v>0.9</v>
      </c>
      <c r="BJ2590" s="2">
        <v>1</v>
      </c>
      <c r="BK2590" s="2">
        <v>1</v>
      </c>
      <c r="BL2590" s="2">
        <v>41.73</v>
      </c>
      <c r="BM2590" s="2">
        <v>5.84</v>
      </c>
      <c r="BN2590" s="2">
        <v>47.57</v>
      </c>
      <c r="BO2590" s="2">
        <v>47.57</v>
      </c>
      <c r="BP2590" s="2"/>
      <c r="BQ2590" s="2" t="s">
        <v>1573</v>
      </c>
      <c r="BR2590" s="2" t="s">
        <v>84</v>
      </c>
      <c r="BS2590" s="3">
        <v>42846</v>
      </c>
      <c r="BT2590" s="4">
        <v>0.4375</v>
      </c>
      <c r="BU2590" s="2" t="s">
        <v>1100</v>
      </c>
      <c r="BV2590" s="2" t="s">
        <v>111</v>
      </c>
      <c r="BW2590" s="2"/>
      <c r="BX2590" s="2"/>
      <c r="BY2590" s="2">
        <v>4918.03</v>
      </c>
      <c r="BZ2590" s="2" t="s">
        <v>27</v>
      </c>
      <c r="CA2590" s="2" t="s">
        <v>159</v>
      </c>
      <c r="CB2590" s="2"/>
      <c r="CC2590" s="2" t="s">
        <v>397</v>
      </c>
      <c r="CD2590" s="2">
        <v>4300</v>
      </c>
      <c r="CE2590" s="2" t="s">
        <v>89</v>
      </c>
      <c r="CF2590" s="5">
        <v>42849</v>
      </c>
      <c r="CG2590" s="2"/>
      <c r="CH2590" s="2"/>
      <c r="CI2590" s="2">
        <v>1</v>
      </c>
      <c r="CJ2590" s="2">
        <v>1</v>
      </c>
      <c r="CK2590" s="2">
        <v>21</v>
      </c>
      <c r="CL2590" s="2" t="s">
        <v>86</v>
      </c>
      <c r="CM2590" s="2"/>
    </row>
    <row r="2591" spans="1:91">
      <c r="A2591" s="2" t="s">
        <v>71</v>
      </c>
      <c r="B2591" s="2" t="s">
        <v>72</v>
      </c>
      <c r="C2591" s="2" t="s">
        <v>73</v>
      </c>
      <c r="D2591" s="2"/>
      <c r="E2591" s="2" t="str">
        <f>"FES1162544500"</f>
        <v>FES1162544500</v>
      </c>
      <c r="F2591" s="3">
        <v>42845</v>
      </c>
      <c r="G2591" s="2">
        <v>201710</v>
      </c>
      <c r="H2591" s="2" t="s">
        <v>74</v>
      </c>
      <c r="I2591" s="2" t="s">
        <v>75</v>
      </c>
      <c r="J2591" s="2" t="s">
        <v>76</v>
      </c>
      <c r="K2591" s="2" t="s">
        <v>77</v>
      </c>
      <c r="L2591" s="2" t="s">
        <v>166</v>
      </c>
      <c r="M2591" s="2" t="s">
        <v>167</v>
      </c>
      <c r="N2591" s="2" t="s">
        <v>168</v>
      </c>
      <c r="O2591" s="2" t="s">
        <v>115</v>
      </c>
      <c r="P2591" s="2" t="str">
        <f>"2170563093                    "</f>
        <v xml:space="preserve">2170563093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3.35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1</v>
      </c>
      <c r="BJ2591" s="2">
        <v>0.2</v>
      </c>
      <c r="BK2591" s="2">
        <v>1</v>
      </c>
      <c r="BL2591" s="2">
        <v>32.6</v>
      </c>
      <c r="BM2591" s="2">
        <v>4.5599999999999996</v>
      </c>
      <c r="BN2591" s="2">
        <v>37.159999999999997</v>
      </c>
      <c r="BO2591" s="2">
        <v>37.159999999999997</v>
      </c>
      <c r="BP2591" s="2"/>
      <c r="BQ2591" s="2" t="s">
        <v>169</v>
      </c>
      <c r="BR2591" s="2" t="s">
        <v>84</v>
      </c>
      <c r="BS2591" s="3">
        <v>42846</v>
      </c>
      <c r="BT2591" s="4">
        <v>0.4145833333333333</v>
      </c>
      <c r="BU2591" s="2" t="s">
        <v>1317</v>
      </c>
      <c r="BV2591" s="2" t="s">
        <v>111</v>
      </c>
      <c r="BW2591" s="2"/>
      <c r="BX2591" s="2"/>
      <c r="BY2591" s="2">
        <v>1200</v>
      </c>
      <c r="BZ2591" s="2"/>
      <c r="CA2591" s="2" t="s">
        <v>171</v>
      </c>
      <c r="CB2591" s="2"/>
      <c r="CC2591" s="2" t="s">
        <v>167</v>
      </c>
      <c r="CD2591" s="2">
        <v>2094</v>
      </c>
      <c r="CE2591" s="2" t="s">
        <v>118</v>
      </c>
      <c r="CF2591" s="5">
        <v>42846</v>
      </c>
      <c r="CG2591" s="2"/>
      <c r="CH2591" s="2"/>
      <c r="CI2591" s="2">
        <v>1</v>
      </c>
      <c r="CJ2591" s="2">
        <v>1</v>
      </c>
      <c r="CK2591" s="2">
        <v>22</v>
      </c>
      <c r="CL2591" s="2" t="s">
        <v>86</v>
      </c>
      <c r="CM2591" s="2"/>
    </row>
    <row r="2592" spans="1:91">
      <c r="A2592" s="2" t="s">
        <v>71</v>
      </c>
      <c r="B2592" s="2" t="s">
        <v>72</v>
      </c>
      <c r="C2592" s="2" t="s">
        <v>73</v>
      </c>
      <c r="D2592" s="2"/>
      <c r="E2592" s="2" t="str">
        <f>"FES1162544491"</f>
        <v>FES1162544491</v>
      </c>
      <c r="F2592" s="3">
        <v>42845</v>
      </c>
      <c r="G2592" s="2">
        <v>201710</v>
      </c>
      <c r="H2592" s="2" t="s">
        <v>74</v>
      </c>
      <c r="I2592" s="2" t="s">
        <v>75</v>
      </c>
      <c r="J2592" s="2" t="s">
        <v>76</v>
      </c>
      <c r="K2592" s="2" t="s">
        <v>77</v>
      </c>
      <c r="L2592" s="2" t="s">
        <v>160</v>
      </c>
      <c r="M2592" s="2" t="s">
        <v>161</v>
      </c>
      <c r="N2592" s="2" t="s">
        <v>463</v>
      </c>
      <c r="O2592" s="2" t="s">
        <v>115</v>
      </c>
      <c r="P2592" s="2" t="str">
        <f>"2170563084                    "</f>
        <v xml:space="preserve">2170563084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4.29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1</v>
      </c>
      <c r="BJ2592" s="2">
        <v>0.2</v>
      </c>
      <c r="BK2592" s="2">
        <v>1</v>
      </c>
      <c r="BL2592" s="2">
        <v>41.73</v>
      </c>
      <c r="BM2592" s="2">
        <v>5.84</v>
      </c>
      <c r="BN2592" s="2">
        <v>47.57</v>
      </c>
      <c r="BO2592" s="2">
        <v>47.57</v>
      </c>
      <c r="BP2592" s="2"/>
      <c r="BQ2592" s="2" t="s">
        <v>129</v>
      </c>
      <c r="BR2592" s="2" t="s">
        <v>84</v>
      </c>
      <c r="BS2592" s="3">
        <v>42846</v>
      </c>
      <c r="BT2592" s="4">
        <v>0.41666666666666669</v>
      </c>
      <c r="BU2592" s="2" t="s">
        <v>1971</v>
      </c>
      <c r="BV2592" s="2" t="s">
        <v>111</v>
      </c>
      <c r="BW2592" s="2"/>
      <c r="BX2592" s="2"/>
      <c r="BY2592" s="2">
        <v>1200</v>
      </c>
      <c r="BZ2592" s="2" t="s">
        <v>27</v>
      </c>
      <c r="CA2592" s="2"/>
      <c r="CB2592" s="2"/>
      <c r="CC2592" s="2" t="s">
        <v>161</v>
      </c>
      <c r="CD2592" s="2">
        <v>5201</v>
      </c>
      <c r="CE2592" s="2" t="s">
        <v>118</v>
      </c>
      <c r="CF2592" s="5">
        <v>42849</v>
      </c>
      <c r="CG2592" s="2"/>
      <c r="CH2592" s="2"/>
      <c r="CI2592" s="2">
        <v>1</v>
      </c>
      <c r="CJ2592" s="2">
        <v>1</v>
      </c>
      <c r="CK2592" s="2">
        <v>21</v>
      </c>
      <c r="CL2592" s="2" t="s">
        <v>86</v>
      </c>
      <c r="CM2592" s="2"/>
    </row>
    <row r="2593" spans="1:91">
      <c r="A2593" s="2" t="s">
        <v>71</v>
      </c>
      <c r="B2593" s="2" t="s">
        <v>72</v>
      </c>
      <c r="C2593" s="2" t="s">
        <v>73</v>
      </c>
      <c r="D2593" s="2"/>
      <c r="E2593" s="2" t="str">
        <f>"FES1162544720"</f>
        <v>FES1162544720</v>
      </c>
      <c r="F2593" s="3">
        <v>42845</v>
      </c>
      <c r="G2593" s="2">
        <v>201710</v>
      </c>
      <c r="H2593" s="2" t="s">
        <v>74</v>
      </c>
      <c r="I2593" s="2" t="s">
        <v>75</v>
      </c>
      <c r="J2593" s="2" t="s">
        <v>76</v>
      </c>
      <c r="K2593" s="2" t="s">
        <v>77</v>
      </c>
      <c r="L2593" s="2" t="s">
        <v>139</v>
      </c>
      <c r="M2593" s="2" t="s">
        <v>140</v>
      </c>
      <c r="N2593" s="2" t="s">
        <v>2904</v>
      </c>
      <c r="O2593" s="2" t="s">
        <v>115</v>
      </c>
      <c r="P2593" s="2" t="str">
        <f>"2170563281                    "</f>
        <v xml:space="preserve">2170563281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4.29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1</v>
      </c>
      <c r="BJ2593" s="2">
        <v>0.2</v>
      </c>
      <c r="BK2593" s="2">
        <v>1</v>
      </c>
      <c r="BL2593" s="2">
        <v>41.73</v>
      </c>
      <c r="BM2593" s="2">
        <v>5.84</v>
      </c>
      <c r="BN2593" s="2">
        <v>47.57</v>
      </c>
      <c r="BO2593" s="2">
        <v>47.57</v>
      </c>
      <c r="BP2593" s="2"/>
      <c r="BQ2593" s="2" t="s">
        <v>2905</v>
      </c>
      <c r="BR2593" s="2" t="s">
        <v>84</v>
      </c>
      <c r="BS2593" s="3">
        <v>42846</v>
      </c>
      <c r="BT2593" s="4">
        <v>0.49305555555555558</v>
      </c>
      <c r="BU2593" s="2" t="s">
        <v>1985</v>
      </c>
      <c r="BV2593" s="2" t="s">
        <v>86</v>
      </c>
      <c r="BW2593" s="2" t="s">
        <v>164</v>
      </c>
      <c r="BX2593" s="2" t="s">
        <v>786</v>
      </c>
      <c r="BY2593" s="2">
        <v>1200</v>
      </c>
      <c r="BZ2593" s="2"/>
      <c r="CA2593" s="2"/>
      <c r="CB2593" s="2"/>
      <c r="CC2593" s="2" t="s">
        <v>140</v>
      </c>
      <c r="CD2593" s="2">
        <v>157</v>
      </c>
      <c r="CE2593" s="2" t="s">
        <v>118</v>
      </c>
      <c r="CF2593" s="5">
        <v>42851</v>
      </c>
      <c r="CG2593" s="2"/>
      <c r="CH2593" s="2"/>
      <c r="CI2593" s="2">
        <v>0</v>
      </c>
      <c r="CJ2593" s="2">
        <v>0</v>
      </c>
      <c r="CK2593" s="2">
        <v>21</v>
      </c>
      <c r="CL2593" s="2" t="s">
        <v>86</v>
      </c>
      <c r="CM2593" s="2"/>
    </row>
    <row r="2594" spans="1:91">
      <c r="A2594" s="2" t="s">
        <v>71</v>
      </c>
      <c r="B2594" s="2" t="s">
        <v>72</v>
      </c>
      <c r="C2594" s="2" t="s">
        <v>73</v>
      </c>
      <c r="D2594" s="2"/>
      <c r="E2594" s="2" t="str">
        <f>"FES1162544613"</f>
        <v>FES1162544613</v>
      </c>
      <c r="F2594" s="3">
        <v>42845</v>
      </c>
      <c r="G2594" s="2">
        <v>201710</v>
      </c>
      <c r="H2594" s="2" t="s">
        <v>74</v>
      </c>
      <c r="I2594" s="2" t="s">
        <v>75</v>
      </c>
      <c r="J2594" s="2" t="s">
        <v>76</v>
      </c>
      <c r="K2594" s="2" t="s">
        <v>77</v>
      </c>
      <c r="L2594" s="2" t="s">
        <v>396</v>
      </c>
      <c r="M2594" s="2" t="s">
        <v>397</v>
      </c>
      <c r="N2594" s="2" t="s">
        <v>398</v>
      </c>
      <c r="O2594" s="2" t="s">
        <v>115</v>
      </c>
      <c r="P2594" s="2" t="str">
        <f>"2170563160                    "</f>
        <v xml:space="preserve">2170563160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5.36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1</v>
      </c>
      <c r="BI2594" s="2">
        <v>2.1</v>
      </c>
      <c r="BJ2594" s="2">
        <v>1</v>
      </c>
      <c r="BK2594" s="2">
        <v>2.5</v>
      </c>
      <c r="BL2594" s="2">
        <v>52.16</v>
      </c>
      <c r="BM2594" s="2">
        <v>7.3</v>
      </c>
      <c r="BN2594" s="2">
        <v>59.46</v>
      </c>
      <c r="BO2594" s="2">
        <v>59.46</v>
      </c>
      <c r="BP2594" s="2"/>
      <c r="BQ2594" s="2" t="s">
        <v>399</v>
      </c>
      <c r="BR2594" s="2" t="s">
        <v>84</v>
      </c>
      <c r="BS2594" s="3">
        <v>42846</v>
      </c>
      <c r="BT2594" s="4">
        <v>0.39583333333333331</v>
      </c>
      <c r="BU2594" s="2" t="s">
        <v>2906</v>
      </c>
      <c r="BV2594" s="2" t="s">
        <v>111</v>
      </c>
      <c r="BW2594" s="2"/>
      <c r="BX2594" s="2"/>
      <c r="BY2594" s="2">
        <v>4927.1000000000004</v>
      </c>
      <c r="BZ2594" s="2" t="s">
        <v>27</v>
      </c>
      <c r="CA2594" s="2" t="s">
        <v>159</v>
      </c>
      <c r="CB2594" s="2"/>
      <c r="CC2594" s="2" t="s">
        <v>397</v>
      </c>
      <c r="CD2594" s="2">
        <v>4300</v>
      </c>
      <c r="CE2594" s="2" t="s">
        <v>89</v>
      </c>
      <c r="CF2594" s="5">
        <v>42849</v>
      </c>
      <c r="CG2594" s="2"/>
      <c r="CH2594" s="2"/>
      <c r="CI2594" s="2">
        <v>1</v>
      </c>
      <c r="CJ2594" s="2">
        <v>1</v>
      </c>
      <c r="CK2594" s="2">
        <v>21</v>
      </c>
      <c r="CL2594" s="2" t="s">
        <v>86</v>
      </c>
      <c r="CM2594" s="2"/>
    </row>
    <row r="2595" spans="1:91">
      <c r="A2595" s="2" t="s">
        <v>71</v>
      </c>
      <c r="B2595" s="2" t="s">
        <v>72</v>
      </c>
      <c r="C2595" s="2" t="s">
        <v>73</v>
      </c>
      <c r="D2595" s="2"/>
      <c r="E2595" s="2" t="str">
        <f>"FES1162544727"</f>
        <v>FES1162544727</v>
      </c>
      <c r="F2595" s="3">
        <v>42845</v>
      </c>
      <c r="G2595" s="2">
        <v>201710</v>
      </c>
      <c r="H2595" s="2" t="s">
        <v>74</v>
      </c>
      <c r="I2595" s="2" t="s">
        <v>75</v>
      </c>
      <c r="J2595" s="2" t="s">
        <v>76</v>
      </c>
      <c r="K2595" s="2" t="s">
        <v>77</v>
      </c>
      <c r="L2595" s="2" t="s">
        <v>187</v>
      </c>
      <c r="M2595" s="2" t="s">
        <v>146</v>
      </c>
      <c r="N2595" s="2" t="s">
        <v>1989</v>
      </c>
      <c r="O2595" s="2" t="s">
        <v>115</v>
      </c>
      <c r="P2595" s="2" t="str">
        <f>"2170563283                    "</f>
        <v xml:space="preserve">2170563283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4.29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1</v>
      </c>
      <c r="BJ2595" s="2">
        <v>0.2</v>
      </c>
      <c r="BK2595" s="2">
        <v>1</v>
      </c>
      <c r="BL2595" s="2">
        <v>41.73</v>
      </c>
      <c r="BM2595" s="2">
        <v>5.84</v>
      </c>
      <c r="BN2595" s="2">
        <v>47.57</v>
      </c>
      <c r="BO2595" s="2">
        <v>47.57</v>
      </c>
      <c r="BP2595" s="2"/>
      <c r="BQ2595" s="2" t="s">
        <v>1990</v>
      </c>
      <c r="BR2595" s="2" t="s">
        <v>84</v>
      </c>
      <c r="BS2595" s="3">
        <v>42846</v>
      </c>
      <c r="BT2595" s="4">
        <v>0.4548611111111111</v>
      </c>
      <c r="BU2595" s="2" t="s">
        <v>2907</v>
      </c>
      <c r="BV2595" s="2" t="s">
        <v>111</v>
      </c>
      <c r="BW2595" s="2"/>
      <c r="BX2595" s="2"/>
      <c r="BY2595" s="2">
        <v>1200</v>
      </c>
      <c r="BZ2595" s="2"/>
      <c r="CA2595" s="2"/>
      <c r="CB2595" s="2"/>
      <c r="CC2595" s="2" t="s">
        <v>146</v>
      </c>
      <c r="CD2595" s="2">
        <v>184</v>
      </c>
      <c r="CE2595" s="2" t="s">
        <v>118</v>
      </c>
      <c r="CF2595" s="5">
        <v>42853</v>
      </c>
      <c r="CG2595" s="2"/>
      <c r="CH2595" s="2"/>
      <c r="CI2595" s="2">
        <v>0</v>
      </c>
      <c r="CJ2595" s="2">
        <v>0</v>
      </c>
      <c r="CK2595" s="2">
        <v>21</v>
      </c>
      <c r="CL2595" s="2" t="s">
        <v>86</v>
      </c>
      <c r="CM2595" s="2"/>
    </row>
    <row r="2596" spans="1:91">
      <c r="A2596" s="2" t="s">
        <v>71</v>
      </c>
      <c r="B2596" s="2" t="s">
        <v>72</v>
      </c>
      <c r="C2596" s="2" t="s">
        <v>73</v>
      </c>
      <c r="D2596" s="2"/>
      <c r="E2596" s="2" t="str">
        <f>"FES1162544654"</f>
        <v>FES1162544654</v>
      </c>
      <c r="F2596" s="3">
        <v>42845</v>
      </c>
      <c r="G2596" s="2">
        <v>201710</v>
      </c>
      <c r="H2596" s="2" t="s">
        <v>74</v>
      </c>
      <c r="I2596" s="2" t="s">
        <v>75</v>
      </c>
      <c r="J2596" s="2" t="s">
        <v>76</v>
      </c>
      <c r="K2596" s="2" t="s">
        <v>77</v>
      </c>
      <c r="L2596" s="2" t="s">
        <v>74</v>
      </c>
      <c r="M2596" s="2" t="s">
        <v>75</v>
      </c>
      <c r="N2596" s="2" t="s">
        <v>173</v>
      </c>
      <c r="O2596" s="2" t="s">
        <v>115</v>
      </c>
      <c r="P2596" s="2" t="str">
        <f>"2170563083                    "</f>
        <v xml:space="preserve">2170563083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3.35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1</v>
      </c>
      <c r="BI2596" s="2">
        <v>1.2</v>
      </c>
      <c r="BJ2596" s="2">
        <v>0.2</v>
      </c>
      <c r="BK2596" s="2">
        <v>2</v>
      </c>
      <c r="BL2596" s="2">
        <v>32.6</v>
      </c>
      <c r="BM2596" s="2">
        <v>4.5599999999999996</v>
      </c>
      <c r="BN2596" s="2">
        <v>37.159999999999997</v>
      </c>
      <c r="BO2596" s="2">
        <v>37.159999999999997</v>
      </c>
      <c r="BP2596" s="2"/>
      <c r="BQ2596" s="2" t="s">
        <v>174</v>
      </c>
      <c r="BR2596" s="2" t="s">
        <v>84</v>
      </c>
      <c r="BS2596" s="3">
        <v>42846</v>
      </c>
      <c r="BT2596" s="4">
        <v>0.35069444444444442</v>
      </c>
      <c r="BU2596" s="2" t="s">
        <v>1579</v>
      </c>
      <c r="BV2596" s="2" t="s">
        <v>111</v>
      </c>
      <c r="BW2596" s="2"/>
      <c r="BX2596" s="2"/>
      <c r="BY2596" s="2">
        <v>1200</v>
      </c>
      <c r="BZ2596" s="2"/>
      <c r="CA2596" s="2" t="s">
        <v>2461</v>
      </c>
      <c r="CB2596" s="2"/>
      <c r="CC2596" s="2" t="s">
        <v>75</v>
      </c>
      <c r="CD2596" s="2">
        <v>1601</v>
      </c>
      <c r="CE2596" s="2" t="s">
        <v>118</v>
      </c>
      <c r="CF2596" s="5">
        <v>42846</v>
      </c>
      <c r="CG2596" s="2"/>
      <c r="CH2596" s="2"/>
      <c r="CI2596" s="2">
        <v>1</v>
      </c>
      <c r="CJ2596" s="2">
        <v>1</v>
      </c>
      <c r="CK2596" s="2">
        <v>22</v>
      </c>
      <c r="CL2596" s="2" t="s">
        <v>86</v>
      </c>
      <c r="CM2596" s="2"/>
    </row>
    <row r="2597" spans="1:91">
      <c r="A2597" s="2" t="s">
        <v>71</v>
      </c>
      <c r="B2597" s="2" t="s">
        <v>72</v>
      </c>
      <c r="C2597" s="2" t="s">
        <v>73</v>
      </c>
      <c r="D2597" s="2"/>
      <c r="E2597" s="2" t="str">
        <f>"FES1162544645"</f>
        <v>FES1162544645</v>
      </c>
      <c r="F2597" s="3">
        <v>42845</v>
      </c>
      <c r="G2597" s="2">
        <v>201710</v>
      </c>
      <c r="H2597" s="2" t="s">
        <v>74</v>
      </c>
      <c r="I2597" s="2" t="s">
        <v>75</v>
      </c>
      <c r="J2597" s="2" t="s">
        <v>76</v>
      </c>
      <c r="K2597" s="2" t="s">
        <v>77</v>
      </c>
      <c r="L2597" s="2" t="s">
        <v>1692</v>
      </c>
      <c r="M2597" s="2" t="s">
        <v>1693</v>
      </c>
      <c r="N2597" s="2" t="s">
        <v>2908</v>
      </c>
      <c r="O2597" s="2" t="s">
        <v>115</v>
      </c>
      <c r="P2597" s="2" t="str">
        <f>"2170557566                    "</f>
        <v xml:space="preserve">2170557566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4.29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1.3</v>
      </c>
      <c r="BJ2597" s="2">
        <v>1.7</v>
      </c>
      <c r="BK2597" s="2">
        <v>2</v>
      </c>
      <c r="BL2597" s="2">
        <v>41.73</v>
      </c>
      <c r="BM2597" s="2">
        <v>5.84</v>
      </c>
      <c r="BN2597" s="2">
        <v>47.57</v>
      </c>
      <c r="BO2597" s="2">
        <v>47.57</v>
      </c>
      <c r="BP2597" s="2"/>
      <c r="BQ2597" s="2"/>
      <c r="BR2597" s="2" t="s">
        <v>84</v>
      </c>
      <c r="BS2597" s="3">
        <v>42846</v>
      </c>
      <c r="BT2597" s="4">
        <v>0.39583333333333331</v>
      </c>
      <c r="BU2597" s="2" t="s">
        <v>2909</v>
      </c>
      <c r="BV2597" s="2" t="s">
        <v>111</v>
      </c>
      <c r="BW2597" s="2"/>
      <c r="BX2597" s="2"/>
      <c r="BY2597" s="2">
        <v>8516.15</v>
      </c>
      <c r="BZ2597" s="2" t="s">
        <v>27</v>
      </c>
      <c r="CA2597" s="2"/>
      <c r="CB2597" s="2"/>
      <c r="CC2597" s="2" t="s">
        <v>1693</v>
      </c>
      <c r="CD2597" s="2">
        <v>4125</v>
      </c>
      <c r="CE2597" s="2" t="s">
        <v>89</v>
      </c>
      <c r="CF2597" s="5">
        <v>42849</v>
      </c>
      <c r="CG2597" s="2"/>
      <c r="CH2597" s="2"/>
      <c r="CI2597" s="2">
        <v>1</v>
      </c>
      <c r="CJ2597" s="2">
        <v>1</v>
      </c>
      <c r="CK2597" s="2">
        <v>21</v>
      </c>
      <c r="CL2597" s="2" t="s">
        <v>86</v>
      </c>
      <c r="CM2597" s="2"/>
    </row>
    <row r="2598" spans="1:91">
      <c r="A2598" s="2" t="s">
        <v>71</v>
      </c>
      <c r="B2598" s="2" t="s">
        <v>72</v>
      </c>
      <c r="C2598" s="2" t="s">
        <v>73</v>
      </c>
      <c r="D2598" s="2"/>
      <c r="E2598" s="2" t="str">
        <f>"FES1162544686"</f>
        <v>FES1162544686</v>
      </c>
      <c r="F2598" s="3">
        <v>42845</v>
      </c>
      <c r="G2598" s="2">
        <v>201710</v>
      </c>
      <c r="H2598" s="2" t="s">
        <v>74</v>
      </c>
      <c r="I2598" s="2" t="s">
        <v>75</v>
      </c>
      <c r="J2598" s="2" t="s">
        <v>76</v>
      </c>
      <c r="K2598" s="2" t="s">
        <v>77</v>
      </c>
      <c r="L2598" s="2" t="s">
        <v>176</v>
      </c>
      <c r="M2598" s="2" t="s">
        <v>176</v>
      </c>
      <c r="N2598" s="2" t="s">
        <v>339</v>
      </c>
      <c r="O2598" s="2" t="s">
        <v>115</v>
      </c>
      <c r="P2598" s="2" t="str">
        <f>"2170563245                    "</f>
        <v xml:space="preserve">2170563245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4.29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1</v>
      </c>
      <c r="BI2598" s="2">
        <v>1</v>
      </c>
      <c r="BJ2598" s="2">
        <v>0.2</v>
      </c>
      <c r="BK2598" s="2">
        <v>1</v>
      </c>
      <c r="BL2598" s="2">
        <v>41.73</v>
      </c>
      <c r="BM2598" s="2">
        <v>5.84</v>
      </c>
      <c r="BN2598" s="2">
        <v>47.57</v>
      </c>
      <c r="BO2598" s="2">
        <v>47.57</v>
      </c>
      <c r="BP2598" s="2"/>
      <c r="BQ2598" s="2" t="s">
        <v>340</v>
      </c>
      <c r="BR2598" s="2" t="s">
        <v>84</v>
      </c>
      <c r="BS2598" s="3">
        <v>42849</v>
      </c>
      <c r="BT2598" s="4">
        <v>0.37986111111111115</v>
      </c>
      <c r="BU2598" s="2" t="s">
        <v>1148</v>
      </c>
      <c r="BV2598" s="2" t="s">
        <v>86</v>
      </c>
      <c r="BW2598" s="2"/>
      <c r="BX2598" s="2"/>
      <c r="BY2598" s="2">
        <v>1200</v>
      </c>
      <c r="BZ2598" s="2"/>
      <c r="CA2598" s="2" t="s">
        <v>590</v>
      </c>
      <c r="CB2598" s="2"/>
      <c r="CC2598" s="2" t="s">
        <v>176</v>
      </c>
      <c r="CD2598" s="2">
        <v>7646</v>
      </c>
      <c r="CE2598" s="2" t="s">
        <v>118</v>
      </c>
      <c r="CF2598" s="2"/>
      <c r="CG2598" s="2"/>
      <c r="CH2598" s="2"/>
      <c r="CI2598" s="2">
        <v>1</v>
      </c>
      <c r="CJ2598" s="2">
        <v>2</v>
      </c>
      <c r="CK2598" s="2">
        <v>21</v>
      </c>
      <c r="CL2598" s="2" t="s">
        <v>86</v>
      </c>
      <c r="CM2598" s="2"/>
    </row>
    <row r="2599" spans="1:91">
      <c r="A2599" s="2" t="s">
        <v>71</v>
      </c>
      <c r="B2599" s="2" t="s">
        <v>72</v>
      </c>
      <c r="C2599" s="2" t="s">
        <v>73</v>
      </c>
      <c r="D2599" s="2"/>
      <c r="E2599" s="2" t="str">
        <f>"FES1162544581"</f>
        <v>FES1162544581</v>
      </c>
      <c r="F2599" s="3">
        <v>42845</v>
      </c>
      <c r="G2599" s="2">
        <v>201710</v>
      </c>
      <c r="H2599" s="2" t="s">
        <v>74</v>
      </c>
      <c r="I2599" s="2" t="s">
        <v>75</v>
      </c>
      <c r="J2599" s="2" t="s">
        <v>76</v>
      </c>
      <c r="K2599" s="2" t="s">
        <v>77</v>
      </c>
      <c r="L2599" s="2" t="s">
        <v>180</v>
      </c>
      <c r="M2599" s="2" t="s">
        <v>181</v>
      </c>
      <c r="N2599" s="2" t="s">
        <v>2910</v>
      </c>
      <c r="O2599" s="2" t="s">
        <v>115</v>
      </c>
      <c r="P2599" s="2" t="str">
        <f>"2170563124                    "</f>
        <v xml:space="preserve">2170563124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6.43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2</v>
      </c>
      <c r="BJ2599" s="2">
        <v>3</v>
      </c>
      <c r="BK2599" s="2">
        <v>3</v>
      </c>
      <c r="BL2599" s="2">
        <v>62.59</v>
      </c>
      <c r="BM2599" s="2">
        <v>8.76</v>
      </c>
      <c r="BN2599" s="2">
        <v>71.349999999999994</v>
      </c>
      <c r="BO2599" s="2">
        <v>71.349999999999994</v>
      </c>
      <c r="BP2599" s="2"/>
      <c r="BQ2599" s="2" t="s">
        <v>2911</v>
      </c>
      <c r="BR2599" s="2" t="s">
        <v>84</v>
      </c>
      <c r="BS2599" s="3">
        <v>42846</v>
      </c>
      <c r="BT2599" s="4">
        <v>0.28472222222222221</v>
      </c>
      <c r="BU2599" s="2" t="s">
        <v>2912</v>
      </c>
      <c r="BV2599" s="2" t="s">
        <v>111</v>
      </c>
      <c r="BW2599" s="2"/>
      <c r="BX2599" s="2"/>
      <c r="BY2599" s="2">
        <v>15246</v>
      </c>
      <c r="BZ2599" s="2" t="s">
        <v>27</v>
      </c>
      <c r="CA2599" s="2"/>
      <c r="CB2599" s="2"/>
      <c r="CC2599" s="2" t="s">
        <v>181</v>
      </c>
      <c r="CD2599" s="2">
        <v>4001</v>
      </c>
      <c r="CE2599" s="2" t="s">
        <v>172</v>
      </c>
      <c r="CF2599" s="5">
        <v>42849</v>
      </c>
      <c r="CG2599" s="2"/>
      <c r="CH2599" s="2"/>
      <c r="CI2599" s="2">
        <v>1</v>
      </c>
      <c r="CJ2599" s="2">
        <v>1</v>
      </c>
      <c r="CK2599" s="2">
        <v>21</v>
      </c>
      <c r="CL2599" s="2" t="s">
        <v>86</v>
      </c>
      <c r="CM2599" s="2"/>
    </row>
    <row r="2600" spans="1:91">
      <c r="A2600" s="2" t="s">
        <v>71</v>
      </c>
      <c r="B2600" s="2" t="s">
        <v>72</v>
      </c>
      <c r="C2600" s="2" t="s">
        <v>73</v>
      </c>
      <c r="D2600" s="2"/>
      <c r="E2600" s="2" t="str">
        <f>"FES1162544676"</f>
        <v>FES1162544676</v>
      </c>
      <c r="F2600" s="3">
        <v>42845</v>
      </c>
      <c r="G2600" s="2">
        <v>201710</v>
      </c>
      <c r="H2600" s="2" t="s">
        <v>74</v>
      </c>
      <c r="I2600" s="2" t="s">
        <v>75</v>
      </c>
      <c r="J2600" s="2" t="s">
        <v>76</v>
      </c>
      <c r="K2600" s="2" t="s">
        <v>77</v>
      </c>
      <c r="L2600" s="2" t="s">
        <v>591</v>
      </c>
      <c r="M2600" s="2" t="s">
        <v>592</v>
      </c>
      <c r="N2600" s="2" t="s">
        <v>675</v>
      </c>
      <c r="O2600" s="2" t="s">
        <v>115</v>
      </c>
      <c r="P2600" s="2" t="str">
        <f>"2170563236                    "</f>
        <v xml:space="preserve">2170563236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4.29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1</v>
      </c>
      <c r="BJ2600" s="2">
        <v>0.2</v>
      </c>
      <c r="BK2600" s="2">
        <v>1</v>
      </c>
      <c r="BL2600" s="2">
        <v>41.73</v>
      </c>
      <c r="BM2600" s="2">
        <v>5.84</v>
      </c>
      <c r="BN2600" s="2">
        <v>47.57</v>
      </c>
      <c r="BO2600" s="2">
        <v>47.57</v>
      </c>
      <c r="BP2600" s="2"/>
      <c r="BQ2600" s="2" t="s">
        <v>129</v>
      </c>
      <c r="BR2600" s="2" t="s">
        <v>84</v>
      </c>
      <c r="BS2600" s="3">
        <v>42846</v>
      </c>
      <c r="BT2600" s="4">
        <v>0.41666666666666669</v>
      </c>
      <c r="BU2600" s="2" t="s">
        <v>2369</v>
      </c>
      <c r="BV2600" s="2" t="s">
        <v>111</v>
      </c>
      <c r="BW2600" s="2"/>
      <c r="BX2600" s="2"/>
      <c r="BY2600" s="2">
        <v>1200</v>
      </c>
      <c r="BZ2600" s="2"/>
      <c r="CA2600" s="2"/>
      <c r="CB2600" s="2"/>
      <c r="CC2600" s="2" t="s">
        <v>592</v>
      </c>
      <c r="CD2600" s="2">
        <v>7600</v>
      </c>
      <c r="CE2600" s="2" t="s">
        <v>118</v>
      </c>
      <c r="CF2600" s="5">
        <v>42849</v>
      </c>
      <c r="CG2600" s="2"/>
      <c r="CH2600" s="2"/>
      <c r="CI2600" s="2">
        <v>1</v>
      </c>
      <c r="CJ2600" s="2">
        <v>1</v>
      </c>
      <c r="CK2600" s="2">
        <v>21</v>
      </c>
      <c r="CL2600" s="2" t="s">
        <v>86</v>
      </c>
      <c r="CM2600" s="2"/>
    </row>
    <row r="2601" spans="1:91">
      <c r="A2601" s="2" t="s">
        <v>71</v>
      </c>
      <c r="B2601" s="2" t="s">
        <v>72</v>
      </c>
      <c r="C2601" s="2" t="s">
        <v>73</v>
      </c>
      <c r="D2601" s="2"/>
      <c r="E2601" s="2" t="str">
        <f>"FES1162544446"</f>
        <v>FES1162544446</v>
      </c>
      <c r="F2601" s="3">
        <v>42845</v>
      </c>
      <c r="G2601" s="2">
        <v>201710</v>
      </c>
      <c r="H2601" s="2" t="s">
        <v>74</v>
      </c>
      <c r="I2601" s="2" t="s">
        <v>75</v>
      </c>
      <c r="J2601" s="2" t="s">
        <v>76</v>
      </c>
      <c r="K2601" s="2" t="s">
        <v>77</v>
      </c>
      <c r="L2601" s="2" t="s">
        <v>91</v>
      </c>
      <c r="M2601" s="2" t="s">
        <v>92</v>
      </c>
      <c r="N2601" s="2" t="s">
        <v>616</v>
      </c>
      <c r="O2601" s="2" t="s">
        <v>115</v>
      </c>
      <c r="P2601" s="2" t="str">
        <f>"2170563043                    "</f>
        <v xml:space="preserve">2170563043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3.35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1</v>
      </c>
      <c r="BJ2601" s="2">
        <v>0.2</v>
      </c>
      <c r="BK2601" s="2">
        <v>1</v>
      </c>
      <c r="BL2601" s="2">
        <v>32.6</v>
      </c>
      <c r="BM2601" s="2">
        <v>4.5599999999999996</v>
      </c>
      <c r="BN2601" s="2">
        <v>37.159999999999997</v>
      </c>
      <c r="BO2601" s="2">
        <v>37.159999999999997</v>
      </c>
      <c r="BP2601" s="2"/>
      <c r="BQ2601" s="2" t="s">
        <v>617</v>
      </c>
      <c r="BR2601" s="2" t="s">
        <v>84</v>
      </c>
      <c r="BS2601" s="3">
        <v>42846</v>
      </c>
      <c r="BT2601" s="4">
        <v>0.39583333333333331</v>
      </c>
      <c r="BU2601" s="2" t="s">
        <v>2152</v>
      </c>
      <c r="BV2601" s="2" t="s">
        <v>111</v>
      </c>
      <c r="BW2601" s="2"/>
      <c r="BX2601" s="2"/>
      <c r="BY2601" s="2">
        <v>1200</v>
      </c>
      <c r="BZ2601" s="2" t="s">
        <v>27</v>
      </c>
      <c r="CA2601" s="2"/>
      <c r="CB2601" s="2"/>
      <c r="CC2601" s="2" t="s">
        <v>92</v>
      </c>
      <c r="CD2601" s="2">
        <v>1401</v>
      </c>
      <c r="CE2601" s="2" t="s">
        <v>118</v>
      </c>
      <c r="CF2601" s="5">
        <v>42849</v>
      </c>
      <c r="CG2601" s="2"/>
      <c r="CH2601" s="2"/>
      <c r="CI2601" s="2">
        <v>1</v>
      </c>
      <c r="CJ2601" s="2">
        <v>1</v>
      </c>
      <c r="CK2601" s="2">
        <v>22</v>
      </c>
      <c r="CL2601" s="2" t="s">
        <v>86</v>
      </c>
      <c r="CM2601" s="2"/>
    </row>
    <row r="2602" spans="1:91">
      <c r="A2602" s="2" t="s">
        <v>71</v>
      </c>
      <c r="B2602" s="2" t="s">
        <v>72</v>
      </c>
      <c r="C2602" s="2" t="s">
        <v>73</v>
      </c>
      <c r="D2602" s="2"/>
      <c r="E2602" s="2" t="str">
        <f>"FES1162544652"</f>
        <v>FES1162544652</v>
      </c>
      <c r="F2602" s="3">
        <v>42845</v>
      </c>
      <c r="G2602" s="2">
        <v>201710</v>
      </c>
      <c r="H2602" s="2" t="s">
        <v>74</v>
      </c>
      <c r="I2602" s="2" t="s">
        <v>75</v>
      </c>
      <c r="J2602" s="2" t="s">
        <v>76</v>
      </c>
      <c r="K2602" s="2" t="s">
        <v>77</v>
      </c>
      <c r="L2602" s="2" t="s">
        <v>131</v>
      </c>
      <c r="M2602" s="2" t="s">
        <v>132</v>
      </c>
      <c r="N2602" s="2" t="s">
        <v>363</v>
      </c>
      <c r="O2602" s="2" t="s">
        <v>115</v>
      </c>
      <c r="P2602" s="2" t="str">
        <f>"2170562881                    "</f>
        <v xml:space="preserve">2170562881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4.29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1</v>
      </c>
      <c r="BJ2602" s="2">
        <v>0.2</v>
      </c>
      <c r="BK2602" s="2">
        <v>1</v>
      </c>
      <c r="BL2602" s="2">
        <v>41.73</v>
      </c>
      <c r="BM2602" s="2">
        <v>5.84</v>
      </c>
      <c r="BN2602" s="2">
        <v>47.57</v>
      </c>
      <c r="BO2602" s="2">
        <v>47.57</v>
      </c>
      <c r="BP2602" s="2"/>
      <c r="BQ2602" s="2" t="s">
        <v>170</v>
      </c>
      <c r="BR2602" s="2" t="s">
        <v>84</v>
      </c>
      <c r="BS2602" s="3">
        <v>42846</v>
      </c>
      <c r="BT2602" s="4">
        <v>0.41666666666666669</v>
      </c>
      <c r="BU2602" s="2" t="s">
        <v>2913</v>
      </c>
      <c r="BV2602" s="2" t="s">
        <v>111</v>
      </c>
      <c r="BW2602" s="2"/>
      <c r="BX2602" s="2"/>
      <c r="BY2602" s="2">
        <v>1200</v>
      </c>
      <c r="BZ2602" s="2"/>
      <c r="CA2602" s="2"/>
      <c r="CB2602" s="2"/>
      <c r="CC2602" s="2" t="s">
        <v>132</v>
      </c>
      <c r="CD2602" s="2">
        <v>7441</v>
      </c>
      <c r="CE2602" s="2" t="s">
        <v>118</v>
      </c>
      <c r="CF2602" s="5">
        <v>42849</v>
      </c>
      <c r="CG2602" s="2"/>
      <c r="CH2602" s="2"/>
      <c r="CI2602" s="2">
        <v>1</v>
      </c>
      <c r="CJ2602" s="2">
        <v>1</v>
      </c>
      <c r="CK2602" s="2">
        <v>21</v>
      </c>
      <c r="CL2602" s="2" t="s">
        <v>86</v>
      </c>
      <c r="CM2602" s="2"/>
    </row>
    <row r="2603" spans="1:91">
      <c r="A2603" s="2" t="s">
        <v>71</v>
      </c>
      <c r="B2603" s="2" t="s">
        <v>72</v>
      </c>
      <c r="C2603" s="2" t="s">
        <v>73</v>
      </c>
      <c r="D2603" s="2"/>
      <c r="E2603" s="2" t="str">
        <f>"FES1162544564"</f>
        <v>FES1162544564</v>
      </c>
      <c r="F2603" s="3">
        <v>42845</v>
      </c>
      <c r="G2603" s="2">
        <v>201710</v>
      </c>
      <c r="H2603" s="2" t="s">
        <v>74</v>
      </c>
      <c r="I2603" s="2" t="s">
        <v>75</v>
      </c>
      <c r="J2603" s="2" t="s">
        <v>76</v>
      </c>
      <c r="K2603" s="2" t="s">
        <v>77</v>
      </c>
      <c r="L2603" s="2" t="s">
        <v>1341</v>
      </c>
      <c r="M2603" s="2" t="s">
        <v>1341</v>
      </c>
      <c r="N2603" s="2" t="s">
        <v>1342</v>
      </c>
      <c r="O2603" s="2" t="s">
        <v>115</v>
      </c>
      <c r="P2603" s="2" t="str">
        <f>"2170560996                    "</f>
        <v xml:space="preserve">2170560996 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4.29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1</v>
      </c>
      <c r="BJ2603" s="2">
        <v>0.2</v>
      </c>
      <c r="BK2603" s="2">
        <v>1</v>
      </c>
      <c r="BL2603" s="2">
        <v>41.73</v>
      </c>
      <c r="BM2603" s="2">
        <v>5.84</v>
      </c>
      <c r="BN2603" s="2">
        <v>47.57</v>
      </c>
      <c r="BO2603" s="2">
        <v>47.57</v>
      </c>
      <c r="BP2603" s="2"/>
      <c r="BQ2603" s="2" t="s">
        <v>116</v>
      </c>
      <c r="BR2603" s="2" t="s">
        <v>84</v>
      </c>
      <c r="BS2603" s="3">
        <v>42849</v>
      </c>
      <c r="BT2603" s="4">
        <v>0</v>
      </c>
      <c r="BU2603" s="2" t="s">
        <v>1343</v>
      </c>
      <c r="BV2603" s="2" t="s">
        <v>111</v>
      </c>
      <c r="BW2603" s="2"/>
      <c r="BX2603" s="2"/>
      <c r="BY2603" s="2">
        <v>1200</v>
      </c>
      <c r="BZ2603" s="2" t="s">
        <v>27</v>
      </c>
      <c r="CA2603" s="2"/>
      <c r="CB2603" s="2"/>
      <c r="CC2603" s="2" t="s">
        <v>1341</v>
      </c>
      <c r="CD2603" s="2">
        <v>6835</v>
      </c>
      <c r="CE2603" s="2" t="s">
        <v>118</v>
      </c>
      <c r="CF2603" s="5">
        <v>42853</v>
      </c>
      <c r="CG2603" s="2"/>
      <c r="CH2603" s="2"/>
      <c r="CI2603" s="2">
        <v>3</v>
      </c>
      <c r="CJ2603" s="2">
        <v>2</v>
      </c>
      <c r="CK2603" s="2">
        <v>21</v>
      </c>
      <c r="CL2603" s="2" t="s">
        <v>86</v>
      </c>
      <c r="CM2603" s="2"/>
    </row>
    <row r="2604" spans="1:91">
      <c r="A2604" s="2" t="s">
        <v>71</v>
      </c>
      <c r="B2604" s="2" t="s">
        <v>72</v>
      </c>
      <c r="C2604" s="2" t="s">
        <v>73</v>
      </c>
      <c r="D2604" s="2"/>
      <c r="E2604" s="2" t="str">
        <f>"FES1162544560"</f>
        <v>FES1162544560</v>
      </c>
      <c r="F2604" s="3">
        <v>42845</v>
      </c>
      <c r="G2604" s="2">
        <v>201710</v>
      </c>
      <c r="H2604" s="2" t="s">
        <v>74</v>
      </c>
      <c r="I2604" s="2" t="s">
        <v>75</v>
      </c>
      <c r="J2604" s="2" t="s">
        <v>76</v>
      </c>
      <c r="K2604" s="2" t="s">
        <v>77</v>
      </c>
      <c r="L2604" s="2" t="s">
        <v>396</v>
      </c>
      <c r="M2604" s="2" t="s">
        <v>397</v>
      </c>
      <c r="N2604" s="2" t="s">
        <v>500</v>
      </c>
      <c r="O2604" s="2" t="s">
        <v>115</v>
      </c>
      <c r="P2604" s="2" t="str">
        <f>"2170560951                    "</f>
        <v xml:space="preserve">2170560951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4.29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1</v>
      </c>
      <c r="BJ2604" s="2">
        <v>0.2</v>
      </c>
      <c r="BK2604" s="2">
        <v>1</v>
      </c>
      <c r="BL2604" s="2">
        <v>41.73</v>
      </c>
      <c r="BM2604" s="2">
        <v>5.84</v>
      </c>
      <c r="BN2604" s="2">
        <v>47.57</v>
      </c>
      <c r="BO2604" s="2">
        <v>47.57</v>
      </c>
      <c r="BP2604" s="2"/>
      <c r="BQ2604" s="2" t="s">
        <v>501</v>
      </c>
      <c r="BR2604" s="2" t="s">
        <v>84</v>
      </c>
      <c r="BS2604" s="3">
        <v>42846</v>
      </c>
      <c r="BT2604" s="4">
        <v>0.4375</v>
      </c>
      <c r="BU2604" s="2" t="s">
        <v>2127</v>
      </c>
      <c r="BV2604" s="2" t="s">
        <v>111</v>
      </c>
      <c r="BW2604" s="2"/>
      <c r="BX2604" s="2"/>
      <c r="BY2604" s="2">
        <v>1200</v>
      </c>
      <c r="BZ2604" s="2" t="s">
        <v>27</v>
      </c>
      <c r="CA2604" s="2" t="s">
        <v>159</v>
      </c>
      <c r="CB2604" s="2"/>
      <c r="CC2604" s="2" t="s">
        <v>397</v>
      </c>
      <c r="CD2604" s="2">
        <v>4302</v>
      </c>
      <c r="CE2604" s="2" t="s">
        <v>118</v>
      </c>
      <c r="CF2604" s="5">
        <v>42849</v>
      </c>
      <c r="CG2604" s="2"/>
      <c r="CH2604" s="2"/>
      <c r="CI2604" s="2">
        <v>1</v>
      </c>
      <c r="CJ2604" s="2">
        <v>1</v>
      </c>
      <c r="CK2604" s="2">
        <v>21</v>
      </c>
      <c r="CL2604" s="2" t="s">
        <v>86</v>
      </c>
      <c r="CM2604" s="2"/>
    </row>
    <row r="2605" spans="1:91">
      <c r="A2605" s="2" t="s">
        <v>71</v>
      </c>
      <c r="B2605" s="2" t="s">
        <v>72</v>
      </c>
      <c r="C2605" s="2" t="s">
        <v>73</v>
      </c>
      <c r="D2605" s="2"/>
      <c r="E2605" s="2" t="str">
        <f>"FES1162544535"</f>
        <v>FES1162544535</v>
      </c>
      <c r="F2605" s="3">
        <v>42845</v>
      </c>
      <c r="G2605" s="2">
        <v>201710</v>
      </c>
      <c r="H2605" s="2" t="s">
        <v>74</v>
      </c>
      <c r="I2605" s="2" t="s">
        <v>75</v>
      </c>
      <c r="J2605" s="2" t="s">
        <v>76</v>
      </c>
      <c r="K2605" s="2" t="s">
        <v>77</v>
      </c>
      <c r="L2605" s="2" t="s">
        <v>166</v>
      </c>
      <c r="M2605" s="2" t="s">
        <v>167</v>
      </c>
      <c r="N2605" s="2" t="s">
        <v>168</v>
      </c>
      <c r="O2605" s="2" t="s">
        <v>115</v>
      </c>
      <c r="P2605" s="2" t="str">
        <f>"2170560911                    "</f>
        <v xml:space="preserve">2170560911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3.35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1</v>
      </c>
      <c r="BJ2605" s="2">
        <v>0.2</v>
      </c>
      <c r="BK2605" s="2">
        <v>1</v>
      </c>
      <c r="BL2605" s="2">
        <v>32.6</v>
      </c>
      <c r="BM2605" s="2">
        <v>4.5599999999999996</v>
      </c>
      <c r="BN2605" s="2">
        <v>37.159999999999997</v>
      </c>
      <c r="BO2605" s="2">
        <v>37.159999999999997</v>
      </c>
      <c r="BP2605" s="2"/>
      <c r="BQ2605" s="2" t="s">
        <v>169</v>
      </c>
      <c r="BR2605" s="2" t="s">
        <v>84</v>
      </c>
      <c r="BS2605" s="3">
        <v>42846</v>
      </c>
      <c r="BT2605" s="4">
        <v>0.4145833333333333</v>
      </c>
      <c r="BU2605" s="2" t="s">
        <v>1317</v>
      </c>
      <c r="BV2605" s="2" t="s">
        <v>111</v>
      </c>
      <c r="BW2605" s="2"/>
      <c r="BX2605" s="2"/>
      <c r="BY2605" s="2">
        <v>1200</v>
      </c>
      <c r="BZ2605" s="2"/>
      <c r="CA2605" s="2" t="s">
        <v>171</v>
      </c>
      <c r="CB2605" s="2"/>
      <c r="CC2605" s="2" t="s">
        <v>167</v>
      </c>
      <c r="CD2605" s="2">
        <v>2094</v>
      </c>
      <c r="CE2605" s="2" t="s">
        <v>118</v>
      </c>
      <c r="CF2605" s="5">
        <v>42846</v>
      </c>
      <c r="CG2605" s="2"/>
      <c r="CH2605" s="2"/>
      <c r="CI2605" s="2">
        <v>1</v>
      </c>
      <c r="CJ2605" s="2">
        <v>1</v>
      </c>
      <c r="CK2605" s="2">
        <v>22</v>
      </c>
      <c r="CL2605" s="2" t="s">
        <v>86</v>
      </c>
      <c r="CM2605" s="2"/>
    </row>
    <row r="2606" spans="1:91">
      <c r="A2606" s="2" t="s">
        <v>71</v>
      </c>
      <c r="B2606" s="2" t="s">
        <v>72</v>
      </c>
      <c r="C2606" s="2" t="s">
        <v>73</v>
      </c>
      <c r="D2606" s="2"/>
      <c r="E2606" s="2" t="str">
        <f>"FES1162544498"</f>
        <v>FES1162544498</v>
      </c>
      <c r="F2606" s="3">
        <v>42845</v>
      </c>
      <c r="G2606" s="2">
        <v>201710</v>
      </c>
      <c r="H2606" s="2" t="s">
        <v>74</v>
      </c>
      <c r="I2606" s="2" t="s">
        <v>75</v>
      </c>
      <c r="J2606" s="2" t="s">
        <v>76</v>
      </c>
      <c r="K2606" s="2" t="s">
        <v>77</v>
      </c>
      <c r="L2606" s="2" t="s">
        <v>294</v>
      </c>
      <c r="M2606" s="2" t="s">
        <v>295</v>
      </c>
      <c r="N2606" s="2" t="s">
        <v>2035</v>
      </c>
      <c r="O2606" s="2" t="s">
        <v>115</v>
      </c>
      <c r="P2606" s="2" t="str">
        <f>"1162544497                    "</f>
        <v xml:space="preserve">1162544497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234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4.29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1</v>
      </c>
      <c r="BJ2606" s="2">
        <v>0.2</v>
      </c>
      <c r="BK2606" s="2">
        <v>1</v>
      </c>
      <c r="BL2606" s="2">
        <v>275.73</v>
      </c>
      <c r="BM2606" s="2">
        <v>38.6</v>
      </c>
      <c r="BN2606" s="2">
        <v>314.33</v>
      </c>
      <c r="BO2606" s="2">
        <v>314.33</v>
      </c>
      <c r="BP2606" s="2" t="s">
        <v>540</v>
      </c>
      <c r="BQ2606" s="2" t="s">
        <v>2914</v>
      </c>
      <c r="BR2606" s="2" t="s">
        <v>84</v>
      </c>
      <c r="BS2606" s="3">
        <v>42846</v>
      </c>
      <c r="BT2606" s="4">
        <v>0.31944444444444448</v>
      </c>
      <c r="BU2606" s="2" t="s">
        <v>2069</v>
      </c>
      <c r="BV2606" s="2" t="s">
        <v>111</v>
      </c>
      <c r="BW2606" s="2"/>
      <c r="BX2606" s="2"/>
      <c r="BY2606" s="2">
        <v>1200</v>
      </c>
      <c r="BZ2606" s="2" t="s">
        <v>543</v>
      </c>
      <c r="CA2606" s="2" t="s">
        <v>159</v>
      </c>
      <c r="CB2606" s="2"/>
      <c r="CC2606" s="2" t="s">
        <v>295</v>
      </c>
      <c r="CD2606" s="2">
        <v>3610</v>
      </c>
      <c r="CE2606" s="2" t="s">
        <v>118</v>
      </c>
      <c r="CF2606" s="5">
        <v>42849</v>
      </c>
      <c r="CG2606" s="2"/>
      <c r="CH2606" s="2"/>
      <c r="CI2606" s="2">
        <v>1</v>
      </c>
      <c r="CJ2606" s="2">
        <v>1</v>
      </c>
      <c r="CK2606" s="2">
        <v>21</v>
      </c>
      <c r="CL2606" s="2" t="s">
        <v>111</v>
      </c>
      <c r="CM2606" s="4">
        <v>0.31944444444444448</v>
      </c>
    </row>
    <row r="2607" spans="1:91">
      <c r="A2607" s="2" t="s">
        <v>71</v>
      </c>
      <c r="B2607" s="2" t="s">
        <v>72</v>
      </c>
      <c r="C2607" s="2" t="s">
        <v>73</v>
      </c>
      <c r="D2607" s="2"/>
      <c r="E2607" s="2" t="str">
        <f>"FES1162544592"</f>
        <v>FES1162544592</v>
      </c>
      <c r="F2607" s="3">
        <v>42845</v>
      </c>
      <c r="G2607" s="2">
        <v>201710</v>
      </c>
      <c r="H2607" s="2" t="s">
        <v>74</v>
      </c>
      <c r="I2607" s="2" t="s">
        <v>75</v>
      </c>
      <c r="J2607" s="2" t="s">
        <v>76</v>
      </c>
      <c r="K2607" s="2" t="s">
        <v>77</v>
      </c>
      <c r="L2607" s="2" t="s">
        <v>166</v>
      </c>
      <c r="M2607" s="2" t="s">
        <v>167</v>
      </c>
      <c r="N2607" s="2" t="s">
        <v>168</v>
      </c>
      <c r="O2607" s="2" t="s">
        <v>115</v>
      </c>
      <c r="P2607" s="2" t="str">
        <f>"2170563131                    "</f>
        <v xml:space="preserve">2170563131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3.35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1</v>
      </c>
      <c r="BJ2607" s="2">
        <v>0.2</v>
      </c>
      <c r="BK2607" s="2">
        <v>1</v>
      </c>
      <c r="BL2607" s="2">
        <v>32.6</v>
      </c>
      <c r="BM2607" s="2">
        <v>4.5599999999999996</v>
      </c>
      <c r="BN2607" s="2">
        <v>37.159999999999997</v>
      </c>
      <c r="BO2607" s="2">
        <v>37.159999999999997</v>
      </c>
      <c r="BP2607" s="2"/>
      <c r="BQ2607" s="2" t="s">
        <v>169</v>
      </c>
      <c r="BR2607" s="2" t="s">
        <v>84</v>
      </c>
      <c r="BS2607" s="3">
        <v>42846</v>
      </c>
      <c r="BT2607" s="4">
        <v>0.4152777777777778</v>
      </c>
      <c r="BU2607" s="2" t="s">
        <v>1317</v>
      </c>
      <c r="BV2607" s="2" t="s">
        <v>111</v>
      </c>
      <c r="BW2607" s="2"/>
      <c r="BX2607" s="2"/>
      <c r="BY2607" s="2">
        <v>1200</v>
      </c>
      <c r="BZ2607" s="2"/>
      <c r="CA2607" s="2" t="s">
        <v>171</v>
      </c>
      <c r="CB2607" s="2"/>
      <c r="CC2607" s="2" t="s">
        <v>167</v>
      </c>
      <c r="CD2607" s="2">
        <v>2094</v>
      </c>
      <c r="CE2607" s="2" t="s">
        <v>118</v>
      </c>
      <c r="CF2607" s="5">
        <v>42846</v>
      </c>
      <c r="CG2607" s="2"/>
      <c r="CH2607" s="2"/>
      <c r="CI2607" s="2">
        <v>1</v>
      </c>
      <c r="CJ2607" s="2">
        <v>1</v>
      </c>
      <c r="CK2607" s="2">
        <v>22</v>
      </c>
      <c r="CL2607" s="2" t="s">
        <v>86</v>
      </c>
      <c r="CM2607" s="2"/>
    </row>
    <row r="2608" spans="1:91">
      <c r="A2608" s="2" t="s">
        <v>71</v>
      </c>
      <c r="B2608" s="2" t="s">
        <v>72</v>
      </c>
      <c r="C2608" s="2" t="s">
        <v>73</v>
      </c>
      <c r="D2608" s="2"/>
      <c r="E2608" s="2" t="str">
        <f>"FES1162544318"</f>
        <v>FES1162544318</v>
      </c>
      <c r="F2608" s="3">
        <v>42845</v>
      </c>
      <c r="G2608" s="2">
        <v>201710</v>
      </c>
      <c r="H2608" s="2" t="s">
        <v>74</v>
      </c>
      <c r="I2608" s="2" t="s">
        <v>75</v>
      </c>
      <c r="J2608" s="2" t="s">
        <v>76</v>
      </c>
      <c r="K2608" s="2" t="s">
        <v>77</v>
      </c>
      <c r="L2608" s="2" t="s">
        <v>322</v>
      </c>
      <c r="M2608" s="2" t="s">
        <v>323</v>
      </c>
      <c r="N2608" s="2" t="s">
        <v>2915</v>
      </c>
      <c r="O2608" s="2" t="s">
        <v>115</v>
      </c>
      <c r="P2608" s="2" t="str">
        <f>"2170562928                    "</f>
        <v xml:space="preserve">2170562928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3.35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1</v>
      </c>
      <c r="BJ2608" s="2">
        <v>0.2</v>
      </c>
      <c r="BK2608" s="2">
        <v>1</v>
      </c>
      <c r="BL2608" s="2">
        <v>32.6</v>
      </c>
      <c r="BM2608" s="2">
        <v>4.5599999999999996</v>
      </c>
      <c r="BN2608" s="2">
        <v>37.159999999999997</v>
      </c>
      <c r="BO2608" s="2">
        <v>37.159999999999997</v>
      </c>
      <c r="BP2608" s="2"/>
      <c r="BQ2608" s="2" t="s">
        <v>2916</v>
      </c>
      <c r="BR2608" s="2" t="s">
        <v>84</v>
      </c>
      <c r="BS2608" s="3">
        <v>42846</v>
      </c>
      <c r="BT2608" s="4">
        <v>0.41666666666666669</v>
      </c>
      <c r="BU2608" s="2" t="s">
        <v>654</v>
      </c>
      <c r="BV2608" s="2" t="s">
        <v>111</v>
      </c>
      <c r="BW2608" s="2"/>
      <c r="BX2608" s="2"/>
      <c r="BY2608" s="2">
        <v>1200</v>
      </c>
      <c r="BZ2608" s="2" t="s">
        <v>27</v>
      </c>
      <c r="CA2608" s="2"/>
      <c r="CB2608" s="2"/>
      <c r="CC2608" s="2" t="s">
        <v>323</v>
      </c>
      <c r="CD2608" s="2">
        <v>1682</v>
      </c>
      <c r="CE2608" s="2" t="s">
        <v>118</v>
      </c>
      <c r="CF2608" s="5">
        <v>42849</v>
      </c>
      <c r="CG2608" s="2"/>
      <c r="CH2608" s="2"/>
      <c r="CI2608" s="2">
        <v>1</v>
      </c>
      <c r="CJ2608" s="2">
        <v>1</v>
      </c>
      <c r="CK2608" s="2">
        <v>22</v>
      </c>
      <c r="CL2608" s="2" t="s">
        <v>86</v>
      </c>
      <c r="CM2608" s="2"/>
    </row>
    <row r="2609" spans="1:91">
      <c r="A2609" s="2" t="s">
        <v>71</v>
      </c>
      <c r="B2609" s="2" t="s">
        <v>72</v>
      </c>
      <c r="C2609" s="2" t="s">
        <v>73</v>
      </c>
      <c r="D2609" s="2"/>
      <c r="E2609" s="2" t="str">
        <f>"FES1162544558"</f>
        <v>FES1162544558</v>
      </c>
      <c r="F2609" s="3">
        <v>42845</v>
      </c>
      <c r="G2609" s="2">
        <v>201710</v>
      </c>
      <c r="H2609" s="2" t="s">
        <v>74</v>
      </c>
      <c r="I2609" s="2" t="s">
        <v>75</v>
      </c>
      <c r="J2609" s="2" t="s">
        <v>76</v>
      </c>
      <c r="K2609" s="2" t="s">
        <v>77</v>
      </c>
      <c r="L2609" s="2" t="s">
        <v>74</v>
      </c>
      <c r="M2609" s="2" t="s">
        <v>75</v>
      </c>
      <c r="N2609" s="2" t="s">
        <v>381</v>
      </c>
      <c r="O2609" s="2" t="s">
        <v>115</v>
      </c>
      <c r="P2609" s="2" t="str">
        <f>"2170560925                    "</f>
        <v xml:space="preserve">2170560925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3.35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1</v>
      </c>
      <c r="BJ2609" s="2">
        <v>0.2</v>
      </c>
      <c r="BK2609" s="2">
        <v>1</v>
      </c>
      <c r="BL2609" s="2">
        <v>32.6</v>
      </c>
      <c r="BM2609" s="2">
        <v>4.5599999999999996</v>
      </c>
      <c r="BN2609" s="2">
        <v>37.159999999999997</v>
      </c>
      <c r="BO2609" s="2">
        <v>37.159999999999997</v>
      </c>
      <c r="BP2609" s="2"/>
      <c r="BQ2609" s="2" t="s">
        <v>122</v>
      </c>
      <c r="BR2609" s="2" t="s">
        <v>84</v>
      </c>
      <c r="BS2609" s="3">
        <v>42846</v>
      </c>
      <c r="BT2609" s="4">
        <v>0.30555555555555552</v>
      </c>
      <c r="BU2609" s="2" t="s">
        <v>382</v>
      </c>
      <c r="BV2609" s="2" t="s">
        <v>111</v>
      </c>
      <c r="BW2609" s="2"/>
      <c r="BX2609" s="2"/>
      <c r="BY2609" s="2">
        <v>1200</v>
      </c>
      <c r="BZ2609" s="2"/>
      <c r="CA2609" s="2" t="s">
        <v>383</v>
      </c>
      <c r="CB2609" s="2"/>
      <c r="CC2609" s="2" t="s">
        <v>75</v>
      </c>
      <c r="CD2609" s="2">
        <v>1624</v>
      </c>
      <c r="CE2609" s="2" t="s">
        <v>118</v>
      </c>
      <c r="CF2609" s="5">
        <v>42846</v>
      </c>
      <c r="CG2609" s="2"/>
      <c r="CH2609" s="2"/>
      <c r="CI2609" s="2">
        <v>1</v>
      </c>
      <c r="CJ2609" s="2">
        <v>1</v>
      </c>
      <c r="CK2609" s="2">
        <v>22</v>
      </c>
      <c r="CL2609" s="2" t="s">
        <v>86</v>
      </c>
      <c r="CM2609" s="2"/>
    </row>
    <row r="2610" spans="1:91">
      <c r="A2610" s="2" t="s">
        <v>71</v>
      </c>
      <c r="B2610" s="2" t="s">
        <v>72</v>
      </c>
      <c r="C2610" s="2" t="s">
        <v>73</v>
      </c>
      <c r="D2610" s="2"/>
      <c r="E2610" s="2" t="str">
        <f>"FES1162544454"</f>
        <v>FES1162544454</v>
      </c>
      <c r="F2610" s="3">
        <v>42845</v>
      </c>
      <c r="G2610" s="2">
        <v>201710</v>
      </c>
      <c r="H2610" s="2" t="s">
        <v>74</v>
      </c>
      <c r="I2610" s="2" t="s">
        <v>75</v>
      </c>
      <c r="J2610" s="2" t="s">
        <v>76</v>
      </c>
      <c r="K2610" s="2" t="s">
        <v>77</v>
      </c>
      <c r="L2610" s="2" t="s">
        <v>267</v>
      </c>
      <c r="M2610" s="2" t="s">
        <v>268</v>
      </c>
      <c r="N2610" s="2" t="s">
        <v>2653</v>
      </c>
      <c r="O2610" s="2" t="s">
        <v>115</v>
      </c>
      <c r="P2610" s="2" t="str">
        <f>"2170563054                    "</f>
        <v xml:space="preserve">2170563054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3.35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7.5</v>
      </c>
      <c r="BJ2610" s="2">
        <v>3.3</v>
      </c>
      <c r="BK2610" s="2">
        <v>8</v>
      </c>
      <c r="BL2610" s="2">
        <v>32.6</v>
      </c>
      <c r="BM2610" s="2">
        <v>4.5599999999999996</v>
      </c>
      <c r="BN2610" s="2">
        <v>37.159999999999997</v>
      </c>
      <c r="BO2610" s="2">
        <v>37.159999999999997</v>
      </c>
      <c r="BP2610" s="2"/>
      <c r="BQ2610" s="2" t="s">
        <v>2654</v>
      </c>
      <c r="BR2610" s="2" t="s">
        <v>84</v>
      </c>
      <c r="BS2610" s="3">
        <v>42846</v>
      </c>
      <c r="BT2610" s="4">
        <v>0.41666666666666669</v>
      </c>
      <c r="BU2610" s="2" t="s">
        <v>1795</v>
      </c>
      <c r="BV2610" s="2" t="s">
        <v>111</v>
      </c>
      <c r="BW2610" s="2"/>
      <c r="BX2610" s="2"/>
      <c r="BY2610" s="2">
        <v>16272.58</v>
      </c>
      <c r="BZ2610" s="2" t="s">
        <v>27</v>
      </c>
      <c r="CA2610" s="2"/>
      <c r="CB2610" s="2"/>
      <c r="CC2610" s="2" t="s">
        <v>268</v>
      </c>
      <c r="CD2610" s="2">
        <v>1700</v>
      </c>
      <c r="CE2610" s="2" t="s">
        <v>89</v>
      </c>
      <c r="CF2610" s="5">
        <v>42849</v>
      </c>
      <c r="CG2610" s="2"/>
      <c r="CH2610" s="2"/>
      <c r="CI2610" s="2">
        <v>1</v>
      </c>
      <c r="CJ2610" s="2">
        <v>1</v>
      </c>
      <c r="CK2610" s="2">
        <v>22</v>
      </c>
      <c r="CL2610" s="2" t="s">
        <v>86</v>
      </c>
      <c r="CM2610" s="2"/>
    </row>
    <row r="2611" spans="1:91">
      <c r="A2611" s="2" t="s">
        <v>71</v>
      </c>
      <c r="B2611" s="2" t="s">
        <v>72</v>
      </c>
      <c r="C2611" s="2" t="s">
        <v>73</v>
      </c>
      <c r="D2611" s="2"/>
      <c r="E2611" s="2" t="str">
        <f>"FES1162544556"</f>
        <v>FES1162544556</v>
      </c>
      <c r="F2611" s="3">
        <v>42845</v>
      </c>
      <c r="G2611" s="2">
        <v>201710</v>
      </c>
      <c r="H2611" s="2" t="s">
        <v>74</v>
      </c>
      <c r="I2611" s="2" t="s">
        <v>75</v>
      </c>
      <c r="J2611" s="2" t="s">
        <v>76</v>
      </c>
      <c r="K2611" s="2" t="s">
        <v>77</v>
      </c>
      <c r="L2611" s="2" t="s">
        <v>166</v>
      </c>
      <c r="M2611" s="2" t="s">
        <v>167</v>
      </c>
      <c r="N2611" s="2" t="s">
        <v>168</v>
      </c>
      <c r="O2611" s="2" t="s">
        <v>115</v>
      </c>
      <c r="P2611" s="2" t="str">
        <f>"2170560911                    "</f>
        <v xml:space="preserve">2170560911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3.35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1</v>
      </c>
      <c r="BJ2611" s="2">
        <v>0.2</v>
      </c>
      <c r="BK2611" s="2">
        <v>1</v>
      </c>
      <c r="BL2611" s="2">
        <v>32.6</v>
      </c>
      <c r="BM2611" s="2">
        <v>4.5599999999999996</v>
      </c>
      <c r="BN2611" s="2">
        <v>37.159999999999997</v>
      </c>
      <c r="BO2611" s="2">
        <v>37.159999999999997</v>
      </c>
      <c r="BP2611" s="2"/>
      <c r="BQ2611" s="2" t="s">
        <v>169</v>
      </c>
      <c r="BR2611" s="2" t="s">
        <v>84</v>
      </c>
      <c r="BS2611" s="3">
        <v>42846</v>
      </c>
      <c r="BT2611" s="4">
        <v>0.4152777777777778</v>
      </c>
      <c r="BU2611" s="2" t="s">
        <v>1317</v>
      </c>
      <c r="BV2611" s="2" t="s">
        <v>111</v>
      </c>
      <c r="BW2611" s="2"/>
      <c r="BX2611" s="2"/>
      <c r="BY2611" s="2">
        <v>1200</v>
      </c>
      <c r="BZ2611" s="2"/>
      <c r="CA2611" s="2" t="s">
        <v>171</v>
      </c>
      <c r="CB2611" s="2"/>
      <c r="CC2611" s="2" t="s">
        <v>167</v>
      </c>
      <c r="CD2611" s="2">
        <v>2094</v>
      </c>
      <c r="CE2611" s="2" t="s">
        <v>118</v>
      </c>
      <c r="CF2611" s="5">
        <v>42846</v>
      </c>
      <c r="CG2611" s="2"/>
      <c r="CH2611" s="2"/>
      <c r="CI2611" s="2">
        <v>1</v>
      </c>
      <c r="CJ2611" s="2">
        <v>1</v>
      </c>
      <c r="CK2611" s="2">
        <v>22</v>
      </c>
      <c r="CL2611" s="2" t="s">
        <v>86</v>
      </c>
      <c r="CM2611" s="2"/>
    </row>
    <row r="2612" spans="1:91">
      <c r="A2612" s="2" t="s">
        <v>71</v>
      </c>
      <c r="B2612" s="2" t="s">
        <v>72</v>
      </c>
      <c r="C2612" s="2" t="s">
        <v>73</v>
      </c>
      <c r="D2612" s="2"/>
      <c r="E2612" s="2" t="str">
        <f>"FES1162544597"</f>
        <v>FES1162544597</v>
      </c>
      <c r="F2612" s="3">
        <v>42845</v>
      </c>
      <c r="G2612" s="2">
        <v>201710</v>
      </c>
      <c r="H2612" s="2" t="s">
        <v>74</v>
      </c>
      <c r="I2612" s="2" t="s">
        <v>75</v>
      </c>
      <c r="J2612" s="2" t="s">
        <v>76</v>
      </c>
      <c r="K2612" s="2" t="s">
        <v>77</v>
      </c>
      <c r="L2612" s="2" t="s">
        <v>275</v>
      </c>
      <c r="M2612" s="2" t="s">
        <v>276</v>
      </c>
      <c r="N2612" s="2" t="s">
        <v>277</v>
      </c>
      <c r="O2612" s="2" t="s">
        <v>115</v>
      </c>
      <c r="P2612" s="2" t="str">
        <f>"2170563142                    "</f>
        <v xml:space="preserve">2170563142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4.29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</v>
      </c>
      <c r="BJ2612" s="2">
        <v>0.2</v>
      </c>
      <c r="BK2612" s="2">
        <v>1</v>
      </c>
      <c r="BL2612" s="2">
        <v>41.73</v>
      </c>
      <c r="BM2612" s="2">
        <v>5.84</v>
      </c>
      <c r="BN2612" s="2">
        <v>47.57</v>
      </c>
      <c r="BO2612" s="2">
        <v>47.57</v>
      </c>
      <c r="BP2612" s="2"/>
      <c r="BQ2612" s="2" t="s">
        <v>278</v>
      </c>
      <c r="BR2612" s="2" t="s">
        <v>84</v>
      </c>
      <c r="BS2612" s="3">
        <v>42846</v>
      </c>
      <c r="BT2612" s="4">
        <v>0.34722222222222227</v>
      </c>
      <c r="BU2612" s="2" t="s">
        <v>1831</v>
      </c>
      <c r="BV2612" s="2" t="s">
        <v>111</v>
      </c>
      <c r="BW2612" s="2"/>
      <c r="BX2612" s="2"/>
      <c r="BY2612" s="2">
        <v>1200</v>
      </c>
      <c r="BZ2612" s="2" t="s">
        <v>27</v>
      </c>
      <c r="CA2612" s="2"/>
      <c r="CB2612" s="2"/>
      <c r="CC2612" s="2" t="s">
        <v>276</v>
      </c>
      <c r="CD2612" s="2">
        <v>4126</v>
      </c>
      <c r="CE2612" s="2" t="s">
        <v>118</v>
      </c>
      <c r="CF2612" s="5">
        <v>42849</v>
      </c>
      <c r="CG2612" s="2"/>
      <c r="CH2612" s="2"/>
      <c r="CI2612" s="2">
        <v>1</v>
      </c>
      <c r="CJ2612" s="2">
        <v>1</v>
      </c>
      <c r="CK2612" s="2">
        <v>21</v>
      </c>
      <c r="CL2612" s="2" t="s">
        <v>86</v>
      </c>
      <c r="CM2612" s="2"/>
    </row>
    <row r="2613" spans="1:91">
      <c r="A2613" s="2" t="s">
        <v>71</v>
      </c>
      <c r="B2613" s="2" t="s">
        <v>72</v>
      </c>
      <c r="C2613" s="2" t="s">
        <v>73</v>
      </c>
      <c r="D2613" s="2"/>
      <c r="E2613" s="2" t="str">
        <f>"FES1162544715"</f>
        <v>FES1162544715</v>
      </c>
      <c r="F2613" s="3">
        <v>42845</v>
      </c>
      <c r="G2613" s="2">
        <v>201710</v>
      </c>
      <c r="H2613" s="2" t="s">
        <v>74</v>
      </c>
      <c r="I2613" s="2" t="s">
        <v>75</v>
      </c>
      <c r="J2613" s="2" t="s">
        <v>76</v>
      </c>
      <c r="K2613" s="2" t="s">
        <v>77</v>
      </c>
      <c r="L2613" s="2" t="s">
        <v>220</v>
      </c>
      <c r="M2613" s="2" t="s">
        <v>221</v>
      </c>
      <c r="N2613" s="2" t="s">
        <v>222</v>
      </c>
      <c r="O2613" s="2" t="s">
        <v>115</v>
      </c>
      <c r="P2613" s="2" t="str">
        <f>"2170563275                    "</f>
        <v xml:space="preserve">2170563275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4.29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1</v>
      </c>
      <c r="BJ2613" s="2">
        <v>0.2</v>
      </c>
      <c r="BK2613" s="2">
        <v>1</v>
      </c>
      <c r="BL2613" s="2">
        <v>41.73</v>
      </c>
      <c r="BM2613" s="2">
        <v>5.84</v>
      </c>
      <c r="BN2613" s="2">
        <v>47.57</v>
      </c>
      <c r="BO2613" s="2">
        <v>47.57</v>
      </c>
      <c r="BP2613" s="2"/>
      <c r="BQ2613" s="2" t="s">
        <v>223</v>
      </c>
      <c r="BR2613" s="2" t="s">
        <v>84</v>
      </c>
      <c r="BS2613" s="3">
        <v>42846</v>
      </c>
      <c r="BT2613" s="4">
        <v>0.40277777777777773</v>
      </c>
      <c r="BU2613" s="2" t="s">
        <v>223</v>
      </c>
      <c r="BV2613" s="2" t="s">
        <v>111</v>
      </c>
      <c r="BW2613" s="2"/>
      <c r="BX2613" s="2"/>
      <c r="BY2613" s="2">
        <v>1200</v>
      </c>
      <c r="BZ2613" s="2"/>
      <c r="CA2613" s="2"/>
      <c r="CB2613" s="2"/>
      <c r="CC2613" s="2" t="s">
        <v>221</v>
      </c>
      <c r="CD2613" s="2">
        <v>6536</v>
      </c>
      <c r="CE2613" s="2" t="s">
        <v>118</v>
      </c>
      <c r="CF2613" s="5">
        <v>42849</v>
      </c>
      <c r="CG2613" s="2"/>
      <c r="CH2613" s="2"/>
      <c r="CI2613" s="2">
        <v>1</v>
      </c>
      <c r="CJ2613" s="2">
        <v>1</v>
      </c>
      <c r="CK2613" s="2">
        <v>21</v>
      </c>
      <c r="CL2613" s="2" t="s">
        <v>86</v>
      </c>
      <c r="CM2613" s="2"/>
    </row>
    <row r="2614" spans="1:91">
      <c r="A2614" s="2" t="s">
        <v>71</v>
      </c>
      <c r="B2614" s="2" t="s">
        <v>72</v>
      </c>
      <c r="C2614" s="2" t="s">
        <v>73</v>
      </c>
      <c r="D2614" s="2"/>
      <c r="E2614" s="2" t="str">
        <f>"FES1162544468"</f>
        <v>FES1162544468</v>
      </c>
      <c r="F2614" s="3">
        <v>42845</v>
      </c>
      <c r="G2614" s="2">
        <v>201710</v>
      </c>
      <c r="H2614" s="2" t="s">
        <v>74</v>
      </c>
      <c r="I2614" s="2" t="s">
        <v>75</v>
      </c>
      <c r="J2614" s="2" t="s">
        <v>76</v>
      </c>
      <c r="K2614" s="2" t="s">
        <v>77</v>
      </c>
      <c r="L2614" s="2" t="s">
        <v>396</v>
      </c>
      <c r="M2614" s="2" t="s">
        <v>397</v>
      </c>
      <c r="N2614" s="2" t="s">
        <v>1447</v>
      </c>
      <c r="O2614" s="2" t="s">
        <v>115</v>
      </c>
      <c r="P2614" s="2" t="str">
        <f>"2170562554                    "</f>
        <v xml:space="preserve">2170562554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4.29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1</v>
      </c>
      <c r="BJ2614" s="2">
        <v>0.2</v>
      </c>
      <c r="BK2614" s="2">
        <v>1</v>
      </c>
      <c r="BL2614" s="2">
        <v>41.73</v>
      </c>
      <c r="BM2614" s="2">
        <v>5.84</v>
      </c>
      <c r="BN2614" s="2">
        <v>47.57</v>
      </c>
      <c r="BO2614" s="2">
        <v>47.57</v>
      </c>
      <c r="BP2614" s="2"/>
      <c r="BQ2614" s="2" t="s">
        <v>1448</v>
      </c>
      <c r="BR2614" s="2" t="s">
        <v>84</v>
      </c>
      <c r="BS2614" s="3">
        <v>42846</v>
      </c>
      <c r="BT2614" s="4">
        <v>0.4375</v>
      </c>
      <c r="BU2614" s="2" t="s">
        <v>2917</v>
      </c>
      <c r="BV2614" s="2" t="s">
        <v>111</v>
      </c>
      <c r="BW2614" s="2"/>
      <c r="BX2614" s="2"/>
      <c r="BY2614" s="2">
        <v>1200</v>
      </c>
      <c r="BZ2614" s="2" t="s">
        <v>27</v>
      </c>
      <c r="CA2614" s="2" t="s">
        <v>159</v>
      </c>
      <c r="CB2614" s="2"/>
      <c r="CC2614" s="2" t="s">
        <v>397</v>
      </c>
      <c r="CD2614" s="2">
        <v>4300</v>
      </c>
      <c r="CE2614" s="2" t="s">
        <v>118</v>
      </c>
      <c r="CF2614" s="5">
        <v>42849</v>
      </c>
      <c r="CG2614" s="2"/>
      <c r="CH2614" s="2"/>
      <c r="CI2614" s="2">
        <v>1</v>
      </c>
      <c r="CJ2614" s="2">
        <v>1</v>
      </c>
      <c r="CK2614" s="2">
        <v>21</v>
      </c>
      <c r="CL2614" s="2" t="s">
        <v>86</v>
      </c>
      <c r="CM2614" s="2"/>
    </row>
    <row r="2615" spans="1:91">
      <c r="A2615" s="2" t="s">
        <v>71</v>
      </c>
      <c r="B2615" s="2" t="s">
        <v>72</v>
      </c>
      <c r="C2615" s="2" t="s">
        <v>73</v>
      </c>
      <c r="D2615" s="2"/>
      <c r="E2615" s="2" t="str">
        <f>"FES1162544593"</f>
        <v>FES1162544593</v>
      </c>
      <c r="F2615" s="3">
        <v>42845</v>
      </c>
      <c r="G2615" s="2">
        <v>201710</v>
      </c>
      <c r="H2615" s="2" t="s">
        <v>74</v>
      </c>
      <c r="I2615" s="2" t="s">
        <v>75</v>
      </c>
      <c r="J2615" s="2" t="s">
        <v>76</v>
      </c>
      <c r="K2615" s="2" t="s">
        <v>77</v>
      </c>
      <c r="L2615" s="2" t="s">
        <v>369</v>
      </c>
      <c r="M2615" s="2" t="s">
        <v>370</v>
      </c>
      <c r="N2615" s="2" t="s">
        <v>465</v>
      </c>
      <c r="O2615" s="2" t="s">
        <v>115</v>
      </c>
      <c r="P2615" s="2" t="str">
        <f>"2170563134                    "</f>
        <v xml:space="preserve">2170563134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8.31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1</v>
      </c>
      <c r="BJ2615" s="2">
        <v>0.2</v>
      </c>
      <c r="BK2615" s="2">
        <v>1</v>
      </c>
      <c r="BL2615" s="2">
        <v>80.849999999999994</v>
      </c>
      <c r="BM2615" s="2">
        <v>11.32</v>
      </c>
      <c r="BN2615" s="2">
        <v>92.17</v>
      </c>
      <c r="BO2615" s="2">
        <v>92.17</v>
      </c>
      <c r="BP2615" s="2"/>
      <c r="BQ2615" s="2" t="s">
        <v>466</v>
      </c>
      <c r="BR2615" s="2" t="s">
        <v>84</v>
      </c>
      <c r="BS2615" s="3">
        <v>42846</v>
      </c>
      <c r="BT2615" s="4">
        <v>0.54166666666666663</v>
      </c>
      <c r="BU2615" s="2" t="s">
        <v>2918</v>
      </c>
      <c r="BV2615" s="2" t="s">
        <v>111</v>
      </c>
      <c r="BW2615" s="2"/>
      <c r="BX2615" s="2"/>
      <c r="BY2615" s="2">
        <v>1200</v>
      </c>
      <c r="BZ2615" s="2" t="s">
        <v>27</v>
      </c>
      <c r="CA2615" s="2"/>
      <c r="CB2615" s="2"/>
      <c r="CC2615" s="2" t="s">
        <v>370</v>
      </c>
      <c r="CD2615" s="2">
        <v>4252</v>
      </c>
      <c r="CE2615" s="2" t="s">
        <v>118</v>
      </c>
      <c r="CF2615" s="5">
        <v>42849</v>
      </c>
      <c r="CG2615" s="2"/>
      <c r="CH2615" s="2"/>
      <c r="CI2615" s="2">
        <v>1</v>
      </c>
      <c r="CJ2615" s="2">
        <v>1</v>
      </c>
      <c r="CK2615" s="2">
        <v>23</v>
      </c>
      <c r="CL2615" s="2" t="s">
        <v>86</v>
      </c>
      <c r="CM2615" s="2"/>
    </row>
    <row r="2616" spans="1:91">
      <c r="A2616" s="2" t="s">
        <v>71</v>
      </c>
      <c r="B2616" s="2" t="s">
        <v>72</v>
      </c>
      <c r="C2616" s="2" t="s">
        <v>73</v>
      </c>
      <c r="D2616" s="2"/>
      <c r="E2616" s="2" t="str">
        <f>"FES1162544622"</f>
        <v>FES1162544622</v>
      </c>
      <c r="F2616" s="3">
        <v>42845</v>
      </c>
      <c r="G2616" s="2">
        <v>201710</v>
      </c>
      <c r="H2616" s="2" t="s">
        <v>74</v>
      </c>
      <c r="I2616" s="2" t="s">
        <v>75</v>
      </c>
      <c r="J2616" s="2" t="s">
        <v>76</v>
      </c>
      <c r="K2616" s="2" t="s">
        <v>77</v>
      </c>
      <c r="L2616" s="2" t="s">
        <v>260</v>
      </c>
      <c r="M2616" s="2" t="s">
        <v>261</v>
      </c>
      <c r="N2616" s="2" t="s">
        <v>2919</v>
      </c>
      <c r="O2616" s="2" t="s">
        <v>115</v>
      </c>
      <c r="P2616" s="2" t="str">
        <f>"2170563170                    "</f>
        <v xml:space="preserve">2170563170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3.35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2.5</v>
      </c>
      <c r="BJ2616" s="2">
        <v>3.5</v>
      </c>
      <c r="BK2616" s="2">
        <v>4</v>
      </c>
      <c r="BL2616" s="2">
        <v>32.6</v>
      </c>
      <c r="BM2616" s="2">
        <v>4.5599999999999996</v>
      </c>
      <c r="BN2616" s="2">
        <v>37.159999999999997</v>
      </c>
      <c r="BO2616" s="2">
        <v>37.159999999999997</v>
      </c>
      <c r="BP2616" s="2"/>
      <c r="BQ2616" s="2" t="s">
        <v>2920</v>
      </c>
      <c r="BR2616" s="2" t="s">
        <v>84</v>
      </c>
      <c r="BS2616" s="3">
        <v>42846</v>
      </c>
      <c r="BT2616" s="4">
        <v>0.41666666666666669</v>
      </c>
      <c r="BU2616" s="2" t="s">
        <v>2921</v>
      </c>
      <c r="BV2616" s="2" t="s">
        <v>111</v>
      </c>
      <c r="BW2616" s="2"/>
      <c r="BX2616" s="2"/>
      <c r="BY2616" s="2">
        <v>17717.7</v>
      </c>
      <c r="BZ2616" s="2"/>
      <c r="CA2616" s="2"/>
      <c r="CB2616" s="2"/>
      <c r="CC2616" s="2" t="s">
        <v>261</v>
      </c>
      <c r="CD2616" s="2">
        <v>1451</v>
      </c>
      <c r="CE2616" s="2" t="s">
        <v>89</v>
      </c>
      <c r="CF2616" s="5">
        <v>42849</v>
      </c>
      <c r="CG2616" s="2"/>
      <c r="CH2616" s="2"/>
      <c r="CI2616" s="2">
        <v>1</v>
      </c>
      <c r="CJ2616" s="2">
        <v>1</v>
      </c>
      <c r="CK2616" s="2">
        <v>22</v>
      </c>
      <c r="CL2616" s="2" t="s">
        <v>86</v>
      </c>
      <c r="CM2616" s="2"/>
    </row>
    <row r="2617" spans="1:91">
      <c r="A2617" s="2" t="s">
        <v>71</v>
      </c>
      <c r="B2617" s="2" t="s">
        <v>72</v>
      </c>
      <c r="C2617" s="2" t="s">
        <v>73</v>
      </c>
      <c r="D2617" s="2"/>
      <c r="E2617" s="2" t="str">
        <f>"FES1162544583"</f>
        <v>FES1162544583</v>
      </c>
      <c r="F2617" s="3">
        <v>42845</v>
      </c>
      <c r="G2617" s="2">
        <v>201710</v>
      </c>
      <c r="H2617" s="2" t="s">
        <v>74</v>
      </c>
      <c r="I2617" s="2" t="s">
        <v>75</v>
      </c>
      <c r="J2617" s="2" t="s">
        <v>76</v>
      </c>
      <c r="K2617" s="2" t="s">
        <v>77</v>
      </c>
      <c r="L2617" s="2" t="s">
        <v>112</v>
      </c>
      <c r="M2617" s="2" t="s">
        <v>113</v>
      </c>
      <c r="N2617" s="2" t="s">
        <v>1816</v>
      </c>
      <c r="O2617" s="2" t="s">
        <v>115</v>
      </c>
      <c r="P2617" s="2" t="str">
        <f>"2170563127                    "</f>
        <v xml:space="preserve">2170563127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4.29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1</v>
      </c>
      <c r="BJ2617" s="2">
        <v>0.2</v>
      </c>
      <c r="BK2617" s="2">
        <v>1</v>
      </c>
      <c r="BL2617" s="2">
        <v>41.73</v>
      </c>
      <c r="BM2617" s="2">
        <v>5.84</v>
      </c>
      <c r="BN2617" s="2">
        <v>47.57</v>
      </c>
      <c r="BO2617" s="2">
        <v>47.57</v>
      </c>
      <c r="BP2617" s="2"/>
      <c r="BQ2617" s="2" t="s">
        <v>1817</v>
      </c>
      <c r="BR2617" s="2" t="s">
        <v>84</v>
      </c>
      <c r="BS2617" s="3">
        <v>42846</v>
      </c>
      <c r="BT2617" s="4">
        <v>0.38541666666666669</v>
      </c>
      <c r="BU2617" s="2" t="s">
        <v>2922</v>
      </c>
      <c r="BV2617" s="2" t="s">
        <v>111</v>
      </c>
      <c r="BW2617" s="2"/>
      <c r="BX2617" s="2"/>
      <c r="BY2617" s="2">
        <v>1200</v>
      </c>
      <c r="BZ2617" s="2" t="s">
        <v>27</v>
      </c>
      <c r="CA2617" s="2"/>
      <c r="CB2617" s="2"/>
      <c r="CC2617" s="2" t="s">
        <v>113</v>
      </c>
      <c r="CD2617" s="2">
        <v>3200</v>
      </c>
      <c r="CE2617" s="2" t="s">
        <v>118</v>
      </c>
      <c r="CF2617" s="5">
        <v>42849</v>
      </c>
      <c r="CG2617" s="2"/>
      <c r="CH2617" s="2"/>
      <c r="CI2617" s="2">
        <v>1</v>
      </c>
      <c r="CJ2617" s="2">
        <v>1</v>
      </c>
      <c r="CK2617" s="2">
        <v>21</v>
      </c>
      <c r="CL2617" s="2" t="s">
        <v>86</v>
      </c>
      <c r="CM2617" s="2"/>
    </row>
    <row r="2618" spans="1:91">
      <c r="A2618" s="2" t="s">
        <v>71</v>
      </c>
      <c r="B2618" s="2" t="s">
        <v>72</v>
      </c>
      <c r="C2618" s="2" t="s">
        <v>73</v>
      </c>
      <c r="D2618" s="2"/>
      <c r="E2618" s="2" t="str">
        <f>"FES1162544719"</f>
        <v>FES1162544719</v>
      </c>
      <c r="F2618" s="3">
        <v>42845</v>
      </c>
      <c r="G2618" s="2">
        <v>201710</v>
      </c>
      <c r="H2618" s="2" t="s">
        <v>74</v>
      </c>
      <c r="I2618" s="2" t="s">
        <v>75</v>
      </c>
      <c r="J2618" s="2" t="s">
        <v>76</v>
      </c>
      <c r="K2618" s="2" t="s">
        <v>77</v>
      </c>
      <c r="L2618" s="2" t="s">
        <v>99</v>
      </c>
      <c r="M2618" s="2" t="s">
        <v>100</v>
      </c>
      <c r="N2618" s="2" t="s">
        <v>2672</v>
      </c>
      <c r="O2618" s="2" t="s">
        <v>115</v>
      </c>
      <c r="P2618" s="2" t="str">
        <f>"2170563280                    "</f>
        <v xml:space="preserve">2170563280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23.58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11</v>
      </c>
      <c r="BJ2618" s="2">
        <v>4.8</v>
      </c>
      <c r="BK2618" s="2">
        <v>11</v>
      </c>
      <c r="BL2618" s="2">
        <v>229.5</v>
      </c>
      <c r="BM2618" s="2">
        <v>32.130000000000003</v>
      </c>
      <c r="BN2618" s="2">
        <v>261.63</v>
      </c>
      <c r="BO2618" s="2">
        <v>261.63</v>
      </c>
      <c r="BP2618" s="2"/>
      <c r="BQ2618" s="2" t="s">
        <v>2923</v>
      </c>
      <c r="BR2618" s="2" t="s">
        <v>84</v>
      </c>
      <c r="BS2618" s="3">
        <v>42846</v>
      </c>
      <c r="BT2618" s="4">
        <v>0.40625</v>
      </c>
      <c r="BU2618" s="2" t="s">
        <v>186</v>
      </c>
      <c r="BV2618" s="2" t="s">
        <v>111</v>
      </c>
      <c r="BW2618" s="2"/>
      <c r="BX2618" s="2"/>
      <c r="BY2618" s="2">
        <v>24000</v>
      </c>
      <c r="BZ2618" s="2"/>
      <c r="CA2618" s="2" t="s">
        <v>1008</v>
      </c>
      <c r="CB2618" s="2"/>
      <c r="CC2618" s="2" t="s">
        <v>100</v>
      </c>
      <c r="CD2618" s="2">
        <v>6045</v>
      </c>
      <c r="CE2618" s="2" t="s">
        <v>172</v>
      </c>
      <c r="CF2618" s="5">
        <v>42846</v>
      </c>
      <c r="CG2618" s="2"/>
      <c r="CH2618" s="2"/>
      <c r="CI2618" s="2">
        <v>1</v>
      </c>
      <c r="CJ2618" s="2">
        <v>1</v>
      </c>
      <c r="CK2618" s="2">
        <v>21</v>
      </c>
      <c r="CL2618" s="2" t="s">
        <v>86</v>
      </c>
      <c r="CM2618" s="2"/>
    </row>
    <row r="2619" spans="1:91">
      <c r="A2619" s="2" t="s">
        <v>71</v>
      </c>
      <c r="B2619" s="2" t="s">
        <v>72</v>
      </c>
      <c r="C2619" s="2" t="s">
        <v>73</v>
      </c>
      <c r="D2619" s="2"/>
      <c r="E2619" s="2" t="str">
        <f>"FES1162544568"</f>
        <v>FES1162544568</v>
      </c>
      <c r="F2619" s="3">
        <v>42845</v>
      </c>
      <c r="G2619" s="2">
        <v>201710</v>
      </c>
      <c r="H2619" s="2" t="s">
        <v>74</v>
      </c>
      <c r="I2619" s="2" t="s">
        <v>75</v>
      </c>
      <c r="J2619" s="2" t="s">
        <v>76</v>
      </c>
      <c r="K2619" s="2" t="s">
        <v>77</v>
      </c>
      <c r="L2619" s="2" t="s">
        <v>112</v>
      </c>
      <c r="M2619" s="2" t="s">
        <v>113</v>
      </c>
      <c r="N2619" s="2" t="s">
        <v>1045</v>
      </c>
      <c r="O2619" s="2" t="s">
        <v>115</v>
      </c>
      <c r="P2619" s="2" t="str">
        <f>"2170561014                    "</f>
        <v xml:space="preserve">2170561014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4.29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1</v>
      </c>
      <c r="BJ2619" s="2">
        <v>0.2</v>
      </c>
      <c r="BK2619" s="2">
        <v>1</v>
      </c>
      <c r="BL2619" s="2">
        <v>41.73</v>
      </c>
      <c r="BM2619" s="2">
        <v>5.84</v>
      </c>
      <c r="BN2619" s="2">
        <v>47.57</v>
      </c>
      <c r="BO2619" s="2">
        <v>47.57</v>
      </c>
      <c r="BP2619" s="2"/>
      <c r="BQ2619" s="2" t="s">
        <v>83</v>
      </c>
      <c r="BR2619" s="2" t="s">
        <v>84</v>
      </c>
      <c r="BS2619" s="3">
        <v>42846</v>
      </c>
      <c r="BT2619" s="4">
        <v>0.41319444444444442</v>
      </c>
      <c r="BU2619" s="2" t="s">
        <v>1046</v>
      </c>
      <c r="BV2619" s="2" t="s">
        <v>111</v>
      </c>
      <c r="BW2619" s="2"/>
      <c r="BX2619" s="2"/>
      <c r="BY2619" s="2">
        <v>1200</v>
      </c>
      <c r="BZ2619" s="2" t="s">
        <v>27</v>
      </c>
      <c r="CA2619" s="2"/>
      <c r="CB2619" s="2"/>
      <c r="CC2619" s="2" t="s">
        <v>113</v>
      </c>
      <c r="CD2619" s="2">
        <v>3201</v>
      </c>
      <c r="CE2619" s="2" t="s">
        <v>118</v>
      </c>
      <c r="CF2619" s="5">
        <v>42849</v>
      </c>
      <c r="CG2619" s="2"/>
      <c r="CH2619" s="2"/>
      <c r="CI2619" s="2">
        <v>1</v>
      </c>
      <c r="CJ2619" s="2">
        <v>1</v>
      </c>
      <c r="CK2619" s="2">
        <v>21</v>
      </c>
      <c r="CL2619" s="2" t="s">
        <v>86</v>
      </c>
      <c r="CM2619" s="2"/>
    </row>
    <row r="2620" spans="1:91">
      <c r="A2620" s="2" t="s">
        <v>71</v>
      </c>
      <c r="B2620" s="2" t="s">
        <v>72</v>
      </c>
      <c r="C2620" s="2" t="s">
        <v>73</v>
      </c>
      <c r="D2620" s="2"/>
      <c r="E2620" s="2" t="str">
        <f>"FES1162544745"</f>
        <v>FES1162544745</v>
      </c>
      <c r="F2620" s="3">
        <v>42845</v>
      </c>
      <c r="G2620" s="2">
        <v>201710</v>
      </c>
      <c r="H2620" s="2" t="s">
        <v>74</v>
      </c>
      <c r="I2620" s="2" t="s">
        <v>75</v>
      </c>
      <c r="J2620" s="2" t="s">
        <v>76</v>
      </c>
      <c r="K2620" s="2" t="s">
        <v>77</v>
      </c>
      <c r="L2620" s="2" t="s">
        <v>99</v>
      </c>
      <c r="M2620" s="2" t="s">
        <v>100</v>
      </c>
      <c r="N2620" s="2" t="s">
        <v>390</v>
      </c>
      <c r="O2620" s="2" t="s">
        <v>115</v>
      </c>
      <c r="P2620" s="2" t="str">
        <f>"2170563303                    "</f>
        <v xml:space="preserve">2170563303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4.29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1</v>
      </c>
      <c r="BJ2620" s="2">
        <v>0.2</v>
      </c>
      <c r="BK2620" s="2">
        <v>1</v>
      </c>
      <c r="BL2620" s="2">
        <v>41.73</v>
      </c>
      <c r="BM2620" s="2">
        <v>5.84</v>
      </c>
      <c r="BN2620" s="2">
        <v>47.57</v>
      </c>
      <c r="BO2620" s="2">
        <v>47.57</v>
      </c>
      <c r="BP2620" s="2"/>
      <c r="BQ2620" s="2" t="s">
        <v>1677</v>
      </c>
      <c r="BR2620" s="2" t="s">
        <v>84</v>
      </c>
      <c r="BS2620" s="3">
        <v>42846</v>
      </c>
      <c r="BT2620" s="4">
        <v>0.40625</v>
      </c>
      <c r="BU2620" s="2" t="s">
        <v>2924</v>
      </c>
      <c r="BV2620" s="2" t="s">
        <v>111</v>
      </c>
      <c r="BW2620" s="2"/>
      <c r="BX2620" s="2"/>
      <c r="BY2620" s="2">
        <v>1200</v>
      </c>
      <c r="BZ2620" s="2"/>
      <c r="CA2620" s="2" t="s">
        <v>106</v>
      </c>
      <c r="CB2620" s="2"/>
      <c r="CC2620" s="2" t="s">
        <v>100</v>
      </c>
      <c r="CD2620" s="2">
        <v>6001</v>
      </c>
      <c r="CE2620" s="2" t="s">
        <v>118</v>
      </c>
      <c r="CF2620" s="5">
        <v>42846</v>
      </c>
      <c r="CG2620" s="2"/>
      <c r="CH2620" s="2"/>
      <c r="CI2620" s="2">
        <v>1</v>
      </c>
      <c r="CJ2620" s="2">
        <v>1</v>
      </c>
      <c r="CK2620" s="2">
        <v>21</v>
      </c>
      <c r="CL2620" s="2" t="s">
        <v>86</v>
      </c>
      <c r="CM2620" s="2"/>
    </row>
    <row r="2621" spans="1:91">
      <c r="A2621" s="2" t="s">
        <v>71</v>
      </c>
      <c r="B2621" s="2" t="s">
        <v>72</v>
      </c>
      <c r="C2621" s="2" t="s">
        <v>73</v>
      </c>
      <c r="D2621" s="2"/>
      <c r="E2621" s="2" t="str">
        <f>"FES1162544449"</f>
        <v>FES1162544449</v>
      </c>
      <c r="F2621" s="3">
        <v>42845</v>
      </c>
      <c r="G2621" s="2">
        <v>201710</v>
      </c>
      <c r="H2621" s="2" t="s">
        <v>74</v>
      </c>
      <c r="I2621" s="2" t="s">
        <v>75</v>
      </c>
      <c r="J2621" s="2" t="s">
        <v>76</v>
      </c>
      <c r="K2621" s="2" t="s">
        <v>77</v>
      </c>
      <c r="L2621" s="2" t="s">
        <v>91</v>
      </c>
      <c r="M2621" s="2" t="s">
        <v>92</v>
      </c>
      <c r="N2621" s="2" t="s">
        <v>2304</v>
      </c>
      <c r="O2621" s="2" t="s">
        <v>115</v>
      </c>
      <c r="P2621" s="2" t="str">
        <f>"2170563047                    "</f>
        <v xml:space="preserve">2170563047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3.35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1</v>
      </c>
      <c r="BJ2621" s="2">
        <v>0.2</v>
      </c>
      <c r="BK2621" s="2">
        <v>1</v>
      </c>
      <c r="BL2621" s="2">
        <v>32.6</v>
      </c>
      <c r="BM2621" s="2">
        <v>4.5599999999999996</v>
      </c>
      <c r="BN2621" s="2">
        <v>37.159999999999997</v>
      </c>
      <c r="BO2621" s="2">
        <v>37.159999999999997</v>
      </c>
      <c r="BP2621" s="2"/>
      <c r="BQ2621" s="2" t="s">
        <v>2305</v>
      </c>
      <c r="BR2621" s="2" t="s">
        <v>84</v>
      </c>
      <c r="BS2621" s="3">
        <v>42846</v>
      </c>
      <c r="BT2621" s="4">
        <v>0.41666666666666669</v>
      </c>
      <c r="BU2621" s="2" t="s">
        <v>2305</v>
      </c>
      <c r="BV2621" s="2" t="s">
        <v>111</v>
      </c>
      <c r="BW2621" s="2"/>
      <c r="BX2621" s="2"/>
      <c r="BY2621" s="2">
        <v>1200</v>
      </c>
      <c r="BZ2621" s="2" t="s">
        <v>27</v>
      </c>
      <c r="CA2621" s="2"/>
      <c r="CB2621" s="2"/>
      <c r="CC2621" s="2" t="s">
        <v>92</v>
      </c>
      <c r="CD2621" s="2">
        <v>1428</v>
      </c>
      <c r="CE2621" s="2" t="s">
        <v>118</v>
      </c>
      <c r="CF2621" s="5">
        <v>42849</v>
      </c>
      <c r="CG2621" s="2"/>
      <c r="CH2621" s="2"/>
      <c r="CI2621" s="2">
        <v>1</v>
      </c>
      <c r="CJ2621" s="2">
        <v>1</v>
      </c>
      <c r="CK2621" s="2">
        <v>22</v>
      </c>
      <c r="CL2621" s="2" t="s">
        <v>86</v>
      </c>
      <c r="CM2621" s="2"/>
    </row>
    <row r="2622" spans="1:91">
      <c r="A2622" s="2" t="s">
        <v>71</v>
      </c>
      <c r="B2622" s="2" t="s">
        <v>72</v>
      </c>
      <c r="C2622" s="2" t="s">
        <v>73</v>
      </c>
      <c r="D2622" s="2"/>
      <c r="E2622" s="2" t="str">
        <f>"FES1162544438"</f>
        <v>FES1162544438</v>
      </c>
      <c r="F2622" s="3">
        <v>42845</v>
      </c>
      <c r="G2622" s="2">
        <v>201710</v>
      </c>
      <c r="H2622" s="2" t="s">
        <v>74</v>
      </c>
      <c r="I2622" s="2" t="s">
        <v>75</v>
      </c>
      <c r="J2622" s="2" t="s">
        <v>76</v>
      </c>
      <c r="K2622" s="2" t="s">
        <v>77</v>
      </c>
      <c r="L2622" s="2" t="s">
        <v>267</v>
      </c>
      <c r="M2622" s="2" t="s">
        <v>268</v>
      </c>
      <c r="N2622" s="2" t="s">
        <v>269</v>
      </c>
      <c r="O2622" s="2" t="s">
        <v>115</v>
      </c>
      <c r="P2622" s="2" t="str">
        <f>"2170563031                    "</f>
        <v xml:space="preserve">2170563031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3.35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</v>
      </c>
      <c r="BJ2622" s="2">
        <v>0.2</v>
      </c>
      <c r="BK2622" s="2">
        <v>1</v>
      </c>
      <c r="BL2622" s="2">
        <v>32.6</v>
      </c>
      <c r="BM2622" s="2">
        <v>4.5599999999999996</v>
      </c>
      <c r="BN2622" s="2">
        <v>37.159999999999997</v>
      </c>
      <c r="BO2622" s="2">
        <v>37.159999999999997</v>
      </c>
      <c r="BP2622" s="2"/>
      <c r="BQ2622" s="2" t="s">
        <v>270</v>
      </c>
      <c r="BR2622" s="2" t="s">
        <v>84</v>
      </c>
      <c r="BS2622" s="3">
        <v>42846</v>
      </c>
      <c r="BT2622" s="4">
        <v>0.41666666666666669</v>
      </c>
      <c r="BU2622" s="2" t="s">
        <v>290</v>
      </c>
      <c r="BV2622" s="2" t="s">
        <v>111</v>
      </c>
      <c r="BW2622" s="2"/>
      <c r="BX2622" s="2"/>
      <c r="BY2622" s="2">
        <v>1200</v>
      </c>
      <c r="BZ2622" s="2" t="s">
        <v>27</v>
      </c>
      <c r="CA2622" s="2"/>
      <c r="CB2622" s="2"/>
      <c r="CC2622" s="2" t="s">
        <v>268</v>
      </c>
      <c r="CD2622" s="2">
        <v>1709</v>
      </c>
      <c r="CE2622" s="2" t="s">
        <v>118</v>
      </c>
      <c r="CF2622" s="5">
        <v>42849</v>
      </c>
      <c r="CG2622" s="2"/>
      <c r="CH2622" s="2"/>
      <c r="CI2622" s="2">
        <v>1</v>
      </c>
      <c r="CJ2622" s="2">
        <v>1</v>
      </c>
      <c r="CK2622" s="2">
        <v>22</v>
      </c>
      <c r="CL2622" s="2" t="s">
        <v>86</v>
      </c>
      <c r="CM2622" s="2"/>
    </row>
    <row r="2623" spans="1:91">
      <c r="A2623" s="2" t="s">
        <v>71</v>
      </c>
      <c r="B2623" s="2" t="s">
        <v>72</v>
      </c>
      <c r="C2623" s="2" t="s">
        <v>73</v>
      </c>
      <c r="D2623" s="2"/>
      <c r="E2623" s="2" t="str">
        <f>"FES1162544733"</f>
        <v>FES1162544733</v>
      </c>
      <c r="F2623" s="3">
        <v>42845</v>
      </c>
      <c r="G2623" s="2">
        <v>201710</v>
      </c>
      <c r="H2623" s="2" t="s">
        <v>74</v>
      </c>
      <c r="I2623" s="2" t="s">
        <v>75</v>
      </c>
      <c r="J2623" s="2" t="s">
        <v>76</v>
      </c>
      <c r="K2623" s="2" t="s">
        <v>77</v>
      </c>
      <c r="L2623" s="2" t="s">
        <v>160</v>
      </c>
      <c r="M2623" s="2" t="s">
        <v>161</v>
      </c>
      <c r="N2623" s="2" t="s">
        <v>463</v>
      </c>
      <c r="O2623" s="2" t="s">
        <v>115</v>
      </c>
      <c r="P2623" s="2" t="str">
        <f>"217063291                     "</f>
        <v xml:space="preserve">217063291 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4.29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1.5</v>
      </c>
      <c r="BJ2623" s="2">
        <v>0.2</v>
      </c>
      <c r="BK2623" s="2">
        <v>1.5</v>
      </c>
      <c r="BL2623" s="2">
        <v>41.73</v>
      </c>
      <c r="BM2623" s="2">
        <v>5.84</v>
      </c>
      <c r="BN2623" s="2">
        <v>47.57</v>
      </c>
      <c r="BO2623" s="2">
        <v>47.57</v>
      </c>
      <c r="BP2623" s="2"/>
      <c r="BQ2623" s="2" t="s">
        <v>129</v>
      </c>
      <c r="BR2623" s="2" t="s">
        <v>84</v>
      </c>
      <c r="BS2623" s="3">
        <v>42846</v>
      </c>
      <c r="BT2623" s="4">
        <v>0.41666666666666669</v>
      </c>
      <c r="BU2623" s="2" t="s">
        <v>1971</v>
      </c>
      <c r="BV2623" s="2" t="s">
        <v>111</v>
      </c>
      <c r="BW2623" s="2"/>
      <c r="BX2623" s="2"/>
      <c r="BY2623" s="2">
        <v>1200</v>
      </c>
      <c r="BZ2623" s="2"/>
      <c r="CA2623" s="2"/>
      <c r="CB2623" s="2"/>
      <c r="CC2623" s="2" t="s">
        <v>161</v>
      </c>
      <c r="CD2623" s="2">
        <v>5201</v>
      </c>
      <c r="CE2623" s="2" t="s">
        <v>118</v>
      </c>
      <c r="CF2623" s="5">
        <v>42849</v>
      </c>
      <c r="CG2623" s="2"/>
      <c r="CH2623" s="2"/>
      <c r="CI2623" s="2">
        <v>1</v>
      </c>
      <c r="CJ2623" s="2">
        <v>1</v>
      </c>
      <c r="CK2623" s="2">
        <v>21</v>
      </c>
      <c r="CL2623" s="2" t="s">
        <v>86</v>
      </c>
      <c r="CM2623" s="2"/>
    </row>
    <row r="2624" spans="1:91">
      <c r="A2624" s="2" t="s">
        <v>71</v>
      </c>
      <c r="B2624" s="2" t="s">
        <v>72</v>
      </c>
      <c r="C2624" s="2" t="s">
        <v>73</v>
      </c>
      <c r="D2624" s="2"/>
      <c r="E2624" s="2" t="str">
        <f>"FES1162544413"</f>
        <v>FES1162544413</v>
      </c>
      <c r="F2624" s="3">
        <v>42845</v>
      </c>
      <c r="G2624" s="2">
        <v>201710</v>
      </c>
      <c r="H2624" s="2" t="s">
        <v>74</v>
      </c>
      <c r="I2624" s="2" t="s">
        <v>75</v>
      </c>
      <c r="J2624" s="2" t="s">
        <v>76</v>
      </c>
      <c r="K2624" s="2" t="s">
        <v>77</v>
      </c>
      <c r="L2624" s="2" t="s">
        <v>166</v>
      </c>
      <c r="M2624" s="2" t="s">
        <v>167</v>
      </c>
      <c r="N2624" s="2" t="s">
        <v>2925</v>
      </c>
      <c r="O2624" s="2" t="s">
        <v>115</v>
      </c>
      <c r="P2624" s="2" t="str">
        <f>"2170562797                    "</f>
        <v xml:space="preserve">2170562797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3.35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1</v>
      </c>
      <c r="BJ2624" s="2">
        <v>0.2</v>
      </c>
      <c r="BK2624" s="2">
        <v>1</v>
      </c>
      <c r="BL2624" s="2">
        <v>32.6</v>
      </c>
      <c r="BM2624" s="2">
        <v>4.5599999999999996</v>
      </c>
      <c r="BN2624" s="2">
        <v>37.159999999999997</v>
      </c>
      <c r="BO2624" s="2">
        <v>37.159999999999997</v>
      </c>
      <c r="BP2624" s="2"/>
      <c r="BQ2624" s="2" t="s">
        <v>122</v>
      </c>
      <c r="BR2624" s="2" t="s">
        <v>84</v>
      </c>
      <c r="BS2624" s="3">
        <v>42846</v>
      </c>
      <c r="BT2624" s="4">
        <v>0.31666666666666665</v>
      </c>
      <c r="BU2624" s="2" t="s">
        <v>290</v>
      </c>
      <c r="BV2624" s="2" t="s">
        <v>111</v>
      </c>
      <c r="BW2624" s="2"/>
      <c r="BX2624" s="2"/>
      <c r="BY2624" s="2">
        <v>1200</v>
      </c>
      <c r="BZ2624" s="2" t="s">
        <v>27</v>
      </c>
      <c r="CA2624" s="2" t="s">
        <v>171</v>
      </c>
      <c r="CB2624" s="2"/>
      <c r="CC2624" s="2" t="s">
        <v>167</v>
      </c>
      <c r="CD2624" s="2">
        <v>2094</v>
      </c>
      <c r="CE2624" s="2" t="s">
        <v>118</v>
      </c>
      <c r="CF2624" s="5">
        <v>42846</v>
      </c>
      <c r="CG2624" s="2"/>
      <c r="CH2624" s="2"/>
      <c r="CI2624" s="2">
        <v>1</v>
      </c>
      <c r="CJ2624" s="2">
        <v>1</v>
      </c>
      <c r="CK2624" s="2">
        <v>22</v>
      </c>
      <c r="CL2624" s="2" t="s">
        <v>86</v>
      </c>
      <c r="CM2624" s="2"/>
    </row>
    <row r="2625" spans="1:91">
      <c r="A2625" s="2" t="s">
        <v>71</v>
      </c>
      <c r="B2625" s="2" t="s">
        <v>72</v>
      </c>
      <c r="C2625" s="2" t="s">
        <v>73</v>
      </c>
      <c r="D2625" s="2"/>
      <c r="E2625" s="2" t="str">
        <f>"FES1162544673"</f>
        <v>FES1162544673</v>
      </c>
      <c r="F2625" s="3">
        <v>42845</v>
      </c>
      <c r="G2625" s="2">
        <v>201710</v>
      </c>
      <c r="H2625" s="2" t="s">
        <v>74</v>
      </c>
      <c r="I2625" s="2" t="s">
        <v>75</v>
      </c>
      <c r="J2625" s="2" t="s">
        <v>76</v>
      </c>
      <c r="K2625" s="2" t="s">
        <v>77</v>
      </c>
      <c r="L2625" s="2" t="s">
        <v>131</v>
      </c>
      <c r="M2625" s="2" t="s">
        <v>132</v>
      </c>
      <c r="N2625" s="2" t="s">
        <v>155</v>
      </c>
      <c r="O2625" s="2" t="s">
        <v>115</v>
      </c>
      <c r="P2625" s="2" t="str">
        <f>"2170563232                    "</f>
        <v xml:space="preserve">2170563232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4.29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1</v>
      </c>
      <c r="BJ2625" s="2">
        <v>0.2</v>
      </c>
      <c r="BK2625" s="2">
        <v>1</v>
      </c>
      <c r="BL2625" s="2">
        <v>41.73</v>
      </c>
      <c r="BM2625" s="2">
        <v>5.84</v>
      </c>
      <c r="BN2625" s="2">
        <v>47.57</v>
      </c>
      <c r="BO2625" s="2">
        <v>47.57</v>
      </c>
      <c r="BP2625" s="2"/>
      <c r="BQ2625" s="2" t="s">
        <v>116</v>
      </c>
      <c r="BR2625" s="2" t="s">
        <v>84</v>
      </c>
      <c r="BS2625" s="3">
        <v>42846</v>
      </c>
      <c r="BT2625" s="4">
        <v>0.41666666666666669</v>
      </c>
      <c r="BU2625" s="2" t="s">
        <v>2926</v>
      </c>
      <c r="BV2625" s="2" t="s">
        <v>111</v>
      </c>
      <c r="BW2625" s="2"/>
      <c r="BX2625" s="2"/>
      <c r="BY2625" s="2">
        <v>1200</v>
      </c>
      <c r="BZ2625" s="2"/>
      <c r="CA2625" s="2"/>
      <c r="CB2625" s="2"/>
      <c r="CC2625" s="2" t="s">
        <v>132</v>
      </c>
      <c r="CD2625" s="2">
        <v>7441</v>
      </c>
      <c r="CE2625" s="2" t="s">
        <v>118</v>
      </c>
      <c r="CF2625" s="5">
        <v>42849</v>
      </c>
      <c r="CG2625" s="2"/>
      <c r="CH2625" s="2"/>
      <c r="CI2625" s="2">
        <v>1</v>
      </c>
      <c r="CJ2625" s="2">
        <v>1</v>
      </c>
      <c r="CK2625" s="2">
        <v>21</v>
      </c>
      <c r="CL2625" s="2" t="s">
        <v>86</v>
      </c>
      <c r="CM2625" s="2"/>
    </row>
    <row r="2626" spans="1:91">
      <c r="A2626" s="2" t="s">
        <v>71</v>
      </c>
      <c r="B2626" s="2" t="s">
        <v>72</v>
      </c>
      <c r="C2626" s="2" t="s">
        <v>73</v>
      </c>
      <c r="D2626" s="2"/>
      <c r="E2626" s="2" t="str">
        <f>"FES1162544621"</f>
        <v>FES1162544621</v>
      </c>
      <c r="F2626" s="3">
        <v>42845</v>
      </c>
      <c r="G2626" s="2">
        <v>201710</v>
      </c>
      <c r="H2626" s="2" t="s">
        <v>74</v>
      </c>
      <c r="I2626" s="2" t="s">
        <v>75</v>
      </c>
      <c r="J2626" s="2" t="s">
        <v>76</v>
      </c>
      <c r="K2626" s="2" t="s">
        <v>77</v>
      </c>
      <c r="L2626" s="2" t="s">
        <v>131</v>
      </c>
      <c r="M2626" s="2" t="s">
        <v>132</v>
      </c>
      <c r="N2626" s="2" t="s">
        <v>1497</v>
      </c>
      <c r="O2626" s="2" t="s">
        <v>115</v>
      </c>
      <c r="P2626" s="2" t="str">
        <f>"2170563168                    "</f>
        <v xml:space="preserve">2170563168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4.29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1</v>
      </c>
      <c r="BJ2626" s="2">
        <v>0.2</v>
      </c>
      <c r="BK2626" s="2">
        <v>1</v>
      </c>
      <c r="BL2626" s="2">
        <v>41.73</v>
      </c>
      <c r="BM2626" s="2">
        <v>5.84</v>
      </c>
      <c r="BN2626" s="2">
        <v>47.57</v>
      </c>
      <c r="BO2626" s="2">
        <v>47.57</v>
      </c>
      <c r="BP2626" s="2"/>
      <c r="BQ2626" s="2" t="s">
        <v>1498</v>
      </c>
      <c r="BR2626" s="2" t="s">
        <v>84</v>
      </c>
      <c r="BS2626" s="3">
        <v>42846</v>
      </c>
      <c r="BT2626" s="4">
        <v>0.41666666666666669</v>
      </c>
      <c r="BU2626" s="2" t="s">
        <v>1499</v>
      </c>
      <c r="BV2626" s="2" t="s">
        <v>111</v>
      </c>
      <c r="BW2626" s="2"/>
      <c r="BX2626" s="2"/>
      <c r="BY2626" s="2">
        <v>1200</v>
      </c>
      <c r="BZ2626" s="2"/>
      <c r="CA2626" s="2"/>
      <c r="CB2626" s="2"/>
      <c r="CC2626" s="2" t="s">
        <v>132</v>
      </c>
      <c r="CD2626" s="2">
        <v>7441</v>
      </c>
      <c r="CE2626" s="2" t="s">
        <v>118</v>
      </c>
      <c r="CF2626" s="5">
        <v>42849</v>
      </c>
      <c r="CG2626" s="2"/>
      <c r="CH2626" s="2"/>
      <c r="CI2626" s="2">
        <v>1</v>
      </c>
      <c r="CJ2626" s="2">
        <v>1</v>
      </c>
      <c r="CK2626" s="2">
        <v>21</v>
      </c>
      <c r="CL2626" s="2" t="s">
        <v>86</v>
      </c>
      <c r="CM2626" s="2"/>
    </row>
    <row r="2627" spans="1:91">
      <c r="A2627" s="2" t="s">
        <v>71</v>
      </c>
      <c r="B2627" s="2" t="s">
        <v>72</v>
      </c>
      <c r="C2627" s="2" t="s">
        <v>73</v>
      </c>
      <c r="D2627" s="2"/>
      <c r="E2627" s="2" t="str">
        <f>"FES1162544734"</f>
        <v>FES1162544734</v>
      </c>
      <c r="F2627" s="3">
        <v>42845</v>
      </c>
      <c r="G2627" s="2">
        <v>201710</v>
      </c>
      <c r="H2627" s="2" t="s">
        <v>74</v>
      </c>
      <c r="I2627" s="2" t="s">
        <v>75</v>
      </c>
      <c r="J2627" s="2" t="s">
        <v>76</v>
      </c>
      <c r="K2627" s="2" t="s">
        <v>77</v>
      </c>
      <c r="L2627" s="2" t="s">
        <v>180</v>
      </c>
      <c r="M2627" s="2" t="s">
        <v>181</v>
      </c>
      <c r="N2627" s="2" t="s">
        <v>734</v>
      </c>
      <c r="O2627" s="2" t="s">
        <v>115</v>
      </c>
      <c r="P2627" s="2" t="str">
        <f>"2170563294                    "</f>
        <v xml:space="preserve">2170563294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4.29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1</v>
      </c>
      <c r="BJ2627" s="2">
        <v>0.2</v>
      </c>
      <c r="BK2627" s="2">
        <v>1</v>
      </c>
      <c r="BL2627" s="2">
        <v>41.73</v>
      </c>
      <c r="BM2627" s="2">
        <v>5.84</v>
      </c>
      <c r="BN2627" s="2">
        <v>47.57</v>
      </c>
      <c r="BO2627" s="2">
        <v>47.57</v>
      </c>
      <c r="BP2627" s="2"/>
      <c r="BQ2627" s="2" t="s">
        <v>735</v>
      </c>
      <c r="BR2627" s="2" t="s">
        <v>84</v>
      </c>
      <c r="BS2627" s="3">
        <v>42846</v>
      </c>
      <c r="BT2627" s="4">
        <v>0.29305555555555557</v>
      </c>
      <c r="BU2627" s="2" t="s">
        <v>2895</v>
      </c>
      <c r="BV2627" s="2" t="s">
        <v>111</v>
      </c>
      <c r="BW2627" s="2"/>
      <c r="BX2627" s="2"/>
      <c r="BY2627" s="2">
        <v>1200</v>
      </c>
      <c r="BZ2627" s="2"/>
      <c r="CA2627" s="2"/>
      <c r="CB2627" s="2"/>
      <c r="CC2627" s="2" t="s">
        <v>181</v>
      </c>
      <c r="CD2627" s="2">
        <v>4001</v>
      </c>
      <c r="CE2627" s="2" t="s">
        <v>118</v>
      </c>
      <c r="CF2627" s="5">
        <v>42849</v>
      </c>
      <c r="CG2627" s="2"/>
      <c r="CH2627" s="2"/>
      <c r="CI2627" s="2">
        <v>1</v>
      </c>
      <c r="CJ2627" s="2">
        <v>1</v>
      </c>
      <c r="CK2627" s="2">
        <v>21</v>
      </c>
      <c r="CL2627" s="2" t="s">
        <v>86</v>
      </c>
      <c r="CM2627" s="2"/>
    </row>
    <row r="2628" spans="1:91">
      <c r="A2628" s="2" t="s">
        <v>71</v>
      </c>
      <c r="B2628" s="2" t="s">
        <v>72</v>
      </c>
      <c r="C2628" s="2" t="s">
        <v>73</v>
      </c>
      <c r="D2628" s="2"/>
      <c r="E2628" s="2" t="str">
        <f>"FES1162544664"</f>
        <v>FES1162544664</v>
      </c>
      <c r="F2628" s="3">
        <v>42845</v>
      </c>
      <c r="G2628" s="2">
        <v>201710</v>
      </c>
      <c r="H2628" s="2" t="s">
        <v>74</v>
      </c>
      <c r="I2628" s="2" t="s">
        <v>75</v>
      </c>
      <c r="J2628" s="2" t="s">
        <v>76</v>
      </c>
      <c r="K2628" s="2" t="s">
        <v>77</v>
      </c>
      <c r="L2628" s="2" t="s">
        <v>131</v>
      </c>
      <c r="M2628" s="2" t="s">
        <v>132</v>
      </c>
      <c r="N2628" s="2" t="s">
        <v>363</v>
      </c>
      <c r="O2628" s="2" t="s">
        <v>115</v>
      </c>
      <c r="P2628" s="2" t="str">
        <f>"2170563218                    "</f>
        <v xml:space="preserve">2170563218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4.29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1</v>
      </c>
      <c r="BJ2628" s="2">
        <v>0.2</v>
      </c>
      <c r="BK2628" s="2">
        <v>1</v>
      </c>
      <c r="BL2628" s="2">
        <v>41.73</v>
      </c>
      <c r="BM2628" s="2">
        <v>5.84</v>
      </c>
      <c r="BN2628" s="2">
        <v>47.57</v>
      </c>
      <c r="BO2628" s="2">
        <v>47.57</v>
      </c>
      <c r="BP2628" s="2"/>
      <c r="BQ2628" s="2" t="s">
        <v>170</v>
      </c>
      <c r="BR2628" s="2" t="s">
        <v>84</v>
      </c>
      <c r="BS2628" s="3">
        <v>42846</v>
      </c>
      <c r="BT2628" s="4">
        <v>0.41666666666666669</v>
      </c>
      <c r="BU2628" s="2" t="s">
        <v>2913</v>
      </c>
      <c r="BV2628" s="2" t="s">
        <v>111</v>
      </c>
      <c r="BW2628" s="2"/>
      <c r="BX2628" s="2"/>
      <c r="BY2628" s="2">
        <v>1200</v>
      </c>
      <c r="BZ2628" s="2"/>
      <c r="CA2628" s="2"/>
      <c r="CB2628" s="2"/>
      <c r="CC2628" s="2" t="s">
        <v>132</v>
      </c>
      <c r="CD2628" s="2">
        <v>7441</v>
      </c>
      <c r="CE2628" s="2" t="s">
        <v>118</v>
      </c>
      <c r="CF2628" s="5">
        <v>42849</v>
      </c>
      <c r="CG2628" s="2"/>
      <c r="CH2628" s="2"/>
      <c r="CI2628" s="2">
        <v>1</v>
      </c>
      <c r="CJ2628" s="2">
        <v>1</v>
      </c>
      <c r="CK2628" s="2">
        <v>21</v>
      </c>
      <c r="CL2628" s="2" t="s">
        <v>86</v>
      </c>
      <c r="CM2628" s="2"/>
    </row>
    <row r="2629" spans="1:91">
      <c r="A2629" s="2" t="s">
        <v>71</v>
      </c>
      <c r="B2629" s="2" t="s">
        <v>72</v>
      </c>
      <c r="C2629" s="2" t="s">
        <v>73</v>
      </c>
      <c r="D2629" s="2"/>
      <c r="E2629" s="2" t="str">
        <f>"FES1162544611"</f>
        <v>FES1162544611</v>
      </c>
      <c r="F2629" s="3">
        <v>42845</v>
      </c>
      <c r="G2629" s="2">
        <v>201710</v>
      </c>
      <c r="H2629" s="2" t="s">
        <v>74</v>
      </c>
      <c r="I2629" s="2" t="s">
        <v>75</v>
      </c>
      <c r="J2629" s="2" t="s">
        <v>76</v>
      </c>
      <c r="K2629" s="2" t="s">
        <v>77</v>
      </c>
      <c r="L2629" s="2" t="s">
        <v>294</v>
      </c>
      <c r="M2629" s="2" t="s">
        <v>295</v>
      </c>
      <c r="N2629" s="2" t="s">
        <v>416</v>
      </c>
      <c r="O2629" s="2" t="s">
        <v>115</v>
      </c>
      <c r="P2629" s="2" t="str">
        <f>"2170563156                    "</f>
        <v xml:space="preserve">2170563156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4.29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</v>
      </c>
      <c r="BJ2629" s="2">
        <v>0.2</v>
      </c>
      <c r="BK2629" s="2">
        <v>1</v>
      </c>
      <c r="BL2629" s="2">
        <v>41.73</v>
      </c>
      <c r="BM2629" s="2">
        <v>5.84</v>
      </c>
      <c r="BN2629" s="2">
        <v>47.57</v>
      </c>
      <c r="BO2629" s="2">
        <v>47.57</v>
      </c>
      <c r="BP2629" s="2"/>
      <c r="BQ2629" s="2" t="s">
        <v>417</v>
      </c>
      <c r="BR2629" s="2" t="s">
        <v>84</v>
      </c>
      <c r="BS2629" s="3">
        <v>42846</v>
      </c>
      <c r="BT2629" s="4">
        <v>0.30555555555555552</v>
      </c>
      <c r="BU2629" s="2" t="s">
        <v>418</v>
      </c>
      <c r="BV2629" s="2" t="s">
        <v>111</v>
      </c>
      <c r="BW2629" s="2"/>
      <c r="BX2629" s="2"/>
      <c r="BY2629" s="2">
        <v>1200</v>
      </c>
      <c r="BZ2629" s="2" t="s">
        <v>27</v>
      </c>
      <c r="CA2629" s="2"/>
      <c r="CB2629" s="2"/>
      <c r="CC2629" s="2" t="s">
        <v>295</v>
      </c>
      <c r="CD2629" s="2">
        <v>3610</v>
      </c>
      <c r="CE2629" s="2" t="s">
        <v>118</v>
      </c>
      <c r="CF2629" s="5">
        <v>42849</v>
      </c>
      <c r="CG2629" s="2"/>
      <c r="CH2629" s="2"/>
      <c r="CI2629" s="2">
        <v>1</v>
      </c>
      <c r="CJ2629" s="2">
        <v>1</v>
      </c>
      <c r="CK2629" s="2">
        <v>21</v>
      </c>
      <c r="CL2629" s="2" t="s">
        <v>86</v>
      </c>
      <c r="CM2629" s="2"/>
    </row>
    <row r="2630" spans="1:91">
      <c r="A2630" s="2" t="s">
        <v>71</v>
      </c>
      <c r="B2630" s="2" t="s">
        <v>72</v>
      </c>
      <c r="C2630" s="2" t="s">
        <v>73</v>
      </c>
      <c r="D2630" s="2"/>
      <c r="E2630" s="2" t="str">
        <f>"FES1162544726"</f>
        <v>FES1162544726</v>
      </c>
      <c r="F2630" s="3">
        <v>42845</v>
      </c>
      <c r="G2630" s="2">
        <v>201710</v>
      </c>
      <c r="H2630" s="2" t="s">
        <v>74</v>
      </c>
      <c r="I2630" s="2" t="s">
        <v>75</v>
      </c>
      <c r="J2630" s="2" t="s">
        <v>76</v>
      </c>
      <c r="K2630" s="2" t="s">
        <v>77</v>
      </c>
      <c r="L2630" s="2" t="s">
        <v>180</v>
      </c>
      <c r="M2630" s="2" t="s">
        <v>181</v>
      </c>
      <c r="N2630" s="2" t="s">
        <v>982</v>
      </c>
      <c r="O2630" s="2" t="s">
        <v>115</v>
      </c>
      <c r="P2630" s="2" t="str">
        <f>"2170563282                    "</f>
        <v xml:space="preserve">2170563282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4.29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1</v>
      </c>
      <c r="BJ2630" s="2">
        <v>1.1000000000000001</v>
      </c>
      <c r="BK2630" s="2">
        <v>1.5</v>
      </c>
      <c r="BL2630" s="2">
        <v>41.73</v>
      </c>
      <c r="BM2630" s="2">
        <v>5.84</v>
      </c>
      <c r="BN2630" s="2">
        <v>47.57</v>
      </c>
      <c r="BO2630" s="2">
        <v>47.57</v>
      </c>
      <c r="BP2630" s="2"/>
      <c r="BQ2630" s="2" t="s">
        <v>1168</v>
      </c>
      <c r="BR2630" s="2" t="s">
        <v>84</v>
      </c>
      <c r="BS2630" s="3">
        <v>42846</v>
      </c>
      <c r="BT2630" s="4">
        <v>0.3888888888888889</v>
      </c>
      <c r="BU2630" s="2" t="s">
        <v>2927</v>
      </c>
      <c r="BV2630" s="2" t="s">
        <v>111</v>
      </c>
      <c r="BW2630" s="2"/>
      <c r="BX2630" s="2"/>
      <c r="BY2630" s="2">
        <v>5320</v>
      </c>
      <c r="BZ2630" s="2"/>
      <c r="CA2630" s="2"/>
      <c r="CB2630" s="2"/>
      <c r="CC2630" s="2" t="s">
        <v>181</v>
      </c>
      <c r="CD2630" s="2">
        <v>4052</v>
      </c>
      <c r="CE2630" s="2" t="s">
        <v>89</v>
      </c>
      <c r="CF2630" s="5">
        <v>42849</v>
      </c>
      <c r="CG2630" s="2"/>
      <c r="CH2630" s="2"/>
      <c r="CI2630" s="2">
        <v>1</v>
      </c>
      <c r="CJ2630" s="2">
        <v>1</v>
      </c>
      <c r="CK2630" s="2">
        <v>21</v>
      </c>
      <c r="CL2630" s="2" t="s">
        <v>86</v>
      </c>
      <c r="CM2630" s="2"/>
    </row>
    <row r="2631" spans="1:91">
      <c r="A2631" s="2" t="s">
        <v>71</v>
      </c>
      <c r="B2631" s="2" t="s">
        <v>72</v>
      </c>
      <c r="C2631" s="2" t="s">
        <v>73</v>
      </c>
      <c r="D2631" s="2"/>
      <c r="E2631" s="2" t="str">
        <f>"FES1162544524"</f>
        <v>FES1162544524</v>
      </c>
      <c r="F2631" s="3">
        <v>42845</v>
      </c>
      <c r="G2631" s="2">
        <v>201710</v>
      </c>
      <c r="H2631" s="2" t="s">
        <v>74</v>
      </c>
      <c r="I2631" s="2" t="s">
        <v>75</v>
      </c>
      <c r="J2631" s="2" t="s">
        <v>76</v>
      </c>
      <c r="K2631" s="2" t="s">
        <v>77</v>
      </c>
      <c r="L2631" s="2" t="s">
        <v>180</v>
      </c>
      <c r="M2631" s="2" t="s">
        <v>181</v>
      </c>
      <c r="N2631" s="2" t="s">
        <v>596</v>
      </c>
      <c r="O2631" s="2" t="s">
        <v>115</v>
      </c>
      <c r="P2631" s="2" t="str">
        <f>"2170560439                    "</f>
        <v xml:space="preserve">2170560439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17.149999999999999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7.6</v>
      </c>
      <c r="BJ2631" s="2">
        <v>1</v>
      </c>
      <c r="BK2631" s="2">
        <v>8</v>
      </c>
      <c r="BL2631" s="2">
        <v>166.91</v>
      </c>
      <c r="BM2631" s="2">
        <v>23.37</v>
      </c>
      <c r="BN2631" s="2">
        <v>190.28</v>
      </c>
      <c r="BO2631" s="2">
        <v>190.28</v>
      </c>
      <c r="BP2631" s="2"/>
      <c r="BQ2631" s="2" t="s">
        <v>129</v>
      </c>
      <c r="BR2631" s="2" t="s">
        <v>84</v>
      </c>
      <c r="BS2631" s="3">
        <v>42846</v>
      </c>
      <c r="BT2631" s="4">
        <v>0.3263888888888889</v>
      </c>
      <c r="BU2631" s="2" t="s">
        <v>2928</v>
      </c>
      <c r="BV2631" s="2" t="s">
        <v>111</v>
      </c>
      <c r="BW2631" s="2"/>
      <c r="BX2631" s="2"/>
      <c r="BY2631" s="2">
        <v>4987.13</v>
      </c>
      <c r="BZ2631" s="2" t="s">
        <v>27</v>
      </c>
      <c r="CA2631" s="2" t="s">
        <v>159</v>
      </c>
      <c r="CB2631" s="2"/>
      <c r="CC2631" s="2" t="s">
        <v>181</v>
      </c>
      <c r="CD2631" s="2">
        <v>4094</v>
      </c>
      <c r="CE2631" s="2" t="s">
        <v>89</v>
      </c>
      <c r="CF2631" s="5">
        <v>42849</v>
      </c>
      <c r="CG2631" s="2"/>
      <c r="CH2631" s="2"/>
      <c r="CI2631" s="2">
        <v>1</v>
      </c>
      <c r="CJ2631" s="2">
        <v>1</v>
      </c>
      <c r="CK2631" s="2">
        <v>21</v>
      </c>
      <c r="CL2631" s="2" t="s">
        <v>86</v>
      </c>
      <c r="CM2631" s="2"/>
    </row>
    <row r="2632" spans="1:91">
      <c r="A2632" s="2" t="s">
        <v>71</v>
      </c>
      <c r="B2632" s="2" t="s">
        <v>72</v>
      </c>
      <c r="C2632" s="2" t="s">
        <v>73</v>
      </c>
      <c r="D2632" s="2"/>
      <c r="E2632" s="2" t="str">
        <f>"FES1162544718"</f>
        <v>FES1162544718</v>
      </c>
      <c r="F2632" s="3">
        <v>42845</v>
      </c>
      <c r="G2632" s="2">
        <v>201710</v>
      </c>
      <c r="H2632" s="2" t="s">
        <v>74</v>
      </c>
      <c r="I2632" s="2" t="s">
        <v>75</v>
      </c>
      <c r="J2632" s="2" t="s">
        <v>76</v>
      </c>
      <c r="K2632" s="2" t="s">
        <v>77</v>
      </c>
      <c r="L2632" s="2" t="s">
        <v>180</v>
      </c>
      <c r="M2632" s="2" t="s">
        <v>181</v>
      </c>
      <c r="N2632" s="2" t="s">
        <v>2929</v>
      </c>
      <c r="O2632" s="2" t="s">
        <v>115</v>
      </c>
      <c r="P2632" s="2" t="str">
        <f>"2170563279                    "</f>
        <v xml:space="preserve">2170563279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4.29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</v>
      </c>
      <c r="BJ2632" s="2">
        <v>0.2</v>
      </c>
      <c r="BK2632" s="2">
        <v>1</v>
      </c>
      <c r="BL2632" s="2">
        <v>41.73</v>
      </c>
      <c r="BM2632" s="2">
        <v>5.84</v>
      </c>
      <c r="BN2632" s="2">
        <v>47.57</v>
      </c>
      <c r="BO2632" s="2">
        <v>47.57</v>
      </c>
      <c r="BP2632" s="2"/>
      <c r="BQ2632" s="2" t="s">
        <v>2930</v>
      </c>
      <c r="BR2632" s="2" t="s">
        <v>84</v>
      </c>
      <c r="BS2632" s="3">
        <v>42846</v>
      </c>
      <c r="BT2632" s="4">
        <v>0.40277777777777773</v>
      </c>
      <c r="BU2632" s="2" t="s">
        <v>130</v>
      </c>
      <c r="BV2632" s="2" t="s">
        <v>111</v>
      </c>
      <c r="BW2632" s="2"/>
      <c r="BX2632" s="2"/>
      <c r="BY2632" s="2">
        <v>1200</v>
      </c>
      <c r="BZ2632" s="2"/>
      <c r="CA2632" s="2"/>
      <c r="CB2632" s="2"/>
      <c r="CC2632" s="2" t="s">
        <v>181</v>
      </c>
      <c r="CD2632" s="2">
        <v>4051</v>
      </c>
      <c r="CE2632" s="2" t="s">
        <v>118</v>
      </c>
      <c r="CF2632" s="5">
        <v>42849</v>
      </c>
      <c r="CG2632" s="2"/>
      <c r="CH2632" s="2"/>
      <c r="CI2632" s="2">
        <v>1</v>
      </c>
      <c r="CJ2632" s="2">
        <v>1</v>
      </c>
      <c r="CK2632" s="2">
        <v>21</v>
      </c>
      <c r="CL2632" s="2" t="s">
        <v>86</v>
      </c>
      <c r="CM2632" s="2"/>
    </row>
    <row r="2633" spans="1:91">
      <c r="A2633" s="2" t="s">
        <v>71</v>
      </c>
      <c r="B2633" s="2" t="s">
        <v>72</v>
      </c>
      <c r="C2633" s="2" t="s">
        <v>73</v>
      </c>
      <c r="D2633" s="2"/>
      <c r="E2633" s="2" t="str">
        <f>"FES1162544762"</f>
        <v>FES1162544762</v>
      </c>
      <c r="F2633" s="3">
        <v>42845</v>
      </c>
      <c r="G2633" s="2">
        <v>201710</v>
      </c>
      <c r="H2633" s="2" t="s">
        <v>74</v>
      </c>
      <c r="I2633" s="2" t="s">
        <v>75</v>
      </c>
      <c r="J2633" s="2" t="s">
        <v>76</v>
      </c>
      <c r="K2633" s="2" t="s">
        <v>77</v>
      </c>
      <c r="L2633" s="2" t="s">
        <v>900</v>
      </c>
      <c r="M2633" s="2" t="s">
        <v>901</v>
      </c>
      <c r="N2633" s="2" t="s">
        <v>1428</v>
      </c>
      <c r="O2633" s="2" t="s">
        <v>115</v>
      </c>
      <c r="P2633" s="2" t="str">
        <f>"2170563320                    "</f>
        <v xml:space="preserve">2170563320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4.29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1</v>
      </c>
      <c r="BJ2633" s="2">
        <v>0.2</v>
      </c>
      <c r="BK2633" s="2">
        <v>1</v>
      </c>
      <c r="BL2633" s="2">
        <v>41.73</v>
      </c>
      <c r="BM2633" s="2">
        <v>5.84</v>
      </c>
      <c r="BN2633" s="2">
        <v>47.57</v>
      </c>
      <c r="BO2633" s="2">
        <v>47.57</v>
      </c>
      <c r="BP2633" s="2"/>
      <c r="BQ2633" s="2" t="s">
        <v>1429</v>
      </c>
      <c r="BR2633" s="2" t="s">
        <v>84</v>
      </c>
      <c r="BS2633" s="3">
        <v>42846</v>
      </c>
      <c r="BT2633" s="4">
        <v>0.3611111111111111</v>
      </c>
      <c r="BU2633" s="2" t="s">
        <v>2413</v>
      </c>
      <c r="BV2633" s="2" t="s">
        <v>111</v>
      </c>
      <c r="BW2633" s="2"/>
      <c r="BX2633" s="2"/>
      <c r="BY2633" s="2">
        <v>1200</v>
      </c>
      <c r="BZ2633" s="2"/>
      <c r="CA2633" s="2"/>
      <c r="CB2633" s="2"/>
      <c r="CC2633" s="2" t="s">
        <v>901</v>
      </c>
      <c r="CD2633" s="2">
        <v>4026</v>
      </c>
      <c r="CE2633" s="2" t="s">
        <v>118</v>
      </c>
      <c r="CF2633" s="5">
        <v>42849</v>
      </c>
      <c r="CG2633" s="2"/>
      <c r="CH2633" s="2"/>
      <c r="CI2633" s="2">
        <v>1</v>
      </c>
      <c r="CJ2633" s="2">
        <v>1</v>
      </c>
      <c r="CK2633" s="2">
        <v>21</v>
      </c>
      <c r="CL2633" s="2" t="s">
        <v>86</v>
      </c>
      <c r="CM2633" s="2"/>
    </row>
    <row r="2634" spans="1:91">
      <c r="A2634" s="2" t="s">
        <v>71</v>
      </c>
      <c r="B2634" s="2" t="s">
        <v>72</v>
      </c>
      <c r="C2634" s="2" t="s">
        <v>73</v>
      </c>
      <c r="D2634" s="2"/>
      <c r="E2634" s="2" t="str">
        <f>"FES1162544724"</f>
        <v>FES1162544724</v>
      </c>
      <c r="F2634" s="3">
        <v>42845</v>
      </c>
      <c r="G2634" s="2">
        <v>201710</v>
      </c>
      <c r="H2634" s="2" t="s">
        <v>74</v>
      </c>
      <c r="I2634" s="2" t="s">
        <v>75</v>
      </c>
      <c r="J2634" s="2" t="s">
        <v>76</v>
      </c>
      <c r="K2634" s="2" t="s">
        <v>77</v>
      </c>
      <c r="L2634" s="2" t="s">
        <v>131</v>
      </c>
      <c r="M2634" s="2" t="s">
        <v>132</v>
      </c>
      <c r="N2634" s="2" t="s">
        <v>280</v>
      </c>
      <c r="O2634" s="2" t="s">
        <v>115</v>
      </c>
      <c r="P2634" s="2" t="str">
        <f>"2170561025                    "</f>
        <v xml:space="preserve">2170561025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4.29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41.73</v>
      </c>
      <c r="BM2634" s="2">
        <v>5.84</v>
      </c>
      <c r="BN2634" s="2">
        <v>47.57</v>
      </c>
      <c r="BO2634" s="2">
        <v>47.57</v>
      </c>
      <c r="BP2634" s="2"/>
      <c r="BQ2634" s="2" t="s">
        <v>281</v>
      </c>
      <c r="BR2634" s="2" t="s">
        <v>84</v>
      </c>
      <c r="BS2634" s="3">
        <v>42846</v>
      </c>
      <c r="BT2634" s="4">
        <v>0.375</v>
      </c>
      <c r="BU2634" s="2" t="s">
        <v>2931</v>
      </c>
      <c r="BV2634" s="2" t="s">
        <v>111</v>
      </c>
      <c r="BW2634" s="2"/>
      <c r="BX2634" s="2"/>
      <c r="BY2634" s="2">
        <v>1200</v>
      </c>
      <c r="BZ2634" s="2"/>
      <c r="CA2634" s="2"/>
      <c r="CB2634" s="2"/>
      <c r="CC2634" s="2" t="s">
        <v>132</v>
      </c>
      <c r="CD2634" s="2">
        <v>7530</v>
      </c>
      <c r="CE2634" s="2" t="s">
        <v>118</v>
      </c>
      <c r="CF2634" s="5">
        <v>42849</v>
      </c>
      <c r="CG2634" s="2"/>
      <c r="CH2634" s="2"/>
      <c r="CI2634" s="2">
        <v>1</v>
      </c>
      <c r="CJ2634" s="2">
        <v>1</v>
      </c>
      <c r="CK2634" s="2">
        <v>21</v>
      </c>
      <c r="CL2634" s="2" t="s">
        <v>86</v>
      </c>
      <c r="CM2634" s="2"/>
    </row>
    <row r="2635" spans="1:91">
      <c r="A2635" s="2" t="s">
        <v>71</v>
      </c>
      <c r="B2635" s="2" t="s">
        <v>72</v>
      </c>
      <c r="C2635" s="2" t="s">
        <v>73</v>
      </c>
      <c r="D2635" s="2"/>
      <c r="E2635" s="2" t="str">
        <f>"FES1162544714"</f>
        <v>FES1162544714</v>
      </c>
      <c r="F2635" s="3">
        <v>42845</v>
      </c>
      <c r="G2635" s="2">
        <v>201710</v>
      </c>
      <c r="H2635" s="2" t="s">
        <v>74</v>
      </c>
      <c r="I2635" s="2" t="s">
        <v>75</v>
      </c>
      <c r="J2635" s="2" t="s">
        <v>76</v>
      </c>
      <c r="K2635" s="2" t="s">
        <v>77</v>
      </c>
      <c r="L2635" s="2" t="s">
        <v>294</v>
      </c>
      <c r="M2635" s="2" t="s">
        <v>295</v>
      </c>
      <c r="N2635" s="2" t="s">
        <v>296</v>
      </c>
      <c r="O2635" s="2" t="s">
        <v>115</v>
      </c>
      <c r="P2635" s="2" t="str">
        <f>"2170563274                    "</f>
        <v xml:space="preserve">2170563274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4.29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1</v>
      </c>
      <c r="BJ2635" s="2">
        <v>0.2</v>
      </c>
      <c r="BK2635" s="2">
        <v>1</v>
      </c>
      <c r="BL2635" s="2">
        <v>41.73</v>
      </c>
      <c r="BM2635" s="2">
        <v>5.84</v>
      </c>
      <c r="BN2635" s="2">
        <v>47.57</v>
      </c>
      <c r="BO2635" s="2">
        <v>47.57</v>
      </c>
      <c r="BP2635" s="2"/>
      <c r="BQ2635" s="2" t="s">
        <v>297</v>
      </c>
      <c r="BR2635" s="2" t="s">
        <v>84</v>
      </c>
      <c r="BS2635" s="3">
        <v>42846</v>
      </c>
      <c r="BT2635" s="4">
        <v>0.43055555555555558</v>
      </c>
      <c r="BU2635" s="2" t="s">
        <v>1092</v>
      </c>
      <c r="BV2635" s="2" t="s">
        <v>111</v>
      </c>
      <c r="BW2635" s="2"/>
      <c r="BX2635" s="2"/>
      <c r="BY2635" s="2">
        <v>1200</v>
      </c>
      <c r="BZ2635" s="2"/>
      <c r="CA2635" s="2"/>
      <c r="CB2635" s="2"/>
      <c r="CC2635" s="2" t="s">
        <v>295</v>
      </c>
      <c r="CD2635" s="2">
        <v>3620</v>
      </c>
      <c r="CE2635" s="2" t="s">
        <v>118</v>
      </c>
      <c r="CF2635" s="5">
        <v>42849</v>
      </c>
      <c r="CG2635" s="2"/>
      <c r="CH2635" s="2"/>
      <c r="CI2635" s="2">
        <v>1</v>
      </c>
      <c r="CJ2635" s="2">
        <v>1</v>
      </c>
      <c r="CK2635" s="2">
        <v>21</v>
      </c>
      <c r="CL2635" s="2" t="s">
        <v>86</v>
      </c>
      <c r="CM2635" s="2"/>
    </row>
    <row r="2636" spans="1:91">
      <c r="A2636" s="2" t="s">
        <v>71</v>
      </c>
      <c r="B2636" s="2" t="s">
        <v>72</v>
      </c>
      <c r="C2636" s="2" t="s">
        <v>73</v>
      </c>
      <c r="D2636" s="2"/>
      <c r="E2636" s="2" t="str">
        <f>"FES1162544357"</f>
        <v>FES1162544357</v>
      </c>
      <c r="F2636" s="3">
        <v>42845</v>
      </c>
      <c r="G2636" s="2">
        <v>201710</v>
      </c>
      <c r="H2636" s="2" t="s">
        <v>74</v>
      </c>
      <c r="I2636" s="2" t="s">
        <v>75</v>
      </c>
      <c r="J2636" s="2" t="s">
        <v>76</v>
      </c>
      <c r="K2636" s="2" t="s">
        <v>77</v>
      </c>
      <c r="L2636" s="2" t="s">
        <v>2932</v>
      </c>
      <c r="M2636" s="2" t="s">
        <v>2933</v>
      </c>
      <c r="N2636" s="2" t="s">
        <v>2934</v>
      </c>
      <c r="O2636" s="2" t="s">
        <v>115</v>
      </c>
      <c r="P2636" s="2" t="str">
        <f>"2170561895                    "</f>
        <v xml:space="preserve">2170561895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8.31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1</v>
      </c>
      <c r="BJ2636" s="2">
        <v>0.2</v>
      </c>
      <c r="BK2636" s="2">
        <v>1</v>
      </c>
      <c r="BL2636" s="2">
        <v>80.849999999999994</v>
      </c>
      <c r="BM2636" s="2">
        <v>11.32</v>
      </c>
      <c r="BN2636" s="2">
        <v>92.17</v>
      </c>
      <c r="BO2636" s="2">
        <v>92.17</v>
      </c>
      <c r="BP2636" s="2"/>
      <c r="BQ2636" s="2"/>
      <c r="BR2636" s="2" t="s">
        <v>84</v>
      </c>
      <c r="BS2636" s="3">
        <v>42849</v>
      </c>
      <c r="BT2636" s="4">
        <v>0.41666666666666669</v>
      </c>
      <c r="BU2636" s="2" t="s">
        <v>2152</v>
      </c>
      <c r="BV2636" s="2" t="s">
        <v>86</v>
      </c>
      <c r="BW2636" s="2" t="s">
        <v>96</v>
      </c>
      <c r="BX2636" s="2" t="s">
        <v>812</v>
      </c>
      <c r="BY2636" s="2">
        <v>1200</v>
      </c>
      <c r="BZ2636" s="2" t="s">
        <v>27</v>
      </c>
      <c r="CA2636" s="2"/>
      <c r="CB2636" s="2"/>
      <c r="CC2636" s="2" t="s">
        <v>2933</v>
      </c>
      <c r="CD2636" s="2">
        <v>2620</v>
      </c>
      <c r="CE2636" s="2" t="s">
        <v>118</v>
      </c>
      <c r="CF2636" s="5">
        <v>42850</v>
      </c>
      <c r="CG2636" s="2"/>
      <c r="CH2636" s="2"/>
      <c r="CI2636" s="2">
        <v>1</v>
      </c>
      <c r="CJ2636" s="2">
        <v>2</v>
      </c>
      <c r="CK2636" s="2">
        <v>23</v>
      </c>
      <c r="CL2636" s="2" t="s">
        <v>86</v>
      </c>
      <c r="CM2636" s="2"/>
    </row>
    <row r="2637" spans="1:91">
      <c r="A2637" s="2" t="s">
        <v>71</v>
      </c>
      <c r="B2637" s="2" t="s">
        <v>72</v>
      </c>
      <c r="C2637" s="2" t="s">
        <v>73</v>
      </c>
      <c r="D2637" s="2"/>
      <c r="E2637" s="2" t="str">
        <f>"FES1162544716"</f>
        <v>FES1162544716</v>
      </c>
      <c r="F2637" s="3">
        <v>42845</v>
      </c>
      <c r="G2637" s="2">
        <v>201710</v>
      </c>
      <c r="H2637" s="2" t="s">
        <v>74</v>
      </c>
      <c r="I2637" s="2" t="s">
        <v>75</v>
      </c>
      <c r="J2637" s="2" t="s">
        <v>76</v>
      </c>
      <c r="K2637" s="2" t="s">
        <v>77</v>
      </c>
      <c r="L2637" s="2" t="s">
        <v>537</v>
      </c>
      <c r="M2637" s="2" t="s">
        <v>538</v>
      </c>
      <c r="N2637" s="2" t="s">
        <v>539</v>
      </c>
      <c r="O2637" s="2" t="s">
        <v>115</v>
      </c>
      <c r="P2637" s="2" t="str">
        <f>"2170563276                    "</f>
        <v xml:space="preserve">2170563276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8.31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1</v>
      </c>
      <c r="BJ2637" s="2">
        <v>0.2</v>
      </c>
      <c r="BK2637" s="2">
        <v>1</v>
      </c>
      <c r="BL2637" s="2">
        <v>80.849999999999994</v>
      </c>
      <c r="BM2637" s="2">
        <v>11.32</v>
      </c>
      <c r="BN2637" s="2">
        <v>92.17</v>
      </c>
      <c r="BO2637" s="2">
        <v>92.17</v>
      </c>
      <c r="BP2637" s="2"/>
      <c r="BQ2637" s="2" t="s">
        <v>918</v>
      </c>
      <c r="BR2637" s="2" t="s">
        <v>84</v>
      </c>
      <c r="BS2637" s="3">
        <v>42846</v>
      </c>
      <c r="BT2637" s="4">
        <v>0.44791666666666669</v>
      </c>
      <c r="BU2637" s="2" t="s">
        <v>2935</v>
      </c>
      <c r="BV2637" s="2" t="s">
        <v>111</v>
      </c>
      <c r="BW2637" s="2"/>
      <c r="BX2637" s="2"/>
      <c r="BY2637" s="2">
        <v>1200</v>
      </c>
      <c r="BZ2637" s="2"/>
      <c r="CA2637" s="2"/>
      <c r="CB2637" s="2"/>
      <c r="CC2637" s="2" t="s">
        <v>538</v>
      </c>
      <c r="CD2637" s="2">
        <v>4339</v>
      </c>
      <c r="CE2637" s="2" t="s">
        <v>118</v>
      </c>
      <c r="CF2637" s="2"/>
      <c r="CG2637" s="2"/>
      <c r="CH2637" s="2"/>
      <c r="CI2637" s="2">
        <v>1</v>
      </c>
      <c r="CJ2637" s="2">
        <v>1</v>
      </c>
      <c r="CK2637" s="2">
        <v>23</v>
      </c>
      <c r="CL2637" s="2" t="s">
        <v>86</v>
      </c>
      <c r="CM2637" s="2"/>
    </row>
    <row r="2638" spans="1:91">
      <c r="A2638" s="2" t="s">
        <v>71</v>
      </c>
      <c r="B2638" s="2" t="s">
        <v>72</v>
      </c>
      <c r="C2638" s="2" t="s">
        <v>73</v>
      </c>
      <c r="D2638" s="2"/>
      <c r="E2638" s="2" t="str">
        <f>"FES1162544273"</f>
        <v>FES1162544273</v>
      </c>
      <c r="F2638" s="3">
        <v>42845</v>
      </c>
      <c r="G2638" s="2">
        <v>201710</v>
      </c>
      <c r="H2638" s="2" t="s">
        <v>74</v>
      </c>
      <c r="I2638" s="2" t="s">
        <v>75</v>
      </c>
      <c r="J2638" s="2" t="s">
        <v>76</v>
      </c>
      <c r="K2638" s="2" t="s">
        <v>77</v>
      </c>
      <c r="L2638" s="2" t="s">
        <v>74</v>
      </c>
      <c r="M2638" s="2" t="s">
        <v>75</v>
      </c>
      <c r="N2638" s="2" t="s">
        <v>488</v>
      </c>
      <c r="O2638" s="2" t="s">
        <v>115</v>
      </c>
      <c r="P2638" s="2" t="str">
        <f>"2170562871                    "</f>
        <v xml:space="preserve">2170562871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3.35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1</v>
      </c>
      <c r="BJ2638" s="2">
        <v>0.2</v>
      </c>
      <c r="BK2638" s="2">
        <v>1</v>
      </c>
      <c r="BL2638" s="2">
        <v>32.6</v>
      </c>
      <c r="BM2638" s="2">
        <v>4.5599999999999996</v>
      </c>
      <c r="BN2638" s="2">
        <v>37.159999999999997</v>
      </c>
      <c r="BO2638" s="2">
        <v>37.159999999999997</v>
      </c>
      <c r="BP2638" s="2"/>
      <c r="BQ2638" s="2" t="s">
        <v>489</v>
      </c>
      <c r="BR2638" s="2" t="s">
        <v>84</v>
      </c>
      <c r="BS2638" s="3">
        <v>42846</v>
      </c>
      <c r="BT2638" s="4">
        <v>0.41666666666666669</v>
      </c>
      <c r="BU2638" s="2" t="s">
        <v>266</v>
      </c>
      <c r="BV2638" s="2" t="s">
        <v>111</v>
      </c>
      <c r="BW2638" s="2"/>
      <c r="BX2638" s="2"/>
      <c r="BY2638" s="2">
        <v>1200</v>
      </c>
      <c r="BZ2638" s="2" t="s">
        <v>27</v>
      </c>
      <c r="CA2638" s="2"/>
      <c r="CB2638" s="2"/>
      <c r="CC2638" s="2" t="s">
        <v>75</v>
      </c>
      <c r="CD2638" s="2">
        <v>1645</v>
      </c>
      <c r="CE2638" s="2" t="s">
        <v>118</v>
      </c>
      <c r="CF2638" s="5">
        <v>42849</v>
      </c>
      <c r="CG2638" s="2"/>
      <c r="CH2638" s="2"/>
      <c r="CI2638" s="2">
        <v>1</v>
      </c>
      <c r="CJ2638" s="2">
        <v>1</v>
      </c>
      <c r="CK2638" s="2">
        <v>22</v>
      </c>
      <c r="CL2638" s="2" t="s">
        <v>86</v>
      </c>
      <c r="CM2638" s="2"/>
    </row>
    <row r="2639" spans="1:91">
      <c r="A2639" s="2" t="s">
        <v>71</v>
      </c>
      <c r="B2639" s="2" t="s">
        <v>72</v>
      </c>
      <c r="C2639" s="2" t="s">
        <v>73</v>
      </c>
      <c r="D2639" s="2"/>
      <c r="E2639" s="2" t="str">
        <f>"FES1162544688"</f>
        <v>FES1162544688</v>
      </c>
      <c r="F2639" s="3">
        <v>42845</v>
      </c>
      <c r="G2639" s="2">
        <v>201710</v>
      </c>
      <c r="H2639" s="2" t="s">
        <v>74</v>
      </c>
      <c r="I2639" s="2" t="s">
        <v>75</v>
      </c>
      <c r="J2639" s="2" t="s">
        <v>76</v>
      </c>
      <c r="K2639" s="2" t="s">
        <v>77</v>
      </c>
      <c r="L2639" s="2" t="s">
        <v>231</v>
      </c>
      <c r="M2639" s="2" t="s">
        <v>232</v>
      </c>
      <c r="N2639" s="2" t="s">
        <v>316</v>
      </c>
      <c r="O2639" s="2" t="s">
        <v>115</v>
      </c>
      <c r="P2639" s="2" t="str">
        <f>"2170563249                    "</f>
        <v xml:space="preserve">2170563249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6.03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1</v>
      </c>
      <c r="BJ2639" s="2">
        <v>0.2</v>
      </c>
      <c r="BK2639" s="2">
        <v>1</v>
      </c>
      <c r="BL2639" s="2">
        <v>58.68</v>
      </c>
      <c r="BM2639" s="2">
        <v>8.2200000000000006</v>
      </c>
      <c r="BN2639" s="2">
        <v>66.900000000000006</v>
      </c>
      <c r="BO2639" s="2">
        <v>66.900000000000006</v>
      </c>
      <c r="BP2639" s="2"/>
      <c r="BQ2639" s="2" t="s">
        <v>317</v>
      </c>
      <c r="BR2639" s="2" t="s">
        <v>84</v>
      </c>
      <c r="BS2639" s="3">
        <v>42846</v>
      </c>
      <c r="BT2639" s="4">
        <v>0.49305555555555558</v>
      </c>
      <c r="BU2639" s="2" t="s">
        <v>2936</v>
      </c>
      <c r="BV2639" s="2" t="s">
        <v>111</v>
      </c>
      <c r="BW2639" s="2"/>
      <c r="BX2639" s="2"/>
      <c r="BY2639" s="2">
        <v>1200</v>
      </c>
      <c r="BZ2639" s="2"/>
      <c r="CA2639" s="2" t="s">
        <v>159</v>
      </c>
      <c r="CB2639" s="2"/>
      <c r="CC2639" s="2" t="s">
        <v>232</v>
      </c>
      <c r="CD2639" s="2">
        <v>250</v>
      </c>
      <c r="CE2639" s="2" t="s">
        <v>118</v>
      </c>
      <c r="CF2639" s="5">
        <v>42850</v>
      </c>
      <c r="CG2639" s="2"/>
      <c r="CH2639" s="2"/>
      <c r="CI2639" s="2">
        <v>1</v>
      </c>
      <c r="CJ2639" s="2">
        <v>1</v>
      </c>
      <c r="CK2639" s="2">
        <v>24</v>
      </c>
      <c r="CL2639" s="2" t="s">
        <v>86</v>
      </c>
      <c r="CM2639" s="2"/>
    </row>
    <row r="2640" spans="1:91">
      <c r="A2640" s="2" t="s">
        <v>71</v>
      </c>
      <c r="B2640" s="2" t="s">
        <v>72</v>
      </c>
      <c r="C2640" s="2" t="s">
        <v>73</v>
      </c>
      <c r="D2640" s="2"/>
      <c r="E2640" s="2" t="str">
        <f>"FES1162544683"</f>
        <v>FES1162544683</v>
      </c>
      <c r="F2640" s="3">
        <v>42845</v>
      </c>
      <c r="G2640" s="2">
        <v>201710</v>
      </c>
      <c r="H2640" s="2" t="s">
        <v>74</v>
      </c>
      <c r="I2640" s="2" t="s">
        <v>75</v>
      </c>
      <c r="J2640" s="2" t="s">
        <v>76</v>
      </c>
      <c r="K2640" s="2" t="s">
        <v>77</v>
      </c>
      <c r="L2640" s="2" t="s">
        <v>180</v>
      </c>
      <c r="M2640" s="2" t="s">
        <v>181</v>
      </c>
      <c r="N2640" s="2" t="s">
        <v>457</v>
      </c>
      <c r="O2640" s="2" t="s">
        <v>115</v>
      </c>
      <c r="P2640" s="2" t="str">
        <f>"2170562987                    "</f>
        <v xml:space="preserve">2170562987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6.43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3</v>
      </c>
      <c r="BJ2640" s="2">
        <v>1.8</v>
      </c>
      <c r="BK2640" s="2">
        <v>3</v>
      </c>
      <c r="BL2640" s="2">
        <v>62.59</v>
      </c>
      <c r="BM2640" s="2">
        <v>8.76</v>
      </c>
      <c r="BN2640" s="2">
        <v>71.349999999999994</v>
      </c>
      <c r="BO2640" s="2">
        <v>71.349999999999994</v>
      </c>
      <c r="BP2640" s="2"/>
      <c r="BQ2640" s="2" t="s">
        <v>458</v>
      </c>
      <c r="BR2640" s="2" t="s">
        <v>84</v>
      </c>
      <c r="BS2640" s="3">
        <v>42846</v>
      </c>
      <c r="BT2640" s="4">
        <v>0.3263888888888889</v>
      </c>
      <c r="BU2640" s="2" t="s">
        <v>2409</v>
      </c>
      <c r="BV2640" s="2" t="s">
        <v>111</v>
      </c>
      <c r="BW2640" s="2"/>
      <c r="BX2640" s="2"/>
      <c r="BY2640" s="2">
        <v>9000</v>
      </c>
      <c r="BZ2640" s="2"/>
      <c r="CA2640" s="2"/>
      <c r="CB2640" s="2"/>
      <c r="CC2640" s="2" t="s">
        <v>181</v>
      </c>
      <c r="CD2640" s="2">
        <v>4001</v>
      </c>
      <c r="CE2640" s="2" t="s">
        <v>89</v>
      </c>
      <c r="CF2640" s="5">
        <v>42849</v>
      </c>
      <c r="CG2640" s="2"/>
      <c r="CH2640" s="2"/>
      <c r="CI2640" s="2">
        <v>1</v>
      </c>
      <c r="CJ2640" s="2">
        <v>1</v>
      </c>
      <c r="CK2640" s="2">
        <v>21</v>
      </c>
      <c r="CL2640" s="2" t="s">
        <v>86</v>
      </c>
      <c r="CM2640" s="2"/>
    </row>
    <row r="2641" spans="1:91">
      <c r="A2641" s="2" t="s">
        <v>71</v>
      </c>
      <c r="B2641" s="2" t="s">
        <v>72</v>
      </c>
      <c r="C2641" s="2" t="s">
        <v>73</v>
      </c>
      <c r="D2641" s="2"/>
      <c r="E2641" s="2" t="str">
        <f>"FES1162544142"</f>
        <v>FES1162544142</v>
      </c>
      <c r="F2641" s="3">
        <v>42845</v>
      </c>
      <c r="G2641" s="2">
        <v>201710</v>
      </c>
      <c r="H2641" s="2" t="s">
        <v>74</v>
      </c>
      <c r="I2641" s="2" t="s">
        <v>75</v>
      </c>
      <c r="J2641" s="2" t="s">
        <v>76</v>
      </c>
      <c r="K2641" s="2" t="s">
        <v>77</v>
      </c>
      <c r="L2641" s="2" t="s">
        <v>91</v>
      </c>
      <c r="M2641" s="2" t="s">
        <v>92</v>
      </c>
      <c r="N2641" s="2" t="s">
        <v>2937</v>
      </c>
      <c r="O2641" s="2" t="s">
        <v>115</v>
      </c>
      <c r="P2641" s="2" t="str">
        <f>"210562643                     "</f>
        <v xml:space="preserve">210562643 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3.35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1</v>
      </c>
      <c r="BJ2641" s="2">
        <v>0.2</v>
      </c>
      <c r="BK2641" s="2">
        <v>1</v>
      </c>
      <c r="BL2641" s="2">
        <v>32.6</v>
      </c>
      <c r="BM2641" s="2">
        <v>4.5599999999999996</v>
      </c>
      <c r="BN2641" s="2">
        <v>37.159999999999997</v>
      </c>
      <c r="BO2641" s="2">
        <v>37.159999999999997</v>
      </c>
      <c r="BP2641" s="2"/>
      <c r="BQ2641" s="2" t="s">
        <v>122</v>
      </c>
      <c r="BR2641" s="2" t="s">
        <v>84</v>
      </c>
      <c r="BS2641" s="3">
        <v>42846</v>
      </c>
      <c r="BT2641" s="4">
        <v>0.36319444444444443</v>
      </c>
      <c r="BU2641" s="2" t="s">
        <v>2938</v>
      </c>
      <c r="BV2641" s="2" t="s">
        <v>111</v>
      </c>
      <c r="BW2641" s="2"/>
      <c r="BX2641" s="2"/>
      <c r="BY2641" s="2">
        <v>1200</v>
      </c>
      <c r="BZ2641" s="2" t="s">
        <v>27</v>
      </c>
      <c r="CA2641" s="2" t="s">
        <v>1687</v>
      </c>
      <c r="CB2641" s="2"/>
      <c r="CC2641" s="2" t="s">
        <v>92</v>
      </c>
      <c r="CD2641" s="2">
        <v>1406</v>
      </c>
      <c r="CE2641" s="2" t="s">
        <v>118</v>
      </c>
      <c r="CF2641" s="5">
        <v>42846</v>
      </c>
      <c r="CG2641" s="2"/>
      <c r="CH2641" s="2"/>
      <c r="CI2641" s="2">
        <v>1</v>
      </c>
      <c r="CJ2641" s="2">
        <v>1</v>
      </c>
      <c r="CK2641" s="2">
        <v>22</v>
      </c>
      <c r="CL2641" s="2" t="s">
        <v>86</v>
      </c>
      <c r="CM2641" s="2"/>
    </row>
    <row r="2642" spans="1:91">
      <c r="A2642" s="2" t="s">
        <v>71</v>
      </c>
      <c r="B2642" s="2" t="s">
        <v>72</v>
      </c>
      <c r="C2642" s="2" t="s">
        <v>73</v>
      </c>
      <c r="D2642" s="2"/>
      <c r="E2642" s="2" t="str">
        <f>"FES1162544753"</f>
        <v>FES1162544753</v>
      </c>
      <c r="F2642" s="3">
        <v>42845</v>
      </c>
      <c r="G2642" s="2">
        <v>201710</v>
      </c>
      <c r="H2642" s="2" t="s">
        <v>74</v>
      </c>
      <c r="I2642" s="2" t="s">
        <v>75</v>
      </c>
      <c r="J2642" s="2" t="s">
        <v>76</v>
      </c>
      <c r="K2642" s="2" t="s">
        <v>77</v>
      </c>
      <c r="L2642" s="2" t="s">
        <v>2939</v>
      </c>
      <c r="M2642" s="2" t="s">
        <v>2940</v>
      </c>
      <c r="N2642" s="2" t="s">
        <v>2941</v>
      </c>
      <c r="O2642" s="2" t="s">
        <v>115</v>
      </c>
      <c r="P2642" s="2" t="str">
        <f>"2170563309                    "</f>
        <v xml:space="preserve">2170563309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4.29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1</v>
      </c>
      <c r="BJ2642" s="2">
        <v>0.2</v>
      </c>
      <c r="BK2642" s="2">
        <v>1</v>
      </c>
      <c r="BL2642" s="2">
        <v>41.73</v>
      </c>
      <c r="BM2642" s="2">
        <v>5.84</v>
      </c>
      <c r="BN2642" s="2">
        <v>47.57</v>
      </c>
      <c r="BO2642" s="2">
        <v>47.57</v>
      </c>
      <c r="BP2642" s="2"/>
      <c r="BQ2642" s="2" t="s">
        <v>1795</v>
      </c>
      <c r="BR2642" s="2" t="s">
        <v>84</v>
      </c>
      <c r="BS2642" s="3">
        <v>42846</v>
      </c>
      <c r="BT2642" s="4">
        <v>0.5</v>
      </c>
      <c r="BU2642" s="2" t="s">
        <v>2942</v>
      </c>
      <c r="BV2642" s="2" t="s">
        <v>111</v>
      </c>
      <c r="BW2642" s="2"/>
      <c r="BX2642" s="2"/>
      <c r="BY2642" s="2">
        <v>1200</v>
      </c>
      <c r="BZ2642" s="2"/>
      <c r="CA2642" s="2"/>
      <c r="CB2642" s="2"/>
      <c r="CC2642" s="2" t="s">
        <v>2940</v>
      </c>
      <c r="CD2642" s="2">
        <v>3760</v>
      </c>
      <c r="CE2642" s="2" t="s">
        <v>118</v>
      </c>
      <c r="CF2642" s="5">
        <v>42849</v>
      </c>
      <c r="CG2642" s="2"/>
      <c r="CH2642" s="2"/>
      <c r="CI2642" s="2">
        <v>1</v>
      </c>
      <c r="CJ2642" s="2">
        <v>1</v>
      </c>
      <c r="CK2642" s="2">
        <v>21</v>
      </c>
      <c r="CL2642" s="2" t="s">
        <v>86</v>
      </c>
      <c r="CM2642" s="2"/>
    </row>
    <row r="2643" spans="1:91">
      <c r="A2643" s="2" t="s">
        <v>71</v>
      </c>
      <c r="B2643" s="2" t="s">
        <v>72</v>
      </c>
      <c r="C2643" s="2" t="s">
        <v>73</v>
      </c>
      <c r="D2643" s="2"/>
      <c r="E2643" s="2" t="str">
        <f>"FES1162544415"</f>
        <v>FES1162544415</v>
      </c>
      <c r="F2643" s="3">
        <v>42845</v>
      </c>
      <c r="G2643" s="2">
        <v>201710</v>
      </c>
      <c r="H2643" s="2" t="s">
        <v>74</v>
      </c>
      <c r="I2643" s="2" t="s">
        <v>75</v>
      </c>
      <c r="J2643" s="2" t="s">
        <v>76</v>
      </c>
      <c r="K2643" s="2" t="s">
        <v>77</v>
      </c>
      <c r="L2643" s="2" t="s">
        <v>176</v>
      </c>
      <c r="M2643" s="2" t="s">
        <v>176</v>
      </c>
      <c r="N2643" s="2" t="s">
        <v>1775</v>
      </c>
      <c r="O2643" s="2" t="s">
        <v>115</v>
      </c>
      <c r="P2643" s="2" t="str">
        <f>"2170563000                    "</f>
        <v xml:space="preserve">2170563000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4.29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41.73</v>
      </c>
      <c r="BM2643" s="2">
        <v>5.84</v>
      </c>
      <c r="BN2643" s="2">
        <v>47.57</v>
      </c>
      <c r="BO2643" s="2">
        <v>47.57</v>
      </c>
      <c r="BP2643" s="2"/>
      <c r="BQ2643" s="2" t="s">
        <v>122</v>
      </c>
      <c r="BR2643" s="2" t="s">
        <v>84</v>
      </c>
      <c r="BS2643" s="3">
        <v>42846</v>
      </c>
      <c r="BT2643" s="4">
        <v>0.41666666666666669</v>
      </c>
      <c r="BU2643" s="2" t="s">
        <v>2943</v>
      </c>
      <c r="BV2643" s="2" t="s">
        <v>111</v>
      </c>
      <c r="BW2643" s="2"/>
      <c r="BX2643" s="2"/>
      <c r="BY2643" s="2">
        <v>1200</v>
      </c>
      <c r="BZ2643" s="2" t="s">
        <v>27</v>
      </c>
      <c r="CA2643" s="2"/>
      <c r="CB2643" s="2"/>
      <c r="CC2643" s="2" t="s">
        <v>176</v>
      </c>
      <c r="CD2643" s="2">
        <v>7646</v>
      </c>
      <c r="CE2643" s="2" t="s">
        <v>118</v>
      </c>
      <c r="CF2643" s="5">
        <v>42849</v>
      </c>
      <c r="CG2643" s="2"/>
      <c r="CH2643" s="2"/>
      <c r="CI2643" s="2">
        <v>1</v>
      </c>
      <c r="CJ2643" s="2">
        <v>1</v>
      </c>
      <c r="CK2643" s="2">
        <v>21</v>
      </c>
      <c r="CL2643" s="2" t="s">
        <v>86</v>
      </c>
      <c r="CM2643" s="2"/>
    </row>
    <row r="2644" spans="1:91">
      <c r="A2644" s="2" t="s">
        <v>71</v>
      </c>
      <c r="B2644" s="2" t="s">
        <v>72</v>
      </c>
      <c r="C2644" s="2" t="s">
        <v>73</v>
      </c>
      <c r="D2644" s="2"/>
      <c r="E2644" s="2" t="str">
        <f>"FES1162544773"</f>
        <v>FES1162544773</v>
      </c>
      <c r="F2644" s="3">
        <v>42845</v>
      </c>
      <c r="G2644" s="2">
        <v>201710</v>
      </c>
      <c r="H2644" s="2" t="s">
        <v>74</v>
      </c>
      <c r="I2644" s="2" t="s">
        <v>75</v>
      </c>
      <c r="J2644" s="2" t="s">
        <v>76</v>
      </c>
      <c r="K2644" s="2" t="s">
        <v>77</v>
      </c>
      <c r="L2644" s="2" t="s">
        <v>99</v>
      </c>
      <c r="M2644" s="2" t="s">
        <v>100</v>
      </c>
      <c r="N2644" s="2" t="s">
        <v>876</v>
      </c>
      <c r="O2644" s="2" t="s">
        <v>115</v>
      </c>
      <c r="P2644" s="2" t="str">
        <f>"2170563330                    "</f>
        <v xml:space="preserve">2170563330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4.29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2</v>
      </c>
      <c r="BJ2644" s="2">
        <v>0.2</v>
      </c>
      <c r="BK2644" s="2">
        <v>2</v>
      </c>
      <c r="BL2644" s="2">
        <v>41.73</v>
      </c>
      <c r="BM2644" s="2">
        <v>5.84</v>
      </c>
      <c r="BN2644" s="2">
        <v>47.57</v>
      </c>
      <c r="BO2644" s="2">
        <v>47.57</v>
      </c>
      <c r="BP2644" s="2"/>
      <c r="BQ2644" s="2" t="s">
        <v>877</v>
      </c>
      <c r="BR2644" s="2" t="s">
        <v>84</v>
      </c>
      <c r="BS2644" s="3">
        <v>42846</v>
      </c>
      <c r="BT2644" s="4">
        <v>0.29166666666666669</v>
      </c>
      <c r="BU2644" s="2" t="s">
        <v>2843</v>
      </c>
      <c r="BV2644" s="2" t="s">
        <v>111</v>
      </c>
      <c r="BW2644" s="2"/>
      <c r="BX2644" s="2"/>
      <c r="BY2644" s="2">
        <v>1200</v>
      </c>
      <c r="BZ2644" s="2"/>
      <c r="CA2644" s="2" t="s">
        <v>106</v>
      </c>
      <c r="CB2644" s="2"/>
      <c r="CC2644" s="2" t="s">
        <v>100</v>
      </c>
      <c r="CD2644" s="2">
        <v>6012</v>
      </c>
      <c r="CE2644" s="2" t="s">
        <v>118</v>
      </c>
      <c r="CF2644" s="5">
        <v>42846</v>
      </c>
      <c r="CG2644" s="2"/>
      <c r="CH2644" s="2"/>
      <c r="CI2644" s="2">
        <v>1</v>
      </c>
      <c r="CJ2644" s="2">
        <v>1</v>
      </c>
      <c r="CK2644" s="2">
        <v>21</v>
      </c>
      <c r="CL2644" s="2" t="s">
        <v>86</v>
      </c>
      <c r="CM2644" s="2"/>
    </row>
    <row r="2645" spans="1:91">
      <c r="A2645" s="2" t="s">
        <v>71</v>
      </c>
      <c r="B2645" s="2" t="s">
        <v>72</v>
      </c>
      <c r="C2645" s="2" t="s">
        <v>73</v>
      </c>
      <c r="D2645" s="2"/>
      <c r="E2645" s="2" t="str">
        <f>"FES1162544264"</f>
        <v>FES1162544264</v>
      </c>
      <c r="F2645" s="3">
        <v>42845</v>
      </c>
      <c r="G2645" s="2">
        <v>201710</v>
      </c>
      <c r="H2645" s="2" t="s">
        <v>74</v>
      </c>
      <c r="I2645" s="2" t="s">
        <v>75</v>
      </c>
      <c r="J2645" s="2" t="s">
        <v>76</v>
      </c>
      <c r="K2645" s="2" t="s">
        <v>77</v>
      </c>
      <c r="L2645" s="2" t="s">
        <v>74</v>
      </c>
      <c r="M2645" s="2" t="s">
        <v>75</v>
      </c>
      <c r="N2645" s="2" t="s">
        <v>2944</v>
      </c>
      <c r="O2645" s="2" t="s">
        <v>115</v>
      </c>
      <c r="P2645" s="2" t="str">
        <f>"2170562863                    "</f>
        <v xml:space="preserve">2170562863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3.35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4</v>
      </c>
      <c r="BJ2645" s="2">
        <v>4.9000000000000004</v>
      </c>
      <c r="BK2645" s="2">
        <v>5</v>
      </c>
      <c r="BL2645" s="2">
        <v>32.6</v>
      </c>
      <c r="BM2645" s="2">
        <v>4.5599999999999996</v>
      </c>
      <c r="BN2645" s="2">
        <v>37.159999999999997</v>
      </c>
      <c r="BO2645" s="2">
        <v>37.159999999999997</v>
      </c>
      <c r="BP2645" s="2"/>
      <c r="BQ2645" s="2"/>
      <c r="BR2645" s="2" t="s">
        <v>84</v>
      </c>
      <c r="BS2645" s="3">
        <v>42846</v>
      </c>
      <c r="BT2645" s="4">
        <v>0.41666666666666669</v>
      </c>
      <c r="BU2645" s="2" t="s">
        <v>2945</v>
      </c>
      <c r="BV2645" s="2" t="s">
        <v>111</v>
      </c>
      <c r="BW2645" s="2"/>
      <c r="BX2645" s="2"/>
      <c r="BY2645" s="2">
        <v>24288</v>
      </c>
      <c r="BZ2645" s="2" t="s">
        <v>27</v>
      </c>
      <c r="CA2645" s="2"/>
      <c r="CB2645" s="2"/>
      <c r="CC2645" s="2" t="s">
        <v>75</v>
      </c>
      <c r="CD2645" s="2">
        <v>1601</v>
      </c>
      <c r="CE2645" s="2" t="s">
        <v>89</v>
      </c>
      <c r="CF2645" s="5">
        <v>42849</v>
      </c>
      <c r="CG2645" s="2"/>
      <c r="CH2645" s="2"/>
      <c r="CI2645" s="2">
        <v>1</v>
      </c>
      <c r="CJ2645" s="2">
        <v>1</v>
      </c>
      <c r="CK2645" s="2">
        <v>22</v>
      </c>
      <c r="CL2645" s="2" t="s">
        <v>86</v>
      </c>
      <c r="CM2645" s="2"/>
    </row>
    <row r="2646" spans="1:91">
      <c r="A2646" s="2" t="s">
        <v>71</v>
      </c>
      <c r="B2646" s="2" t="s">
        <v>72</v>
      </c>
      <c r="C2646" s="2" t="s">
        <v>73</v>
      </c>
      <c r="D2646" s="2"/>
      <c r="E2646" s="2" t="str">
        <f>"FES1162544453"</f>
        <v>FES1162544453</v>
      </c>
      <c r="F2646" s="3">
        <v>42845</v>
      </c>
      <c r="G2646" s="2">
        <v>201710</v>
      </c>
      <c r="H2646" s="2" t="s">
        <v>74</v>
      </c>
      <c r="I2646" s="2" t="s">
        <v>75</v>
      </c>
      <c r="J2646" s="2" t="s">
        <v>76</v>
      </c>
      <c r="K2646" s="2" t="s">
        <v>77</v>
      </c>
      <c r="L2646" s="2" t="s">
        <v>99</v>
      </c>
      <c r="M2646" s="2" t="s">
        <v>100</v>
      </c>
      <c r="N2646" s="2" t="s">
        <v>876</v>
      </c>
      <c r="O2646" s="2" t="s">
        <v>115</v>
      </c>
      <c r="P2646" s="2" t="str">
        <f>"2170563053                    "</f>
        <v xml:space="preserve">2170563053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4.29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1</v>
      </c>
      <c r="BJ2646" s="2">
        <v>0.2</v>
      </c>
      <c r="BK2646" s="2">
        <v>1</v>
      </c>
      <c r="BL2646" s="2">
        <v>41.73</v>
      </c>
      <c r="BM2646" s="2">
        <v>5.84</v>
      </c>
      <c r="BN2646" s="2">
        <v>47.57</v>
      </c>
      <c r="BO2646" s="2">
        <v>47.57</v>
      </c>
      <c r="BP2646" s="2"/>
      <c r="BQ2646" s="2" t="s">
        <v>877</v>
      </c>
      <c r="BR2646" s="2" t="s">
        <v>84</v>
      </c>
      <c r="BS2646" s="3">
        <v>42846</v>
      </c>
      <c r="BT2646" s="4">
        <v>0.29166666666666669</v>
      </c>
      <c r="BU2646" s="2" t="s">
        <v>2843</v>
      </c>
      <c r="BV2646" s="2" t="s">
        <v>111</v>
      </c>
      <c r="BW2646" s="2"/>
      <c r="BX2646" s="2"/>
      <c r="BY2646" s="2">
        <v>1200</v>
      </c>
      <c r="BZ2646" s="2" t="s">
        <v>27</v>
      </c>
      <c r="CA2646" s="2" t="s">
        <v>106</v>
      </c>
      <c r="CB2646" s="2"/>
      <c r="CC2646" s="2" t="s">
        <v>100</v>
      </c>
      <c r="CD2646" s="2">
        <v>6012</v>
      </c>
      <c r="CE2646" s="2" t="s">
        <v>118</v>
      </c>
      <c r="CF2646" s="5">
        <v>42846</v>
      </c>
      <c r="CG2646" s="2"/>
      <c r="CH2646" s="2"/>
      <c r="CI2646" s="2">
        <v>1</v>
      </c>
      <c r="CJ2646" s="2">
        <v>1</v>
      </c>
      <c r="CK2646" s="2">
        <v>21</v>
      </c>
      <c r="CL2646" s="2" t="s">
        <v>86</v>
      </c>
      <c r="CM2646" s="2"/>
    </row>
    <row r="2647" spans="1:91">
      <c r="A2647" s="2" t="s">
        <v>71</v>
      </c>
      <c r="B2647" s="2" t="s">
        <v>72</v>
      </c>
      <c r="C2647" s="2" t="s">
        <v>73</v>
      </c>
      <c r="D2647" s="2"/>
      <c r="E2647" s="2" t="str">
        <f>"FES1162544690"</f>
        <v>FES1162544690</v>
      </c>
      <c r="F2647" s="3">
        <v>42845</v>
      </c>
      <c r="G2647" s="2">
        <v>201710</v>
      </c>
      <c r="H2647" s="2" t="s">
        <v>74</v>
      </c>
      <c r="I2647" s="2" t="s">
        <v>75</v>
      </c>
      <c r="J2647" s="2" t="s">
        <v>76</v>
      </c>
      <c r="K2647" s="2" t="s">
        <v>77</v>
      </c>
      <c r="L2647" s="2" t="s">
        <v>299</v>
      </c>
      <c r="M2647" s="2" t="s">
        <v>300</v>
      </c>
      <c r="N2647" s="2" t="s">
        <v>1613</v>
      </c>
      <c r="O2647" s="2" t="s">
        <v>115</v>
      </c>
      <c r="P2647" s="2" t="str">
        <f>"2170563251                    "</f>
        <v xml:space="preserve">2170563251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6.03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1</v>
      </c>
      <c r="BI2647" s="2">
        <v>1</v>
      </c>
      <c r="BJ2647" s="2">
        <v>0.2</v>
      </c>
      <c r="BK2647" s="2">
        <v>1</v>
      </c>
      <c r="BL2647" s="2">
        <v>58.68</v>
      </c>
      <c r="BM2647" s="2">
        <v>8.2200000000000006</v>
      </c>
      <c r="BN2647" s="2">
        <v>66.900000000000006</v>
      </c>
      <c r="BO2647" s="2">
        <v>66.900000000000006</v>
      </c>
      <c r="BP2647" s="2"/>
      <c r="BQ2647" s="2" t="s">
        <v>122</v>
      </c>
      <c r="BR2647" s="2" t="s">
        <v>84</v>
      </c>
      <c r="BS2647" s="3">
        <v>42846</v>
      </c>
      <c r="BT2647" s="4">
        <v>0.57708333333333328</v>
      </c>
      <c r="BU2647" s="2" t="s">
        <v>608</v>
      </c>
      <c r="BV2647" s="2" t="s">
        <v>111</v>
      </c>
      <c r="BW2647" s="2"/>
      <c r="BX2647" s="2"/>
      <c r="BY2647" s="2">
        <v>1200</v>
      </c>
      <c r="BZ2647" s="2"/>
      <c r="CA2647" s="2" t="s">
        <v>159</v>
      </c>
      <c r="CB2647" s="2"/>
      <c r="CC2647" s="2" t="s">
        <v>300</v>
      </c>
      <c r="CD2647" s="2">
        <v>407</v>
      </c>
      <c r="CE2647" s="2" t="s">
        <v>118</v>
      </c>
      <c r="CF2647" s="5">
        <v>42851</v>
      </c>
      <c r="CG2647" s="2"/>
      <c r="CH2647" s="2"/>
      <c r="CI2647" s="2">
        <v>0</v>
      </c>
      <c r="CJ2647" s="2">
        <v>0</v>
      </c>
      <c r="CK2647" s="2">
        <v>24</v>
      </c>
      <c r="CL2647" s="2" t="s">
        <v>86</v>
      </c>
      <c r="CM2647" s="2"/>
    </row>
    <row r="2648" spans="1:91">
      <c r="A2648" s="2" t="s">
        <v>71</v>
      </c>
      <c r="B2648" s="2" t="s">
        <v>72</v>
      </c>
      <c r="C2648" s="2" t="s">
        <v>73</v>
      </c>
      <c r="D2648" s="2"/>
      <c r="E2648" s="2" t="str">
        <f>"FES1162544464"</f>
        <v>FES1162544464</v>
      </c>
      <c r="F2648" s="3">
        <v>42845</v>
      </c>
      <c r="G2648" s="2">
        <v>201710</v>
      </c>
      <c r="H2648" s="2" t="s">
        <v>74</v>
      </c>
      <c r="I2648" s="2" t="s">
        <v>75</v>
      </c>
      <c r="J2648" s="2" t="s">
        <v>76</v>
      </c>
      <c r="K2648" s="2" t="s">
        <v>77</v>
      </c>
      <c r="L2648" s="2" t="s">
        <v>99</v>
      </c>
      <c r="M2648" s="2" t="s">
        <v>100</v>
      </c>
      <c r="N2648" s="2" t="s">
        <v>1057</v>
      </c>
      <c r="O2648" s="2" t="s">
        <v>115</v>
      </c>
      <c r="P2648" s="2" t="str">
        <f>"2170561085                    "</f>
        <v xml:space="preserve">2170561085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4.29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1</v>
      </c>
      <c r="BJ2648" s="2">
        <v>0.2</v>
      </c>
      <c r="BK2648" s="2">
        <v>1</v>
      </c>
      <c r="BL2648" s="2">
        <v>41.73</v>
      </c>
      <c r="BM2648" s="2">
        <v>5.84</v>
      </c>
      <c r="BN2648" s="2">
        <v>47.57</v>
      </c>
      <c r="BO2648" s="2">
        <v>47.57</v>
      </c>
      <c r="BP2648" s="2"/>
      <c r="BQ2648" s="2" t="s">
        <v>1058</v>
      </c>
      <c r="BR2648" s="2" t="s">
        <v>84</v>
      </c>
      <c r="BS2648" s="3">
        <v>42846</v>
      </c>
      <c r="BT2648" s="4">
        <v>0.34652777777777777</v>
      </c>
      <c r="BU2648" s="2" t="s">
        <v>1223</v>
      </c>
      <c r="BV2648" s="2" t="s">
        <v>111</v>
      </c>
      <c r="BW2648" s="2"/>
      <c r="BX2648" s="2"/>
      <c r="BY2648" s="2">
        <v>1200</v>
      </c>
      <c r="BZ2648" s="2" t="s">
        <v>27</v>
      </c>
      <c r="CA2648" s="2" t="s">
        <v>154</v>
      </c>
      <c r="CB2648" s="2"/>
      <c r="CC2648" s="2" t="s">
        <v>100</v>
      </c>
      <c r="CD2648" s="2">
        <v>6001</v>
      </c>
      <c r="CE2648" s="2" t="s">
        <v>118</v>
      </c>
      <c r="CF2648" s="5">
        <v>42846</v>
      </c>
      <c r="CG2648" s="2"/>
      <c r="CH2648" s="2"/>
      <c r="CI2648" s="2">
        <v>1</v>
      </c>
      <c r="CJ2648" s="2">
        <v>1</v>
      </c>
      <c r="CK2648" s="2">
        <v>21</v>
      </c>
      <c r="CL2648" s="2" t="s">
        <v>86</v>
      </c>
      <c r="CM2648" s="2"/>
    </row>
    <row r="2649" spans="1:91">
      <c r="A2649" s="2" t="s">
        <v>71</v>
      </c>
      <c r="B2649" s="2" t="s">
        <v>72</v>
      </c>
      <c r="C2649" s="2" t="s">
        <v>73</v>
      </c>
      <c r="D2649" s="2"/>
      <c r="E2649" s="2" t="str">
        <f>"FES1162544707"</f>
        <v>FES1162544707</v>
      </c>
      <c r="F2649" s="3">
        <v>42845</v>
      </c>
      <c r="G2649" s="2">
        <v>201710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401</v>
      </c>
      <c r="M2649" s="2" t="s">
        <v>402</v>
      </c>
      <c r="N2649" s="2" t="s">
        <v>752</v>
      </c>
      <c r="O2649" s="2" t="s">
        <v>115</v>
      </c>
      <c r="P2649" s="2" t="str">
        <f>"2170563264                    "</f>
        <v xml:space="preserve">2170563264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7.5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3.3</v>
      </c>
      <c r="BJ2649" s="2">
        <v>1.7</v>
      </c>
      <c r="BK2649" s="2">
        <v>3.5</v>
      </c>
      <c r="BL2649" s="2">
        <v>73.02</v>
      </c>
      <c r="BM2649" s="2">
        <v>10.220000000000001</v>
      </c>
      <c r="BN2649" s="2">
        <v>83.24</v>
      </c>
      <c r="BO2649" s="2">
        <v>83.24</v>
      </c>
      <c r="BP2649" s="2"/>
      <c r="BQ2649" s="2" t="s">
        <v>122</v>
      </c>
      <c r="BR2649" s="2" t="s">
        <v>84</v>
      </c>
      <c r="BS2649" s="3">
        <v>42846</v>
      </c>
      <c r="BT2649" s="4">
        <v>0.4375</v>
      </c>
      <c r="BU2649" s="2" t="s">
        <v>1239</v>
      </c>
      <c r="BV2649" s="2" t="s">
        <v>111</v>
      </c>
      <c r="BW2649" s="2"/>
      <c r="BX2649" s="2"/>
      <c r="BY2649" s="2">
        <v>8570.98</v>
      </c>
      <c r="BZ2649" s="2"/>
      <c r="CA2649" s="2"/>
      <c r="CB2649" s="2"/>
      <c r="CC2649" s="2" t="s">
        <v>402</v>
      </c>
      <c r="CD2649" s="2">
        <v>4113</v>
      </c>
      <c r="CE2649" s="2" t="s">
        <v>172</v>
      </c>
      <c r="CF2649" s="5">
        <v>42849</v>
      </c>
      <c r="CG2649" s="2"/>
      <c r="CH2649" s="2"/>
      <c r="CI2649" s="2">
        <v>1</v>
      </c>
      <c r="CJ2649" s="2">
        <v>1</v>
      </c>
      <c r="CK2649" s="2">
        <v>21</v>
      </c>
      <c r="CL2649" s="2" t="s">
        <v>86</v>
      </c>
      <c r="CM2649" s="2"/>
    </row>
    <row r="2650" spans="1:91">
      <c r="A2650" s="2" t="s">
        <v>71</v>
      </c>
      <c r="B2650" s="2" t="s">
        <v>72</v>
      </c>
      <c r="C2650" s="2" t="s">
        <v>73</v>
      </c>
      <c r="D2650" s="2"/>
      <c r="E2650" s="2" t="str">
        <f>"FES1162544460"</f>
        <v>FES1162544460</v>
      </c>
      <c r="F2650" s="3">
        <v>42845</v>
      </c>
      <c r="G2650" s="2">
        <v>201710</v>
      </c>
      <c r="H2650" s="2" t="s">
        <v>74</v>
      </c>
      <c r="I2650" s="2" t="s">
        <v>75</v>
      </c>
      <c r="J2650" s="2" t="s">
        <v>76</v>
      </c>
      <c r="K2650" s="2" t="s">
        <v>77</v>
      </c>
      <c r="L2650" s="2" t="s">
        <v>160</v>
      </c>
      <c r="M2650" s="2" t="s">
        <v>161</v>
      </c>
      <c r="N2650" s="2" t="s">
        <v>741</v>
      </c>
      <c r="O2650" s="2" t="s">
        <v>115</v>
      </c>
      <c r="P2650" s="2" t="str">
        <f>"2170557945                    "</f>
        <v xml:space="preserve">2170557945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4.29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1</v>
      </c>
      <c r="BJ2650" s="2">
        <v>0.2</v>
      </c>
      <c r="BK2650" s="2">
        <v>1</v>
      </c>
      <c r="BL2650" s="2">
        <v>41.73</v>
      </c>
      <c r="BM2650" s="2">
        <v>5.84</v>
      </c>
      <c r="BN2650" s="2">
        <v>47.57</v>
      </c>
      <c r="BO2650" s="2">
        <v>47.57</v>
      </c>
      <c r="BP2650" s="2"/>
      <c r="BQ2650" s="2" t="s">
        <v>742</v>
      </c>
      <c r="BR2650" s="2" t="s">
        <v>84</v>
      </c>
      <c r="BS2650" s="3">
        <v>42846</v>
      </c>
      <c r="BT2650" s="4">
        <v>0.41666666666666669</v>
      </c>
      <c r="BU2650" s="2" t="s">
        <v>2946</v>
      </c>
      <c r="BV2650" s="2" t="s">
        <v>111</v>
      </c>
      <c r="BW2650" s="2"/>
      <c r="BX2650" s="2"/>
      <c r="BY2650" s="2">
        <v>1200</v>
      </c>
      <c r="BZ2650" s="2" t="s">
        <v>27</v>
      </c>
      <c r="CA2650" s="2" t="s">
        <v>159</v>
      </c>
      <c r="CB2650" s="2"/>
      <c r="CC2650" s="2" t="s">
        <v>161</v>
      </c>
      <c r="CD2650" s="2">
        <v>5201</v>
      </c>
      <c r="CE2650" s="2" t="s">
        <v>118</v>
      </c>
      <c r="CF2650" s="5">
        <v>42849</v>
      </c>
      <c r="CG2650" s="2"/>
      <c r="CH2650" s="2"/>
      <c r="CI2650" s="2">
        <v>1</v>
      </c>
      <c r="CJ2650" s="2">
        <v>1</v>
      </c>
      <c r="CK2650" s="2">
        <v>21</v>
      </c>
      <c r="CL2650" s="2" t="s">
        <v>86</v>
      </c>
      <c r="CM2650" s="2"/>
    </row>
    <row r="2651" spans="1:91">
      <c r="A2651" s="2" t="s">
        <v>71</v>
      </c>
      <c r="B2651" s="2" t="s">
        <v>72</v>
      </c>
      <c r="C2651" s="2" t="s">
        <v>73</v>
      </c>
      <c r="D2651" s="2"/>
      <c r="E2651" s="2" t="str">
        <f>"FES1162544650"</f>
        <v>FES1162544650</v>
      </c>
      <c r="F2651" s="3">
        <v>42845</v>
      </c>
      <c r="G2651" s="2">
        <v>201710</v>
      </c>
      <c r="H2651" s="2" t="s">
        <v>74</v>
      </c>
      <c r="I2651" s="2" t="s">
        <v>75</v>
      </c>
      <c r="J2651" s="2" t="s">
        <v>76</v>
      </c>
      <c r="K2651" s="2" t="s">
        <v>77</v>
      </c>
      <c r="L2651" s="2" t="s">
        <v>234</v>
      </c>
      <c r="M2651" s="2" t="s">
        <v>235</v>
      </c>
      <c r="N2651" s="2" t="s">
        <v>236</v>
      </c>
      <c r="O2651" s="2" t="s">
        <v>115</v>
      </c>
      <c r="P2651" s="2" t="str">
        <f>"2170562225                    "</f>
        <v xml:space="preserve">2170562225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8.57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4</v>
      </c>
      <c r="BJ2651" s="2">
        <v>2</v>
      </c>
      <c r="BK2651" s="2">
        <v>4</v>
      </c>
      <c r="BL2651" s="2">
        <v>83.45</v>
      </c>
      <c r="BM2651" s="2">
        <v>11.68</v>
      </c>
      <c r="BN2651" s="2">
        <v>95.13</v>
      </c>
      <c r="BO2651" s="2">
        <v>95.13</v>
      </c>
      <c r="BP2651" s="2"/>
      <c r="BQ2651" s="2" t="s">
        <v>285</v>
      </c>
      <c r="BR2651" s="2" t="s">
        <v>84</v>
      </c>
      <c r="BS2651" s="3">
        <v>42846</v>
      </c>
      <c r="BT2651" s="4">
        <v>0.3263888888888889</v>
      </c>
      <c r="BU2651" s="2" t="s">
        <v>385</v>
      </c>
      <c r="BV2651" s="2" t="s">
        <v>111</v>
      </c>
      <c r="BW2651" s="2"/>
      <c r="BX2651" s="2"/>
      <c r="BY2651" s="2">
        <v>9918</v>
      </c>
      <c r="BZ2651" s="2"/>
      <c r="CA2651" s="2"/>
      <c r="CB2651" s="2"/>
      <c r="CC2651" s="2" t="s">
        <v>235</v>
      </c>
      <c r="CD2651" s="2">
        <v>6220</v>
      </c>
      <c r="CE2651" s="2" t="s">
        <v>89</v>
      </c>
      <c r="CF2651" s="5">
        <v>42849</v>
      </c>
      <c r="CG2651" s="2"/>
      <c r="CH2651" s="2"/>
      <c r="CI2651" s="2">
        <v>1</v>
      </c>
      <c r="CJ2651" s="2">
        <v>1</v>
      </c>
      <c r="CK2651" s="2">
        <v>21</v>
      </c>
      <c r="CL2651" s="2" t="s">
        <v>86</v>
      </c>
      <c r="CM2651" s="2"/>
    </row>
    <row r="2652" spans="1:91">
      <c r="A2652" s="2" t="s">
        <v>71</v>
      </c>
      <c r="B2652" s="2" t="s">
        <v>72</v>
      </c>
      <c r="C2652" s="2" t="s">
        <v>73</v>
      </c>
      <c r="D2652" s="2"/>
      <c r="E2652" s="2" t="str">
        <f>"FES1162544458"</f>
        <v>FES1162544458</v>
      </c>
      <c r="F2652" s="3">
        <v>42845</v>
      </c>
      <c r="G2652" s="2">
        <v>201710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99</v>
      </c>
      <c r="M2652" s="2" t="s">
        <v>100</v>
      </c>
      <c r="N2652" s="2" t="s">
        <v>876</v>
      </c>
      <c r="O2652" s="2" t="s">
        <v>115</v>
      </c>
      <c r="P2652" s="2" t="str">
        <f>"2170563061                    "</f>
        <v xml:space="preserve">2170563061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4.29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1</v>
      </c>
      <c r="BJ2652" s="2">
        <v>0.2</v>
      </c>
      <c r="BK2652" s="2">
        <v>1</v>
      </c>
      <c r="BL2652" s="2">
        <v>41.73</v>
      </c>
      <c r="BM2652" s="2">
        <v>5.84</v>
      </c>
      <c r="BN2652" s="2">
        <v>47.57</v>
      </c>
      <c r="BO2652" s="2">
        <v>47.57</v>
      </c>
      <c r="BP2652" s="2"/>
      <c r="BQ2652" s="2" t="s">
        <v>877</v>
      </c>
      <c r="BR2652" s="2" t="s">
        <v>84</v>
      </c>
      <c r="BS2652" s="3">
        <v>42846</v>
      </c>
      <c r="BT2652" s="4">
        <v>0.29166666666666669</v>
      </c>
      <c r="BU2652" s="2" t="s">
        <v>2843</v>
      </c>
      <c r="BV2652" s="2" t="s">
        <v>111</v>
      </c>
      <c r="BW2652" s="2"/>
      <c r="BX2652" s="2"/>
      <c r="BY2652" s="2">
        <v>1200</v>
      </c>
      <c r="BZ2652" s="2" t="s">
        <v>27</v>
      </c>
      <c r="CA2652" s="2" t="s">
        <v>106</v>
      </c>
      <c r="CB2652" s="2"/>
      <c r="CC2652" s="2" t="s">
        <v>100</v>
      </c>
      <c r="CD2652" s="2">
        <v>6012</v>
      </c>
      <c r="CE2652" s="2" t="s">
        <v>118</v>
      </c>
      <c r="CF2652" s="5">
        <v>42846</v>
      </c>
      <c r="CG2652" s="2"/>
      <c r="CH2652" s="2"/>
      <c r="CI2652" s="2">
        <v>1</v>
      </c>
      <c r="CJ2652" s="2">
        <v>1</v>
      </c>
      <c r="CK2652" s="2">
        <v>21</v>
      </c>
      <c r="CL2652" s="2" t="s">
        <v>86</v>
      </c>
      <c r="CM2652" s="2"/>
    </row>
    <row r="2653" spans="1:91">
      <c r="A2653" s="2" t="s">
        <v>71</v>
      </c>
      <c r="B2653" s="2" t="s">
        <v>72</v>
      </c>
      <c r="C2653" s="2" t="s">
        <v>73</v>
      </c>
      <c r="D2653" s="2"/>
      <c r="E2653" s="2" t="str">
        <f>"FES1162544665"</f>
        <v>FES1162544665</v>
      </c>
      <c r="F2653" s="3">
        <v>42845</v>
      </c>
      <c r="G2653" s="2">
        <v>201710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99</v>
      </c>
      <c r="M2653" s="2" t="s">
        <v>100</v>
      </c>
      <c r="N2653" s="2" t="s">
        <v>671</v>
      </c>
      <c r="O2653" s="2" t="s">
        <v>115</v>
      </c>
      <c r="P2653" s="2" t="str">
        <f>"2170563220                    "</f>
        <v xml:space="preserve">2170563220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12.86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6</v>
      </c>
      <c r="BJ2653" s="2">
        <v>4.0999999999999996</v>
      </c>
      <c r="BK2653" s="2">
        <v>6</v>
      </c>
      <c r="BL2653" s="2">
        <v>125.18</v>
      </c>
      <c r="BM2653" s="2">
        <v>17.53</v>
      </c>
      <c r="BN2653" s="2">
        <v>142.71</v>
      </c>
      <c r="BO2653" s="2">
        <v>142.71</v>
      </c>
      <c r="BP2653" s="2"/>
      <c r="BQ2653" s="2" t="s">
        <v>672</v>
      </c>
      <c r="BR2653" s="2" t="s">
        <v>84</v>
      </c>
      <c r="BS2653" s="3">
        <v>42846</v>
      </c>
      <c r="BT2653" s="4">
        <v>0.36319444444444443</v>
      </c>
      <c r="BU2653" s="2" t="s">
        <v>2551</v>
      </c>
      <c r="BV2653" s="2" t="s">
        <v>111</v>
      </c>
      <c r="BW2653" s="2"/>
      <c r="BX2653" s="2"/>
      <c r="BY2653" s="2">
        <v>20358</v>
      </c>
      <c r="BZ2653" s="2"/>
      <c r="CA2653" s="2" t="s">
        <v>106</v>
      </c>
      <c r="CB2653" s="2"/>
      <c r="CC2653" s="2" t="s">
        <v>100</v>
      </c>
      <c r="CD2653" s="2">
        <v>6001</v>
      </c>
      <c r="CE2653" s="2" t="s">
        <v>89</v>
      </c>
      <c r="CF2653" s="5">
        <v>42846</v>
      </c>
      <c r="CG2653" s="2"/>
      <c r="CH2653" s="2"/>
      <c r="CI2653" s="2">
        <v>1</v>
      </c>
      <c r="CJ2653" s="2">
        <v>1</v>
      </c>
      <c r="CK2653" s="2">
        <v>21</v>
      </c>
      <c r="CL2653" s="2" t="s">
        <v>86</v>
      </c>
      <c r="CM2653" s="2"/>
    </row>
    <row r="2654" spans="1:91">
      <c r="A2654" s="2" t="s">
        <v>71</v>
      </c>
      <c r="B2654" s="2" t="s">
        <v>72</v>
      </c>
      <c r="C2654" s="2" t="s">
        <v>73</v>
      </c>
      <c r="D2654" s="2"/>
      <c r="E2654" s="2" t="str">
        <f>"FES1162544479"</f>
        <v>FES1162544479</v>
      </c>
      <c r="F2654" s="3">
        <v>42845</v>
      </c>
      <c r="G2654" s="2">
        <v>201710</v>
      </c>
      <c r="H2654" s="2" t="s">
        <v>74</v>
      </c>
      <c r="I2654" s="2" t="s">
        <v>75</v>
      </c>
      <c r="J2654" s="2" t="s">
        <v>76</v>
      </c>
      <c r="K2654" s="2" t="s">
        <v>77</v>
      </c>
      <c r="L2654" s="2" t="s">
        <v>99</v>
      </c>
      <c r="M2654" s="2" t="s">
        <v>100</v>
      </c>
      <c r="N2654" s="2" t="s">
        <v>2947</v>
      </c>
      <c r="O2654" s="2" t="s">
        <v>115</v>
      </c>
      <c r="P2654" s="2" t="str">
        <f>"2170563069                    "</f>
        <v xml:space="preserve">2170563069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4.29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41.73</v>
      </c>
      <c r="BM2654" s="2">
        <v>5.84</v>
      </c>
      <c r="BN2654" s="2">
        <v>47.57</v>
      </c>
      <c r="BO2654" s="2">
        <v>47.57</v>
      </c>
      <c r="BP2654" s="2"/>
      <c r="BQ2654" s="2" t="s">
        <v>2948</v>
      </c>
      <c r="BR2654" s="2" t="s">
        <v>84</v>
      </c>
      <c r="BS2654" s="3">
        <v>42846</v>
      </c>
      <c r="BT2654" s="4">
        <v>0.41180555555555554</v>
      </c>
      <c r="BU2654" s="2" t="s">
        <v>385</v>
      </c>
      <c r="BV2654" s="2" t="s">
        <v>111</v>
      </c>
      <c r="BW2654" s="2"/>
      <c r="BX2654" s="2"/>
      <c r="BY2654" s="2">
        <v>1200</v>
      </c>
      <c r="BZ2654" s="2" t="s">
        <v>27</v>
      </c>
      <c r="CA2654" s="2"/>
      <c r="CB2654" s="2"/>
      <c r="CC2654" s="2" t="s">
        <v>100</v>
      </c>
      <c r="CD2654" s="2">
        <v>6001</v>
      </c>
      <c r="CE2654" s="2" t="s">
        <v>118</v>
      </c>
      <c r="CF2654" s="5">
        <v>42849</v>
      </c>
      <c r="CG2654" s="2"/>
      <c r="CH2654" s="2"/>
      <c r="CI2654" s="2">
        <v>1</v>
      </c>
      <c r="CJ2654" s="2">
        <v>1</v>
      </c>
      <c r="CK2654" s="2">
        <v>21</v>
      </c>
      <c r="CL2654" s="2" t="s">
        <v>86</v>
      </c>
      <c r="CM2654" s="2"/>
    </row>
    <row r="2655" spans="1:91">
      <c r="A2655" s="2" t="s">
        <v>71</v>
      </c>
      <c r="B2655" s="2" t="s">
        <v>72</v>
      </c>
      <c r="C2655" s="2" t="s">
        <v>73</v>
      </c>
      <c r="D2655" s="2"/>
      <c r="E2655" s="2" t="str">
        <f>"FES1162544478"</f>
        <v>FES1162544478</v>
      </c>
      <c r="F2655" s="3">
        <v>42845</v>
      </c>
      <c r="G2655" s="2">
        <v>201710</v>
      </c>
      <c r="H2655" s="2" t="s">
        <v>74</v>
      </c>
      <c r="I2655" s="2" t="s">
        <v>75</v>
      </c>
      <c r="J2655" s="2" t="s">
        <v>76</v>
      </c>
      <c r="K2655" s="2" t="s">
        <v>77</v>
      </c>
      <c r="L2655" s="2" t="s">
        <v>99</v>
      </c>
      <c r="M2655" s="2" t="s">
        <v>100</v>
      </c>
      <c r="N2655" s="2" t="s">
        <v>2949</v>
      </c>
      <c r="O2655" s="2" t="s">
        <v>115</v>
      </c>
      <c r="P2655" s="2" t="str">
        <f>"2170563068                    "</f>
        <v xml:space="preserve">2170563068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4.29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41.73</v>
      </c>
      <c r="BM2655" s="2">
        <v>5.84</v>
      </c>
      <c r="BN2655" s="2">
        <v>47.57</v>
      </c>
      <c r="BO2655" s="2">
        <v>47.57</v>
      </c>
      <c r="BP2655" s="2"/>
      <c r="BQ2655" s="2"/>
      <c r="BR2655" s="2" t="s">
        <v>84</v>
      </c>
      <c r="BS2655" s="3">
        <v>42846</v>
      </c>
      <c r="BT2655" s="4">
        <v>0.43541666666666662</v>
      </c>
      <c r="BU2655" s="2" t="s">
        <v>2950</v>
      </c>
      <c r="BV2655" s="2" t="s">
        <v>111</v>
      </c>
      <c r="BW2655" s="2"/>
      <c r="BX2655" s="2"/>
      <c r="BY2655" s="2">
        <v>1200</v>
      </c>
      <c r="BZ2655" s="2" t="s">
        <v>27</v>
      </c>
      <c r="CA2655" s="2" t="s">
        <v>1008</v>
      </c>
      <c r="CB2655" s="2"/>
      <c r="CC2655" s="2" t="s">
        <v>100</v>
      </c>
      <c r="CD2655" s="2">
        <v>6045</v>
      </c>
      <c r="CE2655" s="2" t="s">
        <v>118</v>
      </c>
      <c r="CF2655" s="5">
        <v>42849</v>
      </c>
      <c r="CG2655" s="2"/>
      <c r="CH2655" s="2"/>
      <c r="CI2655" s="2">
        <v>1</v>
      </c>
      <c r="CJ2655" s="2">
        <v>1</v>
      </c>
      <c r="CK2655" s="2">
        <v>21</v>
      </c>
      <c r="CL2655" s="2" t="s">
        <v>86</v>
      </c>
      <c r="CM2655" s="2"/>
    </row>
    <row r="2656" spans="1:91">
      <c r="A2656" s="2" t="s">
        <v>71</v>
      </c>
      <c r="B2656" s="2" t="s">
        <v>72</v>
      </c>
      <c r="C2656" s="2" t="s">
        <v>73</v>
      </c>
      <c r="D2656" s="2"/>
      <c r="E2656" s="2" t="str">
        <f>"FES1162544694"</f>
        <v>FES1162544694</v>
      </c>
      <c r="F2656" s="3">
        <v>42845</v>
      </c>
      <c r="G2656" s="2">
        <v>201710</v>
      </c>
      <c r="H2656" s="2" t="s">
        <v>74</v>
      </c>
      <c r="I2656" s="2" t="s">
        <v>75</v>
      </c>
      <c r="J2656" s="2" t="s">
        <v>76</v>
      </c>
      <c r="K2656" s="2" t="s">
        <v>77</v>
      </c>
      <c r="L2656" s="2" t="s">
        <v>99</v>
      </c>
      <c r="M2656" s="2" t="s">
        <v>100</v>
      </c>
      <c r="N2656" s="2" t="s">
        <v>926</v>
      </c>
      <c r="O2656" s="2" t="s">
        <v>115</v>
      </c>
      <c r="P2656" s="2" t="str">
        <f>"2170563253                    "</f>
        <v xml:space="preserve">2170563253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4.29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41.73</v>
      </c>
      <c r="BM2656" s="2">
        <v>5.84</v>
      </c>
      <c r="BN2656" s="2">
        <v>47.57</v>
      </c>
      <c r="BO2656" s="2">
        <v>47.57</v>
      </c>
      <c r="BP2656" s="2"/>
      <c r="BQ2656" s="2" t="s">
        <v>927</v>
      </c>
      <c r="BR2656" s="2" t="s">
        <v>84</v>
      </c>
      <c r="BS2656" s="3">
        <v>42846</v>
      </c>
      <c r="BT2656" s="4">
        <v>0.63194444444444442</v>
      </c>
      <c r="BU2656" s="2" t="s">
        <v>2951</v>
      </c>
      <c r="BV2656" s="2" t="s">
        <v>86</v>
      </c>
      <c r="BW2656" s="2"/>
      <c r="BX2656" s="2"/>
      <c r="BY2656" s="2">
        <v>1200</v>
      </c>
      <c r="BZ2656" s="2"/>
      <c r="CA2656" s="2" t="s">
        <v>2952</v>
      </c>
      <c r="CB2656" s="2"/>
      <c r="CC2656" s="2" t="s">
        <v>100</v>
      </c>
      <c r="CD2656" s="2">
        <v>6100</v>
      </c>
      <c r="CE2656" s="2" t="s">
        <v>118</v>
      </c>
      <c r="CF2656" s="5">
        <v>42846</v>
      </c>
      <c r="CG2656" s="2"/>
      <c r="CH2656" s="2"/>
      <c r="CI2656" s="2">
        <v>1</v>
      </c>
      <c r="CJ2656" s="2">
        <v>1</v>
      </c>
      <c r="CK2656" s="2">
        <v>21</v>
      </c>
      <c r="CL2656" s="2" t="s">
        <v>86</v>
      </c>
      <c r="CM2656" s="2"/>
    </row>
    <row r="2657" spans="1:91">
      <c r="A2657" s="2" t="s">
        <v>71</v>
      </c>
      <c r="B2657" s="2" t="s">
        <v>72</v>
      </c>
      <c r="C2657" s="2" t="s">
        <v>73</v>
      </c>
      <c r="D2657" s="2"/>
      <c r="E2657" s="2" t="str">
        <f>"FES1162544579"</f>
        <v>FES1162544579</v>
      </c>
      <c r="F2657" s="3">
        <v>42845</v>
      </c>
      <c r="G2657" s="2">
        <v>201710</v>
      </c>
      <c r="H2657" s="2" t="s">
        <v>74</v>
      </c>
      <c r="I2657" s="2" t="s">
        <v>75</v>
      </c>
      <c r="J2657" s="2" t="s">
        <v>76</v>
      </c>
      <c r="K2657" s="2" t="s">
        <v>77</v>
      </c>
      <c r="L2657" s="2" t="s">
        <v>787</v>
      </c>
      <c r="M2657" s="2" t="s">
        <v>788</v>
      </c>
      <c r="N2657" s="2" t="s">
        <v>789</v>
      </c>
      <c r="O2657" s="2" t="s">
        <v>115</v>
      </c>
      <c r="P2657" s="2" t="str">
        <f>"2170563099                    "</f>
        <v xml:space="preserve">2170563099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8.31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80.849999999999994</v>
      </c>
      <c r="BM2657" s="2">
        <v>11.32</v>
      </c>
      <c r="BN2657" s="2">
        <v>92.17</v>
      </c>
      <c r="BO2657" s="2">
        <v>92.17</v>
      </c>
      <c r="BP2657" s="2"/>
      <c r="BQ2657" s="2" t="s">
        <v>790</v>
      </c>
      <c r="BR2657" s="2" t="s">
        <v>84</v>
      </c>
      <c r="BS2657" s="3">
        <v>42846</v>
      </c>
      <c r="BT2657" s="4">
        <v>0.50138888888888888</v>
      </c>
      <c r="BU2657" s="2" t="s">
        <v>791</v>
      </c>
      <c r="BV2657" s="2" t="s">
        <v>111</v>
      </c>
      <c r="BW2657" s="2"/>
      <c r="BX2657" s="2"/>
      <c r="BY2657" s="2">
        <v>1200</v>
      </c>
      <c r="BZ2657" s="2" t="s">
        <v>27</v>
      </c>
      <c r="CA2657" s="2" t="s">
        <v>159</v>
      </c>
      <c r="CB2657" s="2"/>
      <c r="CC2657" s="2" t="s">
        <v>788</v>
      </c>
      <c r="CD2657" s="2">
        <v>9650</v>
      </c>
      <c r="CE2657" s="2" t="s">
        <v>118</v>
      </c>
      <c r="CF2657" s="5">
        <v>42851</v>
      </c>
      <c r="CG2657" s="2"/>
      <c r="CH2657" s="2"/>
      <c r="CI2657" s="2">
        <v>1</v>
      </c>
      <c r="CJ2657" s="2">
        <v>1</v>
      </c>
      <c r="CK2657" s="2">
        <v>23</v>
      </c>
      <c r="CL2657" s="2" t="s">
        <v>86</v>
      </c>
      <c r="CM2657" s="2"/>
    </row>
    <row r="2658" spans="1:91">
      <c r="A2658" s="2" t="s">
        <v>71</v>
      </c>
      <c r="B2658" s="2" t="s">
        <v>72</v>
      </c>
      <c r="C2658" s="2" t="s">
        <v>73</v>
      </c>
      <c r="D2658" s="2"/>
      <c r="E2658" s="2" t="str">
        <f>"FES1162544632"</f>
        <v>FES1162544632</v>
      </c>
      <c r="F2658" s="3">
        <v>42845</v>
      </c>
      <c r="G2658" s="2">
        <v>201710</v>
      </c>
      <c r="H2658" s="2" t="s">
        <v>74</v>
      </c>
      <c r="I2658" s="2" t="s">
        <v>75</v>
      </c>
      <c r="J2658" s="2" t="s">
        <v>76</v>
      </c>
      <c r="K2658" s="2" t="s">
        <v>77</v>
      </c>
      <c r="L2658" s="2" t="s">
        <v>139</v>
      </c>
      <c r="M2658" s="2" t="s">
        <v>140</v>
      </c>
      <c r="N2658" s="2" t="s">
        <v>2953</v>
      </c>
      <c r="O2658" s="2" t="s">
        <v>115</v>
      </c>
      <c r="P2658" s="2" t="str">
        <f>"2170563169                    "</f>
        <v xml:space="preserve">2170563169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4.29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41.73</v>
      </c>
      <c r="BM2658" s="2">
        <v>5.84</v>
      </c>
      <c r="BN2658" s="2">
        <v>47.57</v>
      </c>
      <c r="BO2658" s="2">
        <v>47.57</v>
      </c>
      <c r="BP2658" s="2"/>
      <c r="BQ2658" s="2" t="s">
        <v>2954</v>
      </c>
      <c r="BR2658" s="2" t="s">
        <v>84</v>
      </c>
      <c r="BS2658" s="3">
        <v>42846</v>
      </c>
      <c r="BT2658" s="4">
        <v>0.50694444444444442</v>
      </c>
      <c r="BU2658" s="2" t="s">
        <v>2955</v>
      </c>
      <c r="BV2658" s="2" t="s">
        <v>86</v>
      </c>
      <c r="BW2658" s="2" t="s">
        <v>164</v>
      </c>
      <c r="BX2658" s="2" t="s">
        <v>786</v>
      </c>
      <c r="BY2658" s="2">
        <v>1200</v>
      </c>
      <c r="BZ2658" s="2"/>
      <c r="CA2658" s="2"/>
      <c r="CB2658" s="2"/>
      <c r="CC2658" s="2" t="s">
        <v>140</v>
      </c>
      <c r="CD2658" s="2">
        <v>157</v>
      </c>
      <c r="CE2658" s="2" t="s">
        <v>118</v>
      </c>
      <c r="CF2658" s="5">
        <v>42851</v>
      </c>
      <c r="CG2658" s="2"/>
      <c r="CH2658" s="2"/>
      <c r="CI2658" s="2">
        <v>0</v>
      </c>
      <c r="CJ2658" s="2">
        <v>0</v>
      </c>
      <c r="CK2658" s="2">
        <v>21</v>
      </c>
      <c r="CL2658" s="2" t="s">
        <v>86</v>
      </c>
      <c r="CM2658" s="2"/>
    </row>
    <row r="2659" spans="1:91">
      <c r="A2659" s="2" t="s">
        <v>71</v>
      </c>
      <c r="B2659" s="2" t="s">
        <v>72</v>
      </c>
      <c r="C2659" s="2" t="s">
        <v>73</v>
      </c>
      <c r="D2659" s="2"/>
      <c r="E2659" s="2" t="str">
        <f>"FES1162544522"</f>
        <v>FES1162544522</v>
      </c>
      <c r="F2659" s="3">
        <v>42845</v>
      </c>
      <c r="G2659" s="2">
        <v>201710</v>
      </c>
      <c r="H2659" s="2" t="s">
        <v>74</v>
      </c>
      <c r="I2659" s="2" t="s">
        <v>75</v>
      </c>
      <c r="J2659" s="2" t="s">
        <v>76</v>
      </c>
      <c r="K2659" s="2" t="s">
        <v>77</v>
      </c>
      <c r="L2659" s="2" t="s">
        <v>187</v>
      </c>
      <c r="M2659" s="2" t="s">
        <v>146</v>
      </c>
      <c r="N2659" s="2" t="s">
        <v>218</v>
      </c>
      <c r="O2659" s="2" t="s">
        <v>115</v>
      </c>
      <c r="P2659" s="2" t="str">
        <f>"2170560259                    "</f>
        <v xml:space="preserve">2170560259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4.29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41.73</v>
      </c>
      <c r="BM2659" s="2">
        <v>5.84</v>
      </c>
      <c r="BN2659" s="2">
        <v>47.57</v>
      </c>
      <c r="BO2659" s="2">
        <v>47.57</v>
      </c>
      <c r="BP2659" s="2"/>
      <c r="BQ2659" s="2" t="s">
        <v>219</v>
      </c>
      <c r="BR2659" s="2" t="s">
        <v>84</v>
      </c>
      <c r="BS2659" s="3">
        <v>42846</v>
      </c>
      <c r="BT2659" s="4">
        <v>0.53819444444444442</v>
      </c>
      <c r="BU2659" s="2" t="s">
        <v>2956</v>
      </c>
      <c r="BV2659" s="2" t="s">
        <v>86</v>
      </c>
      <c r="BW2659" s="2" t="s">
        <v>164</v>
      </c>
      <c r="BX2659" s="2" t="s">
        <v>774</v>
      </c>
      <c r="BY2659" s="2">
        <v>1200</v>
      </c>
      <c r="BZ2659" s="2" t="s">
        <v>27</v>
      </c>
      <c r="CA2659" s="2"/>
      <c r="CB2659" s="2"/>
      <c r="CC2659" s="2" t="s">
        <v>146</v>
      </c>
      <c r="CD2659" s="2">
        <v>200</v>
      </c>
      <c r="CE2659" s="2" t="s">
        <v>118</v>
      </c>
      <c r="CF2659" s="5">
        <v>42853</v>
      </c>
      <c r="CG2659" s="2"/>
      <c r="CH2659" s="2"/>
      <c r="CI2659" s="2">
        <v>0</v>
      </c>
      <c r="CJ2659" s="2">
        <v>0</v>
      </c>
      <c r="CK2659" s="2">
        <v>21</v>
      </c>
      <c r="CL2659" s="2" t="s">
        <v>86</v>
      </c>
      <c r="CM2659" s="2"/>
    </row>
    <row r="2660" spans="1:91">
      <c r="A2660" s="2" t="s">
        <v>71</v>
      </c>
      <c r="B2660" s="2" t="s">
        <v>72</v>
      </c>
      <c r="C2660" s="2" t="s">
        <v>73</v>
      </c>
      <c r="D2660" s="2"/>
      <c r="E2660" s="2" t="str">
        <f>"FES1162544473"</f>
        <v>FES1162544473</v>
      </c>
      <c r="F2660" s="3">
        <v>42845</v>
      </c>
      <c r="G2660" s="2">
        <v>201710</v>
      </c>
      <c r="H2660" s="2" t="s">
        <v>74</v>
      </c>
      <c r="I2660" s="2" t="s">
        <v>75</v>
      </c>
      <c r="J2660" s="2" t="s">
        <v>76</v>
      </c>
      <c r="K2660" s="2" t="s">
        <v>77</v>
      </c>
      <c r="L2660" s="2" t="s">
        <v>187</v>
      </c>
      <c r="M2660" s="2" t="s">
        <v>146</v>
      </c>
      <c r="N2660" s="2" t="s">
        <v>1810</v>
      </c>
      <c r="O2660" s="2" t="s">
        <v>115</v>
      </c>
      <c r="P2660" s="2" t="str">
        <f>"2170562906                    "</f>
        <v xml:space="preserve">2170562906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4.29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41.73</v>
      </c>
      <c r="BM2660" s="2">
        <v>5.84</v>
      </c>
      <c r="BN2660" s="2">
        <v>47.57</v>
      </c>
      <c r="BO2660" s="2">
        <v>47.57</v>
      </c>
      <c r="BP2660" s="2"/>
      <c r="BQ2660" s="2" t="s">
        <v>116</v>
      </c>
      <c r="BR2660" s="2" t="s">
        <v>84</v>
      </c>
      <c r="BS2660" s="3">
        <v>42846</v>
      </c>
      <c r="BT2660" s="4">
        <v>0.49305555555555558</v>
      </c>
      <c r="BU2660" s="2" t="s">
        <v>2743</v>
      </c>
      <c r="BV2660" s="2" t="s">
        <v>86</v>
      </c>
      <c r="BW2660" s="2" t="s">
        <v>164</v>
      </c>
      <c r="BX2660" s="2" t="s">
        <v>786</v>
      </c>
      <c r="BY2660" s="2">
        <v>1200</v>
      </c>
      <c r="BZ2660" s="2"/>
      <c r="CA2660" s="2"/>
      <c r="CB2660" s="2"/>
      <c r="CC2660" s="2" t="s">
        <v>146</v>
      </c>
      <c r="CD2660" s="2">
        <v>159</v>
      </c>
      <c r="CE2660" s="2" t="s">
        <v>118</v>
      </c>
      <c r="CF2660" s="5">
        <v>42851</v>
      </c>
      <c r="CG2660" s="2"/>
      <c r="CH2660" s="2"/>
      <c r="CI2660" s="2">
        <v>0</v>
      </c>
      <c r="CJ2660" s="2">
        <v>0</v>
      </c>
      <c r="CK2660" s="2">
        <v>21</v>
      </c>
      <c r="CL2660" s="2" t="s">
        <v>86</v>
      </c>
      <c r="CM2660" s="2"/>
    </row>
    <row r="2661" spans="1:91">
      <c r="A2661" s="2" t="s">
        <v>71</v>
      </c>
      <c r="B2661" s="2" t="s">
        <v>72</v>
      </c>
      <c r="C2661" s="2" t="s">
        <v>73</v>
      </c>
      <c r="D2661" s="2"/>
      <c r="E2661" s="2" t="str">
        <f>"FES1162544662"</f>
        <v>FES1162544662</v>
      </c>
      <c r="F2661" s="3">
        <v>42845</v>
      </c>
      <c r="G2661" s="2">
        <v>201710</v>
      </c>
      <c r="H2661" s="2" t="s">
        <v>74</v>
      </c>
      <c r="I2661" s="2" t="s">
        <v>75</v>
      </c>
      <c r="J2661" s="2" t="s">
        <v>76</v>
      </c>
      <c r="K2661" s="2" t="s">
        <v>77</v>
      </c>
      <c r="L2661" s="2" t="s">
        <v>180</v>
      </c>
      <c r="M2661" s="2" t="s">
        <v>181</v>
      </c>
      <c r="N2661" s="2" t="s">
        <v>1858</v>
      </c>
      <c r="O2661" s="2" t="s">
        <v>115</v>
      </c>
      <c r="P2661" s="2" t="str">
        <f>"2170563199                    "</f>
        <v xml:space="preserve">2170563199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34.299999999999997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16</v>
      </c>
      <c r="BJ2661" s="2">
        <v>8.9</v>
      </c>
      <c r="BK2661" s="2">
        <v>16</v>
      </c>
      <c r="BL2661" s="2">
        <v>333.82</v>
      </c>
      <c r="BM2661" s="2">
        <v>46.73</v>
      </c>
      <c r="BN2661" s="2">
        <v>380.55</v>
      </c>
      <c r="BO2661" s="2">
        <v>380.55</v>
      </c>
      <c r="BP2661" s="2"/>
      <c r="BQ2661" s="2" t="s">
        <v>129</v>
      </c>
      <c r="BR2661" s="2" t="s">
        <v>84</v>
      </c>
      <c r="BS2661" s="3">
        <v>42846</v>
      </c>
      <c r="BT2661" s="4">
        <v>0.4375</v>
      </c>
      <c r="BU2661" s="2" t="s">
        <v>2957</v>
      </c>
      <c r="BV2661" s="2" t="s">
        <v>111</v>
      </c>
      <c r="BW2661" s="2"/>
      <c r="BX2661" s="2"/>
      <c r="BY2661" s="2">
        <v>44493.49</v>
      </c>
      <c r="BZ2661" s="2" t="s">
        <v>27</v>
      </c>
      <c r="CA2661" s="2"/>
      <c r="CB2661" s="2"/>
      <c r="CC2661" s="2" t="s">
        <v>181</v>
      </c>
      <c r="CD2661" s="2">
        <v>4052</v>
      </c>
      <c r="CE2661" s="2" t="s">
        <v>89</v>
      </c>
      <c r="CF2661" s="5">
        <v>42849</v>
      </c>
      <c r="CG2661" s="2"/>
      <c r="CH2661" s="2"/>
      <c r="CI2661" s="2">
        <v>1</v>
      </c>
      <c r="CJ2661" s="2">
        <v>1</v>
      </c>
      <c r="CK2661" s="2">
        <v>21</v>
      </c>
      <c r="CL2661" s="2" t="s">
        <v>86</v>
      </c>
      <c r="CM2661" s="2"/>
    </row>
    <row r="2662" spans="1:91">
      <c r="A2662" s="2" t="s">
        <v>71</v>
      </c>
      <c r="B2662" s="2" t="s">
        <v>72</v>
      </c>
      <c r="C2662" s="2" t="s">
        <v>73</v>
      </c>
      <c r="D2662" s="2"/>
      <c r="E2662" s="2" t="str">
        <f>"FES1162544751"</f>
        <v>FES1162544751</v>
      </c>
      <c r="F2662" s="3">
        <v>42845</v>
      </c>
      <c r="G2662" s="2">
        <v>201710</v>
      </c>
      <c r="H2662" s="2" t="s">
        <v>74</v>
      </c>
      <c r="I2662" s="2" t="s">
        <v>75</v>
      </c>
      <c r="J2662" s="2" t="s">
        <v>76</v>
      </c>
      <c r="K2662" s="2" t="s">
        <v>77</v>
      </c>
      <c r="L2662" s="2" t="s">
        <v>396</v>
      </c>
      <c r="M2662" s="2" t="s">
        <v>397</v>
      </c>
      <c r="N2662" s="2" t="s">
        <v>398</v>
      </c>
      <c r="O2662" s="2" t="s">
        <v>115</v>
      </c>
      <c r="P2662" s="2" t="str">
        <f>"2170563307                    "</f>
        <v xml:space="preserve">2170563307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11.79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4</v>
      </c>
      <c r="BJ2662" s="2">
        <v>5.4</v>
      </c>
      <c r="BK2662" s="2">
        <v>5.5</v>
      </c>
      <c r="BL2662" s="2">
        <v>114.75</v>
      </c>
      <c r="BM2662" s="2">
        <v>16.07</v>
      </c>
      <c r="BN2662" s="2">
        <v>130.82</v>
      </c>
      <c r="BO2662" s="2">
        <v>130.82</v>
      </c>
      <c r="BP2662" s="2"/>
      <c r="BQ2662" s="2" t="s">
        <v>399</v>
      </c>
      <c r="BR2662" s="2" t="s">
        <v>84</v>
      </c>
      <c r="BS2662" s="3">
        <v>42846</v>
      </c>
      <c r="BT2662" s="4">
        <v>0.39583333333333331</v>
      </c>
      <c r="BU2662" s="2" t="s">
        <v>2906</v>
      </c>
      <c r="BV2662" s="2" t="s">
        <v>111</v>
      </c>
      <c r="BW2662" s="2"/>
      <c r="BX2662" s="2"/>
      <c r="BY2662" s="2">
        <v>27225</v>
      </c>
      <c r="BZ2662" s="2"/>
      <c r="CA2662" s="2" t="s">
        <v>159</v>
      </c>
      <c r="CB2662" s="2"/>
      <c r="CC2662" s="2" t="s">
        <v>397</v>
      </c>
      <c r="CD2662" s="2">
        <v>4300</v>
      </c>
      <c r="CE2662" s="2" t="s">
        <v>89</v>
      </c>
      <c r="CF2662" s="5">
        <v>42849</v>
      </c>
      <c r="CG2662" s="2"/>
      <c r="CH2662" s="2"/>
      <c r="CI2662" s="2">
        <v>1</v>
      </c>
      <c r="CJ2662" s="2">
        <v>1</v>
      </c>
      <c r="CK2662" s="2">
        <v>21</v>
      </c>
      <c r="CL2662" s="2" t="s">
        <v>86</v>
      </c>
      <c r="CM2662" s="2"/>
    </row>
    <row r="2663" spans="1:91">
      <c r="A2663" s="2" t="s">
        <v>71</v>
      </c>
      <c r="B2663" s="2" t="s">
        <v>72</v>
      </c>
      <c r="C2663" s="2" t="s">
        <v>73</v>
      </c>
      <c r="D2663" s="2"/>
      <c r="E2663" s="2" t="str">
        <f>"FES1162544508"</f>
        <v>FES1162544508</v>
      </c>
      <c r="F2663" s="3">
        <v>42845</v>
      </c>
      <c r="G2663" s="2">
        <v>201710</v>
      </c>
      <c r="H2663" s="2" t="s">
        <v>74</v>
      </c>
      <c r="I2663" s="2" t="s">
        <v>75</v>
      </c>
      <c r="J2663" s="2" t="s">
        <v>76</v>
      </c>
      <c r="K2663" s="2" t="s">
        <v>77</v>
      </c>
      <c r="L2663" s="2" t="s">
        <v>99</v>
      </c>
      <c r="M2663" s="2" t="s">
        <v>100</v>
      </c>
      <c r="N2663" s="2" t="s">
        <v>583</v>
      </c>
      <c r="O2663" s="2" t="s">
        <v>115</v>
      </c>
      <c r="P2663" s="2" t="str">
        <f>"2170561512                    "</f>
        <v xml:space="preserve">2170561512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4.29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1</v>
      </c>
      <c r="BJ2663" s="2">
        <v>0.2</v>
      </c>
      <c r="BK2663" s="2">
        <v>1</v>
      </c>
      <c r="BL2663" s="2">
        <v>41.73</v>
      </c>
      <c r="BM2663" s="2">
        <v>5.84</v>
      </c>
      <c r="BN2663" s="2">
        <v>47.57</v>
      </c>
      <c r="BO2663" s="2">
        <v>47.57</v>
      </c>
      <c r="BP2663" s="2"/>
      <c r="BQ2663" s="2">
        <v>1162544508</v>
      </c>
      <c r="BR2663" s="2" t="s">
        <v>84</v>
      </c>
      <c r="BS2663" s="3">
        <v>42846</v>
      </c>
      <c r="BT2663" s="4">
        <v>0.32222222222222224</v>
      </c>
      <c r="BU2663" s="2" t="s">
        <v>585</v>
      </c>
      <c r="BV2663" s="2" t="s">
        <v>111</v>
      </c>
      <c r="BW2663" s="2"/>
      <c r="BX2663" s="2"/>
      <c r="BY2663" s="2">
        <v>1200</v>
      </c>
      <c r="BZ2663" s="2" t="s">
        <v>27</v>
      </c>
      <c r="CA2663" s="2" t="s">
        <v>154</v>
      </c>
      <c r="CB2663" s="2"/>
      <c r="CC2663" s="2" t="s">
        <v>100</v>
      </c>
      <c r="CD2663" s="2">
        <v>6001</v>
      </c>
      <c r="CE2663" s="2" t="s">
        <v>118</v>
      </c>
      <c r="CF2663" s="5">
        <v>42846</v>
      </c>
      <c r="CG2663" s="2"/>
      <c r="CH2663" s="2"/>
      <c r="CI2663" s="2">
        <v>1</v>
      </c>
      <c r="CJ2663" s="2">
        <v>1</v>
      </c>
      <c r="CK2663" s="2">
        <v>21</v>
      </c>
      <c r="CL2663" s="2" t="s">
        <v>86</v>
      </c>
      <c r="CM2663" s="2"/>
    </row>
    <row r="2664" spans="1:91">
      <c r="A2664" s="2" t="s">
        <v>71</v>
      </c>
      <c r="B2664" s="2" t="s">
        <v>72</v>
      </c>
      <c r="C2664" s="2" t="s">
        <v>73</v>
      </c>
      <c r="D2664" s="2"/>
      <c r="E2664" s="2" t="str">
        <f>"FES1162544455"</f>
        <v>FES1162544455</v>
      </c>
      <c r="F2664" s="3">
        <v>42845</v>
      </c>
      <c r="G2664" s="2">
        <v>201710</v>
      </c>
      <c r="H2664" s="2" t="s">
        <v>74</v>
      </c>
      <c r="I2664" s="2" t="s">
        <v>75</v>
      </c>
      <c r="J2664" s="2" t="s">
        <v>76</v>
      </c>
      <c r="K2664" s="2" t="s">
        <v>77</v>
      </c>
      <c r="L2664" s="2" t="s">
        <v>126</v>
      </c>
      <c r="M2664" s="2" t="s">
        <v>127</v>
      </c>
      <c r="N2664" s="2" t="s">
        <v>2406</v>
      </c>
      <c r="O2664" s="2" t="s">
        <v>115</v>
      </c>
      <c r="P2664" s="2" t="str">
        <f>"2170563057                    "</f>
        <v xml:space="preserve">2170563057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4.29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41.73</v>
      </c>
      <c r="BM2664" s="2">
        <v>5.84</v>
      </c>
      <c r="BN2664" s="2">
        <v>47.57</v>
      </c>
      <c r="BO2664" s="2">
        <v>47.57</v>
      </c>
      <c r="BP2664" s="2"/>
      <c r="BQ2664" s="2" t="s">
        <v>2407</v>
      </c>
      <c r="BR2664" s="2" t="s">
        <v>84</v>
      </c>
      <c r="BS2664" s="3">
        <v>42846</v>
      </c>
      <c r="BT2664" s="4">
        <v>0.39652777777777781</v>
      </c>
      <c r="BU2664" s="2" t="s">
        <v>2958</v>
      </c>
      <c r="BV2664" s="2" t="s">
        <v>111</v>
      </c>
      <c r="BW2664" s="2"/>
      <c r="BX2664" s="2"/>
      <c r="BY2664" s="2">
        <v>1200</v>
      </c>
      <c r="BZ2664" s="2"/>
      <c r="CA2664" s="2" t="s">
        <v>2959</v>
      </c>
      <c r="CB2664" s="2"/>
      <c r="CC2664" s="2" t="s">
        <v>127</v>
      </c>
      <c r="CD2664" s="2">
        <v>6850</v>
      </c>
      <c r="CE2664" s="2" t="s">
        <v>118</v>
      </c>
      <c r="CF2664" s="5">
        <v>42846</v>
      </c>
      <c r="CG2664" s="2"/>
      <c r="CH2664" s="2"/>
      <c r="CI2664" s="2">
        <v>3</v>
      </c>
      <c r="CJ2664" s="2">
        <v>1</v>
      </c>
      <c r="CK2664" s="2">
        <v>21</v>
      </c>
      <c r="CL2664" s="2" t="s">
        <v>86</v>
      </c>
      <c r="CM2664" s="2"/>
    </row>
    <row r="2665" spans="1:91">
      <c r="A2665" s="2" t="s">
        <v>71</v>
      </c>
      <c r="B2665" s="2" t="s">
        <v>72</v>
      </c>
      <c r="C2665" s="2" t="s">
        <v>73</v>
      </c>
      <c r="D2665" s="2"/>
      <c r="E2665" s="2" t="str">
        <f>"FES1162544547"</f>
        <v>FES1162544547</v>
      </c>
      <c r="F2665" s="3">
        <v>42845</v>
      </c>
      <c r="G2665" s="2">
        <v>201710</v>
      </c>
      <c r="H2665" s="2" t="s">
        <v>74</v>
      </c>
      <c r="I2665" s="2" t="s">
        <v>75</v>
      </c>
      <c r="J2665" s="2" t="s">
        <v>76</v>
      </c>
      <c r="K2665" s="2" t="s">
        <v>77</v>
      </c>
      <c r="L2665" s="2" t="s">
        <v>99</v>
      </c>
      <c r="M2665" s="2" t="s">
        <v>100</v>
      </c>
      <c r="N2665" s="2" t="s">
        <v>375</v>
      </c>
      <c r="O2665" s="2" t="s">
        <v>115</v>
      </c>
      <c r="P2665" s="2" t="str">
        <f>"2170546009                    "</f>
        <v xml:space="preserve">2170546009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4.29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1</v>
      </c>
      <c r="BJ2665" s="2">
        <v>0.2</v>
      </c>
      <c r="BK2665" s="2">
        <v>1</v>
      </c>
      <c r="BL2665" s="2">
        <v>41.73</v>
      </c>
      <c r="BM2665" s="2">
        <v>5.84</v>
      </c>
      <c r="BN2665" s="2">
        <v>47.57</v>
      </c>
      <c r="BO2665" s="2">
        <v>47.57</v>
      </c>
      <c r="BP2665" s="2"/>
      <c r="BQ2665" s="2" t="s">
        <v>376</v>
      </c>
      <c r="BR2665" s="2" t="s">
        <v>84</v>
      </c>
      <c r="BS2665" s="3">
        <v>42846</v>
      </c>
      <c r="BT2665" s="4">
        <v>0.33333333333333331</v>
      </c>
      <c r="BU2665" s="2" t="s">
        <v>2960</v>
      </c>
      <c r="BV2665" s="2" t="s">
        <v>111</v>
      </c>
      <c r="BW2665" s="2"/>
      <c r="BX2665" s="2"/>
      <c r="BY2665" s="2">
        <v>1200</v>
      </c>
      <c r="BZ2665" s="2" t="s">
        <v>27</v>
      </c>
      <c r="CA2665" s="2" t="s">
        <v>378</v>
      </c>
      <c r="CB2665" s="2"/>
      <c r="CC2665" s="2" t="s">
        <v>100</v>
      </c>
      <c r="CD2665" s="2">
        <v>6070</v>
      </c>
      <c r="CE2665" s="2" t="s">
        <v>118</v>
      </c>
      <c r="CF2665" s="5">
        <v>42846</v>
      </c>
      <c r="CG2665" s="2"/>
      <c r="CH2665" s="2"/>
      <c r="CI2665" s="2">
        <v>1</v>
      </c>
      <c r="CJ2665" s="2">
        <v>1</v>
      </c>
      <c r="CK2665" s="2">
        <v>21</v>
      </c>
      <c r="CL2665" s="2" t="s">
        <v>86</v>
      </c>
      <c r="CM2665" s="2"/>
    </row>
    <row r="2666" spans="1:91">
      <c r="A2666" s="2" t="s">
        <v>71</v>
      </c>
      <c r="B2666" s="2" t="s">
        <v>72</v>
      </c>
      <c r="C2666" s="2" t="s">
        <v>73</v>
      </c>
      <c r="D2666" s="2"/>
      <c r="E2666" s="2" t="str">
        <f>"FES1162544521"</f>
        <v>FES1162544521</v>
      </c>
      <c r="F2666" s="3">
        <v>42845</v>
      </c>
      <c r="G2666" s="2">
        <v>201710</v>
      </c>
      <c r="H2666" s="2" t="s">
        <v>74</v>
      </c>
      <c r="I2666" s="2" t="s">
        <v>75</v>
      </c>
      <c r="J2666" s="2" t="s">
        <v>76</v>
      </c>
      <c r="K2666" s="2" t="s">
        <v>77</v>
      </c>
      <c r="L2666" s="2" t="s">
        <v>99</v>
      </c>
      <c r="M2666" s="2" t="s">
        <v>100</v>
      </c>
      <c r="N2666" s="2" t="s">
        <v>876</v>
      </c>
      <c r="O2666" s="2" t="s">
        <v>115</v>
      </c>
      <c r="P2666" s="2" t="str">
        <f>"2170560220                    "</f>
        <v xml:space="preserve">2170560220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4.29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1</v>
      </c>
      <c r="BJ2666" s="2">
        <v>0.2</v>
      </c>
      <c r="BK2666" s="2">
        <v>1</v>
      </c>
      <c r="BL2666" s="2">
        <v>41.73</v>
      </c>
      <c r="BM2666" s="2">
        <v>5.84</v>
      </c>
      <c r="BN2666" s="2">
        <v>47.57</v>
      </c>
      <c r="BO2666" s="2">
        <v>47.57</v>
      </c>
      <c r="BP2666" s="2"/>
      <c r="BQ2666" s="2" t="s">
        <v>877</v>
      </c>
      <c r="BR2666" s="2" t="s">
        <v>84</v>
      </c>
      <c r="BS2666" s="3">
        <v>42846</v>
      </c>
      <c r="BT2666" s="4">
        <v>0.29166666666666669</v>
      </c>
      <c r="BU2666" s="2" t="s">
        <v>2961</v>
      </c>
      <c r="BV2666" s="2" t="s">
        <v>111</v>
      </c>
      <c r="BW2666" s="2"/>
      <c r="BX2666" s="2"/>
      <c r="BY2666" s="2">
        <v>1200</v>
      </c>
      <c r="BZ2666" s="2" t="s">
        <v>27</v>
      </c>
      <c r="CA2666" s="2" t="s">
        <v>106</v>
      </c>
      <c r="CB2666" s="2"/>
      <c r="CC2666" s="2" t="s">
        <v>100</v>
      </c>
      <c r="CD2666" s="2">
        <v>6012</v>
      </c>
      <c r="CE2666" s="2" t="s">
        <v>118</v>
      </c>
      <c r="CF2666" s="5">
        <v>42846</v>
      </c>
      <c r="CG2666" s="2"/>
      <c r="CH2666" s="2"/>
      <c r="CI2666" s="2">
        <v>1</v>
      </c>
      <c r="CJ2666" s="2">
        <v>1</v>
      </c>
      <c r="CK2666" s="2">
        <v>21</v>
      </c>
      <c r="CL2666" s="2" t="s">
        <v>86</v>
      </c>
      <c r="CM2666" s="2"/>
    </row>
    <row r="2667" spans="1:91">
      <c r="A2667" s="2" t="s">
        <v>71</v>
      </c>
      <c r="B2667" s="2" t="s">
        <v>72</v>
      </c>
      <c r="C2667" s="2" t="s">
        <v>73</v>
      </c>
      <c r="D2667" s="2"/>
      <c r="E2667" s="2" t="str">
        <f>"FES1162544742"</f>
        <v>FES1162544742</v>
      </c>
      <c r="F2667" s="3">
        <v>42845</v>
      </c>
      <c r="G2667" s="2">
        <v>201710</v>
      </c>
      <c r="H2667" s="2" t="s">
        <v>74</v>
      </c>
      <c r="I2667" s="2" t="s">
        <v>75</v>
      </c>
      <c r="J2667" s="2" t="s">
        <v>76</v>
      </c>
      <c r="K2667" s="2" t="s">
        <v>77</v>
      </c>
      <c r="L2667" s="2" t="s">
        <v>131</v>
      </c>
      <c r="M2667" s="2" t="s">
        <v>132</v>
      </c>
      <c r="N2667" s="2" t="s">
        <v>1580</v>
      </c>
      <c r="O2667" s="2" t="s">
        <v>115</v>
      </c>
      <c r="P2667" s="2" t="str">
        <f>"2170563299                    "</f>
        <v xml:space="preserve">2170563299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4.29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1</v>
      </c>
      <c r="BJ2667" s="2">
        <v>0.2</v>
      </c>
      <c r="BK2667" s="2">
        <v>1</v>
      </c>
      <c r="BL2667" s="2">
        <v>41.73</v>
      </c>
      <c r="BM2667" s="2">
        <v>5.84</v>
      </c>
      <c r="BN2667" s="2">
        <v>47.57</v>
      </c>
      <c r="BO2667" s="2">
        <v>47.57</v>
      </c>
      <c r="BP2667" s="2"/>
      <c r="BQ2667" s="2" t="s">
        <v>1581</v>
      </c>
      <c r="BR2667" s="2" t="s">
        <v>84</v>
      </c>
      <c r="BS2667" s="3">
        <v>42846</v>
      </c>
      <c r="BT2667" s="4">
        <v>0.37152777777777773</v>
      </c>
      <c r="BU2667" s="2" t="s">
        <v>245</v>
      </c>
      <c r="BV2667" s="2" t="s">
        <v>111</v>
      </c>
      <c r="BW2667" s="2"/>
      <c r="BX2667" s="2"/>
      <c r="BY2667" s="2">
        <v>1200</v>
      </c>
      <c r="BZ2667" s="2"/>
      <c r="CA2667" s="2"/>
      <c r="CB2667" s="2"/>
      <c r="CC2667" s="2" t="s">
        <v>132</v>
      </c>
      <c r="CD2667" s="2">
        <v>7530</v>
      </c>
      <c r="CE2667" s="2" t="s">
        <v>118</v>
      </c>
      <c r="CF2667" s="5">
        <v>42849</v>
      </c>
      <c r="CG2667" s="2"/>
      <c r="CH2667" s="2"/>
      <c r="CI2667" s="2">
        <v>1</v>
      </c>
      <c r="CJ2667" s="2">
        <v>1</v>
      </c>
      <c r="CK2667" s="2">
        <v>21</v>
      </c>
      <c r="CL2667" s="2" t="s">
        <v>86</v>
      </c>
      <c r="CM2667" s="2"/>
    </row>
    <row r="2668" spans="1:91">
      <c r="A2668" s="2" t="s">
        <v>71</v>
      </c>
      <c r="B2668" s="2" t="s">
        <v>72</v>
      </c>
      <c r="C2668" s="2" t="s">
        <v>73</v>
      </c>
      <c r="D2668" s="2"/>
      <c r="E2668" s="2" t="str">
        <f>"FES1162544546"</f>
        <v>FES1162544546</v>
      </c>
      <c r="F2668" s="3">
        <v>42845</v>
      </c>
      <c r="G2668" s="2">
        <v>201710</v>
      </c>
      <c r="H2668" s="2" t="s">
        <v>74</v>
      </c>
      <c r="I2668" s="2" t="s">
        <v>75</v>
      </c>
      <c r="J2668" s="2" t="s">
        <v>76</v>
      </c>
      <c r="K2668" s="2" t="s">
        <v>77</v>
      </c>
      <c r="L2668" s="2" t="s">
        <v>99</v>
      </c>
      <c r="M2668" s="2" t="s">
        <v>100</v>
      </c>
      <c r="N2668" s="2" t="s">
        <v>375</v>
      </c>
      <c r="O2668" s="2" t="s">
        <v>115</v>
      </c>
      <c r="P2668" s="2" t="str">
        <f>"2170545922                    "</f>
        <v xml:space="preserve">2170545922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4.29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1</v>
      </c>
      <c r="BJ2668" s="2">
        <v>0.2</v>
      </c>
      <c r="BK2668" s="2">
        <v>1</v>
      </c>
      <c r="BL2668" s="2">
        <v>41.73</v>
      </c>
      <c r="BM2668" s="2">
        <v>5.84</v>
      </c>
      <c r="BN2668" s="2">
        <v>47.57</v>
      </c>
      <c r="BO2668" s="2">
        <v>47.57</v>
      </c>
      <c r="BP2668" s="2"/>
      <c r="BQ2668" s="2" t="s">
        <v>376</v>
      </c>
      <c r="BR2668" s="2" t="s">
        <v>84</v>
      </c>
      <c r="BS2668" s="3">
        <v>42846</v>
      </c>
      <c r="BT2668" s="4">
        <v>0.33333333333333331</v>
      </c>
      <c r="BU2668" s="2" t="s">
        <v>2960</v>
      </c>
      <c r="BV2668" s="2" t="s">
        <v>111</v>
      </c>
      <c r="BW2668" s="2"/>
      <c r="BX2668" s="2"/>
      <c r="BY2668" s="2">
        <v>1200</v>
      </c>
      <c r="BZ2668" s="2" t="s">
        <v>27</v>
      </c>
      <c r="CA2668" s="2" t="s">
        <v>378</v>
      </c>
      <c r="CB2668" s="2"/>
      <c r="CC2668" s="2" t="s">
        <v>100</v>
      </c>
      <c r="CD2668" s="2">
        <v>6070</v>
      </c>
      <c r="CE2668" s="2" t="s">
        <v>118</v>
      </c>
      <c r="CF2668" s="5">
        <v>42846</v>
      </c>
      <c r="CG2668" s="2"/>
      <c r="CH2668" s="2"/>
      <c r="CI2668" s="2">
        <v>1</v>
      </c>
      <c r="CJ2668" s="2">
        <v>1</v>
      </c>
      <c r="CK2668" s="2">
        <v>21</v>
      </c>
      <c r="CL2668" s="2" t="s">
        <v>86</v>
      </c>
      <c r="CM2668" s="2"/>
    </row>
    <row r="2669" spans="1:91">
      <c r="A2669" s="2" t="s">
        <v>71</v>
      </c>
      <c r="B2669" s="2" t="s">
        <v>72</v>
      </c>
      <c r="C2669" s="2" t="s">
        <v>73</v>
      </c>
      <c r="D2669" s="2"/>
      <c r="E2669" s="2" t="str">
        <f>"FES1162544466"</f>
        <v>FES1162544466</v>
      </c>
      <c r="F2669" s="3">
        <v>42845</v>
      </c>
      <c r="G2669" s="2">
        <v>201710</v>
      </c>
      <c r="H2669" s="2" t="s">
        <v>74</v>
      </c>
      <c r="I2669" s="2" t="s">
        <v>75</v>
      </c>
      <c r="J2669" s="2" t="s">
        <v>76</v>
      </c>
      <c r="K2669" s="2" t="s">
        <v>77</v>
      </c>
      <c r="L2669" s="2" t="s">
        <v>139</v>
      </c>
      <c r="M2669" s="2" t="s">
        <v>140</v>
      </c>
      <c r="N2669" s="2" t="s">
        <v>645</v>
      </c>
      <c r="O2669" s="2" t="s">
        <v>115</v>
      </c>
      <c r="P2669" s="2" t="str">
        <f>"2170561802                    "</f>
        <v xml:space="preserve">2170561802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4.29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1</v>
      </c>
      <c r="BJ2669" s="2">
        <v>0.2</v>
      </c>
      <c r="BK2669" s="2">
        <v>1</v>
      </c>
      <c r="BL2669" s="2">
        <v>41.73</v>
      </c>
      <c r="BM2669" s="2">
        <v>5.84</v>
      </c>
      <c r="BN2669" s="2">
        <v>47.57</v>
      </c>
      <c r="BO2669" s="2">
        <v>47.57</v>
      </c>
      <c r="BP2669" s="2"/>
      <c r="BQ2669" s="2" t="s">
        <v>646</v>
      </c>
      <c r="BR2669" s="2" t="s">
        <v>84</v>
      </c>
      <c r="BS2669" s="3">
        <v>42846</v>
      </c>
      <c r="BT2669" s="4">
        <v>0.49305555555555558</v>
      </c>
      <c r="BU2669" s="2" t="s">
        <v>245</v>
      </c>
      <c r="BV2669" s="2" t="s">
        <v>86</v>
      </c>
      <c r="BW2669" s="2" t="s">
        <v>164</v>
      </c>
      <c r="BX2669" s="2" t="s">
        <v>786</v>
      </c>
      <c r="BY2669" s="2">
        <v>1200</v>
      </c>
      <c r="BZ2669" s="2"/>
      <c r="CA2669" s="2"/>
      <c r="CB2669" s="2"/>
      <c r="CC2669" s="2" t="s">
        <v>140</v>
      </c>
      <c r="CD2669" s="2">
        <v>157</v>
      </c>
      <c r="CE2669" s="2" t="s">
        <v>118</v>
      </c>
      <c r="CF2669" s="5">
        <v>42851</v>
      </c>
      <c r="CG2669" s="2"/>
      <c r="CH2669" s="2"/>
      <c r="CI2669" s="2">
        <v>0</v>
      </c>
      <c r="CJ2669" s="2">
        <v>0</v>
      </c>
      <c r="CK2669" s="2">
        <v>21</v>
      </c>
      <c r="CL2669" s="2" t="s">
        <v>86</v>
      </c>
      <c r="CM2669" s="2"/>
    </row>
    <row r="2670" spans="1:91">
      <c r="A2670" s="2" t="s">
        <v>71</v>
      </c>
      <c r="B2670" s="2" t="s">
        <v>72</v>
      </c>
      <c r="C2670" s="2" t="s">
        <v>73</v>
      </c>
      <c r="D2670" s="2"/>
      <c r="E2670" s="2" t="str">
        <f>"FES1162544671"</f>
        <v>FES1162544671</v>
      </c>
      <c r="F2670" s="3">
        <v>42845</v>
      </c>
      <c r="G2670" s="2">
        <v>201710</v>
      </c>
      <c r="H2670" s="2" t="s">
        <v>74</v>
      </c>
      <c r="I2670" s="2" t="s">
        <v>75</v>
      </c>
      <c r="J2670" s="2" t="s">
        <v>76</v>
      </c>
      <c r="K2670" s="2" t="s">
        <v>77</v>
      </c>
      <c r="L2670" s="2" t="s">
        <v>99</v>
      </c>
      <c r="M2670" s="2" t="s">
        <v>100</v>
      </c>
      <c r="N2670" s="2" t="s">
        <v>1315</v>
      </c>
      <c r="O2670" s="2" t="s">
        <v>115</v>
      </c>
      <c r="P2670" s="2" t="str">
        <f>"2170563224                    "</f>
        <v xml:space="preserve">2170563224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4.29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1</v>
      </c>
      <c r="BJ2670" s="2">
        <v>0.2</v>
      </c>
      <c r="BK2670" s="2">
        <v>1</v>
      </c>
      <c r="BL2670" s="2">
        <v>41.73</v>
      </c>
      <c r="BM2670" s="2">
        <v>5.84</v>
      </c>
      <c r="BN2670" s="2">
        <v>47.57</v>
      </c>
      <c r="BO2670" s="2">
        <v>47.57</v>
      </c>
      <c r="BP2670" s="2"/>
      <c r="BQ2670" s="2" t="s">
        <v>1316</v>
      </c>
      <c r="BR2670" s="2" t="s">
        <v>84</v>
      </c>
      <c r="BS2670" s="3">
        <v>42846</v>
      </c>
      <c r="BT2670" s="4">
        <v>0.4152777777777778</v>
      </c>
      <c r="BU2670" s="2" t="s">
        <v>2962</v>
      </c>
      <c r="BV2670" s="2" t="s">
        <v>111</v>
      </c>
      <c r="BW2670" s="2"/>
      <c r="BX2670" s="2"/>
      <c r="BY2670" s="2">
        <v>1200</v>
      </c>
      <c r="BZ2670" s="2" t="s">
        <v>27</v>
      </c>
      <c r="CA2670" s="2" t="s">
        <v>154</v>
      </c>
      <c r="CB2670" s="2"/>
      <c r="CC2670" s="2" t="s">
        <v>100</v>
      </c>
      <c r="CD2670" s="2">
        <v>6001</v>
      </c>
      <c r="CE2670" s="2" t="s">
        <v>118</v>
      </c>
      <c r="CF2670" s="5">
        <v>42846</v>
      </c>
      <c r="CG2670" s="2"/>
      <c r="CH2670" s="2"/>
      <c r="CI2670" s="2">
        <v>1</v>
      </c>
      <c r="CJ2670" s="2">
        <v>1</v>
      </c>
      <c r="CK2670" s="2">
        <v>21</v>
      </c>
      <c r="CL2670" s="2" t="s">
        <v>86</v>
      </c>
      <c r="CM2670" s="2"/>
    </row>
    <row r="2671" spans="1:91">
      <c r="A2671" s="2" t="s">
        <v>71</v>
      </c>
      <c r="B2671" s="2" t="s">
        <v>72</v>
      </c>
      <c r="C2671" s="2" t="s">
        <v>73</v>
      </c>
      <c r="D2671" s="2"/>
      <c r="E2671" s="2" t="str">
        <f>"FES1162544462"</f>
        <v>FES1162544462</v>
      </c>
      <c r="F2671" s="3">
        <v>42845</v>
      </c>
      <c r="G2671" s="2">
        <v>201710</v>
      </c>
      <c r="H2671" s="2" t="s">
        <v>74</v>
      </c>
      <c r="I2671" s="2" t="s">
        <v>75</v>
      </c>
      <c r="J2671" s="2" t="s">
        <v>76</v>
      </c>
      <c r="K2671" s="2" t="s">
        <v>77</v>
      </c>
      <c r="L2671" s="2" t="s">
        <v>176</v>
      </c>
      <c r="M2671" s="2" t="s">
        <v>176</v>
      </c>
      <c r="N2671" s="2" t="s">
        <v>177</v>
      </c>
      <c r="O2671" s="2" t="s">
        <v>115</v>
      </c>
      <c r="P2671" s="2" t="str">
        <f>"2170560940                    "</f>
        <v xml:space="preserve">2170560940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4.29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</v>
      </c>
      <c r="BJ2671" s="2">
        <v>0.2</v>
      </c>
      <c r="BK2671" s="2">
        <v>1</v>
      </c>
      <c r="BL2671" s="2">
        <v>41.73</v>
      </c>
      <c r="BM2671" s="2">
        <v>5.84</v>
      </c>
      <c r="BN2671" s="2">
        <v>47.57</v>
      </c>
      <c r="BO2671" s="2">
        <v>47.57</v>
      </c>
      <c r="BP2671" s="2"/>
      <c r="BQ2671" s="2" t="s">
        <v>178</v>
      </c>
      <c r="BR2671" s="2" t="s">
        <v>84</v>
      </c>
      <c r="BS2671" s="3">
        <v>42846</v>
      </c>
      <c r="BT2671" s="4">
        <v>0.52083333333333337</v>
      </c>
      <c r="BU2671" s="2" t="s">
        <v>2963</v>
      </c>
      <c r="BV2671" s="2" t="s">
        <v>111</v>
      </c>
      <c r="BW2671" s="2"/>
      <c r="BX2671" s="2"/>
      <c r="BY2671" s="2">
        <v>1200</v>
      </c>
      <c r="BZ2671" s="2" t="s">
        <v>27</v>
      </c>
      <c r="CA2671" s="2"/>
      <c r="CB2671" s="2"/>
      <c r="CC2671" s="2" t="s">
        <v>176</v>
      </c>
      <c r="CD2671" s="2">
        <v>7646</v>
      </c>
      <c r="CE2671" s="2" t="s">
        <v>118</v>
      </c>
      <c r="CF2671" s="5">
        <v>42849</v>
      </c>
      <c r="CG2671" s="2"/>
      <c r="CH2671" s="2"/>
      <c r="CI2671" s="2">
        <v>1</v>
      </c>
      <c r="CJ2671" s="2">
        <v>1</v>
      </c>
      <c r="CK2671" s="2">
        <v>21</v>
      </c>
      <c r="CL2671" s="2" t="s">
        <v>86</v>
      </c>
      <c r="CM2671" s="2"/>
    </row>
    <row r="2672" spans="1:91">
      <c r="A2672" s="2" t="s">
        <v>71</v>
      </c>
      <c r="B2672" s="2" t="s">
        <v>72</v>
      </c>
      <c r="C2672" s="2" t="s">
        <v>73</v>
      </c>
      <c r="D2672" s="2"/>
      <c r="E2672" s="2" t="str">
        <f>"FES1162544755"</f>
        <v>FES1162544755</v>
      </c>
      <c r="F2672" s="3">
        <v>42845</v>
      </c>
      <c r="G2672" s="2">
        <v>201710</v>
      </c>
      <c r="H2672" s="2" t="s">
        <v>74</v>
      </c>
      <c r="I2672" s="2" t="s">
        <v>75</v>
      </c>
      <c r="J2672" s="2" t="s">
        <v>76</v>
      </c>
      <c r="K2672" s="2" t="s">
        <v>77</v>
      </c>
      <c r="L2672" s="2" t="s">
        <v>401</v>
      </c>
      <c r="M2672" s="2" t="s">
        <v>402</v>
      </c>
      <c r="N2672" s="2" t="s">
        <v>326</v>
      </c>
      <c r="O2672" s="2" t="s">
        <v>115</v>
      </c>
      <c r="P2672" s="2" t="str">
        <f>"2170563311                    "</f>
        <v xml:space="preserve">2170563311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8.57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2</v>
      </c>
      <c r="BI2672" s="2">
        <v>4</v>
      </c>
      <c r="BJ2672" s="2">
        <v>3</v>
      </c>
      <c r="BK2672" s="2">
        <v>4</v>
      </c>
      <c r="BL2672" s="2">
        <v>83.45</v>
      </c>
      <c r="BM2672" s="2">
        <v>11.68</v>
      </c>
      <c r="BN2672" s="2">
        <v>95.13</v>
      </c>
      <c r="BO2672" s="2">
        <v>95.13</v>
      </c>
      <c r="BP2672" s="2"/>
      <c r="BQ2672" s="2" t="s">
        <v>1951</v>
      </c>
      <c r="BR2672" s="2" t="s">
        <v>84</v>
      </c>
      <c r="BS2672" s="3">
        <v>42846</v>
      </c>
      <c r="BT2672" s="4">
        <v>0.4375</v>
      </c>
      <c r="BU2672" s="2" t="s">
        <v>1952</v>
      </c>
      <c r="BV2672" s="2" t="s">
        <v>111</v>
      </c>
      <c r="BW2672" s="2"/>
      <c r="BX2672" s="2"/>
      <c r="BY2672" s="2">
        <v>15220</v>
      </c>
      <c r="BZ2672" s="2"/>
      <c r="CA2672" s="2"/>
      <c r="CB2672" s="2"/>
      <c r="CC2672" s="2" t="s">
        <v>402</v>
      </c>
      <c r="CD2672" s="2">
        <v>4133</v>
      </c>
      <c r="CE2672" s="2" t="s">
        <v>89</v>
      </c>
      <c r="CF2672" s="5">
        <v>42849</v>
      </c>
      <c r="CG2672" s="2"/>
      <c r="CH2672" s="2"/>
      <c r="CI2672" s="2">
        <v>1</v>
      </c>
      <c r="CJ2672" s="2">
        <v>1</v>
      </c>
      <c r="CK2672" s="2">
        <v>21</v>
      </c>
      <c r="CL2672" s="2" t="s">
        <v>86</v>
      </c>
      <c r="CM2672" s="2"/>
    </row>
    <row r="2673" spans="1:91">
      <c r="A2673" s="2" t="s">
        <v>71</v>
      </c>
      <c r="B2673" s="2" t="s">
        <v>72</v>
      </c>
      <c r="C2673" s="2" t="s">
        <v>73</v>
      </c>
      <c r="D2673" s="2"/>
      <c r="E2673" s="2" t="str">
        <f>"FES1162544728"</f>
        <v>FES1162544728</v>
      </c>
      <c r="F2673" s="3">
        <v>42845</v>
      </c>
      <c r="G2673" s="2">
        <v>201710</v>
      </c>
      <c r="H2673" s="2" t="s">
        <v>74</v>
      </c>
      <c r="I2673" s="2" t="s">
        <v>75</v>
      </c>
      <c r="J2673" s="2" t="s">
        <v>76</v>
      </c>
      <c r="K2673" s="2" t="s">
        <v>77</v>
      </c>
      <c r="L2673" s="2" t="s">
        <v>231</v>
      </c>
      <c r="M2673" s="2" t="s">
        <v>232</v>
      </c>
      <c r="N2673" s="2" t="s">
        <v>316</v>
      </c>
      <c r="O2673" s="2" t="s">
        <v>115</v>
      </c>
      <c r="P2673" s="2" t="str">
        <f>"2170563284                    "</f>
        <v xml:space="preserve">2170563284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6.03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1</v>
      </c>
      <c r="BJ2673" s="2">
        <v>0.2</v>
      </c>
      <c r="BK2673" s="2">
        <v>1</v>
      </c>
      <c r="BL2673" s="2">
        <v>58.68</v>
      </c>
      <c r="BM2673" s="2">
        <v>8.2200000000000006</v>
      </c>
      <c r="BN2673" s="2">
        <v>66.900000000000006</v>
      </c>
      <c r="BO2673" s="2">
        <v>66.900000000000006</v>
      </c>
      <c r="BP2673" s="2"/>
      <c r="BQ2673" s="2" t="s">
        <v>317</v>
      </c>
      <c r="BR2673" s="2" t="s">
        <v>84</v>
      </c>
      <c r="BS2673" s="3">
        <v>42846</v>
      </c>
      <c r="BT2673" s="4">
        <v>0.45694444444444443</v>
      </c>
      <c r="BU2673" s="2" t="s">
        <v>761</v>
      </c>
      <c r="BV2673" s="2" t="s">
        <v>111</v>
      </c>
      <c r="BW2673" s="2"/>
      <c r="BX2673" s="2"/>
      <c r="BY2673" s="2">
        <v>1200</v>
      </c>
      <c r="BZ2673" s="2"/>
      <c r="CA2673" s="2"/>
      <c r="CB2673" s="2"/>
      <c r="CC2673" s="2" t="s">
        <v>232</v>
      </c>
      <c r="CD2673" s="2">
        <v>250</v>
      </c>
      <c r="CE2673" s="2" t="s">
        <v>118</v>
      </c>
      <c r="CF2673" s="5">
        <v>42850</v>
      </c>
      <c r="CG2673" s="2"/>
      <c r="CH2673" s="2"/>
      <c r="CI2673" s="2">
        <v>1</v>
      </c>
      <c r="CJ2673" s="2">
        <v>1</v>
      </c>
      <c r="CK2673" s="2">
        <v>24</v>
      </c>
      <c r="CL2673" s="2" t="s">
        <v>86</v>
      </c>
      <c r="CM2673" s="2"/>
    </row>
    <row r="2674" spans="1:91">
      <c r="A2674" s="2" t="s">
        <v>71</v>
      </c>
      <c r="B2674" s="2" t="s">
        <v>72</v>
      </c>
      <c r="C2674" s="2" t="s">
        <v>73</v>
      </c>
      <c r="D2674" s="2"/>
      <c r="E2674" s="2" t="str">
        <f>"FES1162544572"</f>
        <v>FES1162544572</v>
      </c>
      <c r="F2674" s="3">
        <v>42845</v>
      </c>
      <c r="G2674" s="2">
        <v>201710</v>
      </c>
      <c r="H2674" s="2" t="s">
        <v>74</v>
      </c>
      <c r="I2674" s="2" t="s">
        <v>75</v>
      </c>
      <c r="J2674" s="2" t="s">
        <v>76</v>
      </c>
      <c r="K2674" s="2" t="s">
        <v>77</v>
      </c>
      <c r="L2674" s="2" t="s">
        <v>166</v>
      </c>
      <c r="M2674" s="2" t="s">
        <v>167</v>
      </c>
      <c r="N2674" s="2" t="s">
        <v>703</v>
      </c>
      <c r="O2674" s="2" t="s">
        <v>115</v>
      </c>
      <c r="P2674" s="2" t="str">
        <f>"2170561127                    "</f>
        <v xml:space="preserve">2170561127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3.35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1</v>
      </c>
      <c r="BJ2674" s="2">
        <v>0.2</v>
      </c>
      <c r="BK2674" s="2">
        <v>1</v>
      </c>
      <c r="BL2674" s="2">
        <v>32.6</v>
      </c>
      <c r="BM2674" s="2">
        <v>4.5599999999999996</v>
      </c>
      <c r="BN2674" s="2">
        <v>37.159999999999997</v>
      </c>
      <c r="BO2674" s="2">
        <v>37.159999999999997</v>
      </c>
      <c r="BP2674" s="2"/>
      <c r="BQ2674" s="2" t="s">
        <v>704</v>
      </c>
      <c r="BR2674" s="2" t="s">
        <v>84</v>
      </c>
      <c r="BS2674" s="3">
        <v>42846</v>
      </c>
      <c r="BT2674" s="4">
        <v>0.3743055555555555</v>
      </c>
      <c r="BU2674" s="2" t="s">
        <v>1416</v>
      </c>
      <c r="BV2674" s="2" t="s">
        <v>111</v>
      </c>
      <c r="BW2674" s="2"/>
      <c r="BX2674" s="2"/>
      <c r="BY2674" s="2">
        <v>1200</v>
      </c>
      <c r="BZ2674" s="2"/>
      <c r="CA2674" s="2"/>
      <c r="CB2674" s="2"/>
      <c r="CC2674" s="2" t="s">
        <v>167</v>
      </c>
      <c r="CD2674" s="2">
        <v>2091</v>
      </c>
      <c r="CE2674" s="2" t="s">
        <v>118</v>
      </c>
      <c r="CF2674" s="5">
        <v>42849</v>
      </c>
      <c r="CG2674" s="2"/>
      <c r="CH2674" s="2"/>
      <c r="CI2674" s="2">
        <v>1</v>
      </c>
      <c r="CJ2674" s="2">
        <v>1</v>
      </c>
      <c r="CK2674" s="2">
        <v>22</v>
      </c>
      <c r="CL2674" s="2" t="s">
        <v>86</v>
      </c>
      <c r="CM2674" s="2"/>
    </row>
    <row r="2675" spans="1:91">
      <c r="A2675" s="2" t="s">
        <v>71</v>
      </c>
      <c r="B2675" s="2" t="s">
        <v>72</v>
      </c>
      <c r="C2675" s="2" t="s">
        <v>73</v>
      </c>
      <c r="D2675" s="2"/>
      <c r="E2675" s="2" t="str">
        <f>"RFES1162543869"</f>
        <v>RFES1162543869</v>
      </c>
      <c r="F2675" s="3">
        <v>42845</v>
      </c>
      <c r="G2675" s="2">
        <v>201710</v>
      </c>
      <c r="H2675" s="2" t="s">
        <v>180</v>
      </c>
      <c r="I2675" s="2" t="s">
        <v>181</v>
      </c>
      <c r="J2675" s="2" t="s">
        <v>182</v>
      </c>
      <c r="K2675" s="2" t="s">
        <v>77</v>
      </c>
      <c r="L2675" s="2" t="s">
        <v>74</v>
      </c>
      <c r="M2675" s="2" t="s">
        <v>75</v>
      </c>
      <c r="N2675" s="2" t="s">
        <v>76</v>
      </c>
      <c r="O2675" s="2" t="s">
        <v>115</v>
      </c>
      <c r="P2675" s="2" t="str">
        <f>"2170562471                    "</f>
        <v xml:space="preserve">2170562471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7.5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3.1</v>
      </c>
      <c r="BJ2675" s="2">
        <v>1.6</v>
      </c>
      <c r="BK2675" s="2">
        <v>3.5</v>
      </c>
      <c r="BL2675" s="2">
        <v>73.02</v>
      </c>
      <c r="BM2675" s="2">
        <v>10.220000000000001</v>
      </c>
      <c r="BN2675" s="2">
        <v>83.24</v>
      </c>
      <c r="BO2675" s="2">
        <v>83.24</v>
      </c>
      <c r="BP2675" s="2"/>
      <c r="BQ2675" s="2" t="s">
        <v>84</v>
      </c>
      <c r="BR2675" s="2" t="s">
        <v>183</v>
      </c>
      <c r="BS2675" s="3">
        <v>42846</v>
      </c>
      <c r="BT2675" s="4">
        <v>0.35416666666666669</v>
      </c>
      <c r="BU2675" s="2" t="s">
        <v>2586</v>
      </c>
      <c r="BV2675" s="2" t="s">
        <v>111</v>
      </c>
      <c r="BW2675" s="2"/>
      <c r="BX2675" s="2"/>
      <c r="BY2675" s="2">
        <v>8084.86</v>
      </c>
      <c r="BZ2675" s="2" t="s">
        <v>27</v>
      </c>
      <c r="CA2675" s="2"/>
      <c r="CB2675" s="2"/>
      <c r="CC2675" s="2" t="s">
        <v>75</v>
      </c>
      <c r="CD2675" s="2">
        <v>1600</v>
      </c>
      <c r="CE2675" s="2" t="s">
        <v>89</v>
      </c>
      <c r="CF2675" s="5">
        <v>42849</v>
      </c>
      <c r="CG2675" s="2"/>
      <c r="CH2675" s="2"/>
      <c r="CI2675" s="2">
        <v>1</v>
      </c>
      <c r="CJ2675" s="2">
        <v>1</v>
      </c>
      <c r="CK2675" s="2">
        <v>21</v>
      </c>
      <c r="CL2675" s="2" t="s">
        <v>86</v>
      </c>
      <c r="CM2675" s="2"/>
    </row>
    <row r="2676" spans="1:91">
      <c r="A2676" s="2" t="s">
        <v>71</v>
      </c>
      <c r="B2676" s="2" t="s">
        <v>72</v>
      </c>
      <c r="C2676" s="2" t="s">
        <v>73</v>
      </c>
      <c r="D2676" s="2"/>
      <c r="E2676" s="2" t="str">
        <f>"FES1162544394"</f>
        <v>FES1162544394</v>
      </c>
      <c r="F2676" s="3">
        <v>42845</v>
      </c>
      <c r="G2676" s="2">
        <v>201710</v>
      </c>
      <c r="H2676" s="2" t="s">
        <v>74</v>
      </c>
      <c r="I2676" s="2" t="s">
        <v>75</v>
      </c>
      <c r="J2676" s="2" t="s">
        <v>76</v>
      </c>
      <c r="K2676" s="2" t="s">
        <v>77</v>
      </c>
      <c r="L2676" s="2" t="s">
        <v>74</v>
      </c>
      <c r="M2676" s="2" t="s">
        <v>75</v>
      </c>
      <c r="N2676" s="2" t="s">
        <v>2964</v>
      </c>
      <c r="O2676" s="2" t="s">
        <v>81</v>
      </c>
      <c r="P2676" s="2" t="str">
        <f>"2170558878                    "</f>
        <v xml:space="preserve">2170558878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13.28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51</v>
      </c>
      <c r="BJ2676" s="2">
        <v>32.299999999999997</v>
      </c>
      <c r="BK2676" s="2">
        <v>51</v>
      </c>
      <c r="BL2676" s="2">
        <v>134.29</v>
      </c>
      <c r="BM2676" s="2">
        <v>18.8</v>
      </c>
      <c r="BN2676" s="2">
        <v>153.09</v>
      </c>
      <c r="BO2676" s="2">
        <v>153.09</v>
      </c>
      <c r="BP2676" s="2"/>
      <c r="BQ2676" s="2" t="s">
        <v>2965</v>
      </c>
      <c r="BR2676" s="2" t="s">
        <v>84</v>
      </c>
      <c r="BS2676" s="3">
        <v>42846</v>
      </c>
      <c r="BT2676" s="4">
        <v>0.41666666666666669</v>
      </c>
      <c r="BU2676" s="2" t="s">
        <v>2966</v>
      </c>
      <c r="BV2676" s="2" t="s">
        <v>111</v>
      </c>
      <c r="BW2676" s="2"/>
      <c r="BX2676" s="2"/>
      <c r="BY2676" s="2">
        <v>161568</v>
      </c>
      <c r="BZ2676" s="2"/>
      <c r="CA2676" s="2"/>
      <c r="CB2676" s="2"/>
      <c r="CC2676" s="2" t="s">
        <v>75</v>
      </c>
      <c r="CD2676" s="2">
        <v>1665</v>
      </c>
      <c r="CE2676" s="2" t="s">
        <v>89</v>
      </c>
      <c r="CF2676" s="5">
        <v>42849</v>
      </c>
      <c r="CG2676" s="2"/>
      <c r="CH2676" s="2"/>
      <c r="CI2676" s="2">
        <v>0</v>
      </c>
      <c r="CJ2676" s="2">
        <v>0</v>
      </c>
      <c r="CK2676" s="2" t="s">
        <v>98</v>
      </c>
      <c r="CL2676" s="2" t="s">
        <v>86</v>
      </c>
      <c r="CM2676" s="2"/>
    </row>
    <row r="2677" spans="1:91">
      <c r="A2677" s="2" t="s">
        <v>71</v>
      </c>
      <c r="B2677" s="2" t="s">
        <v>72</v>
      </c>
      <c r="C2677" s="2" t="s">
        <v>73</v>
      </c>
      <c r="D2677" s="2"/>
      <c r="E2677" s="2" t="str">
        <f>"009936176391"</f>
        <v>009936176391</v>
      </c>
      <c r="F2677" s="3">
        <v>42845</v>
      </c>
      <c r="G2677" s="2">
        <v>201710</v>
      </c>
      <c r="H2677" s="2" t="s">
        <v>503</v>
      </c>
      <c r="I2677" s="2" t="s">
        <v>504</v>
      </c>
      <c r="J2677" s="2" t="s">
        <v>2967</v>
      </c>
      <c r="K2677" s="2" t="s">
        <v>77</v>
      </c>
      <c r="L2677" s="2" t="s">
        <v>74</v>
      </c>
      <c r="M2677" s="2" t="s">
        <v>75</v>
      </c>
      <c r="N2677" s="2" t="s">
        <v>200</v>
      </c>
      <c r="O2677" s="2" t="s">
        <v>81</v>
      </c>
      <c r="P2677" s="2" t="str">
        <f>"                              "</f>
        <v xml:space="preserve">          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11.47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2</v>
      </c>
      <c r="BI2677" s="2">
        <v>41.6</v>
      </c>
      <c r="BJ2677" s="2">
        <v>22.5</v>
      </c>
      <c r="BK2677" s="2">
        <v>42</v>
      </c>
      <c r="BL2677" s="2">
        <v>116.64</v>
      </c>
      <c r="BM2677" s="2">
        <v>16.329999999999998</v>
      </c>
      <c r="BN2677" s="2">
        <v>132.97</v>
      </c>
      <c r="BO2677" s="2">
        <v>132.97</v>
      </c>
      <c r="BP2677" s="2"/>
      <c r="BQ2677" s="2"/>
      <c r="BR2677" s="2" t="s">
        <v>1373</v>
      </c>
      <c r="BS2677" s="3">
        <v>42846</v>
      </c>
      <c r="BT2677" s="4">
        <v>0.4861111111111111</v>
      </c>
      <c r="BU2677" s="2" t="s">
        <v>266</v>
      </c>
      <c r="BV2677" s="2" t="s">
        <v>111</v>
      </c>
      <c r="BW2677" s="2"/>
      <c r="BX2677" s="2"/>
      <c r="BY2677" s="2">
        <v>112661.29</v>
      </c>
      <c r="BZ2677" s="2"/>
      <c r="CA2677" s="2"/>
      <c r="CB2677" s="2"/>
      <c r="CC2677" s="2" t="s">
        <v>75</v>
      </c>
      <c r="CD2677" s="2">
        <v>1600</v>
      </c>
      <c r="CE2677" s="2" t="s">
        <v>89</v>
      </c>
      <c r="CF2677" s="5">
        <v>42849</v>
      </c>
      <c r="CG2677" s="2"/>
      <c r="CH2677" s="2"/>
      <c r="CI2677" s="2">
        <v>0</v>
      </c>
      <c r="CJ2677" s="2">
        <v>0</v>
      </c>
      <c r="CK2677" s="2" t="s">
        <v>98</v>
      </c>
      <c r="CL2677" s="2" t="s">
        <v>86</v>
      </c>
      <c r="CM2677" s="2"/>
    </row>
    <row r="2678" spans="1:91">
      <c r="A2678" s="2" t="s">
        <v>71</v>
      </c>
      <c r="B2678" s="2" t="s">
        <v>72</v>
      </c>
      <c r="C2678" s="2" t="s">
        <v>73</v>
      </c>
      <c r="D2678" s="2"/>
      <c r="E2678" s="2" t="str">
        <f>"FES1162544783"</f>
        <v>FES1162544783</v>
      </c>
      <c r="F2678" s="3">
        <v>42845</v>
      </c>
      <c r="G2678" s="2">
        <v>201710</v>
      </c>
      <c r="H2678" s="2" t="s">
        <v>74</v>
      </c>
      <c r="I2678" s="2" t="s">
        <v>75</v>
      </c>
      <c r="J2678" s="2" t="s">
        <v>76</v>
      </c>
      <c r="K2678" s="2" t="s">
        <v>77</v>
      </c>
      <c r="L2678" s="2" t="s">
        <v>99</v>
      </c>
      <c r="M2678" s="2" t="s">
        <v>100</v>
      </c>
      <c r="N2678" s="2" t="s">
        <v>2853</v>
      </c>
      <c r="O2678" s="2" t="s">
        <v>81</v>
      </c>
      <c r="P2678" s="2" t="str">
        <f>"2170563336                    "</f>
        <v xml:space="preserve">2170563336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24.17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2</v>
      </c>
      <c r="BI2678" s="2">
        <v>55.4</v>
      </c>
      <c r="BJ2678" s="2">
        <v>35.299999999999997</v>
      </c>
      <c r="BK2678" s="2">
        <v>56</v>
      </c>
      <c r="BL2678" s="2">
        <v>240.29</v>
      </c>
      <c r="BM2678" s="2">
        <v>33.64</v>
      </c>
      <c r="BN2678" s="2">
        <v>273.93</v>
      </c>
      <c r="BO2678" s="2">
        <v>273.93</v>
      </c>
      <c r="BP2678" s="2"/>
      <c r="BQ2678" s="2" t="s">
        <v>2854</v>
      </c>
      <c r="BR2678" s="2" t="s">
        <v>84</v>
      </c>
      <c r="BS2678" s="3">
        <v>42849</v>
      </c>
      <c r="BT2678" s="4">
        <v>0.38541666666666669</v>
      </c>
      <c r="BU2678" s="2" t="s">
        <v>2968</v>
      </c>
      <c r="BV2678" s="2" t="s">
        <v>111</v>
      </c>
      <c r="BW2678" s="2"/>
      <c r="BX2678" s="2"/>
      <c r="BY2678" s="2">
        <v>176661.02</v>
      </c>
      <c r="BZ2678" s="2"/>
      <c r="CA2678" s="2"/>
      <c r="CB2678" s="2"/>
      <c r="CC2678" s="2" t="s">
        <v>100</v>
      </c>
      <c r="CD2678" s="2">
        <v>6001</v>
      </c>
      <c r="CE2678" s="2" t="s">
        <v>89</v>
      </c>
      <c r="CF2678" s="5">
        <v>42850</v>
      </c>
      <c r="CG2678" s="2"/>
      <c r="CH2678" s="2"/>
      <c r="CI2678" s="2">
        <v>0</v>
      </c>
      <c r="CJ2678" s="2">
        <v>0</v>
      </c>
      <c r="CK2678" s="2" t="s">
        <v>107</v>
      </c>
      <c r="CL2678" s="2" t="s">
        <v>86</v>
      </c>
      <c r="CM2678" s="2"/>
    </row>
    <row r="2679" spans="1:91">
      <c r="A2679" s="2" t="s">
        <v>71</v>
      </c>
      <c r="B2679" s="2" t="s">
        <v>72</v>
      </c>
      <c r="C2679" s="2" t="s">
        <v>73</v>
      </c>
      <c r="D2679" s="2"/>
      <c r="E2679" s="2" t="str">
        <f>"FES1162544315"</f>
        <v>FES1162544315</v>
      </c>
      <c r="F2679" s="3">
        <v>42845</v>
      </c>
      <c r="G2679" s="2">
        <v>201710</v>
      </c>
      <c r="H2679" s="2" t="s">
        <v>74</v>
      </c>
      <c r="I2679" s="2" t="s">
        <v>75</v>
      </c>
      <c r="J2679" s="2" t="s">
        <v>76</v>
      </c>
      <c r="K2679" s="2" t="s">
        <v>77</v>
      </c>
      <c r="L2679" s="2" t="s">
        <v>145</v>
      </c>
      <c r="M2679" s="2" t="s">
        <v>146</v>
      </c>
      <c r="N2679" s="2" t="s">
        <v>2969</v>
      </c>
      <c r="O2679" s="2" t="s">
        <v>81</v>
      </c>
      <c r="P2679" s="2" t="str">
        <f>"2170557126                    "</f>
        <v xml:space="preserve">2170557126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45.42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102</v>
      </c>
      <c r="BJ2679" s="2">
        <v>181.3</v>
      </c>
      <c r="BK2679" s="2">
        <v>182</v>
      </c>
      <c r="BL2679" s="2">
        <v>447.1</v>
      </c>
      <c r="BM2679" s="2">
        <v>62.59</v>
      </c>
      <c r="BN2679" s="2">
        <v>509.69</v>
      </c>
      <c r="BO2679" s="2">
        <v>509.69</v>
      </c>
      <c r="BP2679" s="2"/>
      <c r="BQ2679" s="2" t="s">
        <v>2970</v>
      </c>
      <c r="BR2679" s="2" t="s">
        <v>84</v>
      </c>
      <c r="BS2679" s="3">
        <v>42846</v>
      </c>
      <c r="BT2679" s="4">
        <v>0.63402777777777775</v>
      </c>
      <c r="BU2679" s="2" t="s">
        <v>2971</v>
      </c>
      <c r="BV2679" s="2"/>
      <c r="BW2679" s="2"/>
      <c r="BX2679" s="2"/>
      <c r="BY2679" s="2">
        <v>906633</v>
      </c>
      <c r="BZ2679" s="2"/>
      <c r="CA2679" s="2"/>
      <c r="CB2679" s="2"/>
      <c r="CC2679" s="2" t="s">
        <v>146</v>
      </c>
      <c r="CD2679" s="2">
        <v>84</v>
      </c>
      <c r="CE2679" s="2" t="s">
        <v>89</v>
      </c>
      <c r="CF2679" s="5">
        <v>42851</v>
      </c>
      <c r="CG2679" s="2"/>
      <c r="CH2679" s="2"/>
      <c r="CI2679" s="2">
        <v>0</v>
      </c>
      <c r="CJ2679" s="2">
        <v>0</v>
      </c>
      <c r="CK2679" s="2" t="s">
        <v>150</v>
      </c>
      <c r="CL2679" s="2" t="s">
        <v>86</v>
      </c>
      <c r="CM2679" s="2"/>
    </row>
    <row r="2680" spans="1:91">
      <c r="A2680" s="2" t="s">
        <v>71</v>
      </c>
      <c r="B2680" s="2" t="s">
        <v>72</v>
      </c>
      <c r="C2680" s="2" t="s">
        <v>73</v>
      </c>
      <c r="D2680" s="2"/>
      <c r="E2680" s="2" t="str">
        <f>"FES1162544412"</f>
        <v>FES1162544412</v>
      </c>
      <c r="F2680" s="3">
        <v>42845</v>
      </c>
      <c r="G2680" s="2">
        <v>201710</v>
      </c>
      <c r="H2680" s="2" t="s">
        <v>74</v>
      </c>
      <c r="I2680" s="2" t="s">
        <v>75</v>
      </c>
      <c r="J2680" s="2" t="s">
        <v>76</v>
      </c>
      <c r="K2680" s="2" t="s">
        <v>77</v>
      </c>
      <c r="L2680" s="2" t="s">
        <v>91</v>
      </c>
      <c r="M2680" s="2" t="s">
        <v>92</v>
      </c>
      <c r="N2680" s="2" t="s">
        <v>356</v>
      </c>
      <c r="O2680" s="2" t="s">
        <v>81</v>
      </c>
      <c r="P2680" s="2" t="str">
        <f>"2170562326                    "</f>
        <v xml:space="preserve">2170562326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22.75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79</v>
      </c>
      <c r="BJ2680" s="2">
        <v>97.6</v>
      </c>
      <c r="BK2680" s="2">
        <v>98</v>
      </c>
      <c r="BL2680" s="2">
        <v>226.48</v>
      </c>
      <c r="BM2680" s="2">
        <v>31.71</v>
      </c>
      <c r="BN2680" s="2">
        <v>258.19</v>
      </c>
      <c r="BO2680" s="2">
        <v>258.19</v>
      </c>
      <c r="BP2680" s="2"/>
      <c r="BQ2680" s="2" t="s">
        <v>122</v>
      </c>
      <c r="BR2680" s="2" t="s">
        <v>84</v>
      </c>
      <c r="BS2680" s="3">
        <v>42846</v>
      </c>
      <c r="BT2680" s="4">
        <v>0.43333333333333335</v>
      </c>
      <c r="BU2680" s="2" t="s">
        <v>357</v>
      </c>
      <c r="BV2680" s="2" t="s">
        <v>111</v>
      </c>
      <c r="BW2680" s="2"/>
      <c r="BX2680" s="2"/>
      <c r="BY2680" s="2">
        <v>488187</v>
      </c>
      <c r="BZ2680" s="2"/>
      <c r="CA2680" s="2"/>
      <c r="CB2680" s="2"/>
      <c r="CC2680" s="2" t="s">
        <v>92</v>
      </c>
      <c r="CD2680" s="2">
        <v>1422</v>
      </c>
      <c r="CE2680" s="2" t="s">
        <v>89</v>
      </c>
      <c r="CF2680" s="5">
        <v>42849</v>
      </c>
      <c r="CG2680" s="2"/>
      <c r="CH2680" s="2"/>
      <c r="CI2680" s="2">
        <v>0</v>
      </c>
      <c r="CJ2680" s="2">
        <v>0</v>
      </c>
      <c r="CK2680" s="2" t="s">
        <v>98</v>
      </c>
      <c r="CL2680" s="2" t="s">
        <v>86</v>
      </c>
      <c r="CM2680" s="2"/>
    </row>
    <row r="2681" spans="1:91">
      <c r="A2681" s="2" t="s">
        <v>71</v>
      </c>
      <c r="B2681" s="2" t="s">
        <v>72</v>
      </c>
      <c r="C2681" s="2" t="s">
        <v>73</v>
      </c>
      <c r="D2681" s="2"/>
      <c r="E2681" s="2" t="str">
        <f>"FES1162544643"</f>
        <v>FES1162544643</v>
      </c>
      <c r="F2681" s="3">
        <v>42845</v>
      </c>
      <c r="G2681" s="2">
        <v>201710</v>
      </c>
      <c r="H2681" s="2" t="s">
        <v>74</v>
      </c>
      <c r="I2681" s="2" t="s">
        <v>75</v>
      </c>
      <c r="J2681" s="2" t="s">
        <v>76</v>
      </c>
      <c r="K2681" s="2" t="s">
        <v>77</v>
      </c>
      <c r="L2681" s="2" t="s">
        <v>609</v>
      </c>
      <c r="M2681" s="2" t="s">
        <v>610</v>
      </c>
      <c r="N2681" s="2" t="s">
        <v>1263</v>
      </c>
      <c r="O2681" s="2" t="s">
        <v>81</v>
      </c>
      <c r="P2681" s="2" t="str">
        <f>"2170563196                    "</f>
        <v xml:space="preserve">2170563196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7.37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2.2000000000000002</v>
      </c>
      <c r="BJ2681" s="2">
        <v>1.2</v>
      </c>
      <c r="BK2681" s="2">
        <v>3</v>
      </c>
      <c r="BL2681" s="2">
        <v>76.72</v>
      </c>
      <c r="BM2681" s="2">
        <v>10.74</v>
      </c>
      <c r="BN2681" s="2">
        <v>87.46</v>
      </c>
      <c r="BO2681" s="2">
        <v>87.46</v>
      </c>
      <c r="BP2681" s="2" t="s">
        <v>82</v>
      </c>
      <c r="BQ2681" s="2" t="s">
        <v>1264</v>
      </c>
      <c r="BR2681" s="2" t="s">
        <v>84</v>
      </c>
      <c r="BS2681" s="3">
        <v>42846</v>
      </c>
      <c r="BT2681" s="4">
        <v>0.53888888888888886</v>
      </c>
      <c r="BU2681" s="2" t="s">
        <v>2972</v>
      </c>
      <c r="BV2681" s="2" t="s">
        <v>111</v>
      </c>
      <c r="BW2681" s="2"/>
      <c r="BX2681" s="2"/>
      <c r="BY2681" s="2">
        <v>6046.15</v>
      </c>
      <c r="BZ2681" s="2"/>
      <c r="CA2681" s="2"/>
      <c r="CB2681" s="2"/>
      <c r="CC2681" s="2" t="s">
        <v>610</v>
      </c>
      <c r="CD2681" s="2">
        <v>1900</v>
      </c>
      <c r="CE2681" s="2" t="s">
        <v>172</v>
      </c>
      <c r="CF2681" s="5">
        <v>42849</v>
      </c>
      <c r="CG2681" s="2"/>
      <c r="CH2681" s="2"/>
      <c r="CI2681" s="2">
        <v>0</v>
      </c>
      <c r="CJ2681" s="2">
        <v>0</v>
      </c>
      <c r="CK2681" s="2" t="s">
        <v>150</v>
      </c>
      <c r="CL2681" s="2" t="s">
        <v>86</v>
      </c>
      <c r="CM2681" s="2"/>
    </row>
    <row r="2682" spans="1:91">
      <c r="A2682" s="2" t="s">
        <v>71</v>
      </c>
      <c r="B2682" s="2" t="s">
        <v>72</v>
      </c>
      <c r="C2682" s="2" t="s">
        <v>73</v>
      </c>
      <c r="D2682" s="2"/>
      <c r="E2682" s="2" t="str">
        <f>"FES1162543245"</f>
        <v>FES1162543245</v>
      </c>
      <c r="F2682" s="3">
        <v>42837</v>
      </c>
      <c r="G2682" s="2">
        <v>201710</v>
      </c>
      <c r="H2682" s="2" t="s">
        <v>74</v>
      </c>
      <c r="I2682" s="2" t="s">
        <v>75</v>
      </c>
      <c r="J2682" s="2" t="s">
        <v>76</v>
      </c>
      <c r="K2682" s="2" t="s">
        <v>77</v>
      </c>
      <c r="L2682" s="2" t="s">
        <v>139</v>
      </c>
      <c r="M2682" s="2" t="s">
        <v>140</v>
      </c>
      <c r="N2682" s="2" t="s">
        <v>2784</v>
      </c>
      <c r="O2682" s="2" t="s">
        <v>81</v>
      </c>
      <c r="P2682" s="2" t="str">
        <f>"2170559235                    "</f>
        <v xml:space="preserve">2170559235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7.37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12</v>
      </c>
      <c r="BJ2682" s="2">
        <v>8.8000000000000007</v>
      </c>
      <c r="BK2682" s="2">
        <v>12</v>
      </c>
      <c r="BL2682" s="2">
        <v>76.72</v>
      </c>
      <c r="BM2682" s="2">
        <v>10.74</v>
      </c>
      <c r="BN2682" s="2">
        <v>87.46</v>
      </c>
      <c r="BO2682" s="2">
        <v>87.46</v>
      </c>
      <c r="BP2682" s="2"/>
      <c r="BQ2682" s="2"/>
      <c r="BR2682" s="2" t="s">
        <v>84</v>
      </c>
      <c r="BS2682" s="3">
        <v>42838</v>
      </c>
      <c r="BT2682" s="4">
        <v>0.43402777777777773</v>
      </c>
      <c r="BU2682" s="2" t="s">
        <v>2973</v>
      </c>
      <c r="BV2682" s="2"/>
      <c r="BW2682" s="2"/>
      <c r="BX2682" s="2"/>
      <c r="BY2682" s="2">
        <v>44126.65</v>
      </c>
      <c r="BZ2682" s="2"/>
      <c r="CA2682" s="2"/>
      <c r="CB2682" s="2"/>
      <c r="CC2682" s="2" t="s">
        <v>140</v>
      </c>
      <c r="CD2682" s="2">
        <v>157</v>
      </c>
      <c r="CE2682" s="2" t="s">
        <v>135</v>
      </c>
      <c r="CF2682" s="5">
        <v>42845</v>
      </c>
      <c r="CG2682" s="2"/>
      <c r="CH2682" s="2"/>
      <c r="CI2682" s="2">
        <v>0</v>
      </c>
      <c r="CJ2682" s="2">
        <v>0</v>
      </c>
      <c r="CK2682" s="2" t="s">
        <v>150</v>
      </c>
      <c r="CL2682" s="2" t="s">
        <v>86</v>
      </c>
      <c r="CM2682" s="2"/>
    </row>
    <row r="2683" spans="1:91">
      <c r="A2683" s="2" t="s">
        <v>71</v>
      </c>
      <c r="B2683" s="2" t="s">
        <v>72</v>
      </c>
      <c r="C2683" s="2" t="s">
        <v>73</v>
      </c>
      <c r="D2683" s="2"/>
      <c r="E2683" s="2" t="str">
        <f>"FES1162544463"</f>
        <v>FES1162544463</v>
      </c>
      <c r="F2683" s="3">
        <v>42845</v>
      </c>
      <c r="G2683" s="2">
        <v>201710</v>
      </c>
      <c r="H2683" s="2" t="s">
        <v>74</v>
      </c>
      <c r="I2683" s="2" t="s">
        <v>75</v>
      </c>
      <c r="J2683" s="2" t="s">
        <v>76</v>
      </c>
      <c r="K2683" s="2" t="s">
        <v>77</v>
      </c>
      <c r="L2683" s="2" t="s">
        <v>131</v>
      </c>
      <c r="M2683" s="2" t="s">
        <v>132</v>
      </c>
      <c r="N2683" s="2" t="s">
        <v>188</v>
      </c>
      <c r="O2683" s="2" t="s">
        <v>115</v>
      </c>
      <c r="P2683" s="2" t="str">
        <f>"2170561031                    "</f>
        <v xml:space="preserve">2170561031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4.29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1.7</v>
      </c>
      <c r="BJ2683" s="2">
        <v>1.3</v>
      </c>
      <c r="BK2683" s="2">
        <v>2</v>
      </c>
      <c r="BL2683" s="2">
        <v>41.73</v>
      </c>
      <c r="BM2683" s="2">
        <v>5.84</v>
      </c>
      <c r="BN2683" s="2">
        <v>47.57</v>
      </c>
      <c r="BO2683" s="2">
        <v>47.57</v>
      </c>
      <c r="BP2683" s="2"/>
      <c r="BQ2683" s="2" t="s">
        <v>83</v>
      </c>
      <c r="BR2683" s="2" t="s">
        <v>84</v>
      </c>
      <c r="BS2683" s="3">
        <v>42846</v>
      </c>
      <c r="BT2683" s="4">
        <v>0.35902777777777778</v>
      </c>
      <c r="BU2683" s="2" t="s">
        <v>1407</v>
      </c>
      <c r="BV2683" s="2" t="s">
        <v>111</v>
      </c>
      <c r="BW2683" s="2"/>
      <c r="BX2683" s="2"/>
      <c r="BY2683" s="2">
        <v>6500.74</v>
      </c>
      <c r="BZ2683" s="2"/>
      <c r="CA2683" s="2" t="s">
        <v>2870</v>
      </c>
      <c r="CB2683" s="2"/>
      <c r="CC2683" s="2" t="s">
        <v>132</v>
      </c>
      <c r="CD2683" s="2">
        <v>7460</v>
      </c>
      <c r="CE2683" s="2" t="s">
        <v>118</v>
      </c>
      <c r="CF2683" s="5">
        <v>42846</v>
      </c>
      <c r="CG2683" s="2"/>
      <c r="CH2683" s="2"/>
      <c r="CI2683" s="2">
        <v>1</v>
      </c>
      <c r="CJ2683" s="2">
        <v>1</v>
      </c>
      <c r="CK2683" s="2">
        <v>21</v>
      </c>
      <c r="CL2683" s="2" t="s">
        <v>86</v>
      </c>
      <c r="CM2683" s="2"/>
    </row>
    <row r="2684" spans="1:91">
      <c r="A2684" s="2" t="s">
        <v>71</v>
      </c>
      <c r="B2684" s="2" t="s">
        <v>72</v>
      </c>
      <c r="C2684" s="2" t="s">
        <v>73</v>
      </c>
      <c r="D2684" s="2"/>
      <c r="E2684" s="2" t="str">
        <f>"FES1162544536"</f>
        <v>FES1162544536</v>
      </c>
      <c r="F2684" s="3">
        <v>42845</v>
      </c>
      <c r="G2684" s="2">
        <v>201710</v>
      </c>
      <c r="H2684" s="2" t="s">
        <v>74</v>
      </c>
      <c r="I2684" s="2" t="s">
        <v>75</v>
      </c>
      <c r="J2684" s="2" t="s">
        <v>76</v>
      </c>
      <c r="K2684" s="2" t="s">
        <v>77</v>
      </c>
      <c r="L2684" s="2" t="s">
        <v>176</v>
      </c>
      <c r="M2684" s="2" t="s">
        <v>176</v>
      </c>
      <c r="N2684" s="2" t="s">
        <v>177</v>
      </c>
      <c r="O2684" s="2" t="s">
        <v>115</v>
      </c>
      <c r="P2684" s="2" t="str">
        <f>"2170562004                    "</f>
        <v xml:space="preserve">2170562004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5.36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</v>
      </c>
      <c r="BJ2684" s="2">
        <v>2.1</v>
      </c>
      <c r="BK2684" s="2">
        <v>2.5</v>
      </c>
      <c r="BL2684" s="2">
        <v>52.16</v>
      </c>
      <c r="BM2684" s="2">
        <v>7.3</v>
      </c>
      <c r="BN2684" s="2">
        <v>59.46</v>
      </c>
      <c r="BO2684" s="2">
        <v>59.46</v>
      </c>
      <c r="BP2684" s="2"/>
      <c r="BQ2684" s="2" t="s">
        <v>178</v>
      </c>
      <c r="BR2684" s="2" t="s">
        <v>84</v>
      </c>
      <c r="BS2684" s="3">
        <v>42846</v>
      </c>
      <c r="BT2684" s="4">
        <v>0.52083333333333337</v>
      </c>
      <c r="BU2684" s="2" t="s">
        <v>179</v>
      </c>
      <c r="BV2684" s="2" t="s">
        <v>111</v>
      </c>
      <c r="BW2684" s="2"/>
      <c r="BX2684" s="2"/>
      <c r="BY2684" s="2">
        <v>10546.8</v>
      </c>
      <c r="BZ2684" s="2"/>
      <c r="CA2684" s="2"/>
      <c r="CB2684" s="2"/>
      <c r="CC2684" s="2" t="s">
        <v>176</v>
      </c>
      <c r="CD2684" s="2">
        <v>7646</v>
      </c>
      <c r="CE2684" s="2" t="s">
        <v>118</v>
      </c>
      <c r="CF2684" s="5">
        <v>42849</v>
      </c>
      <c r="CG2684" s="2"/>
      <c r="CH2684" s="2"/>
      <c r="CI2684" s="2">
        <v>1</v>
      </c>
      <c r="CJ2684" s="2">
        <v>1</v>
      </c>
      <c r="CK2684" s="2">
        <v>21</v>
      </c>
      <c r="CL2684" s="2" t="s">
        <v>86</v>
      </c>
      <c r="CM2684" s="2"/>
    </row>
    <row r="2685" spans="1:91">
      <c r="A2685" s="2" t="s">
        <v>71</v>
      </c>
      <c r="B2685" s="2" t="s">
        <v>72</v>
      </c>
      <c r="C2685" s="2" t="s">
        <v>73</v>
      </c>
      <c r="D2685" s="2"/>
      <c r="E2685" s="2" t="str">
        <f>"FES1162544608"</f>
        <v>FES1162544608</v>
      </c>
      <c r="F2685" s="3">
        <v>42845</v>
      </c>
      <c r="G2685" s="2">
        <v>201710</v>
      </c>
      <c r="H2685" s="2" t="s">
        <v>74</v>
      </c>
      <c r="I2685" s="2" t="s">
        <v>75</v>
      </c>
      <c r="J2685" s="2" t="s">
        <v>76</v>
      </c>
      <c r="K2685" s="2" t="s">
        <v>77</v>
      </c>
      <c r="L2685" s="2" t="s">
        <v>131</v>
      </c>
      <c r="M2685" s="2" t="s">
        <v>132</v>
      </c>
      <c r="N2685" s="2" t="s">
        <v>1097</v>
      </c>
      <c r="O2685" s="2" t="s">
        <v>115</v>
      </c>
      <c r="P2685" s="2" t="str">
        <f>"2170563153                    "</f>
        <v xml:space="preserve">2170563153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6.43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1.8</v>
      </c>
      <c r="BJ2685" s="2">
        <v>2.8</v>
      </c>
      <c r="BK2685" s="2">
        <v>3</v>
      </c>
      <c r="BL2685" s="2">
        <v>62.59</v>
      </c>
      <c r="BM2685" s="2">
        <v>8.76</v>
      </c>
      <c r="BN2685" s="2">
        <v>71.349999999999994</v>
      </c>
      <c r="BO2685" s="2">
        <v>71.349999999999994</v>
      </c>
      <c r="BP2685" s="2"/>
      <c r="BQ2685" s="2" t="s">
        <v>1098</v>
      </c>
      <c r="BR2685" s="2" t="s">
        <v>84</v>
      </c>
      <c r="BS2685" s="3">
        <v>42846</v>
      </c>
      <c r="BT2685" s="4">
        <v>0.40416666666666662</v>
      </c>
      <c r="BU2685" s="2" t="s">
        <v>2434</v>
      </c>
      <c r="BV2685" s="2" t="s">
        <v>111</v>
      </c>
      <c r="BW2685" s="2"/>
      <c r="BX2685" s="2"/>
      <c r="BY2685" s="2">
        <v>13805.06</v>
      </c>
      <c r="BZ2685" s="2"/>
      <c r="CA2685" s="2"/>
      <c r="CB2685" s="2"/>
      <c r="CC2685" s="2" t="s">
        <v>132</v>
      </c>
      <c r="CD2685" s="2">
        <v>7925</v>
      </c>
      <c r="CE2685" s="2" t="s">
        <v>118</v>
      </c>
      <c r="CF2685" s="5">
        <v>42849</v>
      </c>
      <c r="CG2685" s="2"/>
      <c r="CH2685" s="2"/>
      <c r="CI2685" s="2">
        <v>1</v>
      </c>
      <c r="CJ2685" s="2">
        <v>1</v>
      </c>
      <c r="CK2685" s="2">
        <v>21</v>
      </c>
      <c r="CL2685" s="2" t="s">
        <v>86</v>
      </c>
      <c r="CM2685" s="2"/>
    </row>
    <row r="2686" spans="1:91">
      <c r="A2686" s="2" t="s">
        <v>71</v>
      </c>
      <c r="B2686" s="2" t="s">
        <v>72</v>
      </c>
      <c r="C2686" s="2" t="s">
        <v>73</v>
      </c>
      <c r="D2686" s="2"/>
      <c r="E2686" s="2" t="str">
        <f>"FES1162544539"</f>
        <v>FES1162544539</v>
      </c>
      <c r="F2686" s="3">
        <v>42845</v>
      </c>
      <c r="G2686" s="2">
        <v>201710</v>
      </c>
      <c r="H2686" s="2" t="s">
        <v>74</v>
      </c>
      <c r="I2686" s="2" t="s">
        <v>75</v>
      </c>
      <c r="J2686" s="2" t="s">
        <v>76</v>
      </c>
      <c r="K2686" s="2" t="s">
        <v>77</v>
      </c>
      <c r="L2686" s="2" t="s">
        <v>131</v>
      </c>
      <c r="M2686" s="2" t="s">
        <v>132</v>
      </c>
      <c r="N2686" s="2" t="s">
        <v>744</v>
      </c>
      <c r="O2686" s="2" t="s">
        <v>115</v>
      </c>
      <c r="P2686" s="2" t="str">
        <f>"2170563117                    "</f>
        <v xml:space="preserve">2170563117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4.29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1.4</v>
      </c>
      <c r="BJ2686" s="2">
        <v>1.7</v>
      </c>
      <c r="BK2686" s="2">
        <v>2</v>
      </c>
      <c r="BL2686" s="2">
        <v>41.73</v>
      </c>
      <c r="BM2686" s="2">
        <v>5.84</v>
      </c>
      <c r="BN2686" s="2">
        <v>47.57</v>
      </c>
      <c r="BO2686" s="2">
        <v>47.57</v>
      </c>
      <c r="BP2686" s="2"/>
      <c r="BQ2686" s="2" t="s">
        <v>138</v>
      </c>
      <c r="BR2686" s="2" t="s">
        <v>84</v>
      </c>
      <c r="BS2686" s="3">
        <v>42846</v>
      </c>
      <c r="BT2686" s="4">
        <v>0.41666666666666669</v>
      </c>
      <c r="BU2686" s="2" t="s">
        <v>2512</v>
      </c>
      <c r="BV2686" s="2" t="s">
        <v>111</v>
      </c>
      <c r="BW2686" s="2"/>
      <c r="BX2686" s="2"/>
      <c r="BY2686" s="2">
        <v>8424.27</v>
      </c>
      <c r="BZ2686" s="2"/>
      <c r="CA2686" s="2"/>
      <c r="CB2686" s="2"/>
      <c r="CC2686" s="2" t="s">
        <v>132</v>
      </c>
      <c r="CD2686" s="2">
        <v>7405</v>
      </c>
      <c r="CE2686" s="2" t="s">
        <v>118</v>
      </c>
      <c r="CF2686" s="5">
        <v>42849</v>
      </c>
      <c r="CG2686" s="2"/>
      <c r="CH2686" s="2"/>
      <c r="CI2686" s="2">
        <v>1</v>
      </c>
      <c r="CJ2686" s="2">
        <v>1</v>
      </c>
      <c r="CK2686" s="2">
        <v>21</v>
      </c>
      <c r="CL2686" s="2" t="s">
        <v>86</v>
      </c>
      <c r="CM2686" s="2"/>
    </row>
    <row r="2687" spans="1:91">
      <c r="A2687" s="2" t="s">
        <v>71</v>
      </c>
      <c r="B2687" s="2" t="s">
        <v>72</v>
      </c>
      <c r="C2687" s="2" t="s">
        <v>73</v>
      </c>
      <c r="D2687" s="2"/>
      <c r="E2687" s="2" t="str">
        <f>"080001611085"</f>
        <v>080001611085</v>
      </c>
      <c r="F2687" s="3">
        <v>42845</v>
      </c>
      <c r="G2687" s="2">
        <v>201710</v>
      </c>
      <c r="H2687" s="2" t="s">
        <v>131</v>
      </c>
      <c r="I2687" s="2" t="s">
        <v>132</v>
      </c>
      <c r="J2687" s="2" t="s">
        <v>1255</v>
      </c>
      <c r="K2687" s="2" t="s">
        <v>77</v>
      </c>
      <c r="L2687" s="2" t="s">
        <v>74</v>
      </c>
      <c r="M2687" s="2" t="s">
        <v>75</v>
      </c>
      <c r="N2687" s="2" t="s">
        <v>200</v>
      </c>
      <c r="O2687" s="2" t="s">
        <v>115</v>
      </c>
      <c r="P2687" s="2" t="str">
        <f>"2170560599                    "</f>
        <v xml:space="preserve">2170560599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4.29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0.7</v>
      </c>
      <c r="BJ2687" s="2">
        <v>0.9</v>
      </c>
      <c r="BK2687" s="2">
        <v>1</v>
      </c>
      <c r="BL2687" s="2">
        <v>41.73</v>
      </c>
      <c r="BM2687" s="2">
        <v>5.84</v>
      </c>
      <c r="BN2687" s="2">
        <v>47.57</v>
      </c>
      <c r="BO2687" s="2">
        <v>47.57</v>
      </c>
      <c r="BP2687" s="2" t="s">
        <v>391</v>
      </c>
      <c r="BQ2687" s="2" t="s">
        <v>134</v>
      </c>
      <c r="BR2687" s="2" t="s">
        <v>1256</v>
      </c>
      <c r="BS2687" s="3">
        <v>42846</v>
      </c>
      <c r="BT2687" s="4">
        <v>0.34236111111111112</v>
      </c>
      <c r="BU2687" s="2" t="s">
        <v>2586</v>
      </c>
      <c r="BV2687" s="2" t="s">
        <v>111</v>
      </c>
      <c r="BW2687" s="2"/>
      <c r="BX2687" s="2"/>
      <c r="BY2687" s="2">
        <v>4467.75</v>
      </c>
      <c r="BZ2687" s="2" t="s">
        <v>27</v>
      </c>
      <c r="CA2687" s="2"/>
      <c r="CB2687" s="2"/>
      <c r="CC2687" s="2" t="s">
        <v>75</v>
      </c>
      <c r="CD2687" s="2">
        <v>1601</v>
      </c>
      <c r="CE2687" s="2" t="s">
        <v>89</v>
      </c>
      <c r="CF2687" s="5">
        <v>42849</v>
      </c>
      <c r="CG2687" s="2"/>
      <c r="CH2687" s="2"/>
      <c r="CI2687" s="2">
        <v>1</v>
      </c>
      <c r="CJ2687" s="2">
        <v>1</v>
      </c>
      <c r="CK2687" s="2">
        <v>21</v>
      </c>
      <c r="CL2687" s="2" t="s">
        <v>86</v>
      </c>
      <c r="CM2687" s="2"/>
    </row>
    <row r="2688" spans="1:91">
      <c r="A2688" s="2" t="s">
        <v>71</v>
      </c>
      <c r="B2688" s="2" t="s">
        <v>72</v>
      </c>
      <c r="C2688" s="2" t="s">
        <v>73</v>
      </c>
      <c r="D2688" s="2"/>
      <c r="E2688" s="2" t="str">
        <f>"FES1162544283"</f>
        <v>FES1162544283</v>
      </c>
      <c r="F2688" s="3">
        <v>42845</v>
      </c>
      <c r="G2688" s="2">
        <v>201710</v>
      </c>
      <c r="H2688" s="2" t="s">
        <v>74</v>
      </c>
      <c r="I2688" s="2" t="s">
        <v>75</v>
      </c>
      <c r="J2688" s="2" t="s">
        <v>76</v>
      </c>
      <c r="K2688" s="2" t="s">
        <v>77</v>
      </c>
      <c r="L2688" s="2" t="s">
        <v>74</v>
      </c>
      <c r="M2688" s="2" t="s">
        <v>75</v>
      </c>
      <c r="N2688" s="2" t="s">
        <v>353</v>
      </c>
      <c r="O2688" s="2" t="s">
        <v>115</v>
      </c>
      <c r="P2688" s="2" t="str">
        <f>"2170562892                    "</f>
        <v xml:space="preserve">2170562892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3.35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0.9</v>
      </c>
      <c r="BJ2688" s="2">
        <v>1.6</v>
      </c>
      <c r="BK2688" s="2">
        <v>2</v>
      </c>
      <c r="BL2688" s="2">
        <v>32.6</v>
      </c>
      <c r="BM2688" s="2">
        <v>4.5599999999999996</v>
      </c>
      <c r="BN2688" s="2">
        <v>37.159999999999997</v>
      </c>
      <c r="BO2688" s="2">
        <v>37.159999999999997</v>
      </c>
      <c r="BP2688" s="2"/>
      <c r="BQ2688" s="2" t="s">
        <v>354</v>
      </c>
      <c r="BR2688" s="2" t="s">
        <v>84</v>
      </c>
      <c r="BS2688" s="3">
        <v>42846</v>
      </c>
      <c r="BT2688" s="4">
        <v>0.32500000000000001</v>
      </c>
      <c r="BU2688" s="2" t="s">
        <v>2974</v>
      </c>
      <c r="BV2688" s="2" t="s">
        <v>111</v>
      </c>
      <c r="BW2688" s="2"/>
      <c r="BX2688" s="2"/>
      <c r="BY2688" s="2">
        <v>8149.94</v>
      </c>
      <c r="BZ2688" s="2"/>
      <c r="CA2688" s="2" t="s">
        <v>2461</v>
      </c>
      <c r="CB2688" s="2"/>
      <c r="CC2688" s="2" t="s">
        <v>75</v>
      </c>
      <c r="CD2688" s="2">
        <v>1601</v>
      </c>
      <c r="CE2688" s="2" t="s">
        <v>118</v>
      </c>
      <c r="CF2688" s="5">
        <v>42846</v>
      </c>
      <c r="CG2688" s="2"/>
      <c r="CH2688" s="2"/>
      <c r="CI2688" s="2">
        <v>1</v>
      </c>
      <c r="CJ2688" s="2">
        <v>1</v>
      </c>
      <c r="CK2688" s="2">
        <v>22</v>
      </c>
      <c r="CL2688" s="2" t="s">
        <v>86</v>
      </c>
      <c r="CM2688" s="2"/>
    </row>
    <row r="2689" spans="1:91">
      <c r="A2689" s="2" t="s">
        <v>71</v>
      </c>
      <c r="B2689" s="2" t="s">
        <v>72</v>
      </c>
      <c r="C2689" s="2" t="s">
        <v>73</v>
      </c>
      <c r="D2689" s="2"/>
      <c r="E2689" s="2" t="str">
        <f>"FES1162544642"</f>
        <v>FES1162544642</v>
      </c>
      <c r="F2689" s="3">
        <v>42845</v>
      </c>
      <c r="G2689" s="2">
        <v>201710</v>
      </c>
      <c r="H2689" s="2" t="s">
        <v>74</v>
      </c>
      <c r="I2689" s="2" t="s">
        <v>75</v>
      </c>
      <c r="J2689" s="2" t="s">
        <v>76</v>
      </c>
      <c r="K2689" s="2" t="s">
        <v>77</v>
      </c>
      <c r="L2689" s="2" t="s">
        <v>99</v>
      </c>
      <c r="M2689" s="2" t="s">
        <v>100</v>
      </c>
      <c r="N2689" s="2" t="s">
        <v>2975</v>
      </c>
      <c r="O2689" s="2" t="s">
        <v>115</v>
      </c>
      <c r="P2689" s="2" t="str">
        <f>"2170558982                    "</f>
        <v xml:space="preserve">2170558982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4.29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1</v>
      </c>
      <c r="BJ2689" s="2">
        <v>0.2</v>
      </c>
      <c r="BK2689" s="2">
        <v>1</v>
      </c>
      <c r="BL2689" s="2">
        <v>41.73</v>
      </c>
      <c r="BM2689" s="2">
        <v>5.84</v>
      </c>
      <c r="BN2689" s="2">
        <v>47.57</v>
      </c>
      <c r="BO2689" s="2">
        <v>47.57</v>
      </c>
      <c r="BP2689" s="2"/>
      <c r="BQ2689" s="2" t="s">
        <v>83</v>
      </c>
      <c r="BR2689" s="2" t="s">
        <v>84</v>
      </c>
      <c r="BS2689" s="3">
        <v>42846</v>
      </c>
      <c r="BT2689" s="4">
        <v>0.32777777777777778</v>
      </c>
      <c r="BU2689" s="2" t="s">
        <v>2976</v>
      </c>
      <c r="BV2689" s="2" t="s">
        <v>111</v>
      </c>
      <c r="BW2689" s="2"/>
      <c r="BX2689" s="2"/>
      <c r="BY2689" s="2">
        <v>1200</v>
      </c>
      <c r="BZ2689" s="2"/>
      <c r="CA2689" s="2" t="s">
        <v>154</v>
      </c>
      <c r="CB2689" s="2"/>
      <c r="CC2689" s="2" t="s">
        <v>100</v>
      </c>
      <c r="CD2689" s="2">
        <v>6001</v>
      </c>
      <c r="CE2689" s="2" t="s">
        <v>118</v>
      </c>
      <c r="CF2689" s="5">
        <v>42846</v>
      </c>
      <c r="CG2689" s="2"/>
      <c r="CH2689" s="2"/>
      <c r="CI2689" s="2">
        <v>1</v>
      </c>
      <c r="CJ2689" s="2">
        <v>1</v>
      </c>
      <c r="CK2689" s="2">
        <v>21</v>
      </c>
      <c r="CL2689" s="2" t="s">
        <v>86</v>
      </c>
      <c r="CM2689" s="2"/>
    </row>
    <row r="2690" spans="1:91">
      <c r="A2690" s="2" t="s">
        <v>71</v>
      </c>
      <c r="B2690" s="2" t="s">
        <v>72</v>
      </c>
      <c r="C2690" s="2" t="s">
        <v>73</v>
      </c>
      <c r="D2690" s="2"/>
      <c r="E2690" s="2" t="str">
        <f>"FES1162544436"</f>
        <v>FES1162544436</v>
      </c>
      <c r="F2690" s="3">
        <v>42845</v>
      </c>
      <c r="G2690" s="2">
        <v>201710</v>
      </c>
      <c r="H2690" s="2" t="s">
        <v>74</v>
      </c>
      <c r="I2690" s="2" t="s">
        <v>75</v>
      </c>
      <c r="J2690" s="2" t="s">
        <v>76</v>
      </c>
      <c r="K2690" s="2" t="s">
        <v>77</v>
      </c>
      <c r="L2690" s="2" t="s">
        <v>131</v>
      </c>
      <c r="M2690" s="2" t="s">
        <v>132</v>
      </c>
      <c r="N2690" s="2" t="s">
        <v>1197</v>
      </c>
      <c r="O2690" s="2" t="s">
        <v>115</v>
      </c>
      <c r="P2690" s="2" t="str">
        <f>"2170563028                    "</f>
        <v xml:space="preserve">2170563028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6.43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2.8</v>
      </c>
      <c r="BJ2690" s="2">
        <v>1</v>
      </c>
      <c r="BK2690" s="2">
        <v>3</v>
      </c>
      <c r="BL2690" s="2">
        <v>62.59</v>
      </c>
      <c r="BM2690" s="2">
        <v>8.76</v>
      </c>
      <c r="BN2690" s="2">
        <v>71.349999999999994</v>
      </c>
      <c r="BO2690" s="2">
        <v>71.349999999999994</v>
      </c>
      <c r="BP2690" s="2"/>
      <c r="BQ2690" s="2" t="s">
        <v>1198</v>
      </c>
      <c r="BR2690" s="2" t="s">
        <v>84</v>
      </c>
      <c r="BS2690" s="3">
        <v>42846</v>
      </c>
      <c r="BT2690" s="4">
        <v>0.41666666666666669</v>
      </c>
      <c r="BU2690" s="2" t="s">
        <v>1779</v>
      </c>
      <c r="BV2690" s="2" t="s">
        <v>111</v>
      </c>
      <c r="BW2690" s="2"/>
      <c r="BX2690" s="2"/>
      <c r="BY2690" s="2">
        <v>5052.4799999999996</v>
      </c>
      <c r="BZ2690" s="2"/>
      <c r="CA2690" s="2"/>
      <c r="CB2690" s="2"/>
      <c r="CC2690" s="2" t="s">
        <v>132</v>
      </c>
      <c r="CD2690" s="2">
        <v>7441</v>
      </c>
      <c r="CE2690" s="2" t="s">
        <v>89</v>
      </c>
      <c r="CF2690" s="5">
        <v>42849</v>
      </c>
      <c r="CG2690" s="2"/>
      <c r="CH2690" s="2"/>
      <c r="CI2690" s="2">
        <v>1</v>
      </c>
      <c r="CJ2690" s="2">
        <v>1</v>
      </c>
      <c r="CK2690" s="2">
        <v>21</v>
      </c>
      <c r="CL2690" s="2" t="s">
        <v>86</v>
      </c>
      <c r="CM2690" s="2"/>
    </row>
    <row r="2691" spans="1:91">
      <c r="A2691" s="2" t="s">
        <v>71</v>
      </c>
      <c r="B2691" s="2" t="s">
        <v>72</v>
      </c>
      <c r="C2691" s="2" t="s">
        <v>73</v>
      </c>
      <c r="D2691" s="2"/>
      <c r="E2691" s="2" t="str">
        <f>"FES1162544424"</f>
        <v>FES1162544424</v>
      </c>
      <c r="F2691" s="3">
        <v>42845</v>
      </c>
      <c r="G2691" s="2">
        <v>201710</v>
      </c>
      <c r="H2691" s="2" t="s">
        <v>74</v>
      </c>
      <c r="I2691" s="2" t="s">
        <v>75</v>
      </c>
      <c r="J2691" s="2" t="s">
        <v>76</v>
      </c>
      <c r="K2691" s="2" t="s">
        <v>77</v>
      </c>
      <c r="L2691" s="2" t="s">
        <v>260</v>
      </c>
      <c r="M2691" s="2" t="s">
        <v>261</v>
      </c>
      <c r="N2691" s="2" t="s">
        <v>326</v>
      </c>
      <c r="O2691" s="2" t="s">
        <v>115</v>
      </c>
      <c r="P2691" s="2" t="str">
        <f>"2170563022                    "</f>
        <v xml:space="preserve">2170563022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3.35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1.5</v>
      </c>
      <c r="BJ2691" s="2">
        <v>1.8</v>
      </c>
      <c r="BK2691" s="2">
        <v>2</v>
      </c>
      <c r="BL2691" s="2">
        <v>32.6</v>
      </c>
      <c r="BM2691" s="2">
        <v>4.5599999999999996</v>
      </c>
      <c r="BN2691" s="2">
        <v>37.159999999999997</v>
      </c>
      <c r="BO2691" s="2">
        <v>37.159999999999997</v>
      </c>
      <c r="BP2691" s="2"/>
      <c r="BQ2691" s="2"/>
      <c r="BR2691" s="2" t="s">
        <v>84</v>
      </c>
      <c r="BS2691" s="3">
        <v>42846</v>
      </c>
      <c r="BT2691" s="4">
        <v>0.41666666666666669</v>
      </c>
      <c r="BU2691" s="2" t="s">
        <v>2898</v>
      </c>
      <c r="BV2691" s="2" t="s">
        <v>111</v>
      </c>
      <c r="BW2691" s="2"/>
      <c r="BX2691" s="2"/>
      <c r="BY2691" s="2">
        <v>8820</v>
      </c>
      <c r="BZ2691" s="2"/>
      <c r="CA2691" s="2"/>
      <c r="CB2691" s="2"/>
      <c r="CC2691" s="2" t="s">
        <v>261</v>
      </c>
      <c r="CD2691" s="2">
        <v>1451</v>
      </c>
      <c r="CE2691" s="2" t="s">
        <v>118</v>
      </c>
      <c r="CF2691" s="5">
        <v>42849</v>
      </c>
      <c r="CG2691" s="2"/>
      <c r="CH2691" s="2"/>
      <c r="CI2691" s="2">
        <v>1</v>
      </c>
      <c r="CJ2691" s="2">
        <v>1</v>
      </c>
      <c r="CK2691" s="2">
        <v>22</v>
      </c>
      <c r="CL2691" s="2" t="s">
        <v>86</v>
      </c>
      <c r="CM2691" s="2"/>
    </row>
    <row r="2692" spans="1:91">
      <c r="A2692" s="2" t="s">
        <v>71</v>
      </c>
      <c r="B2692" s="2" t="s">
        <v>72</v>
      </c>
      <c r="C2692" s="2" t="s">
        <v>73</v>
      </c>
      <c r="D2692" s="2"/>
      <c r="E2692" s="2" t="str">
        <f>"FES1162544248"</f>
        <v>FES1162544248</v>
      </c>
      <c r="F2692" s="3">
        <v>42845</v>
      </c>
      <c r="G2692" s="2">
        <v>201710</v>
      </c>
      <c r="H2692" s="2" t="s">
        <v>74</v>
      </c>
      <c r="I2692" s="2" t="s">
        <v>75</v>
      </c>
      <c r="J2692" s="2" t="s">
        <v>76</v>
      </c>
      <c r="K2692" s="2" t="s">
        <v>77</v>
      </c>
      <c r="L2692" s="2" t="s">
        <v>516</v>
      </c>
      <c r="M2692" s="2" t="s">
        <v>517</v>
      </c>
      <c r="N2692" s="2" t="s">
        <v>2977</v>
      </c>
      <c r="O2692" s="2" t="s">
        <v>115</v>
      </c>
      <c r="P2692" s="2" t="str">
        <f>"2170561860                    "</f>
        <v xml:space="preserve">2170561860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3.35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0.9</v>
      </c>
      <c r="BJ2692" s="2">
        <v>1.1000000000000001</v>
      </c>
      <c r="BK2692" s="2">
        <v>2</v>
      </c>
      <c r="BL2692" s="2">
        <v>32.6</v>
      </c>
      <c r="BM2692" s="2">
        <v>4.5599999999999996</v>
      </c>
      <c r="BN2692" s="2">
        <v>37.159999999999997</v>
      </c>
      <c r="BO2692" s="2">
        <v>37.159999999999997</v>
      </c>
      <c r="BP2692" s="2"/>
      <c r="BQ2692" s="2" t="s">
        <v>434</v>
      </c>
      <c r="BR2692" s="2" t="s">
        <v>84</v>
      </c>
      <c r="BS2692" s="3">
        <v>42846</v>
      </c>
      <c r="BT2692" s="4">
        <v>0.40277777777777773</v>
      </c>
      <c r="BU2692" s="2" t="s">
        <v>290</v>
      </c>
      <c r="BV2692" s="2" t="s">
        <v>111</v>
      </c>
      <c r="BW2692" s="2"/>
      <c r="BX2692" s="2"/>
      <c r="BY2692" s="2">
        <v>5355.31</v>
      </c>
      <c r="BZ2692" s="2"/>
      <c r="CA2692" s="2"/>
      <c r="CB2692" s="2"/>
      <c r="CC2692" s="2" t="s">
        <v>517</v>
      </c>
      <c r="CD2692" s="2">
        <v>1459</v>
      </c>
      <c r="CE2692" s="2" t="s">
        <v>118</v>
      </c>
      <c r="CF2692" s="5">
        <v>42849</v>
      </c>
      <c r="CG2692" s="2"/>
      <c r="CH2692" s="2"/>
      <c r="CI2692" s="2">
        <v>1</v>
      </c>
      <c r="CJ2692" s="2">
        <v>1</v>
      </c>
      <c r="CK2692" s="2">
        <v>22</v>
      </c>
      <c r="CL2692" s="2" t="s">
        <v>86</v>
      </c>
      <c r="CM2692" s="2"/>
    </row>
    <row r="2693" spans="1:91">
      <c r="A2693" s="2" t="s">
        <v>71</v>
      </c>
      <c r="B2693" s="2" t="s">
        <v>72</v>
      </c>
      <c r="C2693" s="2" t="s">
        <v>73</v>
      </c>
      <c r="D2693" s="2"/>
      <c r="E2693" s="2" t="str">
        <f>"FES1162544475"</f>
        <v>FES1162544475</v>
      </c>
      <c r="F2693" s="3">
        <v>42845</v>
      </c>
      <c r="G2693" s="2">
        <v>201710</v>
      </c>
      <c r="H2693" s="2" t="s">
        <v>74</v>
      </c>
      <c r="I2693" s="2" t="s">
        <v>75</v>
      </c>
      <c r="J2693" s="2" t="s">
        <v>76</v>
      </c>
      <c r="K2693" s="2" t="s">
        <v>77</v>
      </c>
      <c r="L2693" s="2" t="s">
        <v>1032</v>
      </c>
      <c r="M2693" s="2" t="s">
        <v>1033</v>
      </c>
      <c r="N2693" s="2" t="s">
        <v>1034</v>
      </c>
      <c r="O2693" s="2" t="s">
        <v>115</v>
      </c>
      <c r="P2693" s="2" t="str">
        <f>"2170562982                    "</f>
        <v xml:space="preserve">2170562982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12.06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1.1000000000000001</v>
      </c>
      <c r="BJ2693" s="2">
        <v>2.7</v>
      </c>
      <c r="BK2693" s="2">
        <v>3</v>
      </c>
      <c r="BL2693" s="2">
        <v>117.36</v>
      </c>
      <c r="BM2693" s="2">
        <v>16.43</v>
      </c>
      <c r="BN2693" s="2">
        <v>133.79</v>
      </c>
      <c r="BO2693" s="2">
        <v>133.79</v>
      </c>
      <c r="BP2693" s="2"/>
      <c r="BQ2693" s="2" t="s">
        <v>129</v>
      </c>
      <c r="BR2693" s="2" t="s">
        <v>84</v>
      </c>
      <c r="BS2693" s="3">
        <v>42849</v>
      </c>
      <c r="BT2693" s="4">
        <v>0</v>
      </c>
      <c r="BU2693" s="2" t="s">
        <v>2978</v>
      </c>
      <c r="BV2693" s="2" t="s">
        <v>111</v>
      </c>
      <c r="BW2693" s="2"/>
      <c r="BX2693" s="2"/>
      <c r="BY2693" s="2">
        <v>13440.67</v>
      </c>
      <c r="BZ2693" s="2"/>
      <c r="CA2693" s="2"/>
      <c r="CB2693" s="2"/>
      <c r="CC2693" s="2" t="s">
        <v>1033</v>
      </c>
      <c r="CD2693" s="2">
        <v>5605</v>
      </c>
      <c r="CE2693" s="2" t="s">
        <v>118</v>
      </c>
      <c r="CF2693" s="5">
        <v>42851</v>
      </c>
      <c r="CG2693" s="2"/>
      <c r="CH2693" s="2"/>
      <c r="CI2693" s="2">
        <v>4</v>
      </c>
      <c r="CJ2693" s="2">
        <v>2</v>
      </c>
      <c r="CK2693" s="2">
        <v>23</v>
      </c>
      <c r="CL2693" s="2" t="s">
        <v>86</v>
      </c>
      <c r="CM2693" s="2"/>
    </row>
    <row r="2694" spans="1:91">
      <c r="A2694" s="2" t="s">
        <v>71</v>
      </c>
      <c r="B2694" s="2" t="s">
        <v>72</v>
      </c>
      <c r="C2694" s="2" t="s">
        <v>73</v>
      </c>
      <c r="D2694" s="2"/>
      <c r="E2694" s="2" t="str">
        <f>"FES1162544772"</f>
        <v>FES1162544772</v>
      </c>
      <c r="F2694" s="3">
        <v>42845</v>
      </c>
      <c r="G2694" s="2">
        <v>201710</v>
      </c>
      <c r="H2694" s="2" t="s">
        <v>74</v>
      </c>
      <c r="I2694" s="2" t="s">
        <v>75</v>
      </c>
      <c r="J2694" s="2" t="s">
        <v>76</v>
      </c>
      <c r="K2694" s="2" t="s">
        <v>77</v>
      </c>
      <c r="L2694" s="2" t="s">
        <v>131</v>
      </c>
      <c r="M2694" s="2" t="s">
        <v>132</v>
      </c>
      <c r="N2694" s="2" t="s">
        <v>384</v>
      </c>
      <c r="O2694" s="2" t="s">
        <v>115</v>
      </c>
      <c r="P2694" s="2" t="str">
        <f>"2170563329                    "</f>
        <v xml:space="preserve">2170563329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4.29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</v>
      </c>
      <c r="BJ2694" s="2">
        <v>0.2</v>
      </c>
      <c r="BK2694" s="2">
        <v>1</v>
      </c>
      <c r="BL2694" s="2">
        <v>41.73</v>
      </c>
      <c r="BM2694" s="2">
        <v>5.84</v>
      </c>
      <c r="BN2694" s="2">
        <v>47.57</v>
      </c>
      <c r="BO2694" s="2">
        <v>47.57</v>
      </c>
      <c r="BP2694" s="2"/>
      <c r="BQ2694" s="2" t="s">
        <v>468</v>
      </c>
      <c r="BR2694" s="2" t="s">
        <v>84</v>
      </c>
      <c r="BS2694" s="3">
        <v>42846</v>
      </c>
      <c r="BT2694" s="4">
        <v>0.41666666666666669</v>
      </c>
      <c r="BU2694" s="2" t="s">
        <v>130</v>
      </c>
      <c r="BV2694" s="2" t="s">
        <v>111</v>
      </c>
      <c r="BW2694" s="2"/>
      <c r="BX2694" s="2"/>
      <c r="BY2694" s="2">
        <v>1200</v>
      </c>
      <c r="BZ2694" s="2"/>
      <c r="CA2694" s="2"/>
      <c r="CB2694" s="2"/>
      <c r="CC2694" s="2" t="s">
        <v>132</v>
      </c>
      <c r="CD2694" s="2">
        <v>7405</v>
      </c>
      <c r="CE2694" s="2" t="s">
        <v>118</v>
      </c>
      <c r="CF2694" s="5">
        <v>42849</v>
      </c>
      <c r="CG2694" s="2"/>
      <c r="CH2694" s="2"/>
      <c r="CI2694" s="2">
        <v>1</v>
      </c>
      <c r="CJ2694" s="2">
        <v>1</v>
      </c>
      <c r="CK2694" s="2">
        <v>21</v>
      </c>
      <c r="CL2694" s="2" t="s">
        <v>86</v>
      </c>
      <c r="CM2694" s="2"/>
    </row>
    <row r="2695" spans="1:91">
      <c r="A2695" s="2" t="s">
        <v>71</v>
      </c>
      <c r="B2695" s="2" t="s">
        <v>72</v>
      </c>
      <c r="C2695" s="2" t="s">
        <v>73</v>
      </c>
      <c r="D2695" s="2"/>
      <c r="E2695" s="2" t="str">
        <f>"FES1162544554"</f>
        <v>FES1162544554</v>
      </c>
      <c r="F2695" s="3">
        <v>42845</v>
      </c>
      <c r="G2695" s="2">
        <v>201710</v>
      </c>
      <c r="H2695" s="2" t="s">
        <v>74</v>
      </c>
      <c r="I2695" s="2" t="s">
        <v>75</v>
      </c>
      <c r="J2695" s="2" t="s">
        <v>76</v>
      </c>
      <c r="K2695" s="2" t="s">
        <v>77</v>
      </c>
      <c r="L2695" s="2" t="s">
        <v>99</v>
      </c>
      <c r="M2695" s="2" t="s">
        <v>100</v>
      </c>
      <c r="N2695" s="2" t="s">
        <v>384</v>
      </c>
      <c r="O2695" s="2" t="s">
        <v>115</v>
      </c>
      <c r="P2695" s="2" t="str">
        <f>"2170559952                    "</f>
        <v xml:space="preserve">2170559952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4.29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1.5</v>
      </c>
      <c r="BJ2695" s="2">
        <v>1.4</v>
      </c>
      <c r="BK2695" s="2">
        <v>1.5</v>
      </c>
      <c r="BL2695" s="2">
        <v>41.73</v>
      </c>
      <c r="BM2695" s="2">
        <v>5.84</v>
      </c>
      <c r="BN2695" s="2">
        <v>47.57</v>
      </c>
      <c r="BO2695" s="2">
        <v>47.57</v>
      </c>
      <c r="BP2695" s="2"/>
      <c r="BQ2695" s="2" t="s">
        <v>129</v>
      </c>
      <c r="BR2695" s="2" t="s">
        <v>84</v>
      </c>
      <c r="BS2695" s="3">
        <v>42846</v>
      </c>
      <c r="BT2695" s="4">
        <v>0.30763888888888891</v>
      </c>
      <c r="BU2695" s="2" t="s">
        <v>576</v>
      </c>
      <c r="BV2695" s="2" t="s">
        <v>111</v>
      </c>
      <c r="BW2695" s="2"/>
      <c r="BX2695" s="2"/>
      <c r="BY2695" s="2">
        <v>6799.06</v>
      </c>
      <c r="BZ2695" s="2"/>
      <c r="CA2695" s="2" t="s">
        <v>154</v>
      </c>
      <c r="CB2695" s="2"/>
      <c r="CC2695" s="2" t="s">
        <v>100</v>
      </c>
      <c r="CD2695" s="2">
        <v>6020</v>
      </c>
      <c r="CE2695" s="2" t="s">
        <v>118</v>
      </c>
      <c r="CF2695" s="5">
        <v>42846</v>
      </c>
      <c r="CG2695" s="2"/>
      <c r="CH2695" s="2"/>
      <c r="CI2695" s="2">
        <v>1</v>
      </c>
      <c r="CJ2695" s="2">
        <v>1</v>
      </c>
      <c r="CK2695" s="2">
        <v>21</v>
      </c>
      <c r="CL2695" s="2" t="s">
        <v>86</v>
      </c>
      <c r="CM2695" s="2"/>
    </row>
    <row r="2696" spans="1:91">
      <c r="A2696" s="2" t="s">
        <v>71</v>
      </c>
      <c r="B2696" s="2" t="s">
        <v>72</v>
      </c>
      <c r="C2696" s="2" t="s">
        <v>73</v>
      </c>
      <c r="D2696" s="2"/>
      <c r="E2696" s="2" t="str">
        <f>"FES1162544767"</f>
        <v>FES1162544767</v>
      </c>
      <c r="F2696" s="3">
        <v>42845</v>
      </c>
      <c r="G2696" s="2">
        <v>201710</v>
      </c>
      <c r="H2696" s="2" t="s">
        <v>74</v>
      </c>
      <c r="I2696" s="2" t="s">
        <v>75</v>
      </c>
      <c r="J2696" s="2" t="s">
        <v>76</v>
      </c>
      <c r="K2696" s="2" t="s">
        <v>77</v>
      </c>
      <c r="L2696" s="2" t="s">
        <v>131</v>
      </c>
      <c r="M2696" s="2" t="s">
        <v>132</v>
      </c>
      <c r="N2696" s="2" t="s">
        <v>384</v>
      </c>
      <c r="O2696" s="2" t="s">
        <v>115</v>
      </c>
      <c r="P2696" s="2" t="str">
        <f>"2170563324                    "</f>
        <v xml:space="preserve">2170563324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4.29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1</v>
      </c>
      <c r="BJ2696" s="2">
        <v>0.2</v>
      </c>
      <c r="BK2696" s="2">
        <v>1</v>
      </c>
      <c r="BL2696" s="2">
        <v>41.73</v>
      </c>
      <c r="BM2696" s="2">
        <v>5.84</v>
      </c>
      <c r="BN2696" s="2">
        <v>47.57</v>
      </c>
      <c r="BO2696" s="2">
        <v>47.57</v>
      </c>
      <c r="BP2696" s="2"/>
      <c r="BQ2696" s="2" t="s">
        <v>1272</v>
      </c>
      <c r="BR2696" s="2" t="s">
        <v>84</v>
      </c>
      <c r="BS2696" s="3">
        <v>42846</v>
      </c>
      <c r="BT2696" s="4">
        <v>0.41666666666666669</v>
      </c>
      <c r="BU2696" s="2" t="s">
        <v>1273</v>
      </c>
      <c r="BV2696" s="2" t="s">
        <v>111</v>
      </c>
      <c r="BW2696" s="2"/>
      <c r="BX2696" s="2"/>
      <c r="BY2696" s="2">
        <v>1200</v>
      </c>
      <c r="BZ2696" s="2"/>
      <c r="CA2696" s="2"/>
      <c r="CB2696" s="2"/>
      <c r="CC2696" s="2" t="s">
        <v>132</v>
      </c>
      <c r="CD2696" s="2">
        <v>7530</v>
      </c>
      <c r="CE2696" s="2" t="s">
        <v>118</v>
      </c>
      <c r="CF2696" s="5">
        <v>42849</v>
      </c>
      <c r="CG2696" s="2"/>
      <c r="CH2696" s="2"/>
      <c r="CI2696" s="2">
        <v>1</v>
      </c>
      <c r="CJ2696" s="2">
        <v>1</v>
      </c>
      <c r="CK2696" s="2">
        <v>21</v>
      </c>
      <c r="CL2696" s="2" t="s">
        <v>86</v>
      </c>
      <c r="CM2696" s="2"/>
    </row>
    <row r="2697" spans="1:91">
      <c r="A2697" s="2" t="s">
        <v>71</v>
      </c>
      <c r="B2697" s="2" t="s">
        <v>72</v>
      </c>
      <c r="C2697" s="2" t="s">
        <v>73</v>
      </c>
      <c r="D2697" s="2"/>
      <c r="E2697" s="2" t="str">
        <f>"FES1162544744"</f>
        <v>FES1162544744</v>
      </c>
      <c r="F2697" s="3">
        <v>42845</v>
      </c>
      <c r="G2697" s="2">
        <v>201710</v>
      </c>
      <c r="H2697" s="2" t="s">
        <v>74</v>
      </c>
      <c r="I2697" s="2" t="s">
        <v>75</v>
      </c>
      <c r="J2697" s="2" t="s">
        <v>76</v>
      </c>
      <c r="K2697" s="2" t="s">
        <v>77</v>
      </c>
      <c r="L2697" s="2" t="s">
        <v>131</v>
      </c>
      <c r="M2697" s="2" t="s">
        <v>132</v>
      </c>
      <c r="N2697" s="2" t="s">
        <v>1069</v>
      </c>
      <c r="O2697" s="2" t="s">
        <v>115</v>
      </c>
      <c r="P2697" s="2" t="str">
        <f>"2170563302                    "</f>
        <v xml:space="preserve">2170563302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5.36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2.5</v>
      </c>
      <c r="BJ2697" s="2">
        <v>1</v>
      </c>
      <c r="BK2697" s="2">
        <v>2.5</v>
      </c>
      <c r="BL2697" s="2">
        <v>52.16</v>
      </c>
      <c r="BM2697" s="2">
        <v>7.3</v>
      </c>
      <c r="BN2697" s="2">
        <v>59.46</v>
      </c>
      <c r="BO2697" s="2">
        <v>59.46</v>
      </c>
      <c r="BP2697" s="2"/>
      <c r="BQ2697" s="2" t="s">
        <v>1070</v>
      </c>
      <c r="BR2697" s="2" t="s">
        <v>84</v>
      </c>
      <c r="BS2697" s="3">
        <v>42846</v>
      </c>
      <c r="BT2697" s="4">
        <v>0.4236111111111111</v>
      </c>
      <c r="BU2697" s="2" t="s">
        <v>896</v>
      </c>
      <c r="BV2697" s="2" t="s">
        <v>111</v>
      </c>
      <c r="BW2697" s="2"/>
      <c r="BX2697" s="2"/>
      <c r="BY2697" s="2">
        <v>4987.3900000000003</v>
      </c>
      <c r="BZ2697" s="2"/>
      <c r="CA2697" s="2"/>
      <c r="CB2697" s="2"/>
      <c r="CC2697" s="2" t="s">
        <v>132</v>
      </c>
      <c r="CD2697" s="2">
        <v>7800</v>
      </c>
      <c r="CE2697" s="2" t="s">
        <v>89</v>
      </c>
      <c r="CF2697" s="5">
        <v>42849</v>
      </c>
      <c r="CG2697" s="2"/>
      <c r="CH2697" s="2"/>
      <c r="CI2697" s="2">
        <v>1</v>
      </c>
      <c r="CJ2697" s="2">
        <v>1</v>
      </c>
      <c r="CK2697" s="2">
        <v>21</v>
      </c>
      <c r="CL2697" s="2" t="s">
        <v>86</v>
      </c>
      <c r="CM2697" s="2"/>
    </row>
    <row r="2698" spans="1:91">
      <c r="A2698" s="2" t="s">
        <v>71</v>
      </c>
      <c r="B2698" s="2" t="s">
        <v>72</v>
      </c>
      <c r="C2698" s="2" t="s">
        <v>73</v>
      </c>
      <c r="D2698" s="2"/>
      <c r="E2698" s="2" t="str">
        <f>"FES1162544653"</f>
        <v>FES1162544653</v>
      </c>
      <c r="F2698" s="3">
        <v>42845</v>
      </c>
      <c r="G2698" s="2">
        <v>201710</v>
      </c>
      <c r="H2698" s="2" t="s">
        <v>74</v>
      </c>
      <c r="I2698" s="2" t="s">
        <v>75</v>
      </c>
      <c r="J2698" s="2" t="s">
        <v>76</v>
      </c>
      <c r="K2698" s="2" t="s">
        <v>77</v>
      </c>
      <c r="L2698" s="2" t="s">
        <v>131</v>
      </c>
      <c r="M2698" s="2" t="s">
        <v>132</v>
      </c>
      <c r="N2698" s="2" t="s">
        <v>363</v>
      </c>
      <c r="O2698" s="2" t="s">
        <v>115</v>
      </c>
      <c r="P2698" s="2" t="str">
        <f>"2170562918                    "</f>
        <v xml:space="preserve">2170562918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17.149999999999999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7.6</v>
      </c>
      <c r="BJ2698" s="2">
        <v>3.2</v>
      </c>
      <c r="BK2698" s="2">
        <v>8</v>
      </c>
      <c r="BL2698" s="2">
        <v>166.91</v>
      </c>
      <c r="BM2698" s="2">
        <v>23.37</v>
      </c>
      <c r="BN2698" s="2">
        <v>190.28</v>
      </c>
      <c r="BO2698" s="2">
        <v>190.28</v>
      </c>
      <c r="BP2698" s="2"/>
      <c r="BQ2698" s="2" t="s">
        <v>170</v>
      </c>
      <c r="BR2698" s="2" t="s">
        <v>84</v>
      </c>
      <c r="BS2698" s="3">
        <v>42846</v>
      </c>
      <c r="BT2698" s="4">
        <v>0.41666666666666669</v>
      </c>
      <c r="BU2698" s="2" t="s">
        <v>2913</v>
      </c>
      <c r="BV2698" s="2" t="s">
        <v>111</v>
      </c>
      <c r="BW2698" s="2"/>
      <c r="BX2698" s="2"/>
      <c r="BY2698" s="2">
        <v>16029.82</v>
      </c>
      <c r="BZ2698" s="2"/>
      <c r="CA2698" s="2"/>
      <c r="CB2698" s="2"/>
      <c r="CC2698" s="2" t="s">
        <v>132</v>
      </c>
      <c r="CD2698" s="2">
        <v>7441</v>
      </c>
      <c r="CE2698" s="2" t="s">
        <v>172</v>
      </c>
      <c r="CF2698" s="5">
        <v>42849</v>
      </c>
      <c r="CG2698" s="2"/>
      <c r="CH2698" s="2"/>
      <c r="CI2698" s="2">
        <v>1</v>
      </c>
      <c r="CJ2698" s="2">
        <v>1</v>
      </c>
      <c r="CK2698" s="2">
        <v>21</v>
      </c>
      <c r="CL2698" s="2" t="s">
        <v>86</v>
      </c>
      <c r="CM2698" s="2"/>
    </row>
    <row r="2699" spans="1:91">
      <c r="A2699" s="2" t="s">
        <v>71</v>
      </c>
      <c r="B2699" s="2" t="s">
        <v>72</v>
      </c>
      <c r="C2699" s="2" t="s">
        <v>73</v>
      </c>
      <c r="D2699" s="2"/>
      <c r="E2699" s="2" t="str">
        <f>"FES1162544730"</f>
        <v>FES1162544730</v>
      </c>
      <c r="F2699" s="3">
        <v>42845</v>
      </c>
      <c r="G2699" s="2">
        <v>201710</v>
      </c>
      <c r="H2699" s="2" t="s">
        <v>74</v>
      </c>
      <c r="I2699" s="2" t="s">
        <v>75</v>
      </c>
      <c r="J2699" s="2" t="s">
        <v>76</v>
      </c>
      <c r="K2699" s="2" t="s">
        <v>77</v>
      </c>
      <c r="L2699" s="2" t="s">
        <v>131</v>
      </c>
      <c r="M2699" s="2" t="s">
        <v>132</v>
      </c>
      <c r="N2699" s="2" t="s">
        <v>649</v>
      </c>
      <c r="O2699" s="2" t="s">
        <v>115</v>
      </c>
      <c r="P2699" s="2" t="str">
        <f>"2170563286                    "</f>
        <v xml:space="preserve">2170563286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4.29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1</v>
      </c>
      <c r="BJ2699" s="2">
        <v>0.2</v>
      </c>
      <c r="BK2699" s="2">
        <v>1</v>
      </c>
      <c r="BL2699" s="2">
        <v>41.73</v>
      </c>
      <c r="BM2699" s="2">
        <v>5.84</v>
      </c>
      <c r="BN2699" s="2">
        <v>47.57</v>
      </c>
      <c r="BO2699" s="2">
        <v>47.57</v>
      </c>
      <c r="BP2699" s="2" t="s">
        <v>2979</v>
      </c>
      <c r="BQ2699" s="2" t="s">
        <v>650</v>
      </c>
      <c r="BR2699" s="2" t="s">
        <v>84</v>
      </c>
      <c r="BS2699" s="3">
        <v>42846</v>
      </c>
      <c r="BT2699" s="4">
        <v>0.41666666666666669</v>
      </c>
      <c r="BU2699" s="2" t="s">
        <v>2980</v>
      </c>
      <c r="BV2699" s="2" t="s">
        <v>111</v>
      </c>
      <c r="BW2699" s="2"/>
      <c r="BX2699" s="2"/>
      <c r="BY2699" s="2">
        <v>1200</v>
      </c>
      <c r="BZ2699" s="2"/>
      <c r="CA2699" s="2"/>
      <c r="CB2699" s="2"/>
      <c r="CC2699" s="2" t="s">
        <v>132</v>
      </c>
      <c r="CD2699" s="2">
        <v>7405</v>
      </c>
      <c r="CE2699" s="2" t="s">
        <v>118</v>
      </c>
      <c r="CF2699" s="5">
        <v>42849</v>
      </c>
      <c r="CG2699" s="2"/>
      <c r="CH2699" s="2"/>
      <c r="CI2699" s="2">
        <v>1</v>
      </c>
      <c r="CJ2699" s="2">
        <v>1</v>
      </c>
      <c r="CK2699" s="2">
        <v>21</v>
      </c>
      <c r="CL2699" s="2" t="s">
        <v>86</v>
      </c>
      <c r="CM2699" s="2"/>
    </row>
    <row r="2700" spans="1:91">
      <c r="A2700" s="2" t="s">
        <v>71</v>
      </c>
      <c r="B2700" s="2" t="s">
        <v>72</v>
      </c>
      <c r="C2700" s="2" t="s">
        <v>73</v>
      </c>
      <c r="D2700" s="2"/>
      <c r="E2700" s="2" t="str">
        <f>"009932187243"</f>
        <v>009932187243</v>
      </c>
      <c r="F2700" s="3">
        <v>42845</v>
      </c>
      <c r="G2700" s="2">
        <v>201710</v>
      </c>
      <c r="H2700" s="2" t="s">
        <v>74</v>
      </c>
      <c r="I2700" s="2" t="s">
        <v>75</v>
      </c>
      <c r="J2700" s="2" t="s">
        <v>76</v>
      </c>
      <c r="K2700" s="2" t="s">
        <v>77</v>
      </c>
      <c r="L2700" s="2" t="s">
        <v>176</v>
      </c>
      <c r="M2700" s="2" t="s">
        <v>176</v>
      </c>
      <c r="N2700" s="2" t="s">
        <v>339</v>
      </c>
      <c r="O2700" s="2" t="s">
        <v>115</v>
      </c>
      <c r="P2700" s="2" t="str">
        <f>"1162543280                    "</f>
        <v xml:space="preserve">1162543280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4.29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</v>
      </c>
      <c r="BJ2700" s="2">
        <v>0.2</v>
      </c>
      <c r="BK2700" s="2">
        <v>1</v>
      </c>
      <c r="BL2700" s="2">
        <v>41.73</v>
      </c>
      <c r="BM2700" s="2">
        <v>5.84</v>
      </c>
      <c r="BN2700" s="2">
        <v>47.57</v>
      </c>
      <c r="BO2700" s="2">
        <v>47.57</v>
      </c>
      <c r="BP2700" s="2" t="s">
        <v>2981</v>
      </c>
      <c r="BQ2700" s="2" t="s">
        <v>340</v>
      </c>
      <c r="BR2700" s="2" t="s">
        <v>84</v>
      </c>
      <c r="BS2700" s="3">
        <v>42853</v>
      </c>
      <c r="BT2700" s="4">
        <v>0.47916666666666669</v>
      </c>
      <c r="BU2700" s="2" t="s">
        <v>2362</v>
      </c>
      <c r="BV2700" s="2" t="s">
        <v>86</v>
      </c>
      <c r="BW2700" s="2" t="s">
        <v>87</v>
      </c>
      <c r="BX2700" s="2" t="s">
        <v>1370</v>
      </c>
      <c r="BY2700" s="2">
        <v>1200</v>
      </c>
      <c r="BZ2700" s="2"/>
      <c r="CA2700" s="2"/>
      <c r="CB2700" s="2"/>
      <c r="CC2700" s="2" t="s">
        <v>176</v>
      </c>
      <c r="CD2700" s="2">
        <v>7646</v>
      </c>
      <c r="CE2700" s="2" t="s">
        <v>118</v>
      </c>
      <c r="CF2700" s="2"/>
      <c r="CG2700" s="2"/>
      <c r="CH2700" s="2"/>
      <c r="CI2700" s="2">
        <v>1</v>
      </c>
      <c r="CJ2700" s="2">
        <v>6</v>
      </c>
      <c r="CK2700" s="2">
        <v>21</v>
      </c>
      <c r="CL2700" s="2" t="s">
        <v>86</v>
      </c>
      <c r="CM2700" s="2"/>
    </row>
    <row r="2701" spans="1:91">
      <c r="A2701" s="2" t="s">
        <v>71</v>
      </c>
      <c r="B2701" s="2" t="s">
        <v>72</v>
      </c>
      <c r="C2701" s="2" t="s">
        <v>73</v>
      </c>
      <c r="D2701" s="2"/>
      <c r="E2701" s="2" t="str">
        <f>"FES1162544684"</f>
        <v>FES1162544684</v>
      </c>
      <c r="F2701" s="3">
        <v>42845</v>
      </c>
      <c r="G2701" s="2">
        <v>201710</v>
      </c>
      <c r="H2701" s="2" t="s">
        <v>74</v>
      </c>
      <c r="I2701" s="2" t="s">
        <v>75</v>
      </c>
      <c r="J2701" s="2" t="s">
        <v>76</v>
      </c>
      <c r="K2701" s="2" t="s">
        <v>77</v>
      </c>
      <c r="L2701" s="2" t="s">
        <v>176</v>
      </c>
      <c r="M2701" s="2" t="s">
        <v>176</v>
      </c>
      <c r="N2701" s="2" t="s">
        <v>1775</v>
      </c>
      <c r="O2701" s="2" t="s">
        <v>115</v>
      </c>
      <c r="P2701" s="2" t="str">
        <f>"2170563004                    "</f>
        <v xml:space="preserve">2170563004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4.29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1</v>
      </c>
      <c r="BJ2701" s="2">
        <v>0.2</v>
      </c>
      <c r="BK2701" s="2">
        <v>1</v>
      </c>
      <c r="BL2701" s="2">
        <v>41.73</v>
      </c>
      <c r="BM2701" s="2">
        <v>5.84</v>
      </c>
      <c r="BN2701" s="2">
        <v>47.57</v>
      </c>
      <c r="BO2701" s="2">
        <v>47.57</v>
      </c>
      <c r="BP2701" s="2"/>
      <c r="BQ2701" s="2" t="s">
        <v>122</v>
      </c>
      <c r="BR2701" s="2" t="s">
        <v>84</v>
      </c>
      <c r="BS2701" s="3">
        <v>42846</v>
      </c>
      <c r="BT2701" s="4">
        <v>0.41666666666666669</v>
      </c>
      <c r="BU2701" s="2" t="s">
        <v>2943</v>
      </c>
      <c r="BV2701" s="2" t="s">
        <v>111</v>
      </c>
      <c r="BW2701" s="2"/>
      <c r="BX2701" s="2"/>
      <c r="BY2701" s="2">
        <v>1200</v>
      </c>
      <c r="BZ2701" s="2"/>
      <c r="CA2701" s="2"/>
      <c r="CB2701" s="2"/>
      <c r="CC2701" s="2" t="s">
        <v>176</v>
      </c>
      <c r="CD2701" s="2">
        <v>7646</v>
      </c>
      <c r="CE2701" s="2" t="s">
        <v>118</v>
      </c>
      <c r="CF2701" s="5">
        <v>42849</v>
      </c>
      <c r="CG2701" s="2"/>
      <c r="CH2701" s="2"/>
      <c r="CI2701" s="2">
        <v>1</v>
      </c>
      <c r="CJ2701" s="2">
        <v>1</v>
      </c>
      <c r="CK2701" s="2">
        <v>21</v>
      </c>
      <c r="CL2701" s="2" t="s">
        <v>86</v>
      </c>
      <c r="CM2701" s="2"/>
    </row>
    <row r="2702" spans="1:91">
      <c r="A2702" s="2" t="s">
        <v>71</v>
      </c>
      <c r="B2702" s="2" t="s">
        <v>72</v>
      </c>
      <c r="C2702" s="2" t="s">
        <v>73</v>
      </c>
      <c r="D2702" s="2"/>
      <c r="E2702" s="2" t="str">
        <f>"FES1162544636"</f>
        <v>FES1162544636</v>
      </c>
      <c r="F2702" s="3">
        <v>42845</v>
      </c>
      <c r="G2702" s="2">
        <v>201710</v>
      </c>
      <c r="H2702" s="2" t="s">
        <v>74</v>
      </c>
      <c r="I2702" s="2" t="s">
        <v>75</v>
      </c>
      <c r="J2702" s="2" t="s">
        <v>76</v>
      </c>
      <c r="K2702" s="2" t="s">
        <v>77</v>
      </c>
      <c r="L2702" s="2" t="s">
        <v>358</v>
      </c>
      <c r="M2702" s="2" t="s">
        <v>359</v>
      </c>
      <c r="N2702" s="2" t="s">
        <v>2295</v>
      </c>
      <c r="O2702" s="2" t="s">
        <v>115</v>
      </c>
      <c r="P2702" s="2" t="str">
        <f>"2170563189                    "</f>
        <v xml:space="preserve">2170563189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4.29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1</v>
      </c>
      <c r="BJ2702" s="2">
        <v>0.2</v>
      </c>
      <c r="BK2702" s="2">
        <v>1</v>
      </c>
      <c r="BL2702" s="2">
        <v>41.73</v>
      </c>
      <c r="BM2702" s="2">
        <v>5.84</v>
      </c>
      <c r="BN2702" s="2">
        <v>47.57</v>
      </c>
      <c r="BO2702" s="2">
        <v>47.57</v>
      </c>
      <c r="BP2702" s="2"/>
      <c r="BQ2702" s="2" t="s">
        <v>2296</v>
      </c>
      <c r="BR2702" s="2" t="s">
        <v>84</v>
      </c>
      <c r="BS2702" s="3">
        <v>42846</v>
      </c>
      <c r="BT2702" s="4">
        <v>0.3527777777777778</v>
      </c>
      <c r="BU2702" s="2" t="s">
        <v>2297</v>
      </c>
      <c r="BV2702" s="2" t="s">
        <v>111</v>
      </c>
      <c r="BW2702" s="2"/>
      <c r="BX2702" s="2"/>
      <c r="BY2702" s="2">
        <v>1200</v>
      </c>
      <c r="BZ2702" s="2"/>
      <c r="CA2702" s="2"/>
      <c r="CB2702" s="2"/>
      <c r="CC2702" s="2" t="s">
        <v>359</v>
      </c>
      <c r="CD2702" s="2">
        <v>6229</v>
      </c>
      <c r="CE2702" s="2" t="s">
        <v>118</v>
      </c>
      <c r="CF2702" s="5">
        <v>42849</v>
      </c>
      <c r="CG2702" s="2"/>
      <c r="CH2702" s="2"/>
      <c r="CI2702" s="2">
        <v>1</v>
      </c>
      <c r="CJ2702" s="2">
        <v>1</v>
      </c>
      <c r="CK2702" s="2">
        <v>21</v>
      </c>
      <c r="CL2702" s="2" t="s">
        <v>86</v>
      </c>
      <c r="CM2702" s="2"/>
    </row>
    <row r="2703" spans="1:91">
      <c r="A2703" s="2" t="s">
        <v>71</v>
      </c>
      <c r="B2703" s="2" t="s">
        <v>72</v>
      </c>
      <c r="C2703" s="2" t="s">
        <v>73</v>
      </c>
      <c r="D2703" s="2"/>
      <c r="E2703" s="2" t="str">
        <f>"FES1162544445"</f>
        <v>FES1162544445</v>
      </c>
      <c r="F2703" s="3">
        <v>42845</v>
      </c>
      <c r="G2703" s="2">
        <v>201710</v>
      </c>
      <c r="H2703" s="2" t="s">
        <v>74</v>
      </c>
      <c r="I2703" s="2" t="s">
        <v>75</v>
      </c>
      <c r="J2703" s="2" t="s">
        <v>76</v>
      </c>
      <c r="K2703" s="2" t="s">
        <v>77</v>
      </c>
      <c r="L2703" s="2" t="s">
        <v>443</v>
      </c>
      <c r="M2703" s="2" t="s">
        <v>444</v>
      </c>
      <c r="N2703" s="2" t="s">
        <v>445</v>
      </c>
      <c r="O2703" s="2" t="s">
        <v>115</v>
      </c>
      <c r="P2703" s="2" t="str">
        <f>"2170563050                    "</f>
        <v xml:space="preserve">2170563050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4.29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1</v>
      </c>
      <c r="BJ2703" s="2">
        <v>0.2</v>
      </c>
      <c r="BK2703" s="2">
        <v>1</v>
      </c>
      <c r="BL2703" s="2">
        <v>41.73</v>
      </c>
      <c r="BM2703" s="2">
        <v>5.84</v>
      </c>
      <c r="BN2703" s="2">
        <v>47.57</v>
      </c>
      <c r="BO2703" s="2">
        <v>47.57</v>
      </c>
      <c r="BP2703" s="2"/>
      <c r="BQ2703" s="2" t="s">
        <v>129</v>
      </c>
      <c r="BR2703" s="2" t="s">
        <v>84</v>
      </c>
      <c r="BS2703" s="3">
        <v>42846</v>
      </c>
      <c r="BT2703" s="4">
        <v>0.41666666666666669</v>
      </c>
      <c r="BU2703" s="2" t="s">
        <v>2982</v>
      </c>
      <c r="BV2703" s="2" t="s">
        <v>111</v>
      </c>
      <c r="BW2703" s="2"/>
      <c r="BX2703" s="2"/>
      <c r="BY2703" s="2">
        <v>1200</v>
      </c>
      <c r="BZ2703" s="2"/>
      <c r="CA2703" s="2"/>
      <c r="CB2703" s="2"/>
      <c r="CC2703" s="2" t="s">
        <v>444</v>
      </c>
      <c r="CD2703" s="2">
        <v>7130</v>
      </c>
      <c r="CE2703" s="2" t="s">
        <v>118</v>
      </c>
      <c r="CF2703" s="5">
        <v>42849</v>
      </c>
      <c r="CG2703" s="2"/>
      <c r="CH2703" s="2"/>
      <c r="CI2703" s="2">
        <v>1</v>
      </c>
      <c r="CJ2703" s="2">
        <v>1</v>
      </c>
      <c r="CK2703" s="2">
        <v>21</v>
      </c>
      <c r="CL2703" s="2" t="s">
        <v>86</v>
      </c>
      <c r="CM2703" s="2"/>
    </row>
    <row r="2704" spans="1:91">
      <c r="A2704" s="2" t="s">
        <v>71</v>
      </c>
      <c r="B2704" s="2" t="s">
        <v>72</v>
      </c>
      <c r="C2704" s="2" t="s">
        <v>73</v>
      </c>
      <c r="D2704" s="2"/>
      <c r="E2704" s="2" t="str">
        <f>"FES1162544577"</f>
        <v>FES1162544577</v>
      </c>
      <c r="F2704" s="3">
        <v>42845</v>
      </c>
      <c r="G2704" s="2">
        <v>201710</v>
      </c>
      <c r="H2704" s="2" t="s">
        <v>74</v>
      </c>
      <c r="I2704" s="2" t="s">
        <v>75</v>
      </c>
      <c r="J2704" s="2" t="s">
        <v>76</v>
      </c>
      <c r="K2704" s="2" t="s">
        <v>77</v>
      </c>
      <c r="L2704" s="2" t="s">
        <v>99</v>
      </c>
      <c r="M2704" s="2" t="s">
        <v>100</v>
      </c>
      <c r="N2704" s="2" t="s">
        <v>2983</v>
      </c>
      <c r="O2704" s="2" t="s">
        <v>115</v>
      </c>
      <c r="P2704" s="2" t="str">
        <f>"2170562148                    "</f>
        <v xml:space="preserve">2170562148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4.29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1.2</v>
      </c>
      <c r="BJ2704" s="2">
        <v>1.3</v>
      </c>
      <c r="BK2704" s="2">
        <v>1.5</v>
      </c>
      <c r="BL2704" s="2">
        <v>41.73</v>
      </c>
      <c r="BM2704" s="2">
        <v>5.84</v>
      </c>
      <c r="BN2704" s="2">
        <v>47.57</v>
      </c>
      <c r="BO2704" s="2">
        <v>47.57</v>
      </c>
      <c r="BP2704" s="2"/>
      <c r="BQ2704" s="2" t="s">
        <v>2984</v>
      </c>
      <c r="BR2704" s="2" t="s">
        <v>84</v>
      </c>
      <c r="BS2704" s="3">
        <v>42846</v>
      </c>
      <c r="BT2704" s="4">
        <v>0.37847222222222227</v>
      </c>
      <c r="BU2704" s="2" t="s">
        <v>385</v>
      </c>
      <c r="BV2704" s="2" t="s">
        <v>111</v>
      </c>
      <c r="BW2704" s="2"/>
      <c r="BX2704" s="2"/>
      <c r="BY2704" s="2">
        <v>6326.33</v>
      </c>
      <c r="BZ2704" s="2"/>
      <c r="CA2704" s="2"/>
      <c r="CB2704" s="2"/>
      <c r="CC2704" s="2" t="s">
        <v>100</v>
      </c>
      <c r="CD2704" s="2">
        <v>6001</v>
      </c>
      <c r="CE2704" s="2" t="s">
        <v>118</v>
      </c>
      <c r="CF2704" s="5">
        <v>42849</v>
      </c>
      <c r="CG2704" s="2"/>
      <c r="CH2704" s="2"/>
      <c r="CI2704" s="2">
        <v>1</v>
      </c>
      <c r="CJ2704" s="2">
        <v>1</v>
      </c>
      <c r="CK2704" s="2">
        <v>21</v>
      </c>
      <c r="CL2704" s="2" t="s">
        <v>86</v>
      </c>
      <c r="CM2704" s="2"/>
    </row>
    <row r="2705" spans="1:91">
      <c r="A2705" s="2" t="s">
        <v>71</v>
      </c>
      <c r="B2705" s="2" t="s">
        <v>72</v>
      </c>
      <c r="C2705" s="2" t="s">
        <v>73</v>
      </c>
      <c r="D2705" s="2"/>
      <c r="E2705" s="2" t="str">
        <f>"FES1162544624"</f>
        <v>FES1162544624</v>
      </c>
      <c r="F2705" s="3">
        <v>42845</v>
      </c>
      <c r="G2705" s="2">
        <v>201710</v>
      </c>
      <c r="H2705" s="2" t="s">
        <v>74</v>
      </c>
      <c r="I2705" s="2" t="s">
        <v>75</v>
      </c>
      <c r="J2705" s="2" t="s">
        <v>76</v>
      </c>
      <c r="K2705" s="2" t="s">
        <v>77</v>
      </c>
      <c r="L2705" s="2" t="s">
        <v>176</v>
      </c>
      <c r="M2705" s="2" t="s">
        <v>176</v>
      </c>
      <c r="N2705" s="2" t="s">
        <v>177</v>
      </c>
      <c r="O2705" s="2" t="s">
        <v>115</v>
      </c>
      <c r="P2705" s="2" t="str">
        <f>"2170563176                    "</f>
        <v xml:space="preserve">2170563176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4.29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1</v>
      </c>
      <c r="BJ2705" s="2">
        <v>0.2</v>
      </c>
      <c r="BK2705" s="2">
        <v>1</v>
      </c>
      <c r="BL2705" s="2">
        <v>41.73</v>
      </c>
      <c r="BM2705" s="2">
        <v>5.84</v>
      </c>
      <c r="BN2705" s="2">
        <v>47.57</v>
      </c>
      <c r="BO2705" s="2">
        <v>47.57</v>
      </c>
      <c r="BP2705" s="2"/>
      <c r="BQ2705" s="2" t="s">
        <v>178</v>
      </c>
      <c r="BR2705" s="2" t="s">
        <v>84</v>
      </c>
      <c r="BS2705" s="3">
        <v>42846</v>
      </c>
      <c r="BT2705" s="4">
        <v>0.52083333333333337</v>
      </c>
      <c r="BU2705" s="2" t="s">
        <v>2963</v>
      </c>
      <c r="BV2705" s="2" t="s">
        <v>111</v>
      </c>
      <c r="BW2705" s="2"/>
      <c r="BX2705" s="2"/>
      <c r="BY2705" s="2">
        <v>1200</v>
      </c>
      <c r="BZ2705" s="2"/>
      <c r="CA2705" s="2"/>
      <c r="CB2705" s="2"/>
      <c r="CC2705" s="2" t="s">
        <v>176</v>
      </c>
      <c r="CD2705" s="2">
        <v>7646</v>
      </c>
      <c r="CE2705" s="2" t="s">
        <v>118</v>
      </c>
      <c r="CF2705" s="5">
        <v>42849</v>
      </c>
      <c r="CG2705" s="2"/>
      <c r="CH2705" s="2"/>
      <c r="CI2705" s="2">
        <v>1</v>
      </c>
      <c r="CJ2705" s="2">
        <v>1</v>
      </c>
      <c r="CK2705" s="2">
        <v>21</v>
      </c>
      <c r="CL2705" s="2" t="s">
        <v>86</v>
      </c>
      <c r="CM2705" s="2"/>
    </row>
    <row r="2706" spans="1:91">
      <c r="A2706" s="2" t="s">
        <v>71</v>
      </c>
      <c r="B2706" s="2" t="s">
        <v>72</v>
      </c>
      <c r="C2706" s="2" t="s">
        <v>73</v>
      </c>
      <c r="D2706" s="2"/>
      <c r="E2706" s="2" t="str">
        <f>"FES1162544580"</f>
        <v>FES1162544580</v>
      </c>
      <c r="F2706" s="3">
        <v>42845</v>
      </c>
      <c r="G2706" s="2">
        <v>201710</v>
      </c>
      <c r="H2706" s="2" t="s">
        <v>74</v>
      </c>
      <c r="I2706" s="2" t="s">
        <v>75</v>
      </c>
      <c r="J2706" s="2" t="s">
        <v>76</v>
      </c>
      <c r="K2706" s="2" t="s">
        <v>77</v>
      </c>
      <c r="L2706" s="2" t="s">
        <v>160</v>
      </c>
      <c r="M2706" s="2" t="s">
        <v>161</v>
      </c>
      <c r="N2706" s="2" t="s">
        <v>2985</v>
      </c>
      <c r="O2706" s="2" t="s">
        <v>115</v>
      </c>
      <c r="P2706" s="2" t="str">
        <f>"2170563103                    "</f>
        <v xml:space="preserve">2170563103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4.29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0.6</v>
      </c>
      <c r="BJ2706" s="2">
        <v>1.4</v>
      </c>
      <c r="BK2706" s="2">
        <v>1.5</v>
      </c>
      <c r="BL2706" s="2">
        <v>41.73</v>
      </c>
      <c r="BM2706" s="2">
        <v>5.84</v>
      </c>
      <c r="BN2706" s="2">
        <v>47.57</v>
      </c>
      <c r="BO2706" s="2">
        <v>47.57</v>
      </c>
      <c r="BP2706" s="2"/>
      <c r="BQ2706" s="2"/>
      <c r="BR2706" s="2" t="s">
        <v>84</v>
      </c>
      <c r="BS2706" s="3">
        <v>42846</v>
      </c>
      <c r="BT2706" s="4">
        <v>0.45833333333333331</v>
      </c>
      <c r="BU2706" s="2" t="s">
        <v>2986</v>
      </c>
      <c r="BV2706" s="2" t="s">
        <v>86</v>
      </c>
      <c r="BW2706" s="2" t="s">
        <v>157</v>
      </c>
      <c r="BX2706" s="2" t="s">
        <v>251</v>
      </c>
      <c r="BY2706" s="2">
        <v>6986.01</v>
      </c>
      <c r="BZ2706" s="2"/>
      <c r="CA2706" s="2"/>
      <c r="CB2706" s="2"/>
      <c r="CC2706" s="2" t="s">
        <v>161</v>
      </c>
      <c r="CD2706" s="2">
        <v>5201</v>
      </c>
      <c r="CE2706" s="2" t="s">
        <v>118</v>
      </c>
      <c r="CF2706" s="5">
        <v>42849</v>
      </c>
      <c r="CG2706" s="2"/>
      <c r="CH2706" s="2"/>
      <c r="CI2706" s="2">
        <v>1</v>
      </c>
      <c r="CJ2706" s="2">
        <v>1</v>
      </c>
      <c r="CK2706" s="2">
        <v>21</v>
      </c>
      <c r="CL2706" s="2" t="s">
        <v>86</v>
      </c>
      <c r="CM2706" s="2"/>
    </row>
    <row r="2707" spans="1:91">
      <c r="A2707" s="2" t="s">
        <v>71</v>
      </c>
      <c r="B2707" s="2" t="s">
        <v>72</v>
      </c>
      <c r="C2707" s="2" t="s">
        <v>73</v>
      </c>
      <c r="D2707" s="2"/>
      <c r="E2707" s="2" t="str">
        <f>"FES1162545434"</f>
        <v>FES1162545434</v>
      </c>
      <c r="F2707" s="3">
        <v>42850</v>
      </c>
      <c r="G2707" s="2">
        <v>201710</v>
      </c>
      <c r="H2707" s="2" t="s">
        <v>74</v>
      </c>
      <c r="I2707" s="2" t="s">
        <v>75</v>
      </c>
      <c r="J2707" s="2" t="s">
        <v>76</v>
      </c>
      <c r="K2707" s="2" t="s">
        <v>77</v>
      </c>
      <c r="L2707" s="2" t="s">
        <v>131</v>
      </c>
      <c r="M2707" s="2" t="s">
        <v>132</v>
      </c>
      <c r="N2707" s="2" t="s">
        <v>744</v>
      </c>
      <c r="O2707" s="2" t="s">
        <v>115</v>
      </c>
      <c r="P2707" s="2" t="str">
        <f>"2170563933                    "</f>
        <v xml:space="preserve">2170563933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4.29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1</v>
      </c>
      <c r="BJ2707" s="2">
        <v>0.2</v>
      </c>
      <c r="BK2707" s="2">
        <v>1</v>
      </c>
      <c r="BL2707" s="2">
        <v>41.73</v>
      </c>
      <c r="BM2707" s="2">
        <v>5.84</v>
      </c>
      <c r="BN2707" s="2">
        <v>47.57</v>
      </c>
      <c r="BO2707" s="2">
        <v>47.57</v>
      </c>
      <c r="BP2707" s="2"/>
      <c r="BQ2707" s="2" t="s">
        <v>138</v>
      </c>
      <c r="BR2707" s="2" t="s">
        <v>84</v>
      </c>
      <c r="BS2707" s="3">
        <v>42851</v>
      </c>
      <c r="BT2707" s="4">
        <v>0.41666666666666669</v>
      </c>
      <c r="BU2707" s="2" t="s">
        <v>2987</v>
      </c>
      <c r="BV2707" s="2" t="s">
        <v>111</v>
      </c>
      <c r="BW2707" s="2"/>
      <c r="BX2707" s="2"/>
      <c r="BY2707" s="2">
        <v>1200</v>
      </c>
      <c r="BZ2707" s="2"/>
      <c r="CA2707" s="2" t="s">
        <v>159</v>
      </c>
      <c r="CB2707" s="2"/>
      <c r="CC2707" s="2" t="s">
        <v>132</v>
      </c>
      <c r="CD2707" s="2">
        <v>7405</v>
      </c>
      <c r="CE2707" s="2" t="s">
        <v>118</v>
      </c>
      <c r="CF2707" s="5">
        <v>42853</v>
      </c>
      <c r="CG2707" s="2"/>
      <c r="CH2707" s="2"/>
      <c r="CI2707" s="2">
        <v>1</v>
      </c>
      <c r="CJ2707" s="2">
        <v>1</v>
      </c>
      <c r="CK2707" s="2">
        <v>21</v>
      </c>
      <c r="CL2707" s="2" t="s">
        <v>86</v>
      </c>
      <c r="CM2707" s="2"/>
    </row>
    <row r="2708" spans="1:91">
      <c r="A2708" s="2" t="s">
        <v>71</v>
      </c>
      <c r="B2708" s="2" t="s">
        <v>72</v>
      </c>
      <c r="C2708" s="2" t="s">
        <v>73</v>
      </c>
      <c r="D2708" s="2"/>
      <c r="E2708" s="2" t="str">
        <f>"FES1162545026"</f>
        <v>FES1162545026</v>
      </c>
      <c r="F2708" s="3">
        <v>42849</v>
      </c>
      <c r="G2708" s="2">
        <v>201710</v>
      </c>
      <c r="H2708" s="2" t="s">
        <v>74</v>
      </c>
      <c r="I2708" s="2" t="s">
        <v>75</v>
      </c>
      <c r="J2708" s="2" t="s">
        <v>76</v>
      </c>
      <c r="K2708" s="2" t="s">
        <v>77</v>
      </c>
      <c r="L2708" s="2" t="s">
        <v>74</v>
      </c>
      <c r="M2708" s="2" t="s">
        <v>75</v>
      </c>
      <c r="N2708" s="2" t="s">
        <v>2988</v>
      </c>
      <c r="O2708" s="2" t="s">
        <v>115</v>
      </c>
      <c r="P2708" s="2" t="str">
        <f>"2170563541                    "</f>
        <v xml:space="preserve">2170563541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3.35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1</v>
      </c>
      <c r="BJ2708" s="2">
        <v>0.2</v>
      </c>
      <c r="BK2708" s="2">
        <v>1</v>
      </c>
      <c r="BL2708" s="2">
        <v>32.6</v>
      </c>
      <c r="BM2708" s="2">
        <v>4.5599999999999996</v>
      </c>
      <c r="BN2708" s="2">
        <v>37.159999999999997</v>
      </c>
      <c r="BO2708" s="2">
        <v>37.159999999999997</v>
      </c>
      <c r="BP2708" s="2"/>
      <c r="BQ2708" s="2" t="s">
        <v>122</v>
      </c>
      <c r="BR2708" s="2" t="s">
        <v>84</v>
      </c>
      <c r="BS2708" s="3">
        <v>42850</v>
      </c>
      <c r="BT2708" s="4">
        <v>0.34722222222222227</v>
      </c>
      <c r="BU2708" s="2" t="s">
        <v>2989</v>
      </c>
      <c r="BV2708" s="2" t="s">
        <v>111</v>
      </c>
      <c r="BW2708" s="2"/>
      <c r="BX2708" s="2"/>
      <c r="BY2708" s="2">
        <v>1200</v>
      </c>
      <c r="BZ2708" s="2"/>
      <c r="CA2708" s="2"/>
      <c r="CB2708" s="2"/>
      <c r="CC2708" s="2" t="s">
        <v>75</v>
      </c>
      <c r="CD2708" s="2">
        <v>1601</v>
      </c>
      <c r="CE2708" s="2" t="s">
        <v>118</v>
      </c>
      <c r="CF2708" s="5">
        <v>42851</v>
      </c>
      <c r="CG2708" s="2"/>
      <c r="CH2708" s="2"/>
      <c r="CI2708" s="2">
        <v>1</v>
      </c>
      <c r="CJ2708" s="2">
        <v>1</v>
      </c>
      <c r="CK2708" s="2">
        <v>22</v>
      </c>
      <c r="CL2708" s="2" t="s">
        <v>86</v>
      </c>
      <c r="CM2708" s="2"/>
    </row>
    <row r="2709" spans="1:91">
      <c r="A2709" s="2" t="s">
        <v>71</v>
      </c>
      <c r="B2709" s="2" t="s">
        <v>72</v>
      </c>
      <c r="C2709" s="2" t="s">
        <v>73</v>
      </c>
      <c r="D2709" s="2"/>
      <c r="E2709" s="2" t="str">
        <f>"FES1162544901"</f>
        <v>FES1162544901</v>
      </c>
      <c r="F2709" s="3">
        <v>42846</v>
      </c>
      <c r="G2709" s="2">
        <v>201710</v>
      </c>
      <c r="H2709" s="2" t="s">
        <v>74</v>
      </c>
      <c r="I2709" s="2" t="s">
        <v>75</v>
      </c>
      <c r="J2709" s="2" t="s">
        <v>76</v>
      </c>
      <c r="K2709" s="2" t="s">
        <v>77</v>
      </c>
      <c r="L2709" s="2" t="s">
        <v>131</v>
      </c>
      <c r="M2709" s="2" t="s">
        <v>132</v>
      </c>
      <c r="N2709" s="2" t="s">
        <v>649</v>
      </c>
      <c r="O2709" s="2" t="s">
        <v>115</v>
      </c>
      <c r="P2709" s="2" t="str">
        <f>"2170561106                    "</f>
        <v xml:space="preserve">2170561106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4.29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1</v>
      </c>
      <c r="BJ2709" s="2">
        <v>0.2</v>
      </c>
      <c r="BK2709" s="2">
        <v>1</v>
      </c>
      <c r="BL2709" s="2">
        <v>41.73</v>
      </c>
      <c r="BM2709" s="2">
        <v>5.84</v>
      </c>
      <c r="BN2709" s="2">
        <v>47.57</v>
      </c>
      <c r="BO2709" s="2">
        <v>47.57</v>
      </c>
      <c r="BP2709" s="2"/>
      <c r="BQ2709" s="2" t="s">
        <v>650</v>
      </c>
      <c r="BR2709" s="2" t="s">
        <v>84</v>
      </c>
      <c r="BS2709" s="3">
        <v>42849</v>
      </c>
      <c r="BT2709" s="4">
        <v>0.41666666666666669</v>
      </c>
      <c r="BU2709" s="2" t="s">
        <v>130</v>
      </c>
      <c r="BV2709" s="2" t="s">
        <v>111</v>
      </c>
      <c r="BW2709" s="2"/>
      <c r="BX2709" s="2"/>
      <c r="BY2709" s="2">
        <v>1200</v>
      </c>
      <c r="BZ2709" s="2" t="s">
        <v>27</v>
      </c>
      <c r="CA2709" s="2"/>
      <c r="CB2709" s="2"/>
      <c r="CC2709" s="2" t="s">
        <v>132</v>
      </c>
      <c r="CD2709" s="2">
        <v>7405</v>
      </c>
      <c r="CE2709" s="2" t="s">
        <v>118</v>
      </c>
      <c r="CF2709" s="5">
        <v>42850</v>
      </c>
      <c r="CG2709" s="2"/>
      <c r="CH2709" s="2"/>
      <c r="CI2709" s="2">
        <v>1</v>
      </c>
      <c r="CJ2709" s="2">
        <v>1</v>
      </c>
      <c r="CK2709" s="2">
        <v>21</v>
      </c>
      <c r="CL2709" s="2" t="s">
        <v>86</v>
      </c>
      <c r="CM2709" s="2"/>
    </row>
    <row r="2710" spans="1:91">
      <c r="A2710" s="2" t="s">
        <v>71</v>
      </c>
      <c r="B2710" s="2" t="s">
        <v>72</v>
      </c>
      <c r="C2710" s="2" t="s">
        <v>73</v>
      </c>
      <c r="D2710" s="2"/>
      <c r="E2710" s="2" t="str">
        <f>"FES1162544968"</f>
        <v>FES1162544968</v>
      </c>
      <c r="F2710" s="3">
        <v>42846</v>
      </c>
      <c r="G2710" s="2">
        <v>201710</v>
      </c>
      <c r="H2710" s="2" t="s">
        <v>74</v>
      </c>
      <c r="I2710" s="2" t="s">
        <v>75</v>
      </c>
      <c r="J2710" s="2" t="s">
        <v>76</v>
      </c>
      <c r="K2710" s="2" t="s">
        <v>77</v>
      </c>
      <c r="L2710" s="2" t="s">
        <v>166</v>
      </c>
      <c r="M2710" s="2" t="s">
        <v>167</v>
      </c>
      <c r="N2710" s="2" t="s">
        <v>892</v>
      </c>
      <c r="O2710" s="2" t="s">
        <v>115</v>
      </c>
      <c r="P2710" s="2" t="str">
        <f>"2170563071                    "</f>
        <v xml:space="preserve">2170563071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3.35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1</v>
      </c>
      <c r="BJ2710" s="2">
        <v>0.2</v>
      </c>
      <c r="BK2710" s="2">
        <v>1</v>
      </c>
      <c r="BL2710" s="2">
        <v>32.6</v>
      </c>
      <c r="BM2710" s="2">
        <v>4.5599999999999996</v>
      </c>
      <c r="BN2710" s="2">
        <v>37.159999999999997</v>
      </c>
      <c r="BO2710" s="2">
        <v>37.159999999999997</v>
      </c>
      <c r="BP2710" s="2"/>
      <c r="BQ2710" s="2" t="s">
        <v>893</v>
      </c>
      <c r="BR2710" s="2" t="s">
        <v>84</v>
      </c>
      <c r="BS2710" s="3">
        <v>42849</v>
      </c>
      <c r="BT2710" s="4">
        <v>0.41666666666666669</v>
      </c>
      <c r="BU2710" s="2" t="s">
        <v>1159</v>
      </c>
      <c r="BV2710" s="2" t="s">
        <v>111</v>
      </c>
      <c r="BW2710" s="2"/>
      <c r="BX2710" s="2"/>
      <c r="BY2710" s="2">
        <v>1200</v>
      </c>
      <c r="BZ2710" s="2"/>
      <c r="CA2710" s="2" t="s">
        <v>159</v>
      </c>
      <c r="CB2710" s="2"/>
      <c r="CC2710" s="2" t="s">
        <v>167</v>
      </c>
      <c r="CD2710" s="2">
        <v>2013</v>
      </c>
      <c r="CE2710" s="2" t="s">
        <v>118</v>
      </c>
      <c r="CF2710" s="5">
        <v>42850</v>
      </c>
      <c r="CG2710" s="2"/>
      <c r="CH2710" s="2"/>
      <c r="CI2710" s="2">
        <v>1</v>
      </c>
      <c r="CJ2710" s="2">
        <v>1</v>
      </c>
      <c r="CK2710" s="2">
        <v>22</v>
      </c>
      <c r="CL2710" s="2" t="s">
        <v>86</v>
      </c>
      <c r="CM2710" s="2"/>
    </row>
    <row r="2711" spans="1:91">
      <c r="A2711" s="2" t="s">
        <v>71</v>
      </c>
      <c r="B2711" s="2" t="s">
        <v>72</v>
      </c>
      <c r="C2711" s="2" t="s">
        <v>73</v>
      </c>
      <c r="D2711" s="2"/>
      <c r="E2711" s="2" t="str">
        <f>"FES1162544991"</f>
        <v>FES1162544991</v>
      </c>
      <c r="F2711" s="3">
        <v>42846</v>
      </c>
      <c r="G2711" s="2">
        <v>201710</v>
      </c>
      <c r="H2711" s="2" t="s">
        <v>74</v>
      </c>
      <c r="I2711" s="2" t="s">
        <v>75</v>
      </c>
      <c r="J2711" s="2" t="s">
        <v>76</v>
      </c>
      <c r="K2711" s="2" t="s">
        <v>77</v>
      </c>
      <c r="L2711" s="2" t="s">
        <v>651</v>
      </c>
      <c r="M2711" s="2" t="s">
        <v>652</v>
      </c>
      <c r="N2711" s="2" t="s">
        <v>283</v>
      </c>
      <c r="O2711" s="2" t="s">
        <v>115</v>
      </c>
      <c r="P2711" s="2" t="str">
        <f>"2170563483                    "</f>
        <v xml:space="preserve">2170563483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4.29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1</v>
      </c>
      <c r="BJ2711" s="2">
        <v>0.2</v>
      </c>
      <c r="BK2711" s="2">
        <v>1</v>
      </c>
      <c r="BL2711" s="2">
        <v>41.73</v>
      </c>
      <c r="BM2711" s="2">
        <v>5.84</v>
      </c>
      <c r="BN2711" s="2">
        <v>47.57</v>
      </c>
      <c r="BO2711" s="2">
        <v>47.57</v>
      </c>
      <c r="BP2711" s="2"/>
      <c r="BQ2711" s="2" t="s">
        <v>653</v>
      </c>
      <c r="BR2711" s="2" t="s">
        <v>84</v>
      </c>
      <c r="BS2711" s="3">
        <v>42849</v>
      </c>
      <c r="BT2711" s="4">
        <v>0.34652777777777777</v>
      </c>
      <c r="BU2711" s="2" t="s">
        <v>1308</v>
      </c>
      <c r="BV2711" s="2" t="s">
        <v>111</v>
      </c>
      <c r="BW2711" s="2"/>
      <c r="BX2711" s="2"/>
      <c r="BY2711" s="2">
        <v>1200</v>
      </c>
      <c r="BZ2711" s="2" t="s">
        <v>27</v>
      </c>
      <c r="CA2711" s="2"/>
      <c r="CB2711" s="2"/>
      <c r="CC2711" s="2" t="s">
        <v>652</v>
      </c>
      <c r="CD2711" s="2">
        <v>9300</v>
      </c>
      <c r="CE2711" s="2" t="s">
        <v>118</v>
      </c>
      <c r="CF2711" s="5">
        <v>42850</v>
      </c>
      <c r="CG2711" s="2"/>
      <c r="CH2711" s="2"/>
      <c r="CI2711" s="2">
        <v>1</v>
      </c>
      <c r="CJ2711" s="2">
        <v>1</v>
      </c>
      <c r="CK2711" s="2">
        <v>21</v>
      </c>
      <c r="CL2711" s="2" t="s">
        <v>86</v>
      </c>
      <c r="CM2711" s="2"/>
    </row>
    <row r="2712" spans="1:91">
      <c r="A2712" s="2" t="s">
        <v>71</v>
      </c>
      <c r="B2712" s="2" t="s">
        <v>72</v>
      </c>
      <c r="C2712" s="2" t="s">
        <v>73</v>
      </c>
      <c r="D2712" s="2"/>
      <c r="E2712" s="2" t="str">
        <f>"FES1162545004"</f>
        <v>FES1162545004</v>
      </c>
      <c r="F2712" s="3">
        <v>42846</v>
      </c>
      <c r="G2712" s="2">
        <v>201710</v>
      </c>
      <c r="H2712" s="2" t="s">
        <v>74</v>
      </c>
      <c r="I2712" s="2" t="s">
        <v>75</v>
      </c>
      <c r="J2712" s="2" t="s">
        <v>76</v>
      </c>
      <c r="K2712" s="2" t="s">
        <v>77</v>
      </c>
      <c r="L2712" s="2" t="s">
        <v>934</v>
      </c>
      <c r="M2712" s="2" t="s">
        <v>935</v>
      </c>
      <c r="N2712" s="2" t="s">
        <v>2990</v>
      </c>
      <c r="O2712" s="2" t="s">
        <v>115</v>
      </c>
      <c r="P2712" s="2" t="str">
        <f>"217053500                     "</f>
        <v xml:space="preserve">217053500 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4.29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1</v>
      </c>
      <c r="BJ2712" s="2">
        <v>0.2</v>
      </c>
      <c r="BK2712" s="2">
        <v>1</v>
      </c>
      <c r="BL2712" s="2">
        <v>41.73</v>
      </c>
      <c r="BM2712" s="2">
        <v>5.84</v>
      </c>
      <c r="BN2712" s="2">
        <v>47.57</v>
      </c>
      <c r="BO2712" s="2">
        <v>47.57</v>
      </c>
      <c r="BP2712" s="2"/>
      <c r="BQ2712" s="2" t="s">
        <v>83</v>
      </c>
      <c r="BR2712" s="2" t="s">
        <v>84</v>
      </c>
      <c r="BS2712" s="3">
        <v>42849</v>
      </c>
      <c r="BT2712" s="4">
        <v>0.5</v>
      </c>
      <c r="BU2712" s="2" t="s">
        <v>2991</v>
      </c>
      <c r="BV2712" s="2" t="s">
        <v>86</v>
      </c>
      <c r="BW2712" s="2"/>
      <c r="BX2712" s="2"/>
      <c r="BY2712" s="2">
        <v>1200</v>
      </c>
      <c r="BZ2712" s="2"/>
      <c r="CA2712" s="2"/>
      <c r="CB2712" s="2"/>
      <c r="CC2712" s="2" t="s">
        <v>935</v>
      </c>
      <c r="CD2712" s="2">
        <v>1929</v>
      </c>
      <c r="CE2712" s="2" t="s">
        <v>118</v>
      </c>
      <c r="CF2712" s="5">
        <v>42850</v>
      </c>
      <c r="CG2712" s="2"/>
      <c r="CH2712" s="2"/>
      <c r="CI2712" s="2">
        <v>1</v>
      </c>
      <c r="CJ2712" s="2">
        <v>1</v>
      </c>
      <c r="CK2712" s="2">
        <v>21</v>
      </c>
      <c r="CL2712" s="2" t="s">
        <v>86</v>
      </c>
      <c r="CM2712" s="2"/>
    </row>
    <row r="2713" spans="1:91">
      <c r="A2713" s="2" t="s">
        <v>71</v>
      </c>
      <c r="B2713" s="2" t="s">
        <v>72</v>
      </c>
      <c r="C2713" s="2" t="s">
        <v>73</v>
      </c>
      <c r="D2713" s="2"/>
      <c r="E2713" s="2" t="str">
        <f>"FES1162544302"</f>
        <v>FES1162544302</v>
      </c>
      <c r="F2713" s="3">
        <v>42846</v>
      </c>
      <c r="G2713" s="2">
        <v>201710</v>
      </c>
      <c r="H2713" s="2" t="s">
        <v>74</v>
      </c>
      <c r="I2713" s="2" t="s">
        <v>75</v>
      </c>
      <c r="J2713" s="2" t="s">
        <v>76</v>
      </c>
      <c r="K2713" s="2" t="s">
        <v>77</v>
      </c>
      <c r="L2713" s="2" t="s">
        <v>112</v>
      </c>
      <c r="M2713" s="2" t="s">
        <v>113</v>
      </c>
      <c r="N2713" s="2" t="s">
        <v>208</v>
      </c>
      <c r="O2713" s="2" t="s">
        <v>81</v>
      </c>
      <c r="P2713" s="2" t="str">
        <f>"2170562586                    "</f>
        <v xml:space="preserve">2170562586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12.54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26</v>
      </c>
      <c r="BJ2713" s="2">
        <v>18.899999999999999</v>
      </c>
      <c r="BK2713" s="2">
        <v>26</v>
      </c>
      <c r="BL2713" s="2">
        <v>127.03</v>
      </c>
      <c r="BM2713" s="2">
        <v>17.78</v>
      </c>
      <c r="BN2713" s="2">
        <v>144.81</v>
      </c>
      <c r="BO2713" s="2">
        <v>144.81</v>
      </c>
      <c r="BP2713" s="2"/>
      <c r="BQ2713" s="2" t="s">
        <v>122</v>
      </c>
      <c r="BR2713" s="2" t="s">
        <v>84</v>
      </c>
      <c r="BS2713" s="3">
        <v>42850</v>
      </c>
      <c r="BT2713" s="4">
        <v>0.54166666666666663</v>
      </c>
      <c r="BU2713" s="2" t="s">
        <v>2716</v>
      </c>
      <c r="BV2713" s="2" t="s">
        <v>86</v>
      </c>
      <c r="BW2713" s="2" t="s">
        <v>164</v>
      </c>
      <c r="BX2713" s="2" t="s">
        <v>2283</v>
      </c>
      <c r="BY2713" s="2">
        <v>94656</v>
      </c>
      <c r="BZ2713" s="2"/>
      <c r="CA2713" s="2"/>
      <c r="CB2713" s="2"/>
      <c r="CC2713" s="2" t="s">
        <v>113</v>
      </c>
      <c r="CD2713" s="2">
        <v>3201</v>
      </c>
      <c r="CE2713" s="2" t="s">
        <v>89</v>
      </c>
      <c r="CF2713" s="5">
        <v>42853</v>
      </c>
      <c r="CG2713" s="2"/>
      <c r="CH2713" s="2"/>
      <c r="CI2713" s="2">
        <v>0</v>
      </c>
      <c r="CJ2713" s="2">
        <v>0</v>
      </c>
      <c r="CK2713" s="2" t="s">
        <v>211</v>
      </c>
      <c r="CL2713" s="2" t="s">
        <v>86</v>
      </c>
      <c r="CM2713" s="2"/>
    </row>
    <row r="2714" spans="1:91">
      <c r="A2714" s="2" t="s">
        <v>71</v>
      </c>
      <c r="B2714" s="2" t="s">
        <v>72</v>
      </c>
      <c r="C2714" s="2" t="s">
        <v>73</v>
      </c>
      <c r="D2714" s="2"/>
      <c r="E2714" s="2" t="str">
        <f>"FES1162544637"</f>
        <v>FES1162544637</v>
      </c>
      <c r="F2714" s="3">
        <v>42846</v>
      </c>
      <c r="G2714" s="2">
        <v>201710</v>
      </c>
      <c r="H2714" s="2" t="s">
        <v>74</v>
      </c>
      <c r="I2714" s="2" t="s">
        <v>75</v>
      </c>
      <c r="J2714" s="2" t="s">
        <v>76</v>
      </c>
      <c r="K2714" s="2" t="s">
        <v>77</v>
      </c>
      <c r="L2714" s="2" t="s">
        <v>516</v>
      </c>
      <c r="M2714" s="2" t="s">
        <v>517</v>
      </c>
      <c r="N2714" s="2" t="s">
        <v>808</v>
      </c>
      <c r="O2714" s="2" t="s">
        <v>115</v>
      </c>
      <c r="P2714" s="2" t="str">
        <f>"2170563190                    "</f>
        <v xml:space="preserve">2170563190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3.35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1</v>
      </c>
      <c r="BJ2714" s="2">
        <v>0.2</v>
      </c>
      <c r="BK2714" s="2">
        <v>1</v>
      </c>
      <c r="BL2714" s="2">
        <v>32.6</v>
      </c>
      <c r="BM2714" s="2">
        <v>4.5599999999999996</v>
      </c>
      <c r="BN2714" s="2">
        <v>37.159999999999997</v>
      </c>
      <c r="BO2714" s="2">
        <v>37.159999999999997</v>
      </c>
      <c r="BP2714" s="2"/>
      <c r="BQ2714" s="2" t="s">
        <v>809</v>
      </c>
      <c r="BR2714" s="2" t="s">
        <v>84</v>
      </c>
      <c r="BS2714" s="3">
        <v>42849</v>
      </c>
      <c r="BT2714" s="4">
        <v>0.44930555555555557</v>
      </c>
      <c r="BU2714" s="2" t="s">
        <v>2152</v>
      </c>
      <c r="BV2714" s="2" t="s">
        <v>111</v>
      </c>
      <c r="BW2714" s="2"/>
      <c r="BX2714" s="2"/>
      <c r="BY2714" s="2">
        <v>1200</v>
      </c>
      <c r="BZ2714" s="2" t="s">
        <v>27</v>
      </c>
      <c r="CA2714" s="2" t="s">
        <v>2639</v>
      </c>
      <c r="CB2714" s="2"/>
      <c r="CC2714" s="2" t="s">
        <v>517</v>
      </c>
      <c r="CD2714" s="2">
        <v>1459</v>
      </c>
      <c r="CE2714" s="2" t="s">
        <v>118</v>
      </c>
      <c r="CF2714" s="5">
        <v>42849</v>
      </c>
      <c r="CG2714" s="2"/>
      <c r="CH2714" s="2"/>
      <c r="CI2714" s="2">
        <v>1</v>
      </c>
      <c r="CJ2714" s="2">
        <v>1</v>
      </c>
      <c r="CK2714" s="2">
        <v>22</v>
      </c>
      <c r="CL2714" s="2" t="s">
        <v>86</v>
      </c>
      <c r="CM2714" s="2"/>
    </row>
    <row r="2715" spans="1:91">
      <c r="A2715" s="2" t="s">
        <v>71</v>
      </c>
      <c r="B2715" s="2" t="s">
        <v>72</v>
      </c>
      <c r="C2715" s="2" t="s">
        <v>73</v>
      </c>
      <c r="D2715" s="2"/>
      <c r="E2715" s="2" t="str">
        <f>"FES1162544459"</f>
        <v>FES1162544459</v>
      </c>
      <c r="F2715" s="3">
        <v>42846</v>
      </c>
      <c r="G2715" s="2">
        <v>201710</v>
      </c>
      <c r="H2715" s="2" t="s">
        <v>74</v>
      </c>
      <c r="I2715" s="2" t="s">
        <v>75</v>
      </c>
      <c r="J2715" s="2" t="s">
        <v>76</v>
      </c>
      <c r="K2715" s="2" t="s">
        <v>77</v>
      </c>
      <c r="L2715" s="2" t="s">
        <v>260</v>
      </c>
      <c r="M2715" s="2" t="s">
        <v>261</v>
      </c>
      <c r="N2715" s="2" t="s">
        <v>1371</v>
      </c>
      <c r="O2715" s="2" t="s">
        <v>115</v>
      </c>
      <c r="P2715" s="2" t="str">
        <f>"2170563062                    "</f>
        <v xml:space="preserve">2170563062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3.35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1</v>
      </c>
      <c r="BJ2715" s="2">
        <v>0.2</v>
      </c>
      <c r="BK2715" s="2">
        <v>1</v>
      </c>
      <c r="BL2715" s="2">
        <v>32.6</v>
      </c>
      <c r="BM2715" s="2">
        <v>4.5599999999999996</v>
      </c>
      <c r="BN2715" s="2">
        <v>37.159999999999997</v>
      </c>
      <c r="BO2715" s="2">
        <v>37.159999999999997</v>
      </c>
      <c r="BP2715" s="2"/>
      <c r="BQ2715" s="2" t="s">
        <v>1372</v>
      </c>
      <c r="BR2715" s="2" t="s">
        <v>84</v>
      </c>
      <c r="BS2715" s="3">
        <v>42849</v>
      </c>
      <c r="BT2715" s="4">
        <v>0.4291666666666667</v>
      </c>
      <c r="BU2715" s="2" t="s">
        <v>2992</v>
      </c>
      <c r="BV2715" s="2" t="s">
        <v>111</v>
      </c>
      <c r="BW2715" s="2"/>
      <c r="BX2715" s="2"/>
      <c r="BY2715" s="2">
        <v>1200</v>
      </c>
      <c r="BZ2715" s="2" t="s">
        <v>27</v>
      </c>
      <c r="CA2715" s="2" t="s">
        <v>2993</v>
      </c>
      <c r="CB2715" s="2"/>
      <c r="CC2715" s="2" t="s">
        <v>261</v>
      </c>
      <c r="CD2715" s="2">
        <v>1451</v>
      </c>
      <c r="CE2715" s="2" t="s">
        <v>118</v>
      </c>
      <c r="CF2715" s="5">
        <v>42849</v>
      </c>
      <c r="CG2715" s="2"/>
      <c r="CH2715" s="2"/>
      <c r="CI2715" s="2">
        <v>1</v>
      </c>
      <c r="CJ2715" s="2">
        <v>1</v>
      </c>
      <c r="CK2715" s="2">
        <v>22</v>
      </c>
      <c r="CL2715" s="2" t="s">
        <v>86</v>
      </c>
      <c r="CM2715" s="2"/>
    </row>
    <row r="2716" spans="1:91">
      <c r="A2716" s="2" t="s">
        <v>71</v>
      </c>
      <c r="B2716" s="2" t="s">
        <v>72</v>
      </c>
      <c r="C2716" s="2" t="s">
        <v>73</v>
      </c>
      <c r="D2716" s="2"/>
      <c r="E2716" s="2" t="str">
        <f>"FES1162545032"</f>
        <v>FES1162545032</v>
      </c>
      <c r="F2716" s="3">
        <v>42846</v>
      </c>
      <c r="G2716" s="2">
        <v>201710</v>
      </c>
      <c r="H2716" s="2" t="s">
        <v>74</v>
      </c>
      <c r="I2716" s="2" t="s">
        <v>75</v>
      </c>
      <c r="J2716" s="2" t="s">
        <v>76</v>
      </c>
      <c r="K2716" s="2" t="s">
        <v>77</v>
      </c>
      <c r="L2716" s="2" t="s">
        <v>294</v>
      </c>
      <c r="M2716" s="2" t="s">
        <v>295</v>
      </c>
      <c r="N2716" s="2" t="s">
        <v>728</v>
      </c>
      <c r="O2716" s="2" t="s">
        <v>115</v>
      </c>
      <c r="P2716" s="2" t="str">
        <f>"2170562190                    "</f>
        <v xml:space="preserve">2170562190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4.29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1</v>
      </c>
      <c r="BJ2716" s="2">
        <v>0.2</v>
      </c>
      <c r="BK2716" s="2">
        <v>1</v>
      </c>
      <c r="BL2716" s="2">
        <v>41.73</v>
      </c>
      <c r="BM2716" s="2">
        <v>5.84</v>
      </c>
      <c r="BN2716" s="2">
        <v>47.57</v>
      </c>
      <c r="BO2716" s="2">
        <v>47.57</v>
      </c>
      <c r="BP2716" s="2"/>
      <c r="BQ2716" s="2" t="s">
        <v>729</v>
      </c>
      <c r="BR2716" s="2" t="s">
        <v>84</v>
      </c>
      <c r="BS2716" s="3">
        <v>42849</v>
      </c>
      <c r="BT2716" s="4">
        <v>0.39583333333333331</v>
      </c>
      <c r="BU2716" s="2" t="s">
        <v>2994</v>
      </c>
      <c r="BV2716" s="2" t="s">
        <v>111</v>
      </c>
      <c r="BW2716" s="2"/>
      <c r="BX2716" s="2"/>
      <c r="BY2716" s="2">
        <v>1200</v>
      </c>
      <c r="BZ2716" s="2"/>
      <c r="CA2716" s="2"/>
      <c r="CB2716" s="2"/>
      <c r="CC2716" s="2" t="s">
        <v>295</v>
      </c>
      <c r="CD2716" s="2">
        <v>3610</v>
      </c>
      <c r="CE2716" s="2" t="s">
        <v>118</v>
      </c>
      <c r="CF2716" s="5">
        <v>42850</v>
      </c>
      <c r="CG2716" s="2"/>
      <c r="CH2716" s="2"/>
      <c r="CI2716" s="2">
        <v>1</v>
      </c>
      <c r="CJ2716" s="2">
        <v>1</v>
      </c>
      <c r="CK2716" s="2">
        <v>21</v>
      </c>
      <c r="CL2716" s="2" t="s">
        <v>86</v>
      </c>
      <c r="CM2716" s="2"/>
    </row>
    <row r="2717" spans="1:91">
      <c r="A2717" s="2" t="s">
        <v>71</v>
      </c>
      <c r="B2717" s="2" t="s">
        <v>72</v>
      </c>
      <c r="C2717" s="2" t="s">
        <v>73</v>
      </c>
      <c r="D2717" s="2"/>
      <c r="E2717" s="2" t="str">
        <f>"FES1162544706"</f>
        <v>FES1162544706</v>
      </c>
      <c r="F2717" s="3">
        <v>42846</v>
      </c>
      <c r="G2717" s="2">
        <v>201710</v>
      </c>
      <c r="H2717" s="2" t="s">
        <v>74</v>
      </c>
      <c r="I2717" s="2" t="s">
        <v>75</v>
      </c>
      <c r="J2717" s="2" t="s">
        <v>76</v>
      </c>
      <c r="K2717" s="2" t="s">
        <v>77</v>
      </c>
      <c r="L2717" s="2" t="s">
        <v>74</v>
      </c>
      <c r="M2717" s="2" t="s">
        <v>75</v>
      </c>
      <c r="N2717" s="2" t="s">
        <v>2995</v>
      </c>
      <c r="O2717" s="2" t="s">
        <v>115</v>
      </c>
      <c r="P2717" s="2" t="str">
        <f>"2170563248                    "</f>
        <v xml:space="preserve">2170563248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3.35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1</v>
      </c>
      <c r="BJ2717" s="2">
        <v>0.2</v>
      </c>
      <c r="BK2717" s="2">
        <v>1</v>
      </c>
      <c r="BL2717" s="2">
        <v>32.6</v>
      </c>
      <c r="BM2717" s="2">
        <v>4.5599999999999996</v>
      </c>
      <c r="BN2717" s="2">
        <v>37.159999999999997</v>
      </c>
      <c r="BO2717" s="2">
        <v>37.159999999999997</v>
      </c>
      <c r="BP2717" s="2"/>
      <c r="BQ2717" s="2" t="s">
        <v>2996</v>
      </c>
      <c r="BR2717" s="2" t="s">
        <v>84</v>
      </c>
      <c r="BS2717" s="3">
        <v>42849</v>
      </c>
      <c r="BT2717" s="4">
        <v>0.31597222222222221</v>
      </c>
      <c r="BU2717" s="2" t="s">
        <v>2514</v>
      </c>
      <c r="BV2717" s="2" t="s">
        <v>111</v>
      </c>
      <c r="BW2717" s="2"/>
      <c r="BX2717" s="2"/>
      <c r="BY2717" s="2">
        <v>1200</v>
      </c>
      <c r="BZ2717" s="2" t="s">
        <v>27</v>
      </c>
      <c r="CA2717" s="2" t="s">
        <v>2997</v>
      </c>
      <c r="CB2717" s="2"/>
      <c r="CC2717" s="2" t="s">
        <v>75</v>
      </c>
      <c r="CD2717" s="2">
        <v>1601</v>
      </c>
      <c r="CE2717" s="2" t="s">
        <v>118</v>
      </c>
      <c r="CF2717" s="5">
        <v>42849</v>
      </c>
      <c r="CG2717" s="2"/>
      <c r="CH2717" s="2"/>
      <c r="CI2717" s="2">
        <v>1</v>
      </c>
      <c r="CJ2717" s="2">
        <v>1</v>
      </c>
      <c r="CK2717" s="2">
        <v>22</v>
      </c>
      <c r="CL2717" s="2" t="s">
        <v>86</v>
      </c>
      <c r="CM2717" s="2"/>
    </row>
    <row r="2718" spans="1:91">
      <c r="A2718" s="2" t="s">
        <v>71</v>
      </c>
      <c r="B2718" s="2" t="s">
        <v>72</v>
      </c>
      <c r="C2718" s="2" t="s">
        <v>73</v>
      </c>
      <c r="D2718" s="2"/>
      <c r="E2718" s="2" t="str">
        <f>"FES1162545037"</f>
        <v>FES1162545037</v>
      </c>
      <c r="F2718" s="3">
        <v>42846</v>
      </c>
      <c r="G2718" s="2">
        <v>201710</v>
      </c>
      <c r="H2718" s="2" t="s">
        <v>74</v>
      </c>
      <c r="I2718" s="2" t="s">
        <v>75</v>
      </c>
      <c r="J2718" s="2" t="s">
        <v>76</v>
      </c>
      <c r="K2718" s="2" t="s">
        <v>77</v>
      </c>
      <c r="L2718" s="2" t="s">
        <v>131</v>
      </c>
      <c r="M2718" s="2" t="s">
        <v>132</v>
      </c>
      <c r="N2718" s="2" t="s">
        <v>2998</v>
      </c>
      <c r="O2718" s="2" t="s">
        <v>115</v>
      </c>
      <c r="P2718" s="2" t="str">
        <f>"2170563548                    "</f>
        <v xml:space="preserve">2170563548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4.29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1</v>
      </c>
      <c r="BJ2718" s="2">
        <v>0.2</v>
      </c>
      <c r="BK2718" s="2">
        <v>1</v>
      </c>
      <c r="BL2718" s="2">
        <v>41.73</v>
      </c>
      <c r="BM2718" s="2">
        <v>5.84</v>
      </c>
      <c r="BN2718" s="2">
        <v>47.57</v>
      </c>
      <c r="BO2718" s="2">
        <v>47.57</v>
      </c>
      <c r="BP2718" s="2"/>
      <c r="BQ2718" s="2"/>
      <c r="BR2718" s="2" t="s">
        <v>84</v>
      </c>
      <c r="BS2718" s="3">
        <v>42849</v>
      </c>
      <c r="BT2718" s="4">
        <v>0.41666666666666669</v>
      </c>
      <c r="BU2718" s="2" t="s">
        <v>1985</v>
      </c>
      <c r="BV2718" s="2" t="s">
        <v>111</v>
      </c>
      <c r="BW2718" s="2"/>
      <c r="BX2718" s="2"/>
      <c r="BY2718" s="2">
        <v>1200</v>
      </c>
      <c r="BZ2718" s="2"/>
      <c r="CA2718" s="2"/>
      <c r="CB2718" s="2"/>
      <c r="CC2718" s="2" t="s">
        <v>132</v>
      </c>
      <c r="CD2718" s="2">
        <v>7460</v>
      </c>
      <c r="CE2718" s="2" t="s">
        <v>118</v>
      </c>
      <c r="CF2718" s="5">
        <v>42850</v>
      </c>
      <c r="CG2718" s="2"/>
      <c r="CH2718" s="2"/>
      <c r="CI2718" s="2">
        <v>1</v>
      </c>
      <c r="CJ2718" s="2">
        <v>1</v>
      </c>
      <c r="CK2718" s="2">
        <v>21</v>
      </c>
      <c r="CL2718" s="2" t="s">
        <v>86</v>
      </c>
      <c r="CM2718" s="2"/>
    </row>
    <row r="2719" spans="1:91">
      <c r="A2719" s="2" t="s">
        <v>71</v>
      </c>
      <c r="B2719" s="2" t="s">
        <v>72</v>
      </c>
      <c r="C2719" s="2" t="s">
        <v>73</v>
      </c>
      <c r="D2719" s="2"/>
      <c r="E2719" s="2" t="str">
        <f>"FES1162544553"</f>
        <v>FES1162544553</v>
      </c>
      <c r="F2719" s="3">
        <v>42846</v>
      </c>
      <c r="G2719" s="2">
        <v>201710</v>
      </c>
      <c r="H2719" s="2" t="s">
        <v>74</v>
      </c>
      <c r="I2719" s="2" t="s">
        <v>75</v>
      </c>
      <c r="J2719" s="2" t="s">
        <v>76</v>
      </c>
      <c r="K2719" s="2" t="s">
        <v>77</v>
      </c>
      <c r="L2719" s="2" t="s">
        <v>166</v>
      </c>
      <c r="M2719" s="2" t="s">
        <v>167</v>
      </c>
      <c r="N2719" s="2" t="s">
        <v>168</v>
      </c>
      <c r="O2719" s="2" t="s">
        <v>115</v>
      </c>
      <c r="P2719" s="2" t="str">
        <f>"2170559847                    "</f>
        <v xml:space="preserve">2170559847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3.35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1</v>
      </c>
      <c r="BJ2719" s="2">
        <v>0.2</v>
      </c>
      <c r="BK2719" s="2">
        <v>1</v>
      </c>
      <c r="BL2719" s="2">
        <v>32.6</v>
      </c>
      <c r="BM2719" s="2">
        <v>4.5599999999999996</v>
      </c>
      <c r="BN2719" s="2">
        <v>37.159999999999997</v>
      </c>
      <c r="BO2719" s="2">
        <v>37.159999999999997</v>
      </c>
      <c r="BP2719" s="2"/>
      <c r="BQ2719" s="2" t="s">
        <v>169</v>
      </c>
      <c r="BR2719" s="2" t="s">
        <v>84</v>
      </c>
      <c r="BS2719" s="3">
        <v>42849</v>
      </c>
      <c r="BT2719" s="4">
        <v>0.35833333333333334</v>
      </c>
      <c r="BU2719" s="2" t="s">
        <v>1317</v>
      </c>
      <c r="BV2719" s="2" t="s">
        <v>111</v>
      </c>
      <c r="BW2719" s="2"/>
      <c r="BX2719" s="2"/>
      <c r="BY2719" s="2">
        <v>1200</v>
      </c>
      <c r="BZ2719" s="2" t="s">
        <v>27</v>
      </c>
      <c r="CA2719" s="2" t="s">
        <v>171</v>
      </c>
      <c r="CB2719" s="2"/>
      <c r="CC2719" s="2" t="s">
        <v>167</v>
      </c>
      <c r="CD2719" s="2">
        <v>2094</v>
      </c>
      <c r="CE2719" s="2" t="s">
        <v>118</v>
      </c>
      <c r="CF2719" s="5">
        <v>42849</v>
      </c>
      <c r="CG2719" s="2"/>
      <c r="CH2719" s="2"/>
      <c r="CI2719" s="2">
        <v>1</v>
      </c>
      <c r="CJ2719" s="2">
        <v>1</v>
      </c>
      <c r="CK2719" s="2">
        <v>22</v>
      </c>
      <c r="CL2719" s="2" t="s">
        <v>86</v>
      </c>
      <c r="CM2719" s="2"/>
    </row>
    <row r="2720" spans="1:91">
      <c r="A2720" s="2" t="s">
        <v>71</v>
      </c>
      <c r="B2720" s="2" t="s">
        <v>72</v>
      </c>
      <c r="C2720" s="2" t="s">
        <v>73</v>
      </c>
      <c r="D2720" s="2"/>
      <c r="E2720" s="2" t="str">
        <f>"FES1162544998"</f>
        <v>FES1162544998</v>
      </c>
      <c r="F2720" s="3">
        <v>42846</v>
      </c>
      <c r="G2720" s="2">
        <v>201710</v>
      </c>
      <c r="H2720" s="2" t="s">
        <v>74</v>
      </c>
      <c r="I2720" s="2" t="s">
        <v>75</v>
      </c>
      <c r="J2720" s="2" t="s">
        <v>76</v>
      </c>
      <c r="K2720" s="2" t="s">
        <v>77</v>
      </c>
      <c r="L2720" s="2" t="s">
        <v>139</v>
      </c>
      <c r="M2720" s="2" t="s">
        <v>140</v>
      </c>
      <c r="N2720" s="2" t="s">
        <v>530</v>
      </c>
      <c r="O2720" s="2" t="s">
        <v>115</v>
      </c>
      <c r="P2720" s="2" t="str">
        <f>"2170563488                    "</f>
        <v xml:space="preserve">2170563488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4.29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1</v>
      </c>
      <c r="BJ2720" s="2">
        <v>0.2</v>
      </c>
      <c r="BK2720" s="2">
        <v>1</v>
      </c>
      <c r="BL2720" s="2">
        <v>41.73</v>
      </c>
      <c r="BM2720" s="2">
        <v>5.84</v>
      </c>
      <c r="BN2720" s="2">
        <v>47.57</v>
      </c>
      <c r="BO2720" s="2">
        <v>47.57</v>
      </c>
      <c r="BP2720" s="2"/>
      <c r="BQ2720" s="2" t="s">
        <v>531</v>
      </c>
      <c r="BR2720" s="2" t="s">
        <v>84</v>
      </c>
      <c r="BS2720" s="3">
        <v>42849</v>
      </c>
      <c r="BT2720" s="4">
        <v>0.37083333333333335</v>
      </c>
      <c r="BU2720" s="2" t="s">
        <v>2999</v>
      </c>
      <c r="BV2720" s="2" t="s">
        <v>111</v>
      </c>
      <c r="BW2720" s="2"/>
      <c r="BX2720" s="2"/>
      <c r="BY2720" s="2">
        <v>1200</v>
      </c>
      <c r="BZ2720" s="2"/>
      <c r="CA2720" s="2"/>
      <c r="CB2720" s="2"/>
      <c r="CC2720" s="2" t="s">
        <v>140</v>
      </c>
      <c r="CD2720" s="2">
        <v>157</v>
      </c>
      <c r="CE2720" s="2" t="s">
        <v>118</v>
      </c>
      <c r="CF2720" s="5">
        <v>42851</v>
      </c>
      <c r="CG2720" s="2"/>
      <c r="CH2720" s="2"/>
      <c r="CI2720" s="2">
        <v>0</v>
      </c>
      <c r="CJ2720" s="2">
        <v>0</v>
      </c>
      <c r="CK2720" s="2">
        <v>21</v>
      </c>
      <c r="CL2720" s="2" t="s">
        <v>86</v>
      </c>
      <c r="CM2720" s="2"/>
    </row>
    <row r="2721" spans="1:91">
      <c r="A2721" s="2" t="s">
        <v>71</v>
      </c>
      <c r="B2721" s="2" t="s">
        <v>72</v>
      </c>
      <c r="C2721" s="2" t="s">
        <v>73</v>
      </c>
      <c r="D2721" s="2"/>
      <c r="E2721" s="2" t="str">
        <f>"FES1162544494"</f>
        <v>FES1162544494</v>
      </c>
      <c r="F2721" s="3">
        <v>42846</v>
      </c>
      <c r="G2721" s="2">
        <v>201710</v>
      </c>
      <c r="H2721" s="2" t="s">
        <v>74</v>
      </c>
      <c r="I2721" s="2" t="s">
        <v>75</v>
      </c>
      <c r="J2721" s="2" t="s">
        <v>76</v>
      </c>
      <c r="K2721" s="2" t="s">
        <v>77</v>
      </c>
      <c r="L2721" s="2" t="s">
        <v>74</v>
      </c>
      <c r="M2721" s="2" t="s">
        <v>75</v>
      </c>
      <c r="N2721" s="2" t="s">
        <v>488</v>
      </c>
      <c r="O2721" s="2" t="s">
        <v>115</v>
      </c>
      <c r="P2721" s="2" t="str">
        <f>"2170563087                    "</f>
        <v xml:space="preserve">2170563087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3.35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1</v>
      </c>
      <c r="BJ2721" s="2">
        <v>0.2</v>
      </c>
      <c r="BK2721" s="2">
        <v>1</v>
      </c>
      <c r="BL2721" s="2">
        <v>32.6</v>
      </c>
      <c r="BM2721" s="2">
        <v>4.5599999999999996</v>
      </c>
      <c r="BN2721" s="2">
        <v>37.159999999999997</v>
      </c>
      <c r="BO2721" s="2">
        <v>37.159999999999997</v>
      </c>
      <c r="BP2721" s="2"/>
      <c r="BQ2721" s="2" t="s">
        <v>489</v>
      </c>
      <c r="BR2721" s="2" t="s">
        <v>84</v>
      </c>
      <c r="BS2721" s="3">
        <v>42849</v>
      </c>
      <c r="BT2721" s="4">
        <v>0.41666666666666669</v>
      </c>
      <c r="BU2721" s="2" t="s">
        <v>1750</v>
      </c>
      <c r="BV2721" s="2" t="s">
        <v>111</v>
      </c>
      <c r="BW2721" s="2"/>
      <c r="BX2721" s="2"/>
      <c r="BY2721" s="2">
        <v>1200</v>
      </c>
      <c r="BZ2721" s="2" t="s">
        <v>27</v>
      </c>
      <c r="CA2721" s="2"/>
      <c r="CB2721" s="2"/>
      <c r="CC2721" s="2" t="s">
        <v>75</v>
      </c>
      <c r="CD2721" s="2">
        <v>1645</v>
      </c>
      <c r="CE2721" s="2" t="s">
        <v>118</v>
      </c>
      <c r="CF2721" s="5">
        <v>42850</v>
      </c>
      <c r="CG2721" s="2"/>
      <c r="CH2721" s="2"/>
      <c r="CI2721" s="2">
        <v>1</v>
      </c>
      <c r="CJ2721" s="2">
        <v>1</v>
      </c>
      <c r="CK2721" s="2">
        <v>22</v>
      </c>
      <c r="CL2721" s="2" t="s">
        <v>86</v>
      </c>
      <c r="CM2721" s="2"/>
    </row>
    <row r="2722" spans="1:91">
      <c r="A2722" s="2" t="s">
        <v>71</v>
      </c>
      <c r="B2722" s="2" t="s">
        <v>72</v>
      </c>
      <c r="C2722" s="2" t="s">
        <v>73</v>
      </c>
      <c r="D2722" s="2"/>
      <c r="E2722" s="2" t="str">
        <f>"FES1162544986"</f>
        <v>FES1162544986</v>
      </c>
      <c r="F2722" s="3">
        <v>42846</v>
      </c>
      <c r="G2722" s="2">
        <v>201710</v>
      </c>
      <c r="H2722" s="2" t="s">
        <v>74</v>
      </c>
      <c r="I2722" s="2" t="s">
        <v>75</v>
      </c>
      <c r="J2722" s="2" t="s">
        <v>76</v>
      </c>
      <c r="K2722" s="2" t="s">
        <v>77</v>
      </c>
      <c r="L2722" s="2" t="s">
        <v>934</v>
      </c>
      <c r="M2722" s="2" t="s">
        <v>935</v>
      </c>
      <c r="N2722" s="2" t="s">
        <v>3000</v>
      </c>
      <c r="O2722" s="2" t="s">
        <v>115</v>
      </c>
      <c r="P2722" s="2" t="str">
        <f>"2170563475                    "</f>
        <v xml:space="preserve">2170563475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4.29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1</v>
      </c>
      <c r="BJ2722" s="2">
        <v>0.2</v>
      </c>
      <c r="BK2722" s="2">
        <v>1</v>
      </c>
      <c r="BL2722" s="2">
        <v>41.73</v>
      </c>
      <c r="BM2722" s="2">
        <v>5.84</v>
      </c>
      <c r="BN2722" s="2">
        <v>47.57</v>
      </c>
      <c r="BO2722" s="2">
        <v>47.57</v>
      </c>
      <c r="BP2722" s="2"/>
      <c r="BQ2722" s="2" t="s">
        <v>129</v>
      </c>
      <c r="BR2722" s="2" t="s">
        <v>84</v>
      </c>
      <c r="BS2722" s="3">
        <v>42849</v>
      </c>
      <c r="BT2722" s="4">
        <v>0.47430555555555554</v>
      </c>
      <c r="BU2722" s="2" t="s">
        <v>983</v>
      </c>
      <c r="BV2722" s="2" t="s">
        <v>86</v>
      </c>
      <c r="BW2722" s="2"/>
      <c r="BX2722" s="2"/>
      <c r="BY2722" s="2">
        <v>1200</v>
      </c>
      <c r="BZ2722" s="2"/>
      <c r="CA2722" s="2"/>
      <c r="CB2722" s="2"/>
      <c r="CC2722" s="2" t="s">
        <v>935</v>
      </c>
      <c r="CD2722" s="2">
        <v>1930</v>
      </c>
      <c r="CE2722" s="2" t="s">
        <v>118</v>
      </c>
      <c r="CF2722" s="5">
        <v>42850</v>
      </c>
      <c r="CG2722" s="2"/>
      <c r="CH2722" s="2"/>
      <c r="CI2722" s="2">
        <v>1</v>
      </c>
      <c r="CJ2722" s="2">
        <v>1</v>
      </c>
      <c r="CK2722" s="2">
        <v>21</v>
      </c>
      <c r="CL2722" s="2" t="s">
        <v>86</v>
      </c>
      <c r="CM2722" s="2"/>
    </row>
    <row r="2723" spans="1:91">
      <c r="A2723" s="2" t="s">
        <v>71</v>
      </c>
      <c r="B2723" s="2" t="s">
        <v>72</v>
      </c>
      <c r="C2723" s="2" t="s">
        <v>73</v>
      </c>
      <c r="D2723" s="2"/>
      <c r="E2723" s="2" t="str">
        <f>"FES1162544819"</f>
        <v>FES1162544819</v>
      </c>
      <c r="F2723" s="3">
        <v>42846</v>
      </c>
      <c r="G2723" s="2">
        <v>201710</v>
      </c>
      <c r="H2723" s="2" t="s">
        <v>74</v>
      </c>
      <c r="I2723" s="2" t="s">
        <v>75</v>
      </c>
      <c r="J2723" s="2" t="s">
        <v>76</v>
      </c>
      <c r="K2723" s="2" t="s">
        <v>77</v>
      </c>
      <c r="L2723" s="2" t="s">
        <v>99</v>
      </c>
      <c r="M2723" s="2" t="s">
        <v>100</v>
      </c>
      <c r="N2723" s="2" t="s">
        <v>108</v>
      </c>
      <c r="O2723" s="2" t="s">
        <v>115</v>
      </c>
      <c r="P2723" s="2" t="str">
        <f>"2170562917                    "</f>
        <v xml:space="preserve">2170562917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4.29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1</v>
      </c>
      <c r="BJ2723" s="2">
        <v>0.2</v>
      </c>
      <c r="BK2723" s="2">
        <v>1</v>
      </c>
      <c r="BL2723" s="2">
        <v>41.73</v>
      </c>
      <c r="BM2723" s="2">
        <v>5.84</v>
      </c>
      <c r="BN2723" s="2">
        <v>47.57</v>
      </c>
      <c r="BO2723" s="2">
        <v>47.57</v>
      </c>
      <c r="BP2723" s="2"/>
      <c r="BQ2723" s="2" t="s">
        <v>109</v>
      </c>
      <c r="BR2723" s="2" t="s">
        <v>84</v>
      </c>
      <c r="BS2723" s="3">
        <v>42849</v>
      </c>
      <c r="BT2723" s="4">
        <v>0.36458333333333331</v>
      </c>
      <c r="BU2723" s="2" t="s">
        <v>3001</v>
      </c>
      <c r="BV2723" s="2" t="s">
        <v>111</v>
      </c>
      <c r="BW2723" s="2"/>
      <c r="BX2723" s="2"/>
      <c r="BY2723" s="2">
        <v>1200</v>
      </c>
      <c r="BZ2723" s="2" t="s">
        <v>27</v>
      </c>
      <c r="CA2723" s="2"/>
      <c r="CB2723" s="2"/>
      <c r="CC2723" s="2" t="s">
        <v>100</v>
      </c>
      <c r="CD2723" s="2">
        <v>6001</v>
      </c>
      <c r="CE2723" s="2" t="s">
        <v>118</v>
      </c>
      <c r="CF2723" s="5">
        <v>42851</v>
      </c>
      <c r="CG2723" s="2"/>
      <c r="CH2723" s="2"/>
      <c r="CI2723" s="2">
        <v>1</v>
      </c>
      <c r="CJ2723" s="2">
        <v>1</v>
      </c>
      <c r="CK2723" s="2">
        <v>21</v>
      </c>
      <c r="CL2723" s="2" t="s">
        <v>86</v>
      </c>
      <c r="CM2723" s="2"/>
    </row>
    <row r="2724" spans="1:91">
      <c r="A2724" s="2" t="s">
        <v>71</v>
      </c>
      <c r="B2724" s="2" t="s">
        <v>72</v>
      </c>
      <c r="C2724" s="2" t="s">
        <v>73</v>
      </c>
      <c r="D2724" s="2"/>
      <c r="E2724" s="2" t="str">
        <f>"FES1162545028"</f>
        <v>FES1162545028</v>
      </c>
      <c r="F2724" s="3">
        <v>42846</v>
      </c>
      <c r="G2724" s="2">
        <v>201710</v>
      </c>
      <c r="H2724" s="2" t="s">
        <v>74</v>
      </c>
      <c r="I2724" s="2" t="s">
        <v>75</v>
      </c>
      <c r="J2724" s="2" t="s">
        <v>76</v>
      </c>
      <c r="K2724" s="2" t="s">
        <v>77</v>
      </c>
      <c r="L2724" s="2" t="s">
        <v>443</v>
      </c>
      <c r="M2724" s="2" t="s">
        <v>444</v>
      </c>
      <c r="N2724" s="2" t="s">
        <v>1021</v>
      </c>
      <c r="O2724" s="2" t="s">
        <v>115</v>
      </c>
      <c r="P2724" s="2" t="str">
        <f>"2170563545                    "</f>
        <v xml:space="preserve">2170563545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4.29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1</v>
      </c>
      <c r="BJ2724" s="2">
        <v>0.2</v>
      </c>
      <c r="BK2724" s="2">
        <v>1</v>
      </c>
      <c r="BL2724" s="2">
        <v>41.73</v>
      </c>
      <c r="BM2724" s="2">
        <v>5.84</v>
      </c>
      <c r="BN2724" s="2">
        <v>47.57</v>
      </c>
      <c r="BO2724" s="2">
        <v>47.57</v>
      </c>
      <c r="BP2724" s="2"/>
      <c r="BQ2724" s="2" t="s">
        <v>952</v>
      </c>
      <c r="BR2724" s="2" t="s">
        <v>84</v>
      </c>
      <c r="BS2724" s="3">
        <v>42849</v>
      </c>
      <c r="BT2724" s="4">
        <v>0.41666666666666669</v>
      </c>
      <c r="BU2724" s="2" t="s">
        <v>3002</v>
      </c>
      <c r="BV2724" s="2" t="s">
        <v>111</v>
      </c>
      <c r="BW2724" s="2"/>
      <c r="BX2724" s="2"/>
      <c r="BY2724" s="2">
        <v>1200</v>
      </c>
      <c r="BZ2724" s="2"/>
      <c r="CA2724" s="2"/>
      <c r="CB2724" s="2"/>
      <c r="CC2724" s="2" t="s">
        <v>444</v>
      </c>
      <c r="CD2724" s="2">
        <v>7130</v>
      </c>
      <c r="CE2724" s="2" t="s">
        <v>118</v>
      </c>
      <c r="CF2724" s="5">
        <v>42850</v>
      </c>
      <c r="CG2724" s="2"/>
      <c r="CH2724" s="2"/>
      <c r="CI2724" s="2">
        <v>1</v>
      </c>
      <c r="CJ2724" s="2">
        <v>1</v>
      </c>
      <c r="CK2724" s="2">
        <v>21</v>
      </c>
      <c r="CL2724" s="2" t="s">
        <v>86</v>
      </c>
      <c r="CM2724" s="2"/>
    </row>
    <row r="2725" spans="1:91">
      <c r="A2725" s="2" t="s">
        <v>71</v>
      </c>
      <c r="B2725" s="2" t="s">
        <v>72</v>
      </c>
      <c r="C2725" s="2" t="s">
        <v>73</v>
      </c>
      <c r="D2725" s="2"/>
      <c r="E2725" s="2" t="str">
        <f>"FES1162544839"</f>
        <v>FES1162544839</v>
      </c>
      <c r="F2725" s="3">
        <v>42846</v>
      </c>
      <c r="G2725" s="2">
        <v>201710</v>
      </c>
      <c r="H2725" s="2" t="s">
        <v>74</v>
      </c>
      <c r="I2725" s="2" t="s">
        <v>75</v>
      </c>
      <c r="J2725" s="2" t="s">
        <v>76</v>
      </c>
      <c r="K2725" s="2" t="s">
        <v>77</v>
      </c>
      <c r="L2725" s="2" t="s">
        <v>91</v>
      </c>
      <c r="M2725" s="2" t="s">
        <v>92</v>
      </c>
      <c r="N2725" s="2" t="s">
        <v>3003</v>
      </c>
      <c r="O2725" s="2" t="s">
        <v>115</v>
      </c>
      <c r="P2725" s="2" t="str">
        <f>"2170563374                    "</f>
        <v xml:space="preserve">2170563374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3.35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1</v>
      </c>
      <c r="BJ2725" s="2">
        <v>0.2</v>
      </c>
      <c r="BK2725" s="2">
        <v>1</v>
      </c>
      <c r="BL2725" s="2">
        <v>32.6</v>
      </c>
      <c r="BM2725" s="2">
        <v>4.5599999999999996</v>
      </c>
      <c r="BN2725" s="2">
        <v>37.159999999999997</v>
      </c>
      <c r="BO2725" s="2">
        <v>37.159999999999997</v>
      </c>
      <c r="BP2725" s="2"/>
      <c r="BQ2725" s="2" t="s">
        <v>3004</v>
      </c>
      <c r="BR2725" s="2" t="s">
        <v>84</v>
      </c>
      <c r="BS2725" s="3">
        <v>42849</v>
      </c>
      <c r="BT2725" s="4">
        <v>0.3888888888888889</v>
      </c>
      <c r="BU2725" s="2" t="s">
        <v>3005</v>
      </c>
      <c r="BV2725" s="2" t="s">
        <v>111</v>
      </c>
      <c r="BW2725" s="2"/>
      <c r="BX2725" s="2"/>
      <c r="BY2725" s="2">
        <v>1200</v>
      </c>
      <c r="BZ2725" s="2"/>
      <c r="CA2725" s="2" t="s">
        <v>1687</v>
      </c>
      <c r="CB2725" s="2"/>
      <c r="CC2725" s="2" t="s">
        <v>92</v>
      </c>
      <c r="CD2725" s="2">
        <v>1406</v>
      </c>
      <c r="CE2725" s="2" t="s">
        <v>118</v>
      </c>
      <c r="CF2725" s="5">
        <v>42849</v>
      </c>
      <c r="CG2725" s="2"/>
      <c r="CH2725" s="2"/>
      <c r="CI2725" s="2">
        <v>1</v>
      </c>
      <c r="CJ2725" s="2">
        <v>1</v>
      </c>
      <c r="CK2725" s="2">
        <v>22</v>
      </c>
      <c r="CL2725" s="2" t="s">
        <v>86</v>
      </c>
      <c r="CM2725" s="2"/>
    </row>
    <row r="2726" spans="1:91">
      <c r="A2726" s="2" t="s">
        <v>71</v>
      </c>
      <c r="B2726" s="2" t="s">
        <v>72</v>
      </c>
      <c r="C2726" s="2" t="s">
        <v>73</v>
      </c>
      <c r="D2726" s="2"/>
      <c r="E2726" s="2" t="str">
        <f>"FES1162544820"</f>
        <v>FES1162544820</v>
      </c>
      <c r="F2726" s="3">
        <v>42846</v>
      </c>
      <c r="G2726" s="2">
        <v>201710</v>
      </c>
      <c r="H2726" s="2" t="s">
        <v>74</v>
      </c>
      <c r="I2726" s="2" t="s">
        <v>75</v>
      </c>
      <c r="J2726" s="2" t="s">
        <v>76</v>
      </c>
      <c r="K2726" s="2" t="s">
        <v>77</v>
      </c>
      <c r="L2726" s="2" t="s">
        <v>99</v>
      </c>
      <c r="M2726" s="2" t="s">
        <v>100</v>
      </c>
      <c r="N2726" s="2" t="s">
        <v>390</v>
      </c>
      <c r="O2726" s="2" t="s">
        <v>115</v>
      </c>
      <c r="P2726" s="2" t="str">
        <f>"2170562919                    "</f>
        <v xml:space="preserve">2170562919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4.29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1</v>
      </c>
      <c r="BJ2726" s="2">
        <v>0.2</v>
      </c>
      <c r="BK2726" s="2">
        <v>1</v>
      </c>
      <c r="BL2726" s="2">
        <v>41.73</v>
      </c>
      <c r="BM2726" s="2">
        <v>5.84</v>
      </c>
      <c r="BN2726" s="2">
        <v>47.57</v>
      </c>
      <c r="BO2726" s="2">
        <v>47.57</v>
      </c>
      <c r="BP2726" s="2"/>
      <c r="BQ2726" s="2" t="s">
        <v>1677</v>
      </c>
      <c r="BR2726" s="2" t="s">
        <v>84</v>
      </c>
      <c r="BS2726" s="3">
        <v>42849</v>
      </c>
      <c r="BT2726" s="4">
        <v>0.30555555555555552</v>
      </c>
      <c r="BU2726" s="2" t="s">
        <v>2772</v>
      </c>
      <c r="BV2726" s="2" t="s">
        <v>111</v>
      </c>
      <c r="BW2726" s="2"/>
      <c r="BX2726" s="2"/>
      <c r="BY2726" s="2">
        <v>1200</v>
      </c>
      <c r="BZ2726" s="2" t="s">
        <v>27</v>
      </c>
      <c r="CA2726" s="2"/>
      <c r="CB2726" s="2"/>
      <c r="CC2726" s="2" t="s">
        <v>100</v>
      </c>
      <c r="CD2726" s="2">
        <v>6001</v>
      </c>
      <c r="CE2726" s="2" t="s">
        <v>118</v>
      </c>
      <c r="CF2726" s="5">
        <v>42851</v>
      </c>
      <c r="CG2726" s="2"/>
      <c r="CH2726" s="2"/>
      <c r="CI2726" s="2">
        <v>1</v>
      </c>
      <c r="CJ2726" s="2">
        <v>1</v>
      </c>
      <c r="CK2726" s="2">
        <v>21</v>
      </c>
      <c r="CL2726" s="2" t="s">
        <v>86</v>
      </c>
      <c r="CM2726" s="2"/>
    </row>
    <row r="2727" spans="1:91">
      <c r="A2727" s="2" t="s">
        <v>71</v>
      </c>
      <c r="B2727" s="2" t="s">
        <v>72</v>
      </c>
      <c r="C2727" s="2" t="s">
        <v>73</v>
      </c>
      <c r="D2727" s="2"/>
      <c r="E2727" s="2" t="str">
        <f>"FES1162544884"</f>
        <v>FES1162544884</v>
      </c>
      <c r="F2727" s="3">
        <v>42846</v>
      </c>
      <c r="G2727" s="2">
        <v>201710</v>
      </c>
      <c r="H2727" s="2" t="s">
        <v>74</v>
      </c>
      <c r="I2727" s="2" t="s">
        <v>75</v>
      </c>
      <c r="J2727" s="2" t="s">
        <v>76</v>
      </c>
      <c r="K2727" s="2" t="s">
        <v>77</v>
      </c>
      <c r="L2727" s="2" t="s">
        <v>190</v>
      </c>
      <c r="M2727" s="2" t="s">
        <v>191</v>
      </c>
      <c r="N2727" s="2" t="s">
        <v>311</v>
      </c>
      <c r="O2727" s="2" t="s">
        <v>115</v>
      </c>
      <c r="P2727" s="2" t="str">
        <f>"2170559819                    "</f>
        <v xml:space="preserve">2170559819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6.03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1</v>
      </c>
      <c r="BJ2727" s="2">
        <v>0.2</v>
      </c>
      <c r="BK2727" s="2">
        <v>1</v>
      </c>
      <c r="BL2727" s="2">
        <v>58.68</v>
      </c>
      <c r="BM2727" s="2">
        <v>8.2200000000000006</v>
      </c>
      <c r="BN2727" s="2">
        <v>66.900000000000006</v>
      </c>
      <c r="BO2727" s="2">
        <v>66.900000000000006</v>
      </c>
      <c r="BP2727" s="2"/>
      <c r="BQ2727" s="2" t="s">
        <v>312</v>
      </c>
      <c r="BR2727" s="2" t="s">
        <v>84</v>
      </c>
      <c r="BS2727" s="3">
        <v>42849</v>
      </c>
      <c r="BT2727" s="4">
        <v>0.29166666666666669</v>
      </c>
      <c r="BU2727" s="2" t="s">
        <v>3006</v>
      </c>
      <c r="BV2727" s="2" t="s">
        <v>111</v>
      </c>
      <c r="BW2727" s="2"/>
      <c r="BX2727" s="2"/>
      <c r="BY2727" s="2">
        <v>1200</v>
      </c>
      <c r="BZ2727" s="2"/>
      <c r="CA2727" s="2"/>
      <c r="CB2727" s="2"/>
      <c r="CC2727" s="2" t="s">
        <v>191</v>
      </c>
      <c r="CD2727" s="2">
        <v>1754</v>
      </c>
      <c r="CE2727" s="2" t="s">
        <v>118</v>
      </c>
      <c r="CF2727" s="5">
        <v>42850</v>
      </c>
      <c r="CG2727" s="2"/>
      <c r="CH2727" s="2"/>
      <c r="CI2727" s="2">
        <v>1</v>
      </c>
      <c r="CJ2727" s="2">
        <v>1</v>
      </c>
      <c r="CK2727" s="2">
        <v>24</v>
      </c>
      <c r="CL2727" s="2" t="s">
        <v>86</v>
      </c>
      <c r="CM2727" s="2"/>
    </row>
    <row r="2728" spans="1:91">
      <c r="A2728" s="2" t="s">
        <v>71</v>
      </c>
      <c r="B2728" s="2" t="s">
        <v>72</v>
      </c>
      <c r="C2728" s="2" t="s">
        <v>73</v>
      </c>
      <c r="D2728" s="2"/>
      <c r="E2728" s="2" t="str">
        <f>"FES1162545027"</f>
        <v>FES1162545027</v>
      </c>
      <c r="F2728" s="3">
        <v>42846</v>
      </c>
      <c r="G2728" s="2">
        <v>201710</v>
      </c>
      <c r="H2728" s="2" t="s">
        <v>74</v>
      </c>
      <c r="I2728" s="2" t="s">
        <v>75</v>
      </c>
      <c r="J2728" s="2" t="s">
        <v>76</v>
      </c>
      <c r="K2728" s="2" t="s">
        <v>77</v>
      </c>
      <c r="L2728" s="2" t="s">
        <v>131</v>
      </c>
      <c r="M2728" s="2" t="s">
        <v>132</v>
      </c>
      <c r="N2728" s="2" t="s">
        <v>1439</v>
      </c>
      <c r="O2728" s="2" t="s">
        <v>115</v>
      </c>
      <c r="P2728" s="2" t="str">
        <f>"2170563542                    "</f>
        <v xml:space="preserve">2170563542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4.29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1</v>
      </c>
      <c r="BJ2728" s="2">
        <v>0.2</v>
      </c>
      <c r="BK2728" s="2">
        <v>1</v>
      </c>
      <c r="BL2728" s="2">
        <v>41.73</v>
      </c>
      <c r="BM2728" s="2">
        <v>5.84</v>
      </c>
      <c r="BN2728" s="2">
        <v>47.57</v>
      </c>
      <c r="BO2728" s="2">
        <v>47.57</v>
      </c>
      <c r="BP2728" s="2"/>
      <c r="BQ2728" s="2" t="s">
        <v>1440</v>
      </c>
      <c r="BR2728" s="2" t="s">
        <v>84</v>
      </c>
      <c r="BS2728" s="3">
        <v>42849</v>
      </c>
      <c r="BT2728" s="4">
        <v>0.40625</v>
      </c>
      <c r="BU2728" s="2" t="s">
        <v>3007</v>
      </c>
      <c r="BV2728" s="2" t="s">
        <v>111</v>
      </c>
      <c r="BW2728" s="2"/>
      <c r="BX2728" s="2"/>
      <c r="BY2728" s="2">
        <v>1200</v>
      </c>
      <c r="BZ2728" s="2"/>
      <c r="CA2728" s="2" t="s">
        <v>3008</v>
      </c>
      <c r="CB2728" s="2"/>
      <c r="CC2728" s="2" t="s">
        <v>132</v>
      </c>
      <c r="CD2728" s="2">
        <v>7490</v>
      </c>
      <c r="CE2728" s="2" t="s">
        <v>118</v>
      </c>
      <c r="CF2728" s="5">
        <v>42849</v>
      </c>
      <c r="CG2728" s="2"/>
      <c r="CH2728" s="2"/>
      <c r="CI2728" s="2">
        <v>1</v>
      </c>
      <c r="CJ2728" s="2">
        <v>1</v>
      </c>
      <c r="CK2728" s="2">
        <v>21</v>
      </c>
      <c r="CL2728" s="2" t="s">
        <v>86</v>
      </c>
      <c r="CM2728" s="2"/>
    </row>
    <row r="2729" spans="1:91">
      <c r="A2729" s="2" t="s">
        <v>71</v>
      </c>
      <c r="B2729" s="2" t="s">
        <v>72</v>
      </c>
      <c r="C2729" s="2" t="s">
        <v>73</v>
      </c>
      <c r="D2729" s="2"/>
      <c r="E2729" s="2" t="str">
        <f>"FES1162544813"</f>
        <v>FES1162544813</v>
      </c>
      <c r="F2729" s="3">
        <v>42846</v>
      </c>
      <c r="G2729" s="2">
        <v>201710</v>
      </c>
      <c r="H2729" s="2" t="s">
        <v>74</v>
      </c>
      <c r="I2729" s="2" t="s">
        <v>75</v>
      </c>
      <c r="J2729" s="2" t="s">
        <v>76</v>
      </c>
      <c r="K2729" s="2" t="s">
        <v>77</v>
      </c>
      <c r="L2729" s="2" t="s">
        <v>99</v>
      </c>
      <c r="M2729" s="2" t="s">
        <v>100</v>
      </c>
      <c r="N2729" s="2" t="s">
        <v>108</v>
      </c>
      <c r="O2729" s="2" t="s">
        <v>115</v>
      </c>
      <c r="P2729" s="2" t="str">
        <f>"2170562589                    "</f>
        <v xml:space="preserve">2170562589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4.29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1</v>
      </c>
      <c r="BJ2729" s="2">
        <v>0.2</v>
      </c>
      <c r="BK2729" s="2">
        <v>1</v>
      </c>
      <c r="BL2729" s="2">
        <v>41.73</v>
      </c>
      <c r="BM2729" s="2">
        <v>5.84</v>
      </c>
      <c r="BN2729" s="2">
        <v>47.57</v>
      </c>
      <c r="BO2729" s="2">
        <v>47.57</v>
      </c>
      <c r="BP2729" s="2"/>
      <c r="BQ2729" s="2" t="s">
        <v>109</v>
      </c>
      <c r="BR2729" s="2" t="s">
        <v>84</v>
      </c>
      <c r="BS2729" s="3">
        <v>42849</v>
      </c>
      <c r="BT2729" s="4">
        <v>0.36458333333333331</v>
      </c>
      <c r="BU2729" s="2" t="s">
        <v>2884</v>
      </c>
      <c r="BV2729" s="2" t="s">
        <v>111</v>
      </c>
      <c r="BW2729" s="2"/>
      <c r="BX2729" s="2"/>
      <c r="BY2729" s="2">
        <v>1200</v>
      </c>
      <c r="BZ2729" s="2" t="s">
        <v>27</v>
      </c>
      <c r="CA2729" s="2"/>
      <c r="CB2729" s="2"/>
      <c r="CC2729" s="2" t="s">
        <v>100</v>
      </c>
      <c r="CD2729" s="2">
        <v>6001</v>
      </c>
      <c r="CE2729" s="2" t="s">
        <v>118</v>
      </c>
      <c r="CF2729" s="5">
        <v>42851</v>
      </c>
      <c r="CG2729" s="2"/>
      <c r="CH2729" s="2"/>
      <c r="CI2729" s="2">
        <v>1</v>
      </c>
      <c r="CJ2729" s="2">
        <v>1</v>
      </c>
      <c r="CK2729" s="2">
        <v>21</v>
      </c>
      <c r="CL2729" s="2" t="s">
        <v>86</v>
      </c>
      <c r="CM2729" s="2"/>
    </row>
    <row r="2730" spans="1:91">
      <c r="A2730" s="2" t="s">
        <v>71</v>
      </c>
      <c r="B2730" s="2" t="s">
        <v>72</v>
      </c>
      <c r="C2730" s="2" t="s">
        <v>73</v>
      </c>
      <c r="D2730" s="2"/>
      <c r="E2730" s="2" t="str">
        <f>"FES1162545040"</f>
        <v>FES1162545040</v>
      </c>
      <c r="F2730" s="3">
        <v>42846</v>
      </c>
      <c r="G2730" s="2">
        <v>201710</v>
      </c>
      <c r="H2730" s="2" t="s">
        <v>74</v>
      </c>
      <c r="I2730" s="2" t="s">
        <v>75</v>
      </c>
      <c r="J2730" s="2" t="s">
        <v>76</v>
      </c>
      <c r="K2730" s="2" t="s">
        <v>77</v>
      </c>
      <c r="L2730" s="2" t="s">
        <v>401</v>
      </c>
      <c r="M2730" s="2" t="s">
        <v>402</v>
      </c>
      <c r="N2730" s="2" t="s">
        <v>326</v>
      </c>
      <c r="O2730" s="2" t="s">
        <v>115</v>
      </c>
      <c r="P2730" s="2" t="str">
        <f>"2170563552                    "</f>
        <v xml:space="preserve">2170563552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8.57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4</v>
      </c>
      <c r="BJ2730" s="2">
        <v>2.1</v>
      </c>
      <c r="BK2730" s="2">
        <v>4</v>
      </c>
      <c r="BL2730" s="2">
        <v>83.45</v>
      </c>
      <c r="BM2730" s="2">
        <v>11.68</v>
      </c>
      <c r="BN2730" s="2">
        <v>95.13</v>
      </c>
      <c r="BO2730" s="2">
        <v>95.13</v>
      </c>
      <c r="BP2730" s="2"/>
      <c r="BQ2730" s="2" t="s">
        <v>1951</v>
      </c>
      <c r="BR2730" s="2" t="s">
        <v>84</v>
      </c>
      <c r="BS2730" s="3">
        <v>42849</v>
      </c>
      <c r="BT2730" s="4">
        <v>0.4375</v>
      </c>
      <c r="BU2730" s="2" t="s">
        <v>1952</v>
      </c>
      <c r="BV2730" s="2" t="s">
        <v>111</v>
      </c>
      <c r="BW2730" s="2"/>
      <c r="BX2730" s="2"/>
      <c r="BY2730" s="2">
        <v>10374</v>
      </c>
      <c r="BZ2730" s="2"/>
      <c r="CA2730" s="2"/>
      <c r="CB2730" s="2"/>
      <c r="CC2730" s="2" t="s">
        <v>402</v>
      </c>
      <c r="CD2730" s="2">
        <v>4133</v>
      </c>
      <c r="CE2730" s="2" t="s">
        <v>89</v>
      </c>
      <c r="CF2730" s="5">
        <v>42850</v>
      </c>
      <c r="CG2730" s="2"/>
      <c r="CH2730" s="2"/>
      <c r="CI2730" s="2">
        <v>1</v>
      </c>
      <c r="CJ2730" s="2">
        <v>1</v>
      </c>
      <c r="CK2730" s="2">
        <v>21</v>
      </c>
      <c r="CL2730" s="2" t="s">
        <v>86</v>
      </c>
      <c r="CM2730" s="2"/>
    </row>
    <row r="2731" spans="1:91">
      <c r="A2731" s="2" t="s">
        <v>71</v>
      </c>
      <c r="B2731" s="2" t="s">
        <v>72</v>
      </c>
      <c r="C2731" s="2" t="s">
        <v>73</v>
      </c>
      <c r="D2731" s="2"/>
      <c r="E2731" s="2" t="str">
        <f>"FES1162545019"</f>
        <v>FES1162545019</v>
      </c>
      <c r="F2731" s="3">
        <v>42846</v>
      </c>
      <c r="G2731" s="2">
        <v>201710</v>
      </c>
      <c r="H2731" s="2" t="s">
        <v>74</v>
      </c>
      <c r="I2731" s="2" t="s">
        <v>75</v>
      </c>
      <c r="J2731" s="2" t="s">
        <v>76</v>
      </c>
      <c r="K2731" s="2" t="s">
        <v>77</v>
      </c>
      <c r="L2731" s="2" t="s">
        <v>260</v>
      </c>
      <c r="M2731" s="2" t="s">
        <v>261</v>
      </c>
      <c r="N2731" s="2" t="s">
        <v>1371</v>
      </c>
      <c r="O2731" s="2" t="s">
        <v>115</v>
      </c>
      <c r="P2731" s="2" t="str">
        <f>"2170563523                    "</f>
        <v xml:space="preserve">2170563523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3.35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1</v>
      </c>
      <c r="BJ2731" s="2">
        <v>0.2</v>
      </c>
      <c r="BK2731" s="2">
        <v>1</v>
      </c>
      <c r="BL2731" s="2">
        <v>32.6</v>
      </c>
      <c r="BM2731" s="2">
        <v>4.5599999999999996</v>
      </c>
      <c r="BN2731" s="2">
        <v>37.159999999999997</v>
      </c>
      <c r="BO2731" s="2">
        <v>37.159999999999997</v>
      </c>
      <c r="BP2731" s="2"/>
      <c r="BQ2731" s="2" t="s">
        <v>1372</v>
      </c>
      <c r="BR2731" s="2" t="s">
        <v>84</v>
      </c>
      <c r="BS2731" s="3">
        <v>42849</v>
      </c>
      <c r="BT2731" s="4">
        <v>0.41666666666666669</v>
      </c>
      <c r="BU2731" s="2" t="s">
        <v>2992</v>
      </c>
      <c r="BV2731" s="2" t="s">
        <v>111</v>
      </c>
      <c r="BW2731" s="2"/>
      <c r="BX2731" s="2"/>
      <c r="BY2731" s="2">
        <v>1200</v>
      </c>
      <c r="BZ2731" s="2"/>
      <c r="CA2731" s="2" t="s">
        <v>2993</v>
      </c>
      <c r="CB2731" s="2"/>
      <c r="CC2731" s="2" t="s">
        <v>261</v>
      </c>
      <c r="CD2731" s="2">
        <v>1451</v>
      </c>
      <c r="CE2731" s="2" t="s">
        <v>118</v>
      </c>
      <c r="CF2731" s="5">
        <v>42849</v>
      </c>
      <c r="CG2731" s="2"/>
      <c r="CH2731" s="2"/>
      <c r="CI2731" s="2">
        <v>1</v>
      </c>
      <c r="CJ2731" s="2">
        <v>1</v>
      </c>
      <c r="CK2731" s="2">
        <v>22</v>
      </c>
      <c r="CL2731" s="2" t="s">
        <v>86</v>
      </c>
      <c r="CM2731" s="2"/>
    </row>
    <row r="2732" spans="1:91">
      <c r="A2732" s="2" t="s">
        <v>71</v>
      </c>
      <c r="B2732" s="2" t="s">
        <v>72</v>
      </c>
      <c r="C2732" s="2" t="s">
        <v>73</v>
      </c>
      <c r="D2732" s="2"/>
      <c r="E2732" s="2" t="str">
        <f>"FES1162544567"</f>
        <v>FES1162544567</v>
      </c>
      <c r="F2732" s="3">
        <v>42846</v>
      </c>
      <c r="G2732" s="2">
        <v>201710</v>
      </c>
      <c r="H2732" s="2" t="s">
        <v>74</v>
      </c>
      <c r="I2732" s="2" t="s">
        <v>75</v>
      </c>
      <c r="J2732" s="2" t="s">
        <v>76</v>
      </c>
      <c r="K2732" s="2" t="s">
        <v>77</v>
      </c>
      <c r="L2732" s="2" t="s">
        <v>119</v>
      </c>
      <c r="M2732" s="2" t="s">
        <v>120</v>
      </c>
      <c r="N2732" s="2" t="s">
        <v>725</v>
      </c>
      <c r="O2732" s="2" t="s">
        <v>115</v>
      </c>
      <c r="P2732" s="2" t="str">
        <f>"2170561006                    "</f>
        <v xml:space="preserve">2170561006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3.35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1</v>
      </c>
      <c r="BJ2732" s="2">
        <v>0.2</v>
      </c>
      <c r="BK2732" s="2">
        <v>1</v>
      </c>
      <c r="BL2732" s="2">
        <v>32.6</v>
      </c>
      <c r="BM2732" s="2">
        <v>4.5599999999999996</v>
      </c>
      <c r="BN2732" s="2">
        <v>37.159999999999997</v>
      </c>
      <c r="BO2732" s="2">
        <v>37.159999999999997</v>
      </c>
      <c r="BP2732" s="2"/>
      <c r="BQ2732" s="2" t="s">
        <v>726</v>
      </c>
      <c r="BR2732" s="2" t="s">
        <v>84</v>
      </c>
      <c r="BS2732" s="3">
        <v>42849</v>
      </c>
      <c r="BT2732" s="4">
        <v>0.43402777777777773</v>
      </c>
      <c r="BU2732" s="2" t="s">
        <v>3009</v>
      </c>
      <c r="BV2732" s="2" t="s">
        <v>111</v>
      </c>
      <c r="BW2732" s="2"/>
      <c r="BX2732" s="2"/>
      <c r="BY2732" s="2">
        <v>1200</v>
      </c>
      <c r="BZ2732" s="2" t="s">
        <v>27</v>
      </c>
      <c r="CA2732" s="2" t="s">
        <v>125</v>
      </c>
      <c r="CB2732" s="2"/>
      <c r="CC2732" s="2" t="s">
        <v>120</v>
      </c>
      <c r="CD2732" s="2">
        <v>2162</v>
      </c>
      <c r="CE2732" s="2" t="s">
        <v>118</v>
      </c>
      <c r="CF2732" s="5">
        <v>42850</v>
      </c>
      <c r="CG2732" s="2"/>
      <c r="CH2732" s="2"/>
      <c r="CI2732" s="2">
        <v>1</v>
      </c>
      <c r="CJ2732" s="2">
        <v>1</v>
      </c>
      <c r="CK2732" s="2">
        <v>22</v>
      </c>
      <c r="CL2732" s="2" t="s">
        <v>86</v>
      </c>
      <c r="CM2732" s="2"/>
    </row>
    <row r="2733" spans="1:91">
      <c r="A2733" s="2" t="s">
        <v>71</v>
      </c>
      <c r="B2733" s="2" t="s">
        <v>72</v>
      </c>
      <c r="C2733" s="2" t="s">
        <v>73</v>
      </c>
      <c r="D2733" s="2"/>
      <c r="E2733" s="2" t="str">
        <f>"FES1162544695"</f>
        <v>FES1162544695</v>
      </c>
      <c r="F2733" s="3">
        <v>42846</v>
      </c>
      <c r="G2733" s="2">
        <v>201710</v>
      </c>
      <c r="H2733" s="2" t="s">
        <v>74</v>
      </c>
      <c r="I2733" s="2" t="s">
        <v>75</v>
      </c>
      <c r="J2733" s="2" t="s">
        <v>76</v>
      </c>
      <c r="K2733" s="2" t="s">
        <v>77</v>
      </c>
      <c r="L2733" s="2" t="s">
        <v>74</v>
      </c>
      <c r="M2733" s="2" t="s">
        <v>75</v>
      </c>
      <c r="N2733" s="2" t="s">
        <v>3010</v>
      </c>
      <c r="O2733" s="2" t="s">
        <v>115</v>
      </c>
      <c r="P2733" s="2" t="str">
        <f>"2170563254                    "</f>
        <v xml:space="preserve">2170563254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3.35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2</v>
      </c>
      <c r="BJ2733" s="2">
        <v>4.0999999999999996</v>
      </c>
      <c r="BK2733" s="2">
        <v>5</v>
      </c>
      <c r="BL2733" s="2">
        <v>32.6</v>
      </c>
      <c r="BM2733" s="2">
        <v>4.5599999999999996</v>
      </c>
      <c r="BN2733" s="2">
        <v>37.159999999999997</v>
      </c>
      <c r="BO2733" s="2">
        <v>37.159999999999997</v>
      </c>
      <c r="BP2733" s="2"/>
      <c r="BQ2733" s="2" t="s">
        <v>3011</v>
      </c>
      <c r="BR2733" s="2" t="s">
        <v>84</v>
      </c>
      <c r="BS2733" s="3">
        <v>42849</v>
      </c>
      <c r="BT2733" s="4">
        <v>0.32569444444444445</v>
      </c>
      <c r="BU2733" s="2" t="s">
        <v>3012</v>
      </c>
      <c r="BV2733" s="2" t="s">
        <v>111</v>
      </c>
      <c r="BW2733" s="2"/>
      <c r="BX2733" s="2"/>
      <c r="BY2733" s="2">
        <v>20358</v>
      </c>
      <c r="BZ2733" s="2" t="s">
        <v>27</v>
      </c>
      <c r="CA2733" s="2" t="s">
        <v>2997</v>
      </c>
      <c r="CB2733" s="2"/>
      <c r="CC2733" s="2" t="s">
        <v>75</v>
      </c>
      <c r="CD2733" s="2">
        <v>1601</v>
      </c>
      <c r="CE2733" s="2" t="s">
        <v>89</v>
      </c>
      <c r="CF2733" s="5">
        <v>42849</v>
      </c>
      <c r="CG2733" s="2"/>
      <c r="CH2733" s="2"/>
      <c r="CI2733" s="2">
        <v>1</v>
      </c>
      <c r="CJ2733" s="2">
        <v>1</v>
      </c>
      <c r="CK2733" s="2">
        <v>22</v>
      </c>
      <c r="CL2733" s="2" t="s">
        <v>86</v>
      </c>
      <c r="CM2733" s="2"/>
    </row>
    <row r="2734" spans="1:91">
      <c r="A2734" s="2" t="s">
        <v>71</v>
      </c>
      <c r="B2734" s="2" t="s">
        <v>72</v>
      </c>
      <c r="C2734" s="2" t="s">
        <v>73</v>
      </c>
      <c r="D2734" s="2"/>
      <c r="E2734" s="2" t="str">
        <f>"FES1162544830"</f>
        <v>FES1162544830</v>
      </c>
      <c r="F2734" s="3">
        <v>42846</v>
      </c>
      <c r="G2734" s="2">
        <v>201710</v>
      </c>
      <c r="H2734" s="2" t="s">
        <v>74</v>
      </c>
      <c r="I2734" s="2" t="s">
        <v>75</v>
      </c>
      <c r="J2734" s="2" t="s">
        <v>76</v>
      </c>
      <c r="K2734" s="2" t="s">
        <v>77</v>
      </c>
      <c r="L2734" s="2" t="s">
        <v>74</v>
      </c>
      <c r="M2734" s="2" t="s">
        <v>75</v>
      </c>
      <c r="N2734" s="2" t="s">
        <v>2278</v>
      </c>
      <c r="O2734" s="2" t="s">
        <v>115</v>
      </c>
      <c r="P2734" s="2" t="str">
        <f>"2170563360                    "</f>
        <v xml:space="preserve">2170563360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3.35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4</v>
      </c>
      <c r="BJ2734" s="2">
        <v>6.7</v>
      </c>
      <c r="BK2734" s="2">
        <v>7</v>
      </c>
      <c r="BL2734" s="2">
        <v>32.6</v>
      </c>
      <c r="BM2734" s="2">
        <v>4.5599999999999996</v>
      </c>
      <c r="BN2734" s="2">
        <v>37.159999999999997</v>
      </c>
      <c r="BO2734" s="2">
        <v>37.159999999999997</v>
      </c>
      <c r="BP2734" s="2"/>
      <c r="BQ2734" s="2" t="s">
        <v>2279</v>
      </c>
      <c r="BR2734" s="2" t="s">
        <v>84</v>
      </c>
      <c r="BS2734" s="3">
        <v>42849</v>
      </c>
      <c r="BT2734" s="4">
        <v>0.41666666666666669</v>
      </c>
      <c r="BU2734" s="2" t="s">
        <v>166</v>
      </c>
      <c r="BV2734" s="2" t="s">
        <v>111</v>
      </c>
      <c r="BW2734" s="2"/>
      <c r="BX2734" s="2"/>
      <c r="BY2734" s="2">
        <v>33600</v>
      </c>
      <c r="BZ2734" s="2"/>
      <c r="CA2734" s="2" t="s">
        <v>2027</v>
      </c>
      <c r="CB2734" s="2"/>
      <c r="CC2734" s="2" t="s">
        <v>75</v>
      </c>
      <c r="CD2734" s="2">
        <v>1645</v>
      </c>
      <c r="CE2734" s="2" t="s">
        <v>89</v>
      </c>
      <c r="CF2734" s="5">
        <v>42850</v>
      </c>
      <c r="CG2734" s="2"/>
      <c r="CH2734" s="2"/>
      <c r="CI2734" s="2">
        <v>1</v>
      </c>
      <c r="CJ2734" s="2">
        <v>1</v>
      </c>
      <c r="CK2734" s="2">
        <v>22</v>
      </c>
      <c r="CL2734" s="2" t="s">
        <v>86</v>
      </c>
      <c r="CM2734" s="2"/>
    </row>
    <row r="2735" spans="1:91">
      <c r="A2735" s="2" t="s">
        <v>71</v>
      </c>
      <c r="B2735" s="2" t="s">
        <v>72</v>
      </c>
      <c r="C2735" s="2" t="s">
        <v>73</v>
      </c>
      <c r="D2735" s="2"/>
      <c r="E2735" s="2" t="str">
        <f>"FES1162544812"</f>
        <v>FES1162544812</v>
      </c>
      <c r="F2735" s="3">
        <v>42846</v>
      </c>
      <c r="G2735" s="2">
        <v>201710</v>
      </c>
      <c r="H2735" s="2" t="s">
        <v>74</v>
      </c>
      <c r="I2735" s="2" t="s">
        <v>75</v>
      </c>
      <c r="J2735" s="2" t="s">
        <v>76</v>
      </c>
      <c r="K2735" s="2" t="s">
        <v>77</v>
      </c>
      <c r="L2735" s="2" t="s">
        <v>99</v>
      </c>
      <c r="M2735" s="2" t="s">
        <v>100</v>
      </c>
      <c r="N2735" s="2" t="s">
        <v>108</v>
      </c>
      <c r="O2735" s="2" t="s">
        <v>115</v>
      </c>
      <c r="P2735" s="2" t="str">
        <f>"2170562335                    "</f>
        <v xml:space="preserve">2170562335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4.29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1</v>
      </c>
      <c r="BJ2735" s="2">
        <v>0.2</v>
      </c>
      <c r="BK2735" s="2">
        <v>1</v>
      </c>
      <c r="BL2735" s="2">
        <v>41.73</v>
      </c>
      <c r="BM2735" s="2">
        <v>5.84</v>
      </c>
      <c r="BN2735" s="2">
        <v>47.57</v>
      </c>
      <c r="BO2735" s="2">
        <v>47.57</v>
      </c>
      <c r="BP2735" s="2"/>
      <c r="BQ2735" s="2" t="s">
        <v>109</v>
      </c>
      <c r="BR2735" s="2" t="s">
        <v>84</v>
      </c>
      <c r="BS2735" s="3">
        <v>42849</v>
      </c>
      <c r="BT2735" s="4">
        <v>0.36458333333333331</v>
      </c>
      <c r="BU2735" s="2" t="s">
        <v>3001</v>
      </c>
      <c r="BV2735" s="2" t="s">
        <v>111</v>
      </c>
      <c r="BW2735" s="2"/>
      <c r="BX2735" s="2"/>
      <c r="BY2735" s="2">
        <v>1200</v>
      </c>
      <c r="BZ2735" s="2" t="s">
        <v>27</v>
      </c>
      <c r="CA2735" s="2"/>
      <c r="CB2735" s="2"/>
      <c r="CC2735" s="2" t="s">
        <v>100</v>
      </c>
      <c r="CD2735" s="2">
        <v>6001</v>
      </c>
      <c r="CE2735" s="2" t="s">
        <v>118</v>
      </c>
      <c r="CF2735" s="5">
        <v>42851</v>
      </c>
      <c r="CG2735" s="2"/>
      <c r="CH2735" s="2"/>
      <c r="CI2735" s="2">
        <v>1</v>
      </c>
      <c r="CJ2735" s="2">
        <v>1</v>
      </c>
      <c r="CK2735" s="2">
        <v>21</v>
      </c>
      <c r="CL2735" s="2" t="s">
        <v>86</v>
      </c>
      <c r="CM2735" s="2"/>
    </row>
    <row r="2736" spans="1:91">
      <c r="A2736" s="2" t="s">
        <v>71</v>
      </c>
      <c r="B2736" s="2" t="s">
        <v>72</v>
      </c>
      <c r="C2736" s="2" t="s">
        <v>73</v>
      </c>
      <c r="D2736" s="2"/>
      <c r="E2736" s="2" t="str">
        <f>"FES1162544960"</f>
        <v>FES1162544960</v>
      </c>
      <c r="F2736" s="3">
        <v>42846</v>
      </c>
      <c r="G2736" s="2">
        <v>201710</v>
      </c>
      <c r="H2736" s="2" t="s">
        <v>74</v>
      </c>
      <c r="I2736" s="2" t="s">
        <v>75</v>
      </c>
      <c r="J2736" s="2" t="s">
        <v>76</v>
      </c>
      <c r="K2736" s="2" t="s">
        <v>77</v>
      </c>
      <c r="L2736" s="2" t="s">
        <v>231</v>
      </c>
      <c r="M2736" s="2" t="s">
        <v>232</v>
      </c>
      <c r="N2736" s="2" t="s">
        <v>316</v>
      </c>
      <c r="O2736" s="2" t="s">
        <v>115</v>
      </c>
      <c r="P2736" s="2" t="str">
        <f>"2170563452                    "</f>
        <v xml:space="preserve">2170563452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6.03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1</v>
      </c>
      <c r="BJ2736" s="2">
        <v>0.2</v>
      </c>
      <c r="BK2736" s="2">
        <v>1</v>
      </c>
      <c r="BL2736" s="2">
        <v>58.68</v>
      </c>
      <c r="BM2736" s="2">
        <v>8.2200000000000006</v>
      </c>
      <c r="BN2736" s="2">
        <v>66.900000000000006</v>
      </c>
      <c r="BO2736" s="2">
        <v>66.900000000000006</v>
      </c>
      <c r="BP2736" s="2"/>
      <c r="BQ2736" s="2" t="s">
        <v>317</v>
      </c>
      <c r="BR2736" s="2" t="s">
        <v>84</v>
      </c>
      <c r="BS2736" s="3">
        <v>42849</v>
      </c>
      <c r="BT2736" s="4">
        <v>0.48958333333333331</v>
      </c>
      <c r="BU2736" s="2" t="s">
        <v>318</v>
      </c>
      <c r="BV2736" s="2" t="s">
        <v>111</v>
      </c>
      <c r="BW2736" s="2"/>
      <c r="BX2736" s="2"/>
      <c r="BY2736" s="2">
        <v>1200</v>
      </c>
      <c r="BZ2736" s="2"/>
      <c r="CA2736" s="2"/>
      <c r="CB2736" s="2"/>
      <c r="CC2736" s="2" t="s">
        <v>232</v>
      </c>
      <c r="CD2736" s="2">
        <v>250</v>
      </c>
      <c r="CE2736" s="2" t="s">
        <v>118</v>
      </c>
      <c r="CF2736" s="5">
        <v>42851</v>
      </c>
      <c r="CG2736" s="2"/>
      <c r="CH2736" s="2"/>
      <c r="CI2736" s="2">
        <v>1</v>
      </c>
      <c r="CJ2736" s="2">
        <v>1</v>
      </c>
      <c r="CK2736" s="2">
        <v>24</v>
      </c>
      <c r="CL2736" s="2" t="s">
        <v>86</v>
      </c>
      <c r="CM2736" s="2"/>
    </row>
    <row r="2737" spans="1:91">
      <c r="A2737" s="2" t="s">
        <v>71</v>
      </c>
      <c r="B2737" s="2" t="s">
        <v>72</v>
      </c>
      <c r="C2737" s="2" t="s">
        <v>73</v>
      </c>
      <c r="D2737" s="2"/>
      <c r="E2737" s="2" t="str">
        <f>"FES1162544447"</f>
        <v>FES1162544447</v>
      </c>
      <c r="F2737" s="3">
        <v>42846</v>
      </c>
      <c r="G2737" s="2">
        <v>201710</v>
      </c>
      <c r="H2737" s="2" t="s">
        <v>74</v>
      </c>
      <c r="I2737" s="2" t="s">
        <v>75</v>
      </c>
      <c r="J2737" s="2" t="s">
        <v>76</v>
      </c>
      <c r="K2737" s="2" t="s">
        <v>77</v>
      </c>
      <c r="L2737" s="2" t="s">
        <v>503</v>
      </c>
      <c r="M2737" s="2" t="s">
        <v>504</v>
      </c>
      <c r="N2737" s="2" t="s">
        <v>764</v>
      </c>
      <c r="O2737" s="2" t="s">
        <v>115</v>
      </c>
      <c r="P2737" s="2" t="str">
        <f>"2170563044                    "</f>
        <v xml:space="preserve">2170563044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3.35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2</v>
      </c>
      <c r="BJ2737" s="2">
        <v>5</v>
      </c>
      <c r="BK2737" s="2">
        <v>5</v>
      </c>
      <c r="BL2737" s="2">
        <v>32.6</v>
      </c>
      <c r="BM2737" s="2">
        <v>4.5599999999999996</v>
      </c>
      <c r="BN2737" s="2">
        <v>37.159999999999997</v>
      </c>
      <c r="BO2737" s="2">
        <v>37.159999999999997</v>
      </c>
      <c r="BP2737" s="2"/>
      <c r="BQ2737" s="2" t="s">
        <v>765</v>
      </c>
      <c r="BR2737" s="2" t="s">
        <v>84</v>
      </c>
      <c r="BS2737" s="3">
        <v>42849</v>
      </c>
      <c r="BT2737" s="4">
        <v>0.42499999999999999</v>
      </c>
      <c r="BU2737" s="2" t="s">
        <v>3013</v>
      </c>
      <c r="BV2737" s="2" t="s">
        <v>111</v>
      </c>
      <c r="BW2737" s="2"/>
      <c r="BX2737" s="2"/>
      <c r="BY2737" s="2">
        <v>25047</v>
      </c>
      <c r="BZ2737" s="2" t="s">
        <v>27</v>
      </c>
      <c r="CA2737" s="2" t="s">
        <v>2639</v>
      </c>
      <c r="CB2737" s="2"/>
      <c r="CC2737" s="2" t="s">
        <v>504</v>
      </c>
      <c r="CD2737" s="2">
        <v>1501</v>
      </c>
      <c r="CE2737" s="2" t="s">
        <v>89</v>
      </c>
      <c r="CF2737" s="5">
        <v>42849</v>
      </c>
      <c r="CG2737" s="2"/>
      <c r="CH2737" s="2"/>
      <c r="CI2737" s="2">
        <v>1</v>
      </c>
      <c r="CJ2737" s="2">
        <v>1</v>
      </c>
      <c r="CK2737" s="2">
        <v>22</v>
      </c>
      <c r="CL2737" s="2" t="s">
        <v>86</v>
      </c>
      <c r="CM2737" s="2"/>
    </row>
    <row r="2738" spans="1:91">
      <c r="A2738" s="2" t="s">
        <v>71</v>
      </c>
      <c r="B2738" s="2" t="s">
        <v>72</v>
      </c>
      <c r="C2738" s="2" t="s">
        <v>73</v>
      </c>
      <c r="D2738" s="2"/>
      <c r="E2738" s="2" t="str">
        <f>"FES1162545035"</f>
        <v>FES1162545035</v>
      </c>
      <c r="F2738" s="3">
        <v>42846</v>
      </c>
      <c r="G2738" s="2">
        <v>201710</v>
      </c>
      <c r="H2738" s="2" t="s">
        <v>74</v>
      </c>
      <c r="I2738" s="2" t="s">
        <v>75</v>
      </c>
      <c r="J2738" s="2" t="s">
        <v>76</v>
      </c>
      <c r="K2738" s="2" t="s">
        <v>77</v>
      </c>
      <c r="L2738" s="2" t="s">
        <v>139</v>
      </c>
      <c r="M2738" s="2" t="s">
        <v>140</v>
      </c>
      <c r="N2738" s="2" t="s">
        <v>826</v>
      </c>
      <c r="O2738" s="2" t="s">
        <v>115</v>
      </c>
      <c r="P2738" s="2" t="str">
        <f>"2170563100                    "</f>
        <v xml:space="preserve">2170563100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4.29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1</v>
      </c>
      <c r="BI2738" s="2">
        <v>2</v>
      </c>
      <c r="BJ2738" s="2">
        <v>0.2</v>
      </c>
      <c r="BK2738" s="2">
        <v>2</v>
      </c>
      <c r="BL2738" s="2">
        <v>41.73</v>
      </c>
      <c r="BM2738" s="2">
        <v>5.84</v>
      </c>
      <c r="BN2738" s="2">
        <v>47.57</v>
      </c>
      <c r="BO2738" s="2">
        <v>47.57</v>
      </c>
      <c r="BP2738" s="2"/>
      <c r="BQ2738" s="2" t="s">
        <v>827</v>
      </c>
      <c r="BR2738" s="2" t="s">
        <v>84</v>
      </c>
      <c r="BS2738" s="3">
        <v>42849</v>
      </c>
      <c r="BT2738" s="4">
        <v>0.37291666666666662</v>
      </c>
      <c r="BU2738" s="2" t="s">
        <v>3014</v>
      </c>
      <c r="BV2738" s="2" t="s">
        <v>111</v>
      </c>
      <c r="BW2738" s="2"/>
      <c r="BX2738" s="2"/>
      <c r="BY2738" s="2">
        <v>1200</v>
      </c>
      <c r="BZ2738" s="2"/>
      <c r="CA2738" s="2"/>
      <c r="CB2738" s="2"/>
      <c r="CC2738" s="2" t="s">
        <v>140</v>
      </c>
      <c r="CD2738" s="2">
        <v>157</v>
      </c>
      <c r="CE2738" s="2" t="s">
        <v>118</v>
      </c>
      <c r="CF2738" s="5">
        <v>42851</v>
      </c>
      <c r="CG2738" s="2"/>
      <c r="CH2738" s="2"/>
      <c r="CI2738" s="2">
        <v>0</v>
      </c>
      <c r="CJ2738" s="2">
        <v>0</v>
      </c>
      <c r="CK2738" s="2">
        <v>21</v>
      </c>
      <c r="CL2738" s="2" t="s">
        <v>86</v>
      </c>
      <c r="CM2738" s="2"/>
    </row>
    <row r="2739" spans="1:91">
      <c r="A2739" s="2" t="s">
        <v>71</v>
      </c>
      <c r="B2739" s="2" t="s">
        <v>72</v>
      </c>
      <c r="C2739" s="2" t="s">
        <v>73</v>
      </c>
      <c r="D2739" s="2"/>
      <c r="E2739" s="2" t="str">
        <f>"FES1162544995"</f>
        <v>FES1162544995</v>
      </c>
      <c r="F2739" s="3">
        <v>42846</v>
      </c>
      <c r="G2739" s="2">
        <v>201710</v>
      </c>
      <c r="H2739" s="2" t="s">
        <v>74</v>
      </c>
      <c r="I2739" s="2" t="s">
        <v>75</v>
      </c>
      <c r="J2739" s="2" t="s">
        <v>76</v>
      </c>
      <c r="K2739" s="2" t="s">
        <v>77</v>
      </c>
      <c r="L2739" s="2" t="s">
        <v>91</v>
      </c>
      <c r="M2739" s="2" t="s">
        <v>92</v>
      </c>
      <c r="N2739" s="2" t="s">
        <v>1445</v>
      </c>
      <c r="O2739" s="2" t="s">
        <v>115</v>
      </c>
      <c r="P2739" s="2" t="str">
        <f>"2170563484                    "</f>
        <v xml:space="preserve">2170563484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3.35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1</v>
      </c>
      <c r="BJ2739" s="2">
        <v>0.2</v>
      </c>
      <c r="BK2739" s="2">
        <v>1</v>
      </c>
      <c r="BL2739" s="2">
        <v>32.6</v>
      </c>
      <c r="BM2739" s="2">
        <v>4.5599999999999996</v>
      </c>
      <c r="BN2739" s="2">
        <v>37.159999999999997</v>
      </c>
      <c r="BO2739" s="2">
        <v>37.159999999999997</v>
      </c>
      <c r="BP2739" s="2"/>
      <c r="BQ2739" s="2" t="s">
        <v>1446</v>
      </c>
      <c r="BR2739" s="2" t="s">
        <v>84</v>
      </c>
      <c r="BS2739" s="3">
        <v>42849</v>
      </c>
      <c r="BT2739" s="4">
        <v>0.42569444444444443</v>
      </c>
      <c r="BU2739" s="2" t="s">
        <v>2567</v>
      </c>
      <c r="BV2739" s="2" t="s">
        <v>111</v>
      </c>
      <c r="BW2739" s="2"/>
      <c r="BX2739" s="2"/>
      <c r="BY2739" s="2">
        <v>1200</v>
      </c>
      <c r="BZ2739" s="2"/>
      <c r="CA2739" s="2" t="s">
        <v>1687</v>
      </c>
      <c r="CB2739" s="2"/>
      <c r="CC2739" s="2" t="s">
        <v>92</v>
      </c>
      <c r="CD2739" s="2">
        <v>1406</v>
      </c>
      <c r="CE2739" s="2" t="s">
        <v>118</v>
      </c>
      <c r="CF2739" s="5">
        <v>42849</v>
      </c>
      <c r="CG2739" s="2"/>
      <c r="CH2739" s="2"/>
      <c r="CI2739" s="2">
        <v>1</v>
      </c>
      <c r="CJ2739" s="2">
        <v>1</v>
      </c>
      <c r="CK2739" s="2">
        <v>22</v>
      </c>
      <c r="CL2739" s="2" t="s">
        <v>86</v>
      </c>
      <c r="CM2739" s="2"/>
    </row>
    <row r="2740" spans="1:91">
      <c r="A2740" s="2" t="s">
        <v>71</v>
      </c>
      <c r="B2740" s="2" t="s">
        <v>72</v>
      </c>
      <c r="C2740" s="2" t="s">
        <v>73</v>
      </c>
      <c r="D2740" s="2"/>
      <c r="E2740" s="2" t="str">
        <f>"FES1162544480"</f>
        <v>FES1162544480</v>
      </c>
      <c r="F2740" s="3">
        <v>42846</v>
      </c>
      <c r="G2740" s="2">
        <v>201710</v>
      </c>
      <c r="H2740" s="2" t="s">
        <v>74</v>
      </c>
      <c r="I2740" s="2" t="s">
        <v>75</v>
      </c>
      <c r="J2740" s="2" t="s">
        <v>76</v>
      </c>
      <c r="K2740" s="2" t="s">
        <v>77</v>
      </c>
      <c r="L2740" s="2" t="s">
        <v>74</v>
      </c>
      <c r="M2740" s="2" t="s">
        <v>75</v>
      </c>
      <c r="N2740" s="2" t="s">
        <v>436</v>
      </c>
      <c r="O2740" s="2" t="s">
        <v>115</v>
      </c>
      <c r="P2740" s="2" t="str">
        <f>"2170563074                    "</f>
        <v xml:space="preserve">2170563074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3.35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1</v>
      </c>
      <c r="BJ2740" s="2">
        <v>0.2</v>
      </c>
      <c r="BK2740" s="2">
        <v>1</v>
      </c>
      <c r="BL2740" s="2">
        <v>32.6</v>
      </c>
      <c r="BM2740" s="2">
        <v>4.5599999999999996</v>
      </c>
      <c r="BN2740" s="2">
        <v>37.159999999999997</v>
      </c>
      <c r="BO2740" s="2">
        <v>37.159999999999997</v>
      </c>
      <c r="BP2740" s="2"/>
      <c r="BQ2740" s="2" t="s">
        <v>437</v>
      </c>
      <c r="BR2740" s="2" t="s">
        <v>84</v>
      </c>
      <c r="BS2740" s="3">
        <v>42849</v>
      </c>
      <c r="BT2740" s="4">
        <v>0.37708333333333338</v>
      </c>
      <c r="BU2740" s="2" t="s">
        <v>1254</v>
      </c>
      <c r="BV2740" s="2" t="s">
        <v>111</v>
      </c>
      <c r="BW2740" s="2"/>
      <c r="BX2740" s="2"/>
      <c r="BY2740" s="2">
        <v>1200</v>
      </c>
      <c r="BZ2740" s="2" t="s">
        <v>27</v>
      </c>
      <c r="CA2740" s="2" t="s">
        <v>383</v>
      </c>
      <c r="CB2740" s="2"/>
      <c r="CC2740" s="2" t="s">
        <v>75</v>
      </c>
      <c r="CD2740" s="2">
        <v>1600</v>
      </c>
      <c r="CE2740" s="2" t="s">
        <v>118</v>
      </c>
      <c r="CF2740" s="5">
        <v>42849</v>
      </c>
      <c r="CG2740" s="2"/>
      <c r="CH2740" s="2"/>
      <c r="CI2740" s="2">
        <v>1</v>
      </c>
      <c r="CJ2740" s="2">
        <v>1</v>
      </c>
      <c r="CK2740" s="2">
        <v>22</v>
      </c>
      <c r="CL2740" s="2" t="s">
        <v>86</v>
      </c>
      <c r="CM2740" s="2"/>
    </row>
    <row r="2741" spans="1:91">
      <c r="A2741" s="2" t="s">
        <v>71</v>
      </c>
      <c r="B2741" s="2" t="s">
        <v>72</v>
      </c>
      <c r="C2741" s="2" t="s">
        <v>73</v>
      </c>
      <c r="D2741" s="2"/>
      <c r="E2741" s="2" t="str">
        <f>"FES1162545011"</f>
        <v>FES1162545011</v>
      </c>
      <c r="F2741" s="3">
        <v>42846</v>
      </c>
      <c r="G2741" s="2">
        <v>201710</v>
      </c>
      <c r="H2741" s="2" t="s">
        <v>74</v>
      </c>
      <c r="I2741" s="2" t="s">
        <v>75</v>
      </c>
      <c r="J2741" s="2" t="s">
        <v>76</v>
      </c>
      <c r="K2741" s="2" t="s">
        <v>77</v>
      </c>
      <c r="L2741" s="2" t="s">
        <v>119</v>
      </c>
      <c r="M2741" s="2" t="s">
        <v>120</v>
      </c>
      <c r="N2741" s="2" t="s">
        <v>3015</v>
      </c>
      <c r="O2741" s="2" t="s">
        <v>115</v>
      </c>
      <c r="P2741" s="2" t="str">
        <f>"2170563508                    "</f>
        <v xml:space="preserve">2170563508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3.35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1</v>
      </c>
      <c r="BJ2741" s="2">
        <v>0.2</v>
      </c>
      <c r="BK2741" s="2">
        <v>1</v>
      </c>
      <c r="BL2741" s="2">
        <v>32.6</v>
      </c>
      <c r="BM2741" s="2">
        <v>4.5599999999999996</v>
      </c>
      <c r="BN2741" s="2">
        <v>37.159999999999997</v>
      </c>
      <c r="BO2741" s="2">
        <v>37.159999999999997</v>
      </c>
      <c r="BP2741" s="2"/>
      <c r="BQ2741" s="2" t="s">
        <v>3016</v>
      </c>
      <c r="BR2741" s="2" t="s">
        <v>84</v>
      </c>
      <c r="BS2741" s="3">
        <v>42849</v>
      </c>
      <c r="BT2741" s="4">
        <v>0.41666666666666669</v>
      </c>
      <c r="BU2741" s="2" t="s">
        <v>3017</v>
      </c>
      <c r="BV2741" s="2" t="s">
        <v>111</v>
      </c>
      <c r="BW2741" s="2"/>
      <c r="BX2741" s="2"/>
      <c r="BY2741" s="2">
        <v>1200</v>
      </c>
      <c r="BZ2741" s="2"/>
      <c r="CA2741" s="2" t="s">
        <v>125</v>
      </c>
      <c r="CB2741" s="2"/>
      <c r="CC2741" s="2" t="s">
        <v>120</v>
      </c>
      <c r="CD2741" s="2">
        <v>2162</v>
      </c>
      <c r="CE2741" s="2" t="s">
        <v>118</v>
      </c>
      <c r="CF2741" s="5">
        <v>42850</v>
      </c>
      <c r="CG2741" s="2"/>
      <c r="CH2741" s="2"/>
      <c r="CI2741" s="2">
        <v>1</v>
      </c>
      <c r="CJ2741" s="2">
        <v>1</v>
      </c>
      <c r="CK2741" s="2">
        <v>22</v>
      </c>
      <c r="CL2741" s="2" t="s">
        <v>86</v>
      </c>
      <c r="CM2741" s="2"/>
    </row>
    <row r="2742" spans="1:91">
      <c r="A2742" s="2" t="s">
        <v>71</v>
      </c>
      <c r="B2742" s="2" t="s">
        <v>72</v>
      </c>
      <c r="C2742" s="2" t="s">
        <v>73</v>
      </c>
      <c r="D2742" s="2"/>
      <c r="E2742" s="2" t="str">
        <f>"FES1162544542"</f>
        <v>FES1162544542</v>
      </c>
      <c r="F2742" s="3">
        <v>42846</v>
      </c>
      <c r="G2742" s="2">
        <v>201710</v>
      </c>
      <c r="H2742" s="2" t="s">
        <v>74</v>
      </c>
      <c r="I2742" s="2" t="s">
        <v>75</v>
      </c>
      <c r="J2742" s="2" t="s">
        <v>76</v>
      </c>
      <c r="K2742" s="2" t="s">
        <v>77</v>
      </c>
      <c r="L2742" s="2" t="s">
        <v>74</v>
      </c>
      <c r="M2742" s="2" t="s">
        <v>75</v>
      </c>
      <c r="N2742" s="2" t="s">
        <v>2682</v>
      </c>
      <c r="O2742" s="2" t="s">
        <v>115</v>
      </c>
      <c r="P2742" s="2" t="str">
        <f>"2170563122                    "</f>
        <v xml:space="preserve">2170563122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3.35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1</v>
      </c>
      <c r="BJ2742" s="2">
        <v>0.2</v>
      </c>
      <c r="BK2742" s="2">
        <v>1</v>
      </c>
      <c r="BL2742" s="2">
        <v>32.6</v>
      </c>
      <c r="BM2742" s="2">
        <v>4.5599999999999996</v>
      </c>
      <c r="BN2742" s="2">
        <v>37.159999999999997</v>
      </c>
      <c r="BO2742" s="2">
        <v>37.159999999999997</v>
      </c>
      <c r="BP2742" s="2"/>
      <c r="BQ2742" s="2" t="s">
        <v>2683</v>
      </c>
      <c r="BR2742" s="2" t="s">
        <v>84</v>
      </c>
      <c r="BS2742" s="3">
        <v>42849</v>
      </c>
      <c r="BT2742" s="4">
        <v>0.38194444444444442</v>
      </c>
      <c r="BU2742" s="2" t="s">
        <v>3018</v>
      </c>
      <c r="BV2742" s="2" t="s">
        <v>111</v>
      </c>
      <c r="BW2742" s="2"/>
      <c r="BX2742" s="2"/>
      <c r="BY2742" s="2">
        <v>1200</v>
      </c>
      <c r="BZ2742" s="2" t="s">
        <v>27</v>
      </c>
      <c r="CA2742" s="2" t="s">
        <v>159</v>
      </c>
      <c r="CB2742" s="2"/>
      <c r="CC2742" s="2" t="s">
        <v>75</v>
      </c>
      <c r="CD2742" s="2">
        <v>1601</v>
      </c>
      <c r="CE2742" s="2" t="s">
        <v>118</v>
      </c>
      <c r="CF2742" s="5">
        <v>42850</v>
      </c>
      <c r="CG2742" s="2"/>
      <c r="CH2742" s="2"/>
      <c r="CI2742" s="2">
        <v>1</v>
      </c>
      <c r="CJ2742" s="2">
        <v>1</v>
      </c>
      <c r="CK2742" s="2">
        <v>22</v>
      </c>
      <c r="CL2742" s="2" t="s">
        <v>86</v>
      </c>
      <c r="CM2742" s="2"/>
    </row>
    <row r="2743" spans="1:91">
      <c r="A2743" s="2" t="s">
        <v>71</v>
      </c>
      <c r="B2743" s="2" t="s">
        <v>72</v>
      </c>
      <c r="C2743" s="2" t="s">
        <v>73</v>
      </c>
      <c r="D2743" s="2"/>
      <c r="E2743" s="2" t="str">
        <f>"FES1162544996"</f>
        <v>FES1162544996</v>
      </c>
      <c r="F2743" s="3">
        <v>42846</v>
      </c>
      <c r="G2743" s="2">
        <v>201710</v>
      </c>
      <c r="H2743" s="2" t="s">
        <v>74</v>
      </c>
      <c r="I2743" s="2" t="s">
        <v>75</v>
      </c>
      <c r="J2743" s="2" t="s">
        <v>76</v>
      </c>
      <c r="K2743" s="2" t="s">
        <v>77</v>
      </c>
      <c r="L2743" s="2" t="s">
        <v>516</v>
      </c>
      <c r="M2743" s="2" t="s">
        <v>517</v>
      </c>
      <c r="N2743" s="2" t="s">
        <v>3019</v>
      </c>
      <c r="O2743" s="2" t="s">
        <v>115</v>
      </c>
      <c r="P2743" s="2" t="str">
        <f>"2170563485                    "</f>
        <v xml:space="preserve">2170563485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3.35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1</v>
      </c>
      <c r="BJ2743" s="2">
        <v>0.2</v>
      </c>
      <c r="BK2743" s="2">
        <v>1</v>
      </c>
      <c r="BL2743" s="2">
        <v>32.6</v>
      </c>
      <c r="BM2743" s="2">
        <v>4.5599999999999996</v>
      </c>
      <c r="BN2743" s="2">
        <v>37.159999999999997</v>
      </c>
      <c r="BO2743" s="2">
        <v>37.159999999999997</v>
      </c>
      <c r="BP2743" s="2"/>
      <c r="BQ2743" s="2" t="s">
        <v>3020</v>
      </c>
      <c r="BR2743" s="2" t="s">
        <v>84</v>
      </c>
      <c r="BS2743" s="3">
        <v>42849</v>
      </c>
      <c r="BT2743" s="4">
        <v>0.3923611111111111</v>
      </c>
      <c r="BU2743" s="2" t="s">
        <v>3021</v>
      </c>
      <c r="BV2743" s="2" t="s">
        <v>111</v>
      </c>
      <c r="BW2743" s="2"/>
      <c r="BX2743" s="2"/>
      <c r="BY2743" s="2">
        <v>1200</v>
      </c>
      <c r="BZ2743" s="2"/>
      <c r="CA2743" s="2"/>
      <c r="CB2743" s="2"/>
      <c r="CC2743" s="2" t="s">
        <v>517</v>
      </c>
      <c r="CD2743" s="2">
        <v>1459</v>
      </c>
      <c r="CE2743" s="2" t="s">
        <v>118</v>
      </c>
      <c r="CF2743" s="5">
        <v>42850</v>
      </c>
      <c r="CG2743" s="2"/>
      <c r="CH2743" s="2"/>
      <c r="CI2743" s="2">
        <v>1</v>
      </c>
      <c r="CJ2743" s="2">
        <v>1</v>
      </c>
      <c r="CK2743" s="2">
        <v>22</v>
      </c>
      <c r="CL2743" s="2" t="s">
        <v>86</v>
      </c>
      <c r="CM2743" s="2"/>
    </row>
    <row r="2744" spans="1:91">
      <c r="A2744" s="2" t="s">
        <v>71</v>
      </c>
      <c r="B2744" s="2" t="s">
        <v>72</v>
      </c>
      <c r="C2744" s="2" t="s">
        <v>73</v>
      </c>
      <c r="D2744" s="2"/>
      <c r="E2744" s="2" t="str">
        <f>"FES1162544614"</f>
        <v>FES1162544614</v>
      </c>
      <c r="F2744" s="3">
        <v>42846</v>
      </c>
      <c r="G2744" s="2">
        <v>201710</v>
      </c>
      <c r="H2744" s="2" t="s">
        <v>74</v>
      </c>
      <c r="I2744" s="2" t="s">
        <v>75</v>
      </c>
      <c r="J2744" s="2" t="s">
        <v>76</v>
      </c>
      <c r="K2744" s="2" t="s">
        <v>77</v>
      </c>
      <c r="L2744" s="2" t="s">
        <v>516</v>
      </c>
      <c r="M2744" s="2" t="s">
        <v>517</v>
      </c>
      <c r="N2744" s="2" t="s">
        <v>3022</v>
      </c>
      <c r="O2744" s="2" t="s">
        <v>115</v>
      </c>
      <c r="P2744" s="2" t="str">
        <f>"2170563161                    "</f>
        <v xml:space="preserve">2170563161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3.35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1</v>
      </c>
      <c r="BJ2744" s="2">
        <v>0.2</v>
      </c>
      <c r="BK2744" s="2">
        <v>1</v>
      </c>
      <c r="BL2744" s="2">
        <v>32.6</v>
      </c>
      <c r="BM2744" s="2">
        <v>4.5599999999999996</v>
      </c>
      <c r="BN2744" s="2">
        <v>37.159999999999997</v>
      </c>
      <c r="BO2744" s="2">
        <v>37.159999999999997</v>
      </c>
      <c r="BP2744" s="2"/>
      <c r="BQ2744" s="2"/>
      <c r="BR2744" s="2" t="s">
        <v>84</v>
      </c>
      <c r="BS2744" s="3">
        <v>42849</v>
      </c>
      <c r="BT2744" s="4">
        <v>0.4055555555555555</v>
      </c>
      <c r="BU2744" s="2" t="s">
        <v>2152</v>
      </c>
      <c r="BV2744" s="2" t="s">
        <v>111</v>
      </c>
      <c r="BW2744" s="2"/>
      <c r="BX2744" s="2"/>
      <c r="BY2744" s="2">
        <v>1200</v>
      </c>
      <c r="BZ2744" s="2" t="s">
        <v>27</v>
      </c>
      <c r="CA2744" s="2" t="s">
        <v>2639</v>
      </c>
      <c r="CB2744" s="2"/>
      <c r="CC2744" s="2" t="s">
        <v>517</v>
      </c>
      <c r="CD2744" s="2">
        <v>1459</v>
      </c>
      <c r="CE2744" s="2" t="s">
        <v>118</v>
      </c>
      <c r="CF2744" s="5">
        <v>42849</v>
      </c>
      <c r="CG2744" s="2"/>
      <c r="CH2744" s="2"/>
      <c r="CI2744" s="2">
        <v>1</v>
      </c>
      <c r="CJ2744" s="2">
        <v>1</v>
      </c>
      <c r="CK2744" s="2">
        <v>22</v>
      </c>
      <c r="CL2744" s="2" t="s">
        <v>86</v>
      </c>
      <c r="CM2744" s="2"/>
    </row>
    <row r="2745" spans="1:91">
      <c r="A2745" s="2" t="s">
        <v>71</v>
      </c>
      <c r="B2745" s="2" t="s">
        <v>72</v>
      </c>
      <c r="C2745" s="2" t="s">
        <v>73</v>
      </c>
      <c r="D2745" s="2"/>
      <c r="E2745" s="2" t="str">
        <f>"FES1162544483"</f>
        <v>FES1162544483</v>
      </c>
      <c r="F2745" s="3">
        <v>42846</v>
      </c>
      <c r="G2745" s="2">
        <v>201710</v>
      </c>
      <c r="H2745" s="2" t="s">
        <v>74</v>
      </c>
      <c r="I2745" s="2" t="s">
        <v>75</v>
      </c>
      <c r="J2745" s="2" t="s">
        <v>76</v>
      </c>
      <c r="K2745" s="2" t="s">
        <v>77</v>
      </c>
      <c r="L2745" s="2" t="s">
        <v>260</v>
      </c>
      <c r="M2745" s="2" t="s">
        <v>261</v>
      </c>
      <c r="N2745" s="2" t="s">
        <v>326</v>
      </c>
      <c r="O2745" s="2" t="s">
        <v>115</v>
      </c>
      <c r="P2745" s="2" t="str">
        <f>"2170563080                    "</f>
        <v xml:space="preserve">2170563080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3.35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1</v>
      </c>
      <c r="BJ2745" s="2">
        <v>0.2</v>
      </c>
      <c r="BK2745" s="2">
        <v>1</v>
      </c>
      <c r="BL2745" s="2">
        <v>32.6</v>
      </c>
      <c r="BM2745" s="2">
        <v>4.5599999999999996</v>
      </c>
      <c r="BN2745" s="2">
        <v>37.159999999999997</v>
      </c>
      <c r="BO2745" s="2">
        <v>37.159999999999997</v>
      </c>
      <c r="BP2745" s="2"/>
      <c r="BQ2745" s="2"/>
      <c r="BR2745" s="2" t="s">
        <v>84</v>
      </c>
      <c r="BS2745" s="3">
        <v>42851</v>
      </c>
      <c r="BT2745" s="4">
        <v>0.41666666666666669</v>
      </c>
      <c r="BU2745" s="2" t="s">
        <v>3023</v>
      </c>
      <c r="BV2745" s="2" t="s">
        <v>86</v>
      </c>
      <c r="BW2745" s="2" t="s">
        <v>96</v>
      </c>
      <c r="BX2745" s="2" t="s">
        <v>309</v>
      </c>
      <c r="BY2745" s="2">
        <v>1200</v>
      </c>
      <c r="BZ2745" s="2" t="s">
        <v>27</v>
      </c>
      <c r="CA2745" s="2"/>
      <c r="CB2745" s="2"/>
      <c r="CC2745" s="2" t="s">
        <v>261</v>
      </c>
      <c r="CD2745" s="2">
        <v>1451</v>
      </c>
      <c r="CE2745" s="2" t="s">
        <v>118</v>
      </c>
      <c r="CF2745" s="2"/>
      <c r="CG2745" s="2"/>
      <c r="CH2745" s="2"/>
      <c r="CI2745" s="2">
        <v>1</v>
      </c>
      <c r="CJ2745" s="2">
        <v>3</v>
      </c>
      <c r="CK2745" s="2">
        <v>22</v>
      </c>
      <c r="CL2745" s="2" t="s">
        <v>86</v>
      </c>
      <c r="CM2745" s="2"/>
    </row>
    <row r="2746" spans="1:91">
      <c r="A2746" s="2" t="s">
        <v>71</v>
      </c>
      <c r="B2746" s="2" t="s">
        <v>72</v>
      </c>
      <c r="C2746" s="2" t="s">
        <v>73</v>
      </c>
      <c r="D2746" s="2"/>
      <c r="E2746" s="2" t="str">
        <f>"FES11625447753"</f>
        <v>FES11625447753</v>
      </c>
      <c r="F2746" s="3">
        <v>42846</v>
      </c>
      <c r="G2746" s="2">
        <v>201710</v>
      </c>
      <c r="H2746" s="2" t="s">
        <v>74</v>
      </c>
      <c r="I2746" s="2" t="s">
        <v>75</v>
      </c>
      <c r="J2746" s="2" t="s">
        <v>76</v>
      </c>
      <c r="K2746" s="2" t="s">
        <v>77</v>
      </c>
      <c r="L2746" s="2" t="s">
        <v>74</v>
      </c>
      <c r="M2746" s="2" t="s">
        <v>75</v>
      </c>
      <c r="N2746" s="2" t="s">
        <v>1157</v>
      </c>
      <c r="O2746" s="2" t="s">
        <v>115</v>
      </c>
      <c r="P2746" s="2" t="str">
        <f>"2170562664                    "</f>
        <v xml:space="preserve">2170562664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3.35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3</v>
      </c>
      <c r="BJ2746" s="2">
        <v>0.2</v>
      </c>
      <c r="BK2746" s="2">
        <v>3</v>
      </c>
      <c r="BL2746" s="2">
        <v>32.6</v>
      </c>
      <c r="BM2746" s="2">
        <v>4.5599999999999996</v>
      </c>
      <c r="BN2746" s="2">
        <v>37.159999999999997</v>
      </c>
      <c r="BO2746" s="2">
        <v>37.159999999999997</v>
      </c>
      <c r="BP2746" s="2"/>
      <c r="BQ2746" s="2" t="s">
        <v>1158</v>
      </c>
      <c r="BR2746" s="2" t="s">
        <v>84</v>
      </c>
      <c r="BS2746" s="3">
        <v>42849</v>
      </c>
      <c r="BT2746" s="4">
        <v>0.41666666666666669</v>
      </c>
      <c r="BU2746" s="2" t="s">
        <v>2152</v>
      </c>
      <c r="BV2746" s="2" t="s">
        <v>111</v>
      </c>
      <c r="BW2746" s="2"/>
      <c r="BX2746" s="2"/>
      <c r="BY2746" s="2">
        <v>1200</v>
      </c>
      <c r="BZ2746" s="2"/>
      <c r="CA2746" s="2"/>
      <c r="CB2746" s="2"/>
      <c r="CC2746" s="2" t="s">
        <v>75</v>
      </c>
      <c r="CD2746" s="2">
        <v>1666</v>
      </c>
      <c r="CE2746" s="2" t="s">
        <v>118</v>
      </c>
      <c r="CF2746" s="2"/>
      <c r="CG2746" s="2"/>
      <c r="CH2746" s="2"/>
      <c r="CI2746" s="2">
        <v>1</v>
      </c>
      <c r="CJ2746" s="2">
        <v>1</v>
      </c>
      <c r="CK2746" s="2">
        <v>22</v>
      </c>
      <c r="CL2746" s="2" t="s">
        <v>86</v>
      </c>
      <c r="CM2746" s="2"/>
    </row>
    <row r="2747" spans="1:91">
      <c r="A2747" s="2" t="s">
        <v>71</v>
      </c>
      <c r="B2747" s="2" t="s">
        <v>72</v>
      </c>
      <c r="C2747" s="2" t="s">
        <v>73</v>
      </c>
      <c r="D2747" s="2"/>
      <c r="E2747" s="2" t="str">
        <f>"FES1162544776"</f>
        <v>FES1162544776</v>
      </c>
      <c r="F2747" s="3">
        <v>42846</v>
      </c>
      <c r="G2747" s="2">
        <v>201710</v>
      </c>
      <c r="H2747" s="2" t="s">
        <v>74</v>
      </c>
      <c r="I2747" s="2" t="s">
        <v>75</v>
      </c>
      <c r="J2747" s="2" t="s">
        <v>76</v>
      </c>
      <c r="K2747" s="2" t="s">
        <v>77</v>
      </c>
      <c r="L2747" s="2" t="s">
        <v>212</v>
      </c>
      <c r="M2747" s="2" t="s">
        <v>213</v>
      </c>
      <c r="N2747" s="2" t="s">
        <v>509</v>
      </c>
      <c r="O2747" s="2" t="s">
        <v>115</v>
      </c>
      <c r="P2747" s="2" t="str">
        <f>"2170563301                    "</f>
        <v xml:space="preserve">2170563301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6.03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1</v>
      </c>
      <c r="BJ2747" s="2">
        <v>0.2</v>
      </c>
      <c r="BK2747" s="2">
        <v>1</v>
      </c>
      <c r="BL2747" s="2">
        <v>58.68</v>
      </c>
      <c r="BM2747" s="2">
        <v>8.2200000000000006</v>
      </c>
      <c r="BN2747" s="2">
        <v>66.900000000000006</v>
      </c>
      <c r="BO2747" s="2">
        <v>66.900000000000006</v>
      </c>
      <c r="BP2747" s="2"/>
      <c r="BQ2747" s="2" t="s">
        <v>510</v>
      </c>
      <c r="BR2747" s="2" t="s">
        <v>84</v>
      </c>
      <c r="BS2747" s="3">
        <v>42849</v>
      </c>
      <c r="BT2747" s="4">
        <v>0.53125</v>
      </c>
      <c r="BU2747" s="2" t="s">
        <v>511</v>
      </c>
      <c r="BV2747" s="2" t="s">
        <v>111</v>
      </c>
      <c r="BW2747" s="2"/>
      <c r="BX2747" s="2"/>
      <c r="BY2747" s="2">
        <v>1200</v>
      </c>
      <c r="BZ2747" s="2" t="s">
        <v>27</v>
      </c>
      <c r="CA2747" s="2"/>
      <c r="CB2747" s="2"/>
      <c r="CC2747" s="2" t="s">
        <v>213</v>
      </c>
      <c r="CD2747" s="2">
        <v>1001</v>
      </c>
      <c r="CE2747" s="2" t="s">
        <v>118</v>
      </c>
      <c r="CF2747" s="5">
        <v>42851</v>
      </c>
      <c r="CG2747" s="2"/>
      <c r="CH2747" s="2"/>
      <c r="CI2747" s="2">
        <v>0</v>
      </c>
      <c r="CJ2747" s="2">
        <v>0</v>
      </c>
      <c r="CK2747" s="2">
        <v>24</v>
      </c>
      <c r="CL2747" s="2" t="s">
        <v>86</v>
      </c>
      <c r="CM2747" s="2"/>
    </row>
    <row r="2748" spans="1:91">
      <c r="A2748" s="2" t="s">
        <v>71</v>
      </c>
      <c r="B2748" s="2" t="s">
        <v>72</v>
      </c>
      <c r="C2748" s="2" t="s">
        <v>73</v>
      </c>
      <c r="D2748" s="2"/>
      <c r="E2748" s="2" t="str">
        <f>"FES1162544740"</f>
        <v>FES1162544740</v>
      </c>
      <c r="F2748" s="3">
        <v>42846</v>
      </c>
      <c r="G2748" s="2">
        <v>201710</v>
      </c>
      <c r="H2748" s="2" t="s">
        <v>74</v>
      </c>
      <c r="I2748" s="2" t="s">
        <v>75</v>
      </c>
      <c r="J2748" s="2" t="s">
        <v>76</v>
      </c>
      <c r="K2748" s="2" t="s">
        <v>77</v>
      </c>
      <c r="L2748" s="2" t="s">
        <v>74</v>
      </c>
      <c r="M2748" s="2" t="s">
        <v>75</v>
      </c>
      <c r="N2748" s="2" t="s">
        <v>885</v>
      </c>
      <c r="O2748" s="2" t="s">
        <v>115</v>
      </c>
      <c r="P2748" s="2" t="str">
        <f>"2170562045                    "</f>
        <v xml:space="preserve">2170562045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3.35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1</v>
      </c>
      <c r="BJ2748" s="2">
        <v>0.2</v>
      </c>
      <c r="BK2748" s="2">
        <v>1</v>
      </c>
      <c r="BL2748" s="2">
        <v>32.6</v>
      </c>
      <c r="BM2748" s="2">
        <v>4.5599999999999996</v>
      </c>
      <c r="BN2748" s="2">
        <v>37.159999999999997</v>
      </c>
      <c r="BO2748" s="2">
        <v>37.159999999999997</v>
      </c>
      <c r="BP2748" s="2"/>
      <c r="BQ2748" s="2" t="s">
        <v>886</v>
      </c>
      <c r="BR2748" s="2" t="s">
        <v>84</v>
      </c>
      <c r="BS2748" s="3">
        <v>42849</v>
      </c>
      <c r="BT2748" s="4">
        <v>0.41666666666666669</v>
      </c>
      <c r="BU2748" s="2" t="s">
        <v>3024</v>
      </c>
      <c r="BV2748" s="2" t="s">
        <v>111</v>
      </c>
      <c r="BW2748" s="2"/>
      <c r="BX2748" s="2"/>
      <c r="BY2748" s="2">
        <v>1200</v>
      </c>
      <c r="BZ2748" s="2" t="s">
        <v>27</v>
      </c>
      <c r="CA2748" s="2" t="s">
        <v>159</v>
      </c>
      <c r="CB2748" s="2"/>
      <c r="CC2748" s="2" t="s">
        <v>75</v>
      </c>
      <c r="CD2748" s="2">
        <v>1601</v>
      </c>
      <c r="CE2748" s="2" t="s">
        <v>118</v>
      </c>
      <c r="CF2748" s="5">
        <v>42850</v>
      </c>
      <c r="CG2748" s="2"/>
      <c r="CH2748" s="2"/>
      <c r="CI2748" s="2">
        <v>1</v>
      </c>
      <c r="CJ2748" s="2">
        <v>1</v>
      </c>
      <c r="CK2748" s="2">
        <v>22</v>
      </c>
      <c r="CL2748" s="2" t="s">
        <v>86</v>
      </c>
      <c r="CM2748" s="2"/>
    </row>
    <row r="2749" spans="1:91">
      <c r="A2749" s="2" t="s">
        <v>71</v>
      </c>
      <c r="B2749" s="2" t="s">
        <v>72</v>
      </c>
      <c r="C2749" s="2" t="s">
        <v>73</v>
      </c>
      <c r="D2749" s="2"/>
      <c r="E2749" s="2" t="str">
        <f>"FES1162544997"</f>
        <v>FES1162544997</v>
      </c>
      <c r="F2749" s="3">
        <v>42846</v>
      </c>
      <c r="G2749" s="2">
        <v>201710</v>
      </c>
      <c r="H2749" s="2" t="s">
        <v>74</v>
      </c>
      <c r="I2749" s="2" t="s">
        <v>75</v>
      </c>
      <c r="J2749" s="2" t="s">
        <v>76</v>
      </c>
      <c r="K2749" s="2" t="s">
        <v>77</v>
      </c>
      <c r="L2749" s="2" t="s">
        <v>260</v>
      </c>
      <c r="M2749" s="2" t="s">
        <v>261</v>
      </c>
      <c r="N2749" s="2" t="s">
        <v>1371</v>
      </c>
      <c r="O2749" s="2" t="s">
        <v>115</v>
      </c>
      <c r="P2749" s="2" t="str">
        <f>"2170563487                    "</f>
        <v xml:space="preserve">2170563487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3.35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1</v>
      </c>
      <c r="BJ2749" s="2">
        <v>0.2</v>
      </c>
      <c r="BK2749" s="2">
        <v>1</v>
      </c>
      <c r="BL2749" s="2">
        <v>32.6</v>
      </c>
      <c r="BM2749" s="2">
        <v>4.5599999999999996</v>
      </c>
      <c r="BN2749" s="2">
        <v>37.159999999999997</v>
      </c>
      <c r="BO2749" s="2">
        <v>37.159999999999997</v>
      </c>
      <c r="BP2749" s="2"/>
      <c r="BQ2749" s="2" t="s">
        <v>1372</v>
      </c>
      <c r="BR2749" s="2" t="s">
        <v>84</v>
      </c>
      <c r="BS2749" s="3">
        <v>42849</v>
      </c>
      <c r="BT2749" s="4">
        <v>0.42986111111111108</v>
      </c>
      <c r="BU2749" s="2" t="s">
        <v>2992</v>
      </c>
      <c r="BV2749" s="2" t="s">
        <v>111</v>
      </c>
      <c r="BW2749" s="2"/>
      <c r="BX2749" s="2"/>
      <c r="BY2749" s="2">
        <v>1200</v>
      </c>
      <c r="BZ2749" s="2"/>
      <c r="CA2749" s="2" t="s">
        <v>2993</v>
      </c>
      <c r="CB2749" s="2"/>
      <c r="CC2749" s="2" t="s">
        <v>261</v>
      </c>
      <c r="CD2749" s="2">
        <v>1451</v>
      </c>
      <c r="CE2749" s="2" t="s">
        <v>118</v>
      </c>
      <c r="CF2749" s="5">
        <v>42849</v>
      </c>
      <c r="CG2749" s="2"/>
      <c r="CH2749" s="2"/>
      <c r="CI2749" s="2">
        <v>1</v>
      </c>
      <c r="CJ2749" s="2">
        <v>1</v>
      </c>
      <c r="CK2749" s="2">
        <v>22</v>
      </c>
      <c r="CL2749" s="2" t="s">
        <v>86</v>
      </c>
      <c r="CM2749" s="2"/>
    </row>
    <row r="2750" spans="1:91">
      <c r="A2750" s="2" t="s">
        <v>71</v>
      </c>
      <c r="B2750" s="2" t="s">
        <v>72</v>
      </c>
      <c r="C2750" s="2" t="s">
        <v>73</v>
      </c>
      <c r="D2750" s="2"/>
      <c r="E2750" s="2" t="str">
        <f>"FES1162544787"</f>
        <v>FES1162544787</v>
      </c>
      <c r="F2750" s="3">
        <v>42846</v>
      </c>
      <c r="G2750" s="2">
        <v>201710</v>
      </c>
      <c r="H2750" s="2" t="s">
        <v>74</v>
      </c>
      <c r="I2750" s="2" t="s">
        <v>75</v>
      </c>
      <c r="J2750" s="2" t="s">
        <v>76</v>
      </c>
      <c r="K2750" s="2" t="s">
        <v>77</v>
      </c>
      <c r="L2750" s="2" t="s">
        <v>166</v>
      </c>
      <c r="M2750" s="2" t="s">
        <v>167</v>
      </c>
      <c r="N2750" s="2" t="s">
        <v>1285</v>
      </c>
      <c r="O2750" s="2" t="s">
        <v>115</v>
      </c>
      <c r="P2750" s="2" t="str">
        <f>"2170563337                    "</f>
        <v xml:space="preserve">2170563337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3.35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1</v>
      </c>
      <c r="BJ2750" s="2">
        <v>0.2</v>
      </c>
      <c r="BK2750" s="2">
        <v>1</v>
      </c>
      <c r="BL2750" s="2">
        <v>32.6</v>
      </c>
      <c r="BM2750" s="2">
        <v>4.5599999999999996</v>
      </c>
      <c r="BN2750" s="2">
        <v>37.159999999999997</v>
      </c>
      <c r="BO2750" s="2">
        <v>37.159999999999997</v>
      </c>
      <c r="BP2750" s="2"/>
      <c r="BQ2750" s="2" t="s">
        <v>122</v>
      </c>
      <c r="BR2750" s="2" t="s">
        <v>84</v>
      </c>
      <c r="BS2750" s="3">
        <v>42849</v>
      </c>
      <c r="BT2750" s="4">
        <v>0.3888888888888889</v>
      </c>
      <c r="BU2750" s="2" t="s">
        <v>124</v>
      </c>
      <c r="BV2750" s="2" t="s">
        <v>111</v>
      </c>
      <c r="BW2750" s="2"/>
      <c r="BX2750" s="2"/>
      <c r="BY2750" s="2">
        <v>1200</v>
      </c>
      <c r="BZ2750" s="2" t="s">
        <v>27</v>
      </c>
      <c r="CA2750" s="2" t="s">
        <v>171</v>
      </c>
      <c r="CB2750" s="2"/>
      <c r="CC2750" s="2" t="s">
        <v>167</v>
      </c>
      <c r="CD2750" s="2">
        <v>2197</v>
      </c>
      <c r="CE2750" s="2" t="s">
        <v>118</v>
      </c>
      <c r="CF2750" s="5">
        <v>42849</v>
      </c>
      <c r="CG2750" s="2"/>
      <c r="CH2750" s="2"/>
      <c r="CI2750" s="2">
        <v>1</v>
      </c>
      <c r="CJ2750" s="2">
        <v>1</v>
      </c>
      <c r="CK2750" s="2">
        <v>22</v>
      </c>
      <c r="CL2750" s="2" t="s">
        <v>86</v>
      </c>
      <c r="CM2750" s="2"/>
    </row>
    <row r="2751" spans="1:91">
      <c r="A2751" s="2" t="s">
        <v>71</v>
      </c>
      <c r="B2751" s="2" t="s">
        <v>72</v>
      </c>
      <c r="C2751" s="2" t="s">
        <v>73</v>
      </c>
      <c r="D2751" s="2"/>
      <c r="E2751" s="2" t="str">
        <f>"FES1162544803"</f>
        <v>FES1162544803</v>
      </c>
      <c r="F2751" s="3">
        <v>42846</v>
      </c>
      <c r="G2751" s="2">
        <v>201710</v>
      </c>
      <c r="H2751" s="2" t="s">
        <v>74</v>
      </c>
      <c r="I2751" s="2" t="s">
        <v>75</v>
      </c>
      <c r="J2751" s="2" t="s">
        <v>76</v>
      </c>
      <c r="K2751" s="2" t="s">
        <v>77</v>
      </c>
      <c r="L2751" s="2" t="s">
        <v>74</v>
      </c>
      <c r="M2751" s="2" t="s">
        <v>75</v>
      </c>
      <c r="N2751" s="2" t="s">
        <v>488</v>
      </c>
      <c r="O2751" s="2" t="s">
        <v>115</v>
      </c>
      <c r="P2751" s="2" t="str">
        <f>"2170560981                    "</f>
        <v xml:space="preserve">2170560981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3.35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1</v>
      </c>
      <c r="BJ2751" s="2">
        <v>0.2</v>
      </c>
      <c r="BK2751" s="2">
        <v>1</v>
      </c>
      <c r="BL2751" s="2">
        <v>32.6</v>
      </c>
      <c r="BM2751" s="2">
        <v>4.5599999999999996</v>
      </c>
      <c r="BN2751" s="2">
        <v>37.159999999999997</v>
      </c>
      <c r="BO2751" s="2">
        <v>37.159999999999997</v>
      </c>
      <c r="BP2751" s="2"/>
      <c r="BQ2751" s="2" t="s">
        <v>489</v>
      </c>
      <c r="BR2751" s="2" t="s">
        <v>84</v>
      </c>
      <c r="BS2751" s="3">
        <v>42849</v>
      </c>
      <c r="BT2751" s="4">
        <v>0.41666666666666669</v>
      </c>
      <c r="BU2751" s="2" t="s">
        <v>1750</v>
      </c>
      <c r="BV2751" s="2" t="s">
        <v>111</v>
      </c>
      <c r="BW2751" s="2"/>
      <c r="BX2751" s="2"/>
      <c r="BY2751" s="2">
        <v>1200</v>
      </c>
      <c r="BZ2751" s="2"/>
      <c r="CA2751" s="2"/>
      <c r="CB2751" s="2"/>
      <c r="CC2751" s="2" t="s">
        <v>75</v>
      </c>
      <c r="CD2751" s="2">
        <v>1645</v>
      </c>
      <c r="CE2751" s="2" t="s">
        <v>118</v>
      </c>
      <c r="CF2751" s="5">
        <v>42850</v>
      </c>
      <c r="CG2751" s="2"/>
      <c r="CH2751" s="2"/>
      <c r="CI2751" s="2">
        <v>1</v>
      </c>
      <c r="CJ2751" s="2">
        <v>1</v>
      </c>
      <c r="CK2751" s="2">
        <v>22</v>
      </c>
      <c r="CL2751" s="2" t="s">
        <v>86</v>
      </c>
      <c r="CM2751" s="2"/>
    </row>
    <row r="2752" spans="1:91">
      <c r="A2752" s="2" t="s">
        <v>71</v>
      </c>
      <c r="B2752" s="2" t="s">
        <v>72</v>
      </c>
      <c r="C2752" s="2" t="s">
        <v>73</v>
      </c>
      <c r="D2752" s="2"/>
      <c r="E2752" s="2" t="str">
        <f>"FES1162544635"</f>
        <v>FES1162544635</v>
      </c>
      <c r="F2752" s="3">
        <v>42846</v>
      </c>
      <c r="G2752" s="2">
        <v>201710</v>
      </c>
      <c r="H2752" s="2" t="s">
        <v>74</v>
      </c>
      <c r="I2752" s="2" t="s">
        <v>75</v>
      </c>
      <c r="J2752" s="2" t="s">
        <v>76</v>
      </c>
      <c r="K2752" s="2" t="s">
        <v>77</v>
      </c>
      <c r="L2752" s="2" t="s">
        <v>516</v>
      </c>
      <c r="M2752" s="2" t="s">
        <v>517</v>
      </c>
      <c r="N2752" s="2" t="s">
        <v>755</v>
      </c>
      <c r="O2752" s="2" t="s">
        <v>115</v>
      </c>
      <c r="P2752" s="2" t="str">
        <f>"2170563187                    "</f>
        <v xml:space="preserve">2170563187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3.35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1</v>
      </c>
      <c r="BJ2752" s="2">
        <v>0.2</v>
      </c>
      <c r="BK2752" s="2">
        <v>1</v>
      </c>
      <c r="BL2752" s="2">
        <v>32.6</v>
      </c>
      <c r="BM2752" s="2">
        <v>4.5599999999999996</v>
      </c>
      <c r="BN2752" s="2">
        <v>37.159999999999997</v>
      </c>
      <c r="BO2752" s="2">
        <v>37.159999999999997</v>
      </c>
      <c r="BP2752" s="2"/>
      <c r="BQ2752" s="2" t="s">
        <v>122</v>
      </c>
      <c r="BR2752" s="2" t="s">
        <v>84</v>
      </c>
      <c r="BS2752" s="3">
        <v>42849</v>
      </c>
      <c r="BT2752" s="4">
        <v>0.44930555555555557</v>
      </c>
      <c r="BU2752" s="2" t="s">
        <v>2152</v>
      </c>
      <c r="BV2752" s="2" t="s">
        <v>111</v>
      </c>
      <c r="BW2752" s="2"/>
      <c r="BX2752" s="2"/>
      <c r="BY2752" s="2">
        <v>1200</v>
      </c>
      <c r="BZ2752" s="2" t="s">
        <v>27</v>
      </c>
      <c r="CA2752" s="2" t="s">
        <v>2639</v>
      </c>
      <c r="CB2752" s="2"/>
      <c r="CC2752" s="2" t="s">
        <v>517</v>
      </c>
      <c r="CD2752" s="2">
        <v>1459</v>
      </c>
      <c r="CE2752" s="2" t="s">
        <v>118</v>
      </c>
      <c r="CF2752" s="5">
        <v>42849</v>
      </c>
      <c r="CG2752" s="2"/>
      <c r="CH2752" s="2"/>
      <c r="CI2752" s="2">
        <v>1</v>
      </c>
      <c r="CJ2752" s="2">
        <v>1</v>
      </c>
      <c r="CK2752" s="2">
        <v>22</v>
      </c>
      <c r="CL2752" s="2" t="s">
        <v>86</v>
      </c>
      <c r="CM2752" s="2"/>
    </row>
    <row r="2753" spans="1:91">
      <c r="A2753" s="2" t="s">
        <v>71</v>
      </c>
      <c r="B2753" s="2" t="s">
        <v>72</v>
      </c>
      <c r="C2753" s="2" t="s">
        <v>73</v>
      </c>
      <c r="D2753" s="2"/>
      <c r="E2753" s="2" t="str">
        <f>"FES1162544815"</f>
        <v>FES1162544815</v>
      </c>
      <c r="F2753" s="3">
        <v>42846</v>
      </c>
      <c r="G2753" s="2">
        <v>201710</v>
      </c>
      <c r="H2753" s="2" t="s">
        <v>74</v>
      </c>
      <c r="I2753" s="2" t="s">
        <v>75</v>
      </c>
      <c r="J2753" s="2" t="s">
        <v>76</v>
      </c>
      <c r="K2753" s="2" t="s">
        <v>77</v>
      </c>
      <c r="L2753" s="2" t="s">
        <v>74</v>
      </c>
      <c r="M2753" s="2" t="s">
        <v>75</v>
      </c>
      <c r="N2753" s="2" t="s">
        <v>2890</v>
      </c>
      <c r="O2753" s="2" t="s">
        <v>115</v>
      </c>
      <c r="P2753" s="2" t="str">
        <f>"2170562965                    "</f>
        <v xml:space="preserve">2170562965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3.35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1</v>
      </c>
      <c r="BJ2753" s="2">
        <v>0.2</v>
      </c>
      <c r="BK2753" s="2">
        <v>1</v>
      </c>
      <c r="BL2753" s="2">
        <v>32.6</v>
      </c>
      <c r="BM2753" s="2">
        <v>4.5599999999999996</v>
      </c>
      <c r="BN2753" s="2">
        <v>37.159999999999997</v>
      </c>
      <c r="BO2753" s="2">
        <v>37.159999999999997</v>
      </c>
      <c r="BP2753" s="2"/>
      <c r="BQ2753" s="2" t="s">
        <v>122</v>
      </c>
      <c r="BR2753" s="2" t="s">
        <v>84</v>
      </c>
      <c r="BS2753" s="3">
        <v>42849</v>
      </c>
      <c r="BT2753" s="4">
        <v>0.33333333333333331</v>
      </c>
      <c r="BU2753" s="2" t="s">
        <v>3025</v>
      </c>
      <c r="BV2753" s="2" t="s">
        <v>111</v>
      </c>
      <c r="BW2753" s="2"/>
      <c r="BX2753" s="2"/>
      <c r="BY2753" s="2">
        <v>1200</v>
      </c>
      <c r="BZ2753" s="2"/>
      <c r="CA2753" s="2" t="s">
        <v>1687</v>
      </c>
      <c r="CB2753" s="2"/>
      <c r="CC2753" s="2" t="s">
        <v>75</v>
      </c>
      <c r="CD2753" s="2">
        <v>1614</v>
      </c>
      <c r="CE2753" s="2" t="s">
        <v>118</v>
      </c>
      <c r="CF2753" s="5">
        <v>42849</v>
      </c>
      <c r="CG2753" s="2"/>
      <c r="CH2753" s="2"/>
      <c r="CI2753" s="2">
        <v>1</v>
      </c>
      <c r="CJ2753" s="2">
        <v>1</v>
      </c>
      <c r="CK2753" s="2">
        <v>22</v>
      </c>
      <c r="CL2753" s="2" t="s">
        <v>86</v>
      </c>
      <c r="CM2753" s="2"/>
    </row>
    <row r="2754" spans="1:91">
      <c r="A2754" s="2" t="s">
        <v>71</v>
      </c>
      <c r="B2754" s="2" t="s">
        <v>72</v>
      </c>
      <c r="C2754" s="2" t="s">
        <v>73</v>
      </c>
      <c r="D2754" s="2"/>
      <c r="E2754" s="2" t="str">
        <f>"FES1162544481"</f>
        <v>FES1162544481</v>
      </c>
      <c r="F2754" s="3">
        <v>42846</v>
      </c>
      <c r="G2754" s="2">
        <v>201710</v>
      </c>
      <c r="H2754" s="2" t="s">
        <v>74</v>
      </c>
      <c r="I2754" s="2" t="s">
        <v>75</v>
      </c>
      <c r="J2754" s="2" t="s">
        <v>76</v>
      </c>
      <c r="K2754" s="2" t="s">
        <v>77</v>
      </c>
      <c r="L2754" s="2" t="s">
        <v>260</v>
      </c>
      <c r="M2754" s="2" t="s">
        <v>261</v>
      </c>
      <c r="N2754" s="2" t="s">
        <v>1371</v>
      </c>
      <c r="O2754" s="2" t="s">
        <v>115</v>
      </c>
      <c r="P2754" s="2" t="str">
        <f>"2170563075                    "</f>
        <v xml:space="preserve">2170563075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3.35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1</v>
      </c>
      <c r="BJ2754" s="2">
        <v>0.2</v>
      </c>
      <c r="BK2754" s="2">
        <v>1</v>
      </c>
      <c r="BL2754" s="2">
        <v>32.6</v>
      </c>
      <c r="BM2754" s="2">
        <v>4.5599999999999996</v>
      </c>
      <c r="BN2754" s="2">
        <v>37.159999999999997</v>
      </c>
      <c r="BO2754" s="2">
        <v>37.159999999999997</v>
      </c>
      <c r="BP2754" s="2"/>
      <c r="BQ2754" s="2" t="s">
        <v>1372</v>
      </c>
      <c r="BR2754" s="2" t="s">
        <v>84</v>
      </c>
      <c r="BS2754" s="3">
        <v>42849</v>
      </c>
      <c r="BT2754" s="4">
        <v>0.42986111111111108</v>
      </c>
      <c r="BU2754" s="2" t="s">
        <v>2992</v>
      </c>
      <c r="BV2754" s="2" t="s">
        <v>111</v>
      </c>
      <c r="BW2754" s="2"/>
      <c r="BX2754" s="2"/>
      <c r="BY2754" s="2">
        <v>1200</v>
      </c>
      <c r="BZ2754" s="2" t="s">
        <v>27</v>
      </c>
      <c r="CA2754" s="2" t="s">
        <v>2993</v>
      </c>
      <c r="CB2754" s="2"/>
      <c r="CC2754" s="2" t="s">
        <v>261</v>
      </c>
      <c r="CD2754" s="2">
        <v>1451</v>
      </c>
      <c r="CE2754" s="2" t="s">
        <v>118</v>
      </c>
      <c r="CF2754" s="5">
        <v>42849</v>
      </c>
      <c r="CG2754" s="2"/>
      <c r="CH2754" s="2"/>
      <c r="CI2754" s="2">
        <v>1</v>
      </c>
      <c r="CJ2754" s="2">
        <v>1</v>
      </c>
      <c r="CK2754" s="2">
        <v>22</v>
      </c>
      <c r="CL2754" s="2" t="s">
        <v>86</v>
      </c>
      <c r="CM2754" s="2"/>
    </row>
    <row r="2755" spans="1:91">
      <c r="A2755" s="2" t="s">
        <v>71</v>
      </c>
      <c r="B2755" s="2" t="s">
        <v>72</v>
      </c>
      <c r="C2755" s="2" t="s">
        <v>73</v>
      </c>
      <c r="D2755" s="2"/>
      <c r="E2755" s="2" t="str">
        <f>"FES1162544503"</f>
        <v>FES1162544503</v>
      </c>
      <c r="F2755" s="3">
        <v>42846</v>
      </c>
      <c r="G2755" s="2">
        <v>201710</v>
      </c>
      <c r="H2755" s="2" t="s">
        <v>74</v>
      </c>
      <c r="I2755" s="2" t="s">
        <v>75</v>
      </c>
      <c r="J2755" s="2" t="s">
        <v>76</v>
      </c>
      <c r="K2755" s="2" t="s">
        <v>77</v>
      </c>
      <c r="L2755" s="2" t="s">
        <v>91</v>
      </c>
      <c r="M2755" s="2" t="s">
        <v>92</v>
      </c>
      <c r="N2755" s="2" t="s">
        <v>3026</v>
      </c>
      <c r="O2755" s="2" t="s">
        <v>115</v>
      </c>
      <c r="P2755" s="2" t="str">
        <f>"2170563101                    "</f>
        <v xml:space="preserve">2170563101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3.35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1</v>
      </c>
      <c r="BJ2755" s="2">
        <v>0.2</v>
      </c>
      <c r="BK2755" s="2">
        <v>1</v>
      </c>
      <c r="BL2755" s="2">
        <v>32.6</v>
      </c>
      <c r="BM2755" s="2">
        <v>4.5599999999999996</v>
      </c>
      <c r="BN2755" s="2">
        <v>37.159999999999997</v>
      </c>
      <c r="BO2755" s="2">
        <v>37.159999999999997</v>
      </c>
      <c r="BP2755" s="2"/>
      <c r="BQ2755" s="2" t="s">
        <v>3027</v>
      </c>
      <c r="BR2755" s="2" t="s">
        <v>84</v>
      </c>
      <c r="BS2755" s="3">
        <v>42849</v>
      </c>
      <c r="BT2755" s="4">
        <v>0.30486111111111108</v>
      </c>
      <c r="BU2755" s="2" t="s">
        <v>290</v>
      </c>
      <c r="BV2755" s="2" t="s">
        <v>111</v>
      </c>
      <c r="BW2755" s="2"/>
      <c r="BX2755" s="2"/>
      <c r="BY2755" s="2">
        <v>1200</v>
      </c>
      <c r="BZ2755" s="2" t="s">
        <v>27</v>
      </c>
      <c r="CA2755" s="2"/>
      <c r="CB2755" s="2"/>
      <c r="CC2755" s="2" t="s">
        <v>92</v>
      </c>
      <c r="CD2755" s="2">
        <v>1401</v>
      </c>
      <c r="CE2755" s="2" t="s">
        <v>118</v>
      </c>
      <c r="CF2755" s="5">
        <v>42850</v>
      </c>
      <c r="CG2755" s="2"/>
      <c r="CH2755" s="2"/>
      <c r="CI2755" s="2">
        <v>1</v>
      </c>
      <c r="CJ2755" s="2">
        <v>1</v>
      </c>
      <c r="CK2755" s="2">
        <v>22</v>
      </c>
      <c r="CL2755" s="2" t="s">
        <v>86</v>
      </c>
      <c r="CM2755" s="2"/>
    </row>
    <row r="2756" spans="1:91">
      <c r="A2756" s="2" t="s">
        <v>71</v>
      </c>
      <c r="B2756" s="2" t="s">
        <v>72</v>
      </c>
      <c r="C2756" s="2" t="s">
        <v>73</v>
      </c>
      <c r="D2756" s="2"/>
      <c r="E2756" s="2" t="str">
        <f>"FES1162544788"</f>
        <v>FES1162544788</v>
      </c>
      <c r="F2756" s="3">
        <v>42846</v>
      </c>
      <c r="G2756" s="2">
        <v>201710</v>
      </c>
      <c r="H2756" s="2" t="s">
        <v>74</v>
      </c>
      <c r="I2756" s="2" t="s">
        <v>75</v>
      </c>
      <c r="J2756" s="2" t="s">
        <v>76</v>
      </c>
      <c r="K2756" s="2" t="s">
        <v>77</v>
      </c>
      <c r="L2756" s="2" t="s">
        <v>166</v>
      </c>
      <c r="M2756" s="2" t="s">
        <v>167</v>
      </c>
      <c r="N2756" s="2" t="s">
        <v>1285</v>
      </c>
      <c r="O2756" s="2" t="s">
        <v>115</v>
      </c>
      <c r="P2756" s="2" t="str">
        <f>"2170563339                    "</f>
        <v xml:space="preserve">2170563339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3.35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1</v>
      </c>
      <c r="BJ2756" s="2">
        <v>0.2</v>
      </c>
      <c r="BK2756" s="2">
        <v>1</v>
      </c>
      <c r="BL2756" s="2">
        <v>32.6</v>
      </c>
      <c r="BM2756" s="2">
        <v>4.5599999999999996</v>
      </c>
      <c r="BN2756" s="2">
        <v>37.159999999999997</v>
      </c>
      <c r="BO2756" s="2">
        <v>37.159999999999997</v>
      </c>
      <c r="BP2756" s="2"/>
      <c r="BQ2756" s="2" t="s">
        <v>122</v>
      </c>
      <c r="BR2756" s="2" t="s">
        <v>84</v>
      </c>
      <c r="BS2756" s="3">
        <v>42849</v>
      </c>
      <c r="BT2756" s="4">
        <v>0.39444444444444443</v>
      </c>
      <c r="BU2756" s="2" t="s">
        <v>124</v>
      </c>
      <c r="BV2756" s="2" t="s">
        <v>111</v>
      </c>
      <c r="BW2756" s="2"/>
      <c r="BX2756" s="2"/>
      <c r="BY2756" s="2">
        <v>1200</v>
      </c>
      <c r="BZ2756" s="2" t="s">
        <v>27</v>
      </c>
      <c r="CA2756" s="2" t="s">
        <v>171</v>
      </c>
      <c r="CB2756" s="2"/>
      <c r="CC2756" s="2" t="s">
        <v>167</v>
      </c>
      <c r="CD2756" s="2">
        <v>2197</v>
      </c>
      <c r="CE2756" s="2" t="s">
        <v>118</v>
      </c>
      <c r="CF2756" s="5">
        <v>42849</v>
      </c>
      <c r="CG2756" s="2"/>
      <c r="CH2756" s="2"/>
      <c r="CI2756" s="2">
        <v>1</v>
      </c>
      <c r="CJ2756" s="2">
        <v>1</v>
      </c>
      <c r="CK2756" s="2">
        <v>22</v>
      </c>
      <c r="CL2756" s="2" t="s">
        <v>86</v>
      </c>
      <c r="CM2756" s="2"/>
    </row>
    <row r="2757" spans="1:91">
      <c r="A2757" s="2" t="s">
        <v>71</v>
      </c>
      <c r="B2757" s="2" t="s">
        <v>72</v>
      </c>
      <c r="C2757" s="2" t="s">
        <v>73</v>
      </c>
      <c r="D2757" s="2"/>
      <c r="E2757" s="2" t="str">
        <f>"FES1162544918"</f>
        <v>FES1162544918</v>
      </c>
      <c r="F2757" s="3">
        <v>42846</v>
      </c>
      <c r="G2757" s="2">
        <v>201710</v>
      </c>
      <c r="H2757" s="2" t="s">
        <v>74</v>
      </c>
      <c r="I2757" s="2" t="s">
        <v>75</v>
      </c>
      <c r="J2757" s="2" t="s">
        <v>76</v>
      </c>
      <c r="K2757" s="2" t="s">
        <v>77</v>
      </c>
      <c r="L2757" s="2" t="s">
        <v>99</v>
      </c>
      <c r="M2757" s="2" t="s">
        <v>100</v>
      </c>
      <c r="N2757" s="2" t="s">
        <v>700</v>
      </c>
      <c r="O2757" s="2" t="s">
        <v>115</v>
      </c>
      <c r="P2757" s="2" t="str">
        <f>"2170563407                    "</f>
        <v xml:space="preserve">2170563407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4.29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1</v>
      </c>
      <c r="BJ2757" s="2">
        <v>0.2</v>
      </c>
      <c r="BK2757" s="2">
        <v>1</v>
      </c>
      <c r="BL2757" s="2">
        <v>41.73</v>
      </c>
      <c r="BM2757" s="2">
        <v>5.84</v>
      </c>
      <c r="BN2757" s="2">
        <v>47.57</v>
      </c>
      <c r="BO2757" s="2">
        <v>47.57</v>
      </c>
      <c r="BP2757" s="2"/>
      <c r="BQ2757" s="2" t="s">
        <v>701</v>
      </c>
      <c r="BR2757" s="2" t="s">
        <v>84</v>
      </c>
      <c r="BS2757" s="3">
        <v>42849</v>
      </c>
      <c r="BT2757" s="4">
        <v>0.37847222222222227</v>
      </c>
      <c r="BU2757" s="2" t="s">
        <v>702</v>
      </c>
      <c r="BV2757" s="2" t="s">
        <v>111</v>
      </c>
      <c r="BW2757" s="2"/>
      <c r="BX2757" s="2"/>
      <c r="BY2757" s="2">
        <v>1200</v>
      </c>
      <c r="BZ2757" s="2" t="s">
        <v>27</v>
      </c>
      <c r="CA2757" s="2"/>
      <c r="CB2757" s="2"/>
      <c r="CC2757" s="2" t="s">
        <v>100</v>
      </c>
      <c r="CD2757" s="2">
        <v>6001</v>
      </c>
      <c r="CE2757" s="2" t="s">
        <v>118</v>
      </c>
      <c r="CF2757" s="5">
        <v>42851</v>
      </c>
      <c r="CG2757" s="2"/>
      <c r="CH2757" s="2"/>
      <c r="CI2757" s="2">
        <v>1</v>
      </c>
      <c r="CJ2757" s="2">
        <v>1</v>
      </c>
      <c r="CK2757" s="2">
        <v>21</v>
      </c>
      <c r="CL2757" s="2" t="s">
        <v>86</v>
      </c>
      <c r="CM2757" s="2"/>
    </row>
    <row r="2758" spans="1:91">
      <c r="A2758" s="2" t="s">
        <v>71</v>
      </c>
      <c r="B2758" s="2" t="s">
        <v>72</v>
      </c>
      <c r="C2758" s="2" t="s">
        <v>73</v>
      </c>
      <c r="D2758" s="2"/>
      <c r="E2758" s="2" t="str">
        <f>"FES1162544778"</f>
        <v>FES1162544778</v>
      </c>
      <c r="F2758" s="3">
        <v>42846</v>
      </c>
      <c r="G2758" s="2">
        <v>201710</v>
      </c>
      <c r="H2758" s="2" t="s">
        <v>74</v>
      </c>
      <c r="I2758" s="2" t="s">
        <v>75</v>
      </c>
      <c r="J2758" s="2" t="s">
        <v>76</v>
      </c>
      <c r="K2758" s="2" t="s">
        <v>77</v>
      </c>
      <c r="L2758" s="2" t="s">
        <v>139</v>
      </c>
      <c r="M2758" s="2" t="s">
        <v>140</v>
      </c>
      <c r="N2758" s="2" t="s">
        <v>2953</v>
      </c>
      <c r="O2758" s="2" t="s">
        <v>115</v>
      </c>
      <c r="P2758" s="2" t="str">
        <f>"2170563313                    "</f>
        <v xml:space="preserve">2170563313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4.29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1</v>
      </c>
      <c r="BJ2758" s="2">
        <v>0.2</v>
      </c>
      <c r="BK2758" s="2">
        <v>1</v>
      </c>
      <c r="BL2758" s="2">
        <v>41.73</v>
      </c>
      <c r="BM2758" s="2">
        <v>5.84</v>
      </c>
      <c r="BN2758" s="2">
        <v>47.57</v>
      </c>
      <c r="BO2758" s="2">
        <v>47.57</v>
      </c>
      <c r="BP2758" s="2"/>
      <c r="BQ2758" s="2" t="s">
        <v>2954</v>
      </c>
      <c r="BR2758" s="2" t="s">
        <v>84</v>
      </c>
      <c r="BS2758" s="3">
        <v>42849</v>
      </c>
      <c r="BT2758" s="4">
        <v>0.37222222222222223</v>
      </c>
      <c r="BU2758" s="2" t="s">
        <v>3028</v>
      </c>
      <c r="BV2758" s="2" t="s">
        <v>111</v>
      </c>
      <c r="BW2758" s="2"/>
      <c r="BX2758" s="2"/>
      <c r="BY2758" s="2">
        <v>1200</v>
      </c>
      <c r="BZ2758" s="2" t="s">
        <v>27</v>
      </c>
      <c r="CA2758" s="2"/>
      <c r="CB2758" s="2"/>
      <c r="CC2758" s="2" t="s">
        <v>140</v>
      </c>
      <c r="CD2758" s="2">
        <v>157</v>
      </c>
      <c r="CE2758" s="2" t="s">
        <v>118</v>
      </c>
      <c r="CF2758" s="5">
        <v>42851</v>
      </c>
      <c r="CG2758" s="2"/>
      <c r="CH2758" s="2"/>
      <c r="CI2758" s="2">
        <v>0</v>
      </c>
      <c r="CJ2758" s="2">
        <v>0</v>
      </c>
      <c r="CK2758" s="2">
        <v>21</v>
      </c>
      <c r="CL2758" s="2" t="s">
        <v>86</v>
      </c>
      <c r="CM2758" s="2"/>
    </row>
    <row r="2759" spans="1:91">
      <c r="A2759" s="2" t="s">
        <v>71</v>
      </c>
      <c r="B2759" s="2" t="s">
        <v>72</v>
      </c>
      <c r="C2759" s="2" t="s">
        <v>73</v>
      </c>
      <c r="D2759" s="2"/>
      <c r="E2759" s="2" t="str">
        <f>"FES1162544623"</f>
        <v>FES1162544623</v>
      </c>
      <c r="F2759" s="3">
        <v>42846</v>
      </c>
      <c r="G2759" s="2">
        <v>201710</v>
      </c>
      <c r="H2759" s="2" t="s">
        <v>74</v>
      </c>
      <c r="I2759" s="2" t="s">
        <v>75</v>
      </c>
      <c r="J2759" s="2" t="s">
        <v>76</v>
      </c>
      <c r="K2759" s="2" t="s">
        <v>77</v>
      </c>
      <c r="L2759" s="2" t="s">
        <v>74</v>
      </c>
      <c r="M2759" s="2" t="s">
        <v>75</v>
      </c>
      <c r="N2759" s="2" t="s">
        <v>173</v>
      </c>
      <c r="O2759" s="2" t="s">
        <v>115</v>
      </c>
      <c r="P2759" s="2" t="str">
        <f>"2170563171                    "</f>
        <v xml:space="preserve">2170563171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3.35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1</v>
      </c>
      <c r="BJ2759" s="2">
        <v>0.2</v>
      </c>
      <c r="BK2759" s="2">
        <v>1</v>
      </c>
      <c r="BL2759" s="2">
        <v>32.6</v>
      </c>
      <c r="BM2759" s="2">
        <v>4.5599999999999996</v>
      </c>
      <c r="BN2759" s="2">
        <v>37.159999999999997</v>
      </c>
      <c r="BO2759" s="2">
        <v>37.159999999999997</v>
      </c>
      <c r="BP2759" s="2"/>
      <c r="BQ2759" s="2" t="s">
        <v>174</v>
      </c>
      <c r="BR2759" s="2" t="s">
        <v>84</v>
      </c>
      <c r="BS2759" s="3">
        <v>42849</v>
      </c>
      <c r="BT2759" s="4">
        <v>0.36388888888888887</v>
      </c>
      <c r="BU2759" s="2" t="s">
        <v>3029</v>
      </c>
      <c r="BV2759" s="2" t="s">
        <v>111</v>
      </c>
      <c r="BW2759" s="2"/>
      <c r="BX2759" s="2"/>
      <c r="BY2759" s="2">
        <v>1200</v>
      </c>
      <c r="BZ2759" s="2" t="s">
        <v>27</v>
      </c>
      <c r="CA2759" s="2" t="s">
        <v>2997</v>
      </c>
      <c r="CB2759" s="2"/>
      <c r="CC2759" s="2" t="s">
        <v>75</v>
      </c>
      <c r="CD2759" s="2">
        <v>1601</v>
      </c>
      <c r="CE2759" s="2" t="s">
        <v>118</v>
      </c>
      <c r="CF2759" s="5">
        <v>42849</v>
      </c>
      <c r="CG2759" s="2"/>
      <c r="CH2759" s="2"/>
      <c r="CI2759" s="2">
        <v>1</v>
      </c>
      <c r="CJ2759" s="2">
        <v>1</v>
      </c>
      <c r="CK2759" s="2">
        <v>22</v>
      </c>
      <c r="CL2759" s="2" t="s">
        <v>86</v>
      </c>
      <c r="CM2759" s="2"/>
    </row>
    <row r="2760" spans="1:91">
      <c r="A2760" s="2" t="s">
        <v>71</v>
      </c>
      <c r="B2760" s="2" t="s">
        <v>72</v>
      </c>
      <c r="C2760" s="2" t="s">
        <v>73</v>
      </c>
      <c r="D2760" s="2"/>
      <c r="E2760" s="2" t="str">
        <f>"FES1162544599"</f>
        <v>FES1162544599</v>
      </c>
      <c r="F2760" s="3">
        <v>42846</v>
      </c>
      <c r="G2760" s="2">
        <v>201710</v>
      </c>
      <c r="H2760" s="2" t="s">
        <v>74</v>
      </c>
      <c r="I2760" s="2" t="s">
        <v>75</v>
      </c>
      <c r="J2760" s="2" t="s">
        <v>76</v>
      </c>
      <c r="K2760" s="2" t="s">
        <v>77</v>
      </c>
      <c r="L2760" s="2" t="s">
        <v>166</v>
      </c>
      <c r="M2760" s="2" t="s">
        <v>167</v>
      </c>
      <c r="N2760" s="2" t="s">
        <v>168</v>
      </c>
      <c r="O2760" s="2" t="s">
        <v>115</v>
      </c>
      <c r="P2760" s="2" t="str">
        <f>"2170563140                    "</f>
        <v xml:space="preserve">2170563140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3.35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1</v>
      </c>
      <c r="BJ2760" s="2">
        <v>0.2</v>
      </c>
      <c r="BK2760" s="2">
        <v>1</v>
      </c>
      <c r="BL2760" s="2">
        <v>32.6</v>
      </c>
      <c r="BM2760" s="2">
        <v>4.5599999999999996</v>
      </c>
      <c r="BN2760" s="2">
        <v>37.159999999999997</v>
      </c>
      <c r="BO2760" s="2">
        <v>37.159999999999997</v>
      </c>
      <c r="BP2760" s="2"/>
      <c r="BQ2760" s="2" t="s">
        <v>169</v>
      </c>
      <c r="BR2760" s="2" t="s">
        <v>84</v>
      </c>
      <c r="BS2760" s="3">
        <v>42849</v>
      </c>
      <c r="BT2760" s="4">
        <v>0.3576388888888889</v>
      </c>
      <c r="BU2760" s="2" t="s">
        <v>1317</v>
      </c>
      <c r="BV2760" s="2" t="s">
        <v>111</v>
      </c>
      <c r="BW2760" s="2"/>
      <c r="BX2760" s="2"/>
      <c r="BY2760" s="2">
        <v>1200</v>
      </c>
      <c r="BZ2760" s="2" t="s">
        <v>27</v>
      </c>
      <c r="CA2760" s="2" t="s">
        <v>171</v>
      </c>
      <c r="CB2760" s="2"/>
      <c r="CC2760" s="2" t="s">
        <v>167</v>
      </c>
      <c r="CD2760" s="2">
        <v>2094</v>
      </c>
      <c r="CE2760" s="2" t="s">
        <v>118</v>
      </c>
      <c r="CF2760" s="5">
        <v>42849</v>
      </c>
      <c r="CG2760" s="2"/>
      <c r="CH2760" s="2"/>
      <c r="CI2760" s="2">
        <v>1</v>
      </c>
      <c r="CJ2760" s="2">
        <v>1</v>
      </c>
      <c r="CK2760" s="2">
        <v>22</v>
      </c>
      <c r="CL2760" s="2" t="s">
        <v>86</v>
      </c>
      <c r="CM2760" s="2"/>
    </row>
    <row r="2761" spans="1:91">
      <c r="A2761" s="2" t="s">
        <v>71</v>
      </c>
      <c r="B2761" s="2" t="s">
        <v>72</v>
      </c>
      <c r="C2761" s="2" t="s">
        <v>73</v>
      </c>
      <c r="D2761" s="2"/>
      <c r="E2761" s="2" t="str">
        <f>"FES1162544672"</f>
        <v>FES1162544672</v>
      </c>
      <c r="F2761" s="3">
        <v>42846</v>
      </c>
      <c r="G2761" s="2">
        <v>201710</v>
      </c>
      <c r="H2761" s="2" t="s">
        <v>74</v>
      </c>
      <c r="I2761" s="2" t="s">
        <v>75</v>
      </c>
      <c r="J2761" s="2" t="s">
        <v>76</v>
      </c>
      <c r="K2761" s="2" t="s">
        <v>77</v>
      </c>
      <c r="L2761" s="2" t="s">
        <v>166</v>
      </c>
      <c r="M2761" s="2" t="s">
        <v>167</v>
      </c>
      <c r="N2761" s="2" t="s">
        <v>3030</v>
      </c>
      <c r="O2761" s="2" t="s">
        <v>115</v>
      </c>
      <c r="P2761" s="2" t="str">
        <f>"2170563230                    "</f>
        <v xml:space="preserve">2170563230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3.35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1</v>
      </c>
      <c r="BJ2761" s="2">
        <v>0.2</v>
      </c>
      <c r="BK2761" s="2">
        <v>1</v>
      </c>
      <c r="BL2761" s="2">
        <v>32.6</v>
      </c>
      <c r="BM2761" s="2">
        <v>4.5599999999999996</v>
      </c>
      <c r="BN2761" s="2">
        <v>37.159999999999997</v>
      </c>
      <c r="BO2761" s="2">
        <v>37.159999999999997</v>
      </c>
      <c r="BP2761" s="2"/>
      <c r="BQ2761" s="2" t="s">
        <v>3031</v>
      </c>
      <c r="BR2761" s="2" t="s">
        <v>84</v>
      </c>
      <c r="BS2761" s="3">
        <v>42849</v>
      </c>
      <c r="BT2761" s="4">
        <v>0.41666666666666669</v>
      </c>
      <c r="BU2761" s="2" t="s">
        <v>3032</v>
      </c>
      <c r="BV2761" s="2" t="s">
        <v>111</v>
      </c>
      <c r="BW2761" s="2"/>
      <c r="BX2761" s="2"/>
      <c r="BY2761" s="2">
        <v>1200</v>
      </c>
      <c r="BZ2761" s="2" t="s">
        <v>27</v>
      </c>
      <c r="CA2761" s="2"/>
      <c r="CB2761" s="2"/>
      <c r="CC2761" s="2" t="s">
        <v>167</v>
      </c>
      <c r="CD2761" s="2">
        <v>2093</v>
      </c>
      <c r="CE2761" s="2" t="s">
        <v>118</v>
      </c>
      <c r="CF2761" s="5">
        <v>42850</v>
      </c>
      <c r="CG2761" s="2"/>
      <c r="CH2761" s="2"/>
      <c r="CI2761" s="2">
        <v>1</v>
      </c>
      <c r="CJ2761" s="2">
        <v>1</v>
      </c>
      <c r="CK2761" s="2">
        <v>22</v>
      </c>
      <c r="CL2761" s="2" t="s">
        <v>86</v>
      </c>
      <c r="CM2761" s="2"/>
    </row>
    <row r="2762" spans="1:91">
      <c r="A2762" s="2" t="s">
        <v>71</v>
      </c>
      <c r="B2762" s="2" t="s">
        <v>72</v>
      </c>
      <c r="C2762" s="2" t="s">
        <v>73</v>
      </c>
      <c r="D2762" s="2"/>
      <c r="E2762" s="2" t="str">
        <f>"FES1162544956"</f>
        <v>FES1162544956</v>
      </c>
      <c r="F2762" s="3">
        <v>42846</v>
      </c>
      <c r="G2762" s="2">
        <v>201710</v>
      </c>
      <c r="H2762" s="2" t="s">
        <v>74</v>
      </c>
      <c r="I2762" s="2" t="s">
        <v>75</v>
      </c>
      <c r="J2762" s="2" t="s">
        <v>76</v>
      </c>
      <c r="K2762" s="2" t="s">
        <v>77</v>
      </c>
      <c r="L2762" s="2" t="s">
        <v>234</v>
      </c>
      <c r="M2762" s="2" t="s">
        <v>235</v>
      </c>
      <c r="N2762" s="2" t="s">
        <v>236</v>
      </c>
      <c r="O2762" s="2" t="s">
        <v>115</v>
      </c>
      <c r="P2762" s="2" t="str">
        <f>"2170563450                    "</f>
        <v xml:space="preserve">2170563450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4.29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1</v>
      </c>
      <c r="BJ2762" s="2">
        <v>0.2</v>
      </c>
      <c r="BK2762" s="2">
        <v>1</v>
      </c>
      <c r="BL2762" s="2">
        <v>41.73</v>
      </c>
      <c r="BM2762" s="2">
        <v>5.84</v>
      </c>
      <c r="BN2762" s="2">
        <v>47.57</v>
      </c>
      <c r="BO2762" s="2">
        <v>47.57</v>
      </c>
      <c r="BP2762" s="2"/>
      <c r="BQ2762" s="2" t="s">
        <v>285</v>
      </c>
      <c r="BR2762" s="2" t="s">
        <v>84</v>
      </c>
      <c r="BS2762" s="3">
        <v>42849</v>
      </c>
      <c r="BT2762" s="4">
        <v>0.34166666666666662</v>
      </c>
      <c r="BU2762" s="2" t="s">
        <v>130</v>
      </c>
      <c r="BV2762" s="2" t="s">
        <v>111</v>
      </c>
      <c r="BW2762" s="2"/>
      <c r="BX2762" s="2"/>
      <c r="BY2762" s="2">
        <v>1200</v>
      </c>
      <c r="BZ2762" s="2" t="s">
        <v>27</v>
      </c>
      <c r="CA2762" s="2"/>
      <c r="CB2762" s="2"/>
      <c r="CC2762" s="2" t="s">
        <v>235</v>
      </c>
      <c r="CD2762" s="2">
        <v>6220</v>
      </c>
      <c r="CE2762" s="2" t="s">
        <v>118</v>
      </c>
      <c r="CF2762" s="5">
        <v>42850</v>
      </c>
      <c r="CG2762" s="2"/>
      <c r="CH2762" s="2"/>
      <c r="CI2762" s="2">
        <v>1</v>
      </c>
      <c r="CJ2762" s="2">
        <v>1</v>
      </c>
      <c r="CK2762" s="2">
        <v>21</v>
      </c>
      <c r="CL2762" s="2" t="s">
        <v>86</v>
      </c>
      <c r="CM2762" s="2"/>
    </row>
    <row r="2763" spans="1:91">
      <c r="A2763" s="2" t="s">
        <v>71</v>
      </c>
      <c r="B2763" s="2" t="s">
        <v>72</v>
      </c>
      <c r="C2763" s="2" t="s">
        <v>73</v>
      </c>
      <c r="D2763" s="2"/>
      <c r="E2763" s="2" t="str">
        <f>"FES1162544677"</f>
        <v>FES1162544677</v>
      </c>
      <c r="F2763" s="3">
        <v>42846</v>
      </c>
      <c r="G2763" s="2">
        <v>201710</v>
      </c>
      <c r="H2763" s="2" t="s">
        <v>74</v>
      </c>
      <c r="I2763" s="2" t="s">
        <v>75</v>
      </c>
      <c r="J2763" s="2" t="s">
        <v>76</v>
      </c>
      <c r="K2763" s="2" t="s">
        <v>77</v>
      </c>
      <c r="L2763" s="2" t="s">
        <v>516</v>
      </c>
      <c r="M2763" s="2" t="s">
        <v>517</v>
      </c>
      <c r="N2763" s="2" t="s">
        <v>758</v>
      </c>
      <c r="O2763" s="2" t="s">
        <v>115</v>
      </c>
      <c r="P2763" s="2" t="str">
        <f>"2170563237                    "</f>
        <v xml:space="preserve">2170563237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3.35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1</v>
      </c>
      <c r="BJ2763" s="2">
        <v>0.2</v>
      </c>
      <c r="BK2763" s="2">
        <v>1</v>
      </c>
      <c r="BL2763" s="2">
        <v>32.6</v>
      </c>
      <c r="BM2763" s="2">
        <v>4.5599999999999996</v>
      </c>
      <c r="BN2763" s="2">
        <v>37.159999999999997</v>
      </c>
      <c r="BO2763" s="2">
        <v>37.159999999999997</v>
      </c>
      <c r="BP2763" s="2"/>
      <c r="BQ2763" s="2" t="s">
        <v>759</v>
      </c>
      <c r="BR2763" s="2" t="s">
        <v>84</v>
      </c>
      <c r="BS2763" s="3">
        <v>42849</v>
      </c>
      <c r="BT2763" s="4">
        <v>0.40763888888888888</v>
      </c>
      <c r="BU2763" s="2" t="s">
        <v>2152</v>
      </c>
      <c r="BV2763" s="2" t="s">
        <v>111</v>
      </c>
      <c r="BW2763" s="2"/>
      <c r="BX2763" s="2"/>
      <c r="BY2763" s="2">
        <v>1200</v>
      </c>
      <c r="BZ2763" s="2" t="s">
        <v>27</v>
      </c>
      <c r="CA2763" s="2" t="s">
        <v>2639</v>
      </c>
      <c r="CB2763" s="2"/>
      <c r="CC2763" s="2" t="s">
        <v>517</v>
      </c>
      <c r="CD2763" s="2">
        <v>1459</v>
      </c>
      <c r="CE2763" s="2" t="s">
        <v>118</v>
      </c>
      <c r="CF2763" s="5">
        <v>42849</v>
      </c>
      <c r="CG2763" s="2"/>
      <c r="CH2763" s="2"/>
      <c r="CI2763" s="2">
        <v>1</v>
      </c>
      <c r="CJ2763" s="2">
        <v>1</v>
      </c>
      <c r="CK2763" s="2">
        <v>22</v>
      </c>
      <c r="CL2763" s="2" t="s">
        <v>86</v>
      </c>
      <c r="CM2763" s="2"/>
    </row>
    <row r="2764" spans="1:91">
      <c r="A2764" s="2" t="s">
        <v>71</v>
      </c>
      <c r="B2764" s="2" t="s">
        <v>72</v>
      </c>
      <c r="C2764" s="2" t="s">
        <v>73</v>
      </c>
      <c r="D2764" s="2"/>
      <c r="E2764" s="2" t="str">
        <f>"FES1162544821"</f>
        <v>FES1162544821</v>
      </c>
      <c r="F2764" s="3">
        <v>42846</v>
      </c>
      <c r="G2764" s="2">
        <v>201710</v>
      </c>
      <c r="H2764" s="2" t="s">
        <v>74</v>
      </c>
      <c r="I2764" s="2" t="s">
        <v>75</v>
      </c>
      <c r="J2764" s="2" t="s">
        <v>76</v>
      </c>
      <c r="K2764" s="2" t="s">
        <v>77</v>
      </c>
      <c r="L2764" s="2" t="s">
        <v>180</v>
      </c>
      <c r="M2764" s="2" t="s">
        <v>181</v>
      </c>
      <c r="N2764" s="2" t="s">
        <v>982</v>
      </c>
      <c r="O2764" s="2" t="s">
        <v>115</v>
      </c>
      <c r="P2764" s="2" t="str">
        <f>"2170562979                    "</f>
        <v xml:space="preserve">2170562979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4.29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1</v>
      </c>
      <c r="BI2764" s="2">
        <v>1</v>
      </c>
      <c r="BJ2764" s="2">
        <v>0.2</v>
      </c>
      <c r="BK2764" s="2">
        <v>1</v>
      </c>
      <c r="BL2764" s="2">
        <v>41.73</v>
      </c>
      <c r="BM2764" s="2">
        <v>5.84</v>
      </c>
      <c r="BN2764" s="2">
        <v>47.57</v>
      </c>
      <c r="BO2764" s="2">
        <v>47.57</v>
      </c>
      <c r="BP2764" s="2"/>
      <c r="BQ2764" s="2" t="s">
        <v>1168</v>
      </c>
      <c r="BR2764" s="2" t="s">
        <v>84</v>
      </c>
      <c r="BS2764" s="3">
        <v>42849</v>
      </c>
      <c r="BT2764" s="4">
        <v>0.38541666666666669</v>
      </c>
      <c r="BU2764" s="2" t="s">
        <v>130</v>
      </c>
      <c r="BV2764" s="2" t="s">
        <v>111</v>
      </c>
      <c r="BW2764" s="2"/>
      <c r="BX2764" s="2"/>
      <c r="BY2764" s="2">
        <v>1200</v>
      </c>
      <c r="BZ2764" s="2" t="s">
        <v>27</v>
      </c>
      <c r="CA2764" s="2"/>
      <c r="CB2764" s="2"/>
      <c r="CC2764" s="2" t="s">
        <v>181</v>
      </c>
      <c r="CD2764" s="2">
        <v>4052</v>
      </c>
      <c r="CE2764" s="2" t="s">
        <v>118</v>
      </c>
      <c r="CF2764" s="5">
        <v>42850</v>
      </c>
      <c r="CG2764" s="2"/>
      <c r="CH2764" s="2"/>
      <c r="CI2764" s="2">
        <v>1</v>
      </c>
      <c r="CJ2764" s="2">
        <v>1</v>
      </c>
      <c r="CK2764" s="2">
        <v>21</v>
      </c>
      <c r="CL2764" s="2" t="s">
        <v>86</v>
      </c>
      <c r="CM2764" s="2"/>
    </row>
    <row r="2765" spans="1:91">
      <c r="A2765" s="2" t="s">
        <v>71</v>
      </c>
      <c r="B2765" s="2" t="s">
        <v>72</v>
      </c>
      <c r="C2765" s="2" t="s">
        <v>73</v>
      </c>
      <c r="D2765" s="2"/>
      <c r="E2765" s="2" t="str">
        <f>"FES1162544896"</f>
        <v>FES1162544896</v>
      </c>
      <c r="F2765" s="3">
        <v>42846</v>
      </c>
      <c r="G2765" s="2">
        <v>201710</v>
      </c>
      <c r="H2765" s="2" t="s">
        <v>74</v>
      </c>
      <c r="I2765" s="2" t="s">
        <v>75</v>
      </c>
      <c r="J2765" s="2" t="s">
        <v>76</v>
      </c>
      <c r="K2765" s="2" t="s">
        <v>77</v>
      </c>
      <c r="L2765" s="2" t="s">
        <v>74</v>
      </c>
      <c r="M2765" s="2" t="s">
        <v>75</v>
      </c>
      <c r="N2765" s="2" t="s">
        <v>488</v>
      </c>
      <c r="O2765" s="2" t="s">
        <v>115</v>
      </c>
      <c r="P2765" s="2" t="str">
        <f>"2170560981                    "</f>
        <v xml:space="preserve">2170560981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3.35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1</v>
      </c>
      <c r="BJ2765" s="2">
        <v>0.2</v>
      </c>
      <c r="BK2765" s="2">
        <v>1</v>
      </c>
      <c r="BL2765" s="2">
        <v>32.6</v>
      </c>
      <c r="BM2765" s="2">
        <v>4.5599999999999996</v>
      </c>
      <c r="BN2765" s="2">
        <v>37.159999999999997</v>
      </c>
      <c r="BO2765" s="2">
        <v>37.159999999999997</v>
      </c>
      <c r="BP2765" s="2"/>
      <c r="BQ2765" s="2" t="s">
        <v>489</v>
      </c>
      <c r="BR2765" s="2" t="s">
        <v>84</v>
      </c>
      <c r="BS2765" s="3">
        <v>42849</v>
      </c>
      <c r="BT2765" s="4">
        <v>0.41666666666666669</v>
      </c>
      <c r="BU2765" s="2" t="s">
        <v>1750</v>
      </c>
      <c r="BV2765" s="2" t="s">
        <v>111</v>
      </c>
      <c r="BW2765" s="2"/>
      <c r="BX2765" s="2"/>
      <c r="BY2765" s="2">
        <v>1200</v>
      </c>
      <c r="BZ2765" s="2" t="s">
        <v>27</v>
      </c>
      <c r="CA2765" s="2"/>
      <c r="CB2765" s="2"/>
      <c r="CC2765" s="2" t="s">
        <v>75</v>
      </c>
      <c r="CD2765" s="2">
        <v>1645</v>
      </c>
      <c r="CE2765" s="2" t="s">
        <v>118</v>
      </c>
      <c r="CF2765" s="5">
        <v>42850</v>
      </c>
      <c r="CG2765" s="2"/>
      <c r="CH2765" s="2"/>
      <c r="CI2765" s="2">
        <v>1</v>
      </c>
      <c r="CJ2765" s="2">
        <v>1</v>
      </c>
      <c r="CK2765" s="2">
        <v>22</v>
      </c>
      <c r="CL2765" s="2" t="s">
        <v>86</v>
      </c>
      <c r="CM2765" s="2"/>
    </row>
    <row r="2766" spans="1:91">
      <c r="A2766" s="2" t="s">
        <v>71</v>
      </c>
      <c r="B2766" s="2" t="s">
        <v>72</v>
      </c>
      <c r="C2766" s="2" t="s">
        <v>73</v>
      </c>
      <c r="D2766" s="2"/>
      <c r="E2766" s="2" t="str">
        <f>"FES1162544914"</f>
        <v>FES1162544914</v>
      </c>
      <c r="F2766" s="3">
        <v>42846</v>
      </c>
      <c r="G2766" s="2">
        <v>201710</v>
      </c>
      <c r="H2766" s="2" t="s">
        <v>74</v>
      </c>
      <c r="I2766" s="2" t="s">
        <v>75</v>
      </c>
      <c r="J2766" s="2" t="s">
        <v>76</v>
      </c>
      <c r="K2766" s="2" t="s">
        <v>77</v>
      </c>
      <c r="L2766" s="2" t="s">
        <v>99</v>
      </c>
      <c r="M2766" s="2" t="s">
        <v>100</v>
      </c>
      <c r="N2766" s="2" t="s">
        <v>555</v>
      </c>
      <c r="O2766" s="2" t="s">
        <v>115</v>
      </c>
      <c r="P2766" s="2" t="str">
        <f>"2170563400                    "</f>
        <v xml:space="preserve">2170563400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4.29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1</v>
      </c>
      <c r="BJ2766" s="2">
        <v>0.2</v>
      </c>
      <c r="BK2766" s="2">
        <v>1</v>
      </c>
      <c r="BL2766" s="2">
        <v>41.73</v>
      </c>
      <c r="BM2766" s="2">
        <v>5.84</v>
      </c>
      <c r="BN2766" s="2">
        <v>47.57</v>
      </c>
      <c r="BO2766" s="2">
        <v>47.57</v>
      </c>
      <c r="BP2766" s="2"/>
      <c r="BQ2766" s="2" t="s">
        <v>556</v>
      </c>
      <c r="BR2766" s="2" t="s">
        <v>84</v>
      </c>
      <c r="BS2766" s="3">
        <v>42849</v>
      </c>
      <c r="BT2766" s="4">
        <v>0.375</v>
      </c>
      <c r="BU2766" s="2" t="s">
        <v>3033</v>
      </c>
      <c r="BV2766" s="2" t="s">
        <v>111</v>
      </c>
      <c r="BW2766" s="2"/>
      <c r="BX2766" s="2"/>
      <c r="BY2766" s="2">
        <v>1200</v>
      </c>
      <c r="BZ2766" s="2" t="s">
        <v>27</v>
      </c>
      <c r="CA2766" s="2"/>
      <c r="CB2766" s="2"/>
      <c r="CC2766" s="2" t="s">
        <v>100</v>
      </c>
      <c r="CD2766" s="2">
        <v>6001</v>
      </c>
      <c r="CE2766" s="2" t="s">
        <v>118</v>
      </c>
      <c r="CF2766" s="5">
        <v>42851</v>
      </c>
      <c r="CG2766" s="2"/>
      <c r="CH2766" s="2"/>
      <c r="CI2766" s="2">
        <v>1</v>
      </c>
      <c r="CJ2766" s="2">
        <v>1</v>
      </c>
      <c r="CK2766" s="2">
        <v>21</v>
      </c>
      <c r="CL2766" s="2" t="s">
        <v>86</v>
      </c>
      <c r="CM2766" s="2"/>
    </row>
    <row r="2767" spans="1:91">
      <c r="A2767" s="2" t="s">
        <v>71</v>
      </c>
      <c r="B2767" s="2" t="s">
        <v>72</v>
      </c>
      <c r="C2767" s="2" t="s">
        <v>73</v>
      </c>
      <c r="D2767" s="2"/>
      <c r="E2767" s="2" t="str">
        <f>"FES1162544647"</f>
        <v>FES1162544647</v>
      </c>
      <c r="F2767" s="3">
        <v>42846</v>
      </c>
      <c r="G2767" s="2">
        <v>201710</v>
      </c>
      <c r="H2767" s="2" t="s">
        <v>74</v>
      </c>
      <c r="I2767" s="2" t="s">
        <v>75</v>
      </c>
      <c r="J2767" s="2" t="s">
        <v>76</v>
      </c>
      <c r="K2767" s="2" t="s">
        <v>77</v>
      </c>
      <c r="L2767" s="2" t="s">
        <v>74</v>
      </c>
      <c r="M2767" s="2" t="s">
        <v>75</v>
      </c>
      <c r="N2767" s="2" t="s">
        <v>2944</v>
      </c>
      <c r="O2767" s="2" t="s">
        <v>81</v>
      </c>
      <c r="P2767" s="2" t="str">
        <f>"2170558313                    "</f>
        <v xml:space="preserve">2170558313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29.61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78</v>
      </c>
      <c r="BJ2767" s="2">
        <v>131.69999999999999</v>
      </c>
      <c r="BK2767" s="2">
        <v>132</v>
      </c>
      <c r="BL2767" s="2">
        <v>293.18</v>
      </c>
      <c r="BM2767" s="2">
        <v>41.05</v>
      </c>
      <c r="BN2767" s="2">
        <v>334.23</v>
      </c>
      <c r="BO2767" s="2">
        <v>334.23</v>
      </c>
      <c r="BP2767" s="2"/>
      <c r="BQ2767" s="2" t="s">
        <v>3034</v>
      </c>
      <c r="BR2767" s="2" t="s">
        <v>84</v>
      </c>
      <c r="BS2767" s="3">
        <v>42849</v>
      </c>
      <c r="BT2767" s="4">
        <v>0.40763888888888888</v>
      </c>
      <c r="BU2767" s="2" t="s">
        <v>3035</v>
      </c>
      <c r="BV2767" s="2" t="s">
        <v>111</v>
      </c>
      <c r="BW2767" s="2"/>
      <c r="BX2767" s="2"/>
      <c r="BY2767" s="2">
        <v>658688</v>
      </c>
      <c r="BZ2767" s="2"/>
      <c r="CA2767" s="2" t="s">
        <v>3036</v>
      </c>
      <c r="CB2767" s="2"/>
      <c r="CC2767" s="2" t="s">
        <v>75</v>
      </c>
      <c r="CD2767" s="2">
        <v>1645</v>
      </c>
      <c r="CE2767" s="2" t="s">
        <v>89</v>
      </c>
      <c r="CF2767" s="5">
        <v>42849</v>
      </c>
      <c r="CG2767" s="2"/>
      <c r="CH2767" s="2"/>
      <c r="CI2767" s="2">
        <v>0</v>
      </c>
      <c r="CJ2767" s="2">
        <v>0</v>
      </c>
      <c r="CK2767" s="2" t="s">
        <v>98</v>
      </c>
      <c r="CL2767" s="2" t="s">
        <v>86</v>
      </c>
      <c r="CM2767" s="2"/>
    </row>
    <row r="2768" spans="1:91">
      <c r="A2768" s="2" t="s">
        <v>71</v>
      </c>
      <c r="B2768" s="2" t="s">
        <v>72</v>
      </c>
      <c r="C2768" s="2" t="s">
        <v>73</v>
      </c>
      <c r="D2768" s="2"/>
      <c r="E2768" s="2" t="str">
        <f>"FES1162544922"</f>
        <v>FES1162544922</v>
      </c>
      <c r="F2768" s="3">
        <v>42846</v>
      </c>
      <c r="G2768" s="2">
        <v>201710</v>
      </c>
      <c r="H2768" s="2" t="s">
        <v>74</v>
      </c>
      <c r="I2768" s="2" t="s">
        <v>75</v>
      </c>
      <c r="J2768" s="2" t="s">
        <v>76</v>
      </c>
      <c r="K2768" s="2" t="s">
        <v>77</v>
      </c>
      <c r="L2768" s="2" t="s">
        <v>131</v>
      </c>
      <c r="M2768" s="2" t="s">
        <v>132</v>
      </c>
      <c r="N2768" s="2" t="s">
        <v>744</v>
      </c>
      <c r="O2768" s="2" t="s">
        <v>115</v>
      </c>
      <c r="P2768" s="2" t="str">
        <f>"2170563412                    "</f>
        <v xml:space="preserve">2170563412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4.29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</v>
      </c>
      <c r="BJ2768" s="2">
        <v>0.2</v>
      </c>
      <c r="BK2768" s="2">
        <v>1</v>
      </c>
      <c r="BL2768" s="2">
        <v>41.73</v>
      </c>
      <c r="BM2768" s="2">
        <v>5.84</v>
      </c>
      <c r="BN2768" s="2">
        <v>47.57</v>
      </c>
      <c r="BO2768" s="2">
        <v>47.57</v>
      </c>
      <c r="BP2768" s="2"/>
      <c r="BQ2768" s="2" t="s">
        <v>138</v>
      </c>
      <c r="BR2768" s="2" t="s">
        <v>84</v>
      </c>
      <c r="BS2768" s="3">
        <v>42849</v>
      </c>
      <c r="BT2768" s="4">
        <v>0.41666666666666669</v>
      </c>
      <c r="BU2768" s="2" t="s">
        <v>3037</v>
      </c>
      <c r="BV2768" s="2" t="s">
        <v>111</v>
      </c>
      <c r="BW2768" s="2"/>
      <c r="BX2768" s="2"/>
      <c r="BY2768" s="2">
        <v>1200</v>
      </c>
      <c r="BZ2768" s="2" t="s">
        <v>27</v>
      </c>
      <c r="CA2768" s="2"/>
      <c r="CB2768" s="2"/>
      <c r="CC2768" s="2" t="s">
        <v>132</v>
      </c>
      <c r="CD2768" s="2">
        <v>7405</v>
      </c>
      <c r="CE2768" s="2" t="s">
        <v>118</v>
      </c>
      <c r="CF2768" s="5">
        <v>42850</v>
      </c>
      <c r="CG2768" s="2"/>
      <c r="CH2768" s="2"/>
      <c r="CI2768" s="2">
        <v>1</v>
      </c>
      <c r="CJ2768" s="2">
        <v>1</v>
      </c>
      <c r="CK2768" s="2">
        <v>21</v>
      </c>
      <c r="CL2768" s="2" t="s">
        <v>86</v>
      </c>
      <c r="CM2768" s="2"/>
    </row>
    <row r="2769" spans="1:91">
      <c r="A2769" s="2" t="s">
        <v>71</v>
      </c>
      <c r="B2769" s="2" t="s">
        <v>72</v>
      </c>
      <c r="C2769" s="2" t="s">
        <v>73</v>
      </c>
      <c r="D2769" s="2"/>
      <c r="E2769" s="2" t="str">
        <f>"FES1162544950"</f>
        <v>FES1162544950</v>
      </c>
      <c r="F2769" s="3">
        <v>42846</v>
      </c>
      <c r="G2769" s="2">
        <v>201710</v>
      </c>
      <c r="H2769" s="2" t="s">
        <v>74</v>
      </c>
      <c r="I2769" s="2" t="s">
        <v>75</v>
      </c>
      <c r="J2769" s="2" t="s">
        <v>76</v>
      </c>
      <c r="K2769" s="2" t="s">
        <v>77</v>
      </c>
      <c r="L2769" s="2" t="s">
        <v>1026</v>
      </c>
      <c r="M2769" s="2" t="s">
        <v>1027</v>
      </c>
      <c r="N2769" s="2" t="s">
        <v>1028</v>
      </c>
      <c r="O2769" s="2" t="s">
        <v>115</v>
      </c>
      <c r="P2769" s="2" t="str">
        <f>"2170562217                    "</f>
        <v xml:space="preserve">2170562217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8.31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</v>
      </c>
      <c r="BJ2769" s="2">
        <v>0.2</v>
      </c>
      <c r="BK2769" s="2">
        <v>1</v>
      </c>
      <c r="BL2769" s="2">
        <v>80.849999999999994</v>
      </c>
      <c r="BM2769" s="2">
        <v>11.32</v>
      </c>
      <c r="BN2769" s="2">
        <v>92.17</v>
      </c>
      <c r="BO2769" s="2">
        <v>92.17</v>
      </c>
      <c r="BP2769" s="2"/>
      <c r="BQ2769" s="2" t="s">
        <v>129</v>
      </c>
      <c r="BR2769" s="2" t="s">
        <v>84</v>
      </c>
      <c r="BS2769" s="3">
        <v>42849</v>
      </c>
      <c r="BT2769" s="4">
        <v>0.41666666666666669</v>
      </c>
      <c r="BU2769" s="2" t="s">
        <v>1701</v>
      </c>
      <c r="BV2769" s="2" t="s">
        <v>111</v>
      </c>
      <c r="BW2769" s="2"/>
      <c r="BX2769" s="2"/>
      <c r="BY2769" s="2">
        <v>1200</v>
      </c>
      <c r="BZ2769" s="2" t="s">
        <v>27</v>
      </c>
      <c r="CA2769" s="2"/>
      <c r="CB2769" s="2"/>
      <c r="CC2769" s="2" t="s">
        <v>1027</v>
      </c>
      <c r="CD2769" s="2">
        <v>7349</v>
      </c>
      <c r="CE2769" s="2" t="s">
        <v>118</v>
      </c>
      <c r="CF2769" s="5">
        <v>42850</v>
      </c>
      <c r="CG2769" s="2"/>
      <c r="CH2769" s="2"/>
      <c r="CI2769" s="2">
        <v>1</v>
      </c>
      <c r="CJ2769" s="2">
        <v>1</v>
      </c>
      <c r="CK2769" s="2">
        <v>23</v>
      </c>
      <c r="CL2769" s="2" t="s">
        <v>86</v>
      </c>
      <c r="CM2769" s="2"/>
    </row>
    <row r="2770" spans="1:91">
      <c r="A2770" s="2" t="s">
        <v>71</v>
      </c>
      <c r="B2770" s="2" t="s">
        <v>72</v>
      </c>
      <c r="C2770" s="2" t="s">
        <v>73</v>
      </c>
      <c r="D2770" s="2"/>
      <c r="E2770" s="2" t="str">
        <f>"FES1162544824"</f>
        <v>FES1162544824</v>
      </c>
      <c r="F2770" s="3">
        <v>42846</v>
      </c>
      <c r="G2770" s="2">
        <v>201710</v>
      </c>
      <c r="H2770" s="2" t="s">
        <v>74</v>
      </c>
      <c r="I2770" s="2" t="s">
        <v>75</v>
      </c>
      <c r="J2770" s="2" t="s">
        <v>76</v>
      </c>
      <c r="K2770" s="2" t="s">
        <v>77</v>
      </c>
      <c r="L2770" s="2" t="s">
        <v>166</v>
      </c>
      <c r="M2770" s="2" t="s">
        <v>167</v>
      </c>
      <c r="N2770" s="2" t="s">
        <v>942</v>
      </c>
      <c r="O2770" s="2" t="s">
        <v>115</v>
      </c>
      <c r="P2770" s="2" t="str">
        <f>"2170563363                    "</f>
        <v xml:space="preserve">2170563363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3.35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1</v>
      </c>
      <c r="BJ2770" s="2">
        <v>0.2</v>
      </c>
      <c r="BK2770" s="2">
        <v>1</v>
      </c>
      <c r="BL2770" s="2">
        <v>32.6</v>
      </c>
      <c r="BM2770" s="2">
        <v>4.5599999999999996</v>
      </c>
      <c r="BN2770" s="2">
        <v>37.159999999999997</v>
      </c>
      <c r="BO2770" s="2">
        <v>37.159999999999997</v>
      </c>
      <c r="BP2770" s="2"/>
      <c r="BQ2770" s="2" t="s">
        <v>943</v>
      </c>
      <c r="BR2770" s="2" t="s">
        <v>84</v>
      </c>
      <c r="BS2770" s="3">
        <v>42849</v>
      </c>
      <c r="BT2770" s="4">
        <v>0.4375</v>
      </c>
      <c r="BU2770" s="2" t="s">
        <v>944</v>
      </c>
      <c r="BV2770" s="2" t="s">
        <v>111</v>
      </c>
      <c r="BW2770" s="2"/>
      <c r="BX2770" s="2"/>
      <c r="BY2770" s="2">
        <v>1200</v>
      </c>
      <c r="BZ2770" s="2" t="s">
        <v>27</v>
      </c>
      <c r="CA2770" s="2"/>
      <c r="CB2770" s="2"/>
      <c r="CC2770" s="2" t="s">
        <v>167</v>
      </c>
      <c r="CD2770" s="2">
        <v>2065</v>
      </c>
      <c r="CE2770" s="2" t="s">
        <v>118</v>
      </c>
      <c r="CF2770" s="5">
        <v>42850</v>
      </c>
      <c r="CG2770" s="2"/>
      <c r="CH2770" s="2"/>
      <c r="CI2770" s="2">
        <v>1</v>
      </c>
      <c r="CJ2770" s="2">
        <v>1</v>
      </c>
      <c r="CK2770" s="2">
        <v>22</v>
      </c>
      <c r="CL2770" s="2" t="s">
        <v>86</v>
      </c>
      <c r="CM2770" s="2"/>
    </row>
    <row r="2771" spans="1:91">
      <c r="A2771" s="2" t="s">
        <v>71</v>
      </c>
      <c r="B2771" s="2" t="s">
        <v>72</v>
      </c>
      <c r="C2771" s="2" t="s">
        <v>73</v>
      </c>
      <c r="D2771" s="2"/>
      <c r="E2771" s="2" t="str">
        <f>"FES1162544816"</f>
        <v>FES1162544816</v>
      </c>
      <c r="F2771" s="3">
        <v>42846</v>
      </c>
      <c r="G2771" s="2">
        <v>201710</v>
      </c>
      <c r="H2771" s="2" t="s">
        <v>74</v>
      </c>
      <c r="I2771" s="2" t="s">
        <v>75</v>
      </c>
      <c r="J2771" s="2" t="s">
        <v>76</v>
      </c>
      <c r="K2771" s="2" t="s">
        <v>77</v>
      </c>
      <c r="L2771" s="2" t="s">
        <v>549</v>
      </c>
      <c r="M2771" s="2" t="s">
        <v>550</v>
      </c>
      <c r="N2771" s="2" t="s">
        <v>689</v>
      </c>
      <c r="O2771" s="2" t="s">
        <v>115</v>
      </c>
      <c r="P2771" s="2" t="str">
        <f>"2170562701                    "</f>
        <v xml:space="preserve">2170562701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4.29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1</v>
      </c>
      <c r="BJ2771" s="2">
        <v>0.2</v>
      </c>
      <c r="BK2771" s="2">
        <v>1</v>
      </c>
      <c r="BL2771" s="2">
        <v>41.73</v>
      </c>
      <c r="BM2771" s="2">
        <v>5.84</v>
      </c>
      <c r="BN2771" s="2">
        <v>47.57</v>
      </c>
      <c r="BO2771" s="2">
        <v>47.57</v>
      </c>
      <c r="BP2771" s="2"/>
      <c r="BQ2771" s="2" t="s">
        <v>690</v>
      </c>
      <c r="BR2771" s="2" t="s">
        <v>84</v>
      </c>
      <c r="BS2771" s="3">
        <v>42849</v>
      </c>
      <c r="BT2771" s="4">
        <v>0.40625</v>
      </c>
      <c r="BU2771" s="2" t="s">
        <v>3038</v>
      </c>
      <c r="BV2771" s="2" t="s">
        <v>111</v>
      </c>
      <c r="BW2771" s="2"/>
      <c r="BX2771" s="2"/>
      <c r="BY2771" s="2">
        <v>1200</v>
      </c>
      <c r="BZ2771" s="2" t="s">
        <v>27</v>
      </c>
      <c r="CA2771" s="2" t="s">
        <v>159</v>
      </c>
      <c r="CB2771" s="2"/>
      <c r="CC2771" s="2" t="s">
        <v>550</v>
      </c>
      <c r="CD2771" s="2">
        <v>3699</v>
      </c>
      <c r="CE2771" s="2" t="s">
        <v>118</v>
      </c>
      <c r="CF2771" s="5">
        <v>42850</v>
      </c>
      <c r="CG2771" s="2"/>
      <c r="CH2771" s="2"/>
      <c r="CI2771" s="2">
        <v>1</v>
      </c>
      <c r="CJ2771" s="2">
        <v>1</v>
      </c>
      <c r="CK2771" s="2">
        <v>21</v>
      </c>
      <c r="CL2771" s="2" t="s">
        <v>86</v>
      </c>
      <c r="CM2771" s="2"/>
    </row>
    <row r="2772" spans="1:91">
      <c r="A2772" s="2" t="s">
        <v>71</v>
      </c>
      <c r="B2772" s="2" t="s">
        <v>72</v>
      </c>
      <c r="C2772" s="2" t="s">
        <v>73</v>
      </c>
      <c r="D2772" s="2"/>
      <c r="E2772" s="2" t="str">
        <f>"FES1162544893"</f>
        <v>FES1162544893</v>
      </c>
      <c r="F2772" s="3">
        <v>42846</v>
      </c>
      <c r="G2772" s="2">
        <v>201710</v>
      </c>
      <c r="H2772" s="2" t="s">
        <v>74</v>
      </c>
      <c r="I2772" s="2" t="s">
        <v>75</v>
      </c>
      <c r="J2772" s="2" t="s">
        <v>76</v>
      </c>
      <c r="K2772" s="2" t="s">
        <v>77</v>
      </c>
      <c r="L2772" s="2" t="s">
        <v>900</v>
      </c>
      <c r="M2772" s="2" t="s">
        <v>901</v>
      </c>
      <c r="N2772" s="2" t="s">
        <v>902</v>
      </c>
      <c r="O2772" s="2" t="s">
        <v>115</v>
      </c>
      <c r="P2772" s="2" t="str">
        <f>"2170560920                    "</f>
        <v xml:space="preserve">2170560920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4.29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1</v>
      </c>
      <c r="BJ2772" s="2">
        <v>0.2</v>
      </c>
      <c r="BK2772" s="2">
        <v>1</v>
      </c>
      <c r="BL2772" s="2">
        <v>41.73</v>
      </c>
      <c r="BM2772" s="2">
        <v>5.84</v>
      </c>
      <c r="BN2772" s="2">
        <v>47.57</v>
      </c>
      <c r="BO2772" s="2">
        <v>47.57</v>
      </c>
      <c r="BP2772" s="2"/>
      <c r="BQ2772" s="2" t="s">
        <v>903</v>
      </c>
      <c r="BR2772" s="2" t="s">
        <v>84</v>
      </c>
      <c r="BS2772" s="3">
        <v>42849</v>
      </c>
      <c r="BT2772" s="4">
        <v>0.35069444444444442</v>
      </c>
      <c r="BU2772" s="2" t="s">
        <v>3039</v>
      </c>
      <c r="BV2772" s="2" t="s">
        <v>111</v>
      </c>
      <c r="BW2772" s="2"/>
      <c r="BX2772" s="2"/>
      <c r="BY2772" s="2">
        <v>1200</v>
      </c>
      <c r="BZ2772" s="2" t="s">
        <v>27</v>
      </c>
      <c r="CA2772" s="2"/>
      <c r="CB2772" s="2"/>
      <c r="CC2772" s="2" t="s">
        <v>901</v>
      </c>
      <c r="CD2772" s="2">
        <v>4026</v>
      </c>
      <c r="CE2772" s="2" t="s">
        <v>118</v>
      </c>
      <c r="CF2772" s="5">
        <v>42850</v>
      </c>
      <c r="CG2772" s="2"/>
      <c r="CH2772" s="2"/>
      <c r="CI2772" s="2">
        <v>1</v>
      </c>
      <c r="CJ2772" s="2">
        <v>1</v>
      </c>
      <c r="CK2772" s="2">
        <v>21</v>
      </c>
      <c r="CL2772" s="2" t="s">
        <v>86</v>
      </c>
      <c r="CM2772" s="2"/>
    </row>
    <row r="2773" spans="1:91">
      <c r="A2773" s="2" t="s">
        <v>71</v>
      </c>
      <c r="B2773" s="2" t="s">
        <v>72</v>
      </c>
      <c r="C2773" s="2" t="s">
        <v>73</v>
      </c>
      <c r="D2773" s="2"/>
      <c r="E2773" s="2" t="str">
        <f>"FES1162544963"</f>
        <v>FES1162544963</v>
      </c>
      <c r="F2773" s="3">
        <v>42846</v>
      </c>
      <c r="G2773" s="2">
        <v>201710</v>
      </c>
      <c r="H2773" s="2" t="s">
        <v>74</v>
      </c>
      <c r="I2773" s="2" t="s">
        <v>75</v>
      </c>
      <c r="J2773" s="2" t="s">
        <v>76</v>
      </c>
      <c r="K2773" s="2" t="s">
        <v>77</v>
      </c>
      <c r="L2773" s="2" t="s">
        <v>99</v>
      </c>
      <c r="M2773" s="2" t="s">
        <v>100</v>
      </c>
      <c r="N2773" s="2" t="s">
        <v>1315</v>
      </c>
      <c r="O2773" s="2" t="s">
        <v>115</v>
      </c>
      <c r="P2773" s="2" t="str">
        <f>"2170563459                    "</f>
        <v xml:space="preserve">2170563459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4.29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1</v>
      </c>
      <c r="BJ2773" s="2">
        <v>0.2</v>
      </c>
      <c r="BK2773" s="2">
        <v>1</v>
      </c>
      <c r="BL2773" s="2">
        <v>41.73</v>
      </c>
      <c r="BM2773" s="2">
        <v>5.84</v>
      </c>
      <c r="BN2773" s="2">
        <v>47.57</v>
      </c>
      <c r="BO2773" s="2">
        <v>47.57</v>
      </c>
      <c r="BP2773" s="2"/>
      <c r="BQ2773" s="2" t="s">
        <v>1316</v>
      </c>
      <c r="BR2773" s="2" t="s">
        <v>84</v>
      </c>
      <c r="BS2773" s="3">
        <v>42849</v>
      </c>
      <c r="BT2773" s="4">
        <v>0.3298611111111111</v>
      </c>
      <c r="BU2773" s="2" t="s">
        <v>3040</v>
      </c>
      <c r="BV2773" s="2" t="s">
        <v>111</v>
      </c>
      <c r="BW2773" s="2"/>
      <c r="BX2773" s="2"/>
      <c r="BY2773" s="2">
        <v>1200</v>
      </c>
      <c r="BZ2773" s="2" t="s">
        <v>27</v>
      </c>
      <c r="CA2773" s="2"/>
      <c r="CB2773" s="2"/>
      <c r="CC2773" s="2" t="s">
        <v>100</v>
      </c>
      <c r="CD2773" s="2">
        <v>6001</v>
      </c>
      <c r="CE2773" s="2" t="s">
        <v>118</v>
      </c>
      <c r="CF2773" s="5">
        <v>42850</v>
      </c>
      <c r="CG2773" s="2"/>
      <c r="CH2773" s="2"/>
      <c r="CI2773" s="2">
        <v>1</v>
      </c>
      <c r="CJ2773" s="2">
        <v>1</v>
      </c>
      <c r="CK2773" s="2">
        <v>21</v>
      </c>
      <c r="CL2773" s="2" t="s">
        <v>86</v>
      </c>
      <c r="CM2773" s="2"/>
    </row>
    <row r="2774" spans="1:91">
      <c r="A2774" s="2" t="s">
        <v>71</v>
      </c>
      <c r="B2774" s="2" t="s">
        <v>72</v>
      </c>
      <c r="C2774" s="2" t="s">
        <v>73</v>
      </c>
      <c r="D2774" s="2"/>
      <c r="E2774" s="2" t="str">
        <f>"FES1162544866"</f>
        <v>FES1162544866</v>
      </c>
      <c r="F2774" s="3">
        <v>42846</v>
      </c>
      <c r="G2774" s="2">
        <v>201710</v>
      </c>
      <c r="H2774" s="2" t="s">
        <v>74</v>
      </c>
      <c r="I2774" s="2" t="s">
        <v>75</v>
      </c>
      <c r="J2774" s="2" t="s">
        <v>76</v>
      </c>
      <c r="K2774" s="2" t="s">
        <v>77</v>
      </c>
      <c r="L2774" s="2" t="s">
        <v>131</v>
      </c>
      <c r="M2774" s="2" t="s">
        <v>132</v>
      </c>
      <c r="N2774" s="2" t="s">
        <v>1824</v>
      </c>
      <c r="O2774" s="2" t="s">
        <v>115</v>
      </c>
      <c r="P2774" s="2" t="str">
        <f>"2170561318                    "</f>
        <v xml:space="preserve">2170561318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4.29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1</v>
      </c>
      <c r="BJ2774" s="2">
        <v>0.2</v>
      </c>
      <c r="BK2774" s="2">
        <v>1</v>
      </c>
      <c r="BL2774" s="2">
        <v>41.73</v>
      </c>
      <c r="BM2774" s="2">
        <v>5.84</v>
      </c>
      <c r="BN2774" s="2">
        <v>47.57</v>
      </c>
      <c r="BO2774" s="2">
        <v>47.57</v>
      </c>
      <c r="BP2774" s="2"/>
      <c r="BQ2774" s="2"/>
      <c r="BR2774" s="2" t="s">
        <v>84</v>
      </c>
      <c r="BS2774" s="3">
        <v>42849</v>
      </c>
      <c r="BT2774" s="4">
        <v>0.3263888888888889</v>
      </c>
      <c r="BU2774" s="2" t="s">
        <v>3041</v>
      </c>
      <c r="BV2774" s="2" t="s">
        <v>111</v>
      </c>
      <c r="BW2774" s="2"/>
      <c r="BX2774" s="2"/>
      <c r="BY2774" s="2">
        <v>1200</v>
      </c>
      <c r="BZ2774" s="2" t="s">
        <v>27</v>
      </c>
      <c r="CA2774" s="2"/>
      <c r="CB2774" s="2"/>
      <c r="CC2774" s="2" t="s">
        <v>132</v>
      </c>
      <c r="CD2774" s="2">
        <v>7530</v>
      </c>
      <c r="CE2774" s="2" t="s">
        <v>118</v>
      </c>
      <c r="CF2774" s="5">
        <v>42850</v>
      </c>
      <c r="CG2774" s="2"/>
      <c r="CH2774" s="2"/>
      <c r="CI2774" s="2">
        <v>1</v>
      </c>
      <c r="CJ2774" s="2">
        <v>1</v>
      </c>
      <c r="CK2774" s="2">
        <v>21</v>
      </c>
      <c r="CL2774" s="2" t="s">
        <v>86</v>
      </c>
      <c r="CM2774" s="2"/>
    </row>
    <row r="2775" spans="1:91">
      <c r="A2775" s="2" t="s">
        <v>71</v>
      </c>
      <c r="B2775" s="2" t="s">
        <v>72</v>
      </c>
      <c r="C2775" s="2" t="s">
        <v>73</v>
      </c>
      <c r="D2775" s="2"/>
      <c r="E2775" s="2" t="str">
        <f>"FES1162544915"</f>
        <v>FES1162544915</v>
      </c>
      <c r="F2775" s="3">
        <v>42846</v>
      </c>
      <c r="G2775" s="2">
        <v>201710</v>
      </c>
      <c r="H2775" s="2" t="s">
        <v>74</v>
      </c>
      <c r="I2775" s="2" t="s">
        <v>75</v>
      </c>
      <c r="J2775" s="2" t="s">
        <v>76</v>
      </c>
      <c r="K2775" s="2" t="s">
        <v>77</v>
      </c>
      <c r="L2775" s="2" t="s">
        <v>131</v>
      </c>
      <c r="M2775" s="2" t="s">
        <v>132</v>
      </c>
      <c r="N2775" s="2" t="s">
        <v>3042</v>
      </c>
      <c r="O2775" s="2" t="s">
        <v>115</v>
      </c>
      <c r="P2775" s="2" t="str">
        <f>"2170563401                    "</f>
        <v xml:space="preserve">2170563401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4.29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1</v>
      </c>
      <c r="BJ2775" s="2">
        <v>0.2</v>
      </c>
      <c r="BK2775" s="2">
        <v>1</v>
      </c>
      <c r="BL2775" s="2">
        <v>41.73</v>
      </c>
      <c r="BM2775" s="2">
        <v>5.84</v>
      </c>
      <c r="BN2775" s="2">
        <v>47.57</v>
      </c>
      <c r="BO2775" s="2">
        <v>47.57</v>
      </c>
      <c r="BP2775" s="2"/>
      <c r="BQ2775" s="2"/>
      <c r="BR2775" s="2" t="s">
        <v>84</v>
      </c>
      <c r="BS2775" s="3">
        <v>42849</v>
      </c>
      <c r="BT2775" s="4">
        <v>0.41666666666666669</v>
      </c>
      <c r="BU2775" s="2" t="s">
        <v>3043</v>
      </c>
      <c r="BV2775" s="2" t="s">
        <v>111</v>
      </c>
      <c r="BW2775" s="2"/>
      <c r="BX2775" s="2"/>
      <c r="BY2775" s="2">
        <v>1200</v>
      </c>
      <c r="BZ2775" s="2" t="s">
        <v>27</v>
      </c>
      <c r="CA2775" s="2"/>
      <c r="CB2775" s="2"/>
      <c r="CC2775" s="2" t="s">
        <v>132</v>
      </c>
      <c r="CD2775" s="2">
        <v>7460</v>
      </c>
      <c r="CE2775" s="2" t="s">
        <v>118</v>
      </c>
      <c r="CF2775" s="5">
        <v>42850</v>
      </c>
      <c r="CG2775" s="2"/>
      <c r="CH2775" s="2"/>
      <c r="CI2775" s="2">
        <v>1</v>
      </c>
      <c r="CJ2775" s="2">
        <v>1</v>
      </c>
      <c r="CK2775" s="2">
        <v>21</v>
      </c>
      <c r="CL2775" s="2" t="s">
        <v>86</v>
      </c>
      <c r="CM2775" s="2"/>
    </row>
    <row r="2776" spans="1:91">
      <c r="A2776" s="2" t="s">
        <v>71</v>
      </c>
      <c r="B2776" s="2" t="s">
        <v>72</v>
      </c>
      <c r="C2776" s="2" t="s">
        <v>73</v>
      </c>
      <c r="D2776" s="2"/>
      <c r="E2776" s="2" t="str">
        <f>"FES1162544889"</f>
        <v>FES1162544889</v>
      </c>
      <c r="F2776" s="3">
        <v>42846</v>
      </c>
      <c r="G2776" s="2">
        <v>201710</v>
      </c>
      <c r="H2776" s="2" t="s">
        <v>74</v>
      </c>
      <c r="I2776" s="2" t="s">
        <v>75</v>
      </c>
      <c r="J2776" s="2" t="s">
        <v>76</v>
      </c>
      <c r="K2776" s="2" t="s">
        <v>77</v>
      </c>
      <c r="L2776" s="2" t="s">
        <v>99</v>
      </c>
      <c r="M2776" s="2" t="s">
        <v>100</v>
      </c>
      <c r="N2776" s="2" t="s">
        <v>876</v>
      </c>
      <c r="O2776" s="2" t="s">
        <v>115</v>
      </c>
      <c r="P2776" s="2" t="str">
        <f>"2170560612                    "</f>
        <v xml:space="preserve">2170560612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4.29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1</v>
      </c>
      <c r="BJ2776" s="2">
        <v>0.2</v>
      </c>
      <c r="BK2776" s="2">
        <v>1</v>
      </c>
      <c r="BL2776" s="2">
        <v>41.73</v>
      </c>
      <c r="BM2776" s="2">
        <v>5.84</v>
      </c>
      <c r="BN2776" s="2">
        <v>47.57</v>
      </c>
      <c r="BO2776" s="2">
        <v>47.57</v>
      </c>
      <c r="BP2776" s="2"/>
      <c r="BQ2776" s="2" t="s">
        <v>877</v>
      </c>
      <c r="BR2776" s="2" t="s">
        <v>84</v>
      </c>
      <c r="BS2776" s="3">
        <v>42849</v>
      </c>
      <c r="BT2776" s="4">
        <v>0.30555555555555552</v>
      </c>
      <c r="BU2776" s="2" t="s">
        <v>3044</v>
      </c>
      <c r="BV2776" s="2" t="s">
        <v>111</v>
      </c>
      <c r="BW2776" s="2"/>
      <c r="BX2776" s="2"/>
      <c r="BY2776" s="2">
        <v>1200</v>
      </c>
      <c r="BZ2776" s="2" t="s">
        <v>27</v>
      </c>
      <c r="CA2776" s="2"/>
      <c r="CB2776" s="2"/>
      <c r="CC2776" s="2" t="s">
        <v>100</v>
      </c>
      <c r="CD2776" s="2">
        <v>6012</v>
      </c>
      <c r="CE2776" s="2" t="s">
        <v>118</v>
      </c>
      <c r="CF2776" s="5">
        <v>42851</v>
      </c>
      <c r="CG2776" s="2"/>
      <c r="CH2776" s="2"/>
      <c r="CI2776" s="2">
        <v>1</v>
      </c>
      <c r="CJ2776" s="2">
        <v>1</v>
      </c>
      <c r="CK2776" s="2">
        <v>21</v>
      </c>
      <c r="CL2776" s="2" t="s">
        <v>86</v>
      </c>
      <c r="CM2776" s="2"/>
    </row>
    <row r="2777" spans="1:91">
      <c r="A2777" s="2" t="s">
        <v>71</v>
      </c>
      <c r="B2777" s="2" t="s">
        <v>72</v>
      </c>
      <c r="C2777" s="2" t="s">
        <v>73</v>
      </c>
      <c r="D2777" s="2"/>
      <c r="E2777" s="2" t="str">
        <f>"FES1162544854"</f>
        <v>FES1162544854</v>
      </c>
      <c r="F2777" s="3">
        <v>42846</v>
      </c>
      <c r="G2777" s="2">
        <v>201710</v>
      </c>
      <c r="H2777" s="2" t="s">
        <v>74</v>
      </c>
      <c r="I2777" s="2" t="s">
        <v>75</v>
      </c>
      <c r="J2777" s="2" t="s">
        <v>76</v>
      </c>
      <c r="K2777" s="2" t="s">
        <v>77</v>
      </c>
      <c r="L2777" s="2" t="s">
        <v>99</v>
      </c>
      <c r="M2777" s="2" t="s">
        <v>100</v>
      </c>
      <c r="N2777" s="2" t="s">
        <v>108</v>
      </c>
      <c r="O2777" s="2" t="s">
        <v>115</v>
      </c>
      <c r="P2777" s="2" t="str">
        <f>"2170562917                    "</f>
        <v xml:space="preserve">2170562917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4.29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1</v>
      </c>
      <c r="BJ2777" s="2">
        <v>0.2</v>
      </c>
      <c r="BK2777" s="2">
        <v>1</v>
      </c>
      <c r="BL2777" s="2">
        <v>41.73</v>
      </c>
      <c r="BM2777" s="2">
        <v>5.84</v>
      </c>
      <c r="BN2777" s="2">
        <v>47.57</v>
      </c>
      <c r="BO2777" s="2">
        <v>47.57</v>
      </c>
      <c r="BP2777" s="2"/>
      <c r="BQ2777" s="2" t="s">
        <v>109</v>
      </c>
      <c r="BR2777" s="2" t="s">
        <v>84</v>
      </c>
      <c r="BS2777" s="3">
        <v>42849</v>
      </c>
      <c r="BT2777" s="4">
        <v>0.36458333333333331</v>
      </c>
      <c r="BU2777" s="2" t="s">
        <v>2884</v>
      </c>
      <c r="BV2777" s="2" t="s">
        <v>111</v>
      </c>
      <c r="BW2777" s="2"/>
      <c r="BX2777" s="2"/>
      <c r="BY2777" s="2">
        <v>1200</v>
      </c>
      <c r="BZ2777" s="2" t="s">
        <v>27</v>
      </c>
      <c r="CA2777" s="2"/>
      <c r="CB2777" s="2"/>
      <c r="CC2777" s="2" t="s">
        <v>100</v>
      </c>
      <c r="CD2777" s="2">
        <v>6001</v>
      </c>
      <c r="CE2777" s="2" t="s">
        <v>118</v>
      </c>
      <c r="CF2777" s="5">
        <v>42851</v>
      </c>
      <c r="CG2777" s="2"/>
      <c r="CH2777" s="2"/>
      <c r="CI2777" s="2">
        <v>1</v>
      </c>
      <c r="CJ2777" s="2">
        <v>1</v>
      </c>
      <c r="CK2777" s="2">
        <v>21</v>
      </c>
      <c r="CL2777" s="2" t="s">
        <v>86</v>
      </c>
      <c r="CM2777" s="2"/>
    </row>
    <row r="2778" spans="1:91">
      <c r="A2778" s="2" t="s">
        <v>71</v>
      </c>
      <c r="B2778" s="2" t="s">
        <v>72</v>
      </c>
      <c r="C2778" s="2" t="s">
        <v>73</v>
      </c>
      <c r="D2778" s="2"/>
      <c r="E2778" s="2" t="str">
        <f>"FES1162544974"</f>
        <v>FES1162544974</v>
      </c>
      <c r="F2778" s="3">
        <v>42846</v>
      </c>
      <c r="G2778" s="2">
        <v>201710</v>
      </c>
      <c r="H2778" s="2" t="s">
        <v>74</v>
      </c>
      <c r="I2778" s="2" t="s">
        <v>75</v>
      </c>
      <c r="J2778" s="2" t="s">
        <v>76</v>
      </c>
      <c r="K2778" s="2" t="s">
        <v>77</v>
      </c>
      <c r="L2778" s="2" t="s">
        <v>99</v>
      </c>
      <c r="M2778" s="2" t="s">
        <v>100</v>
      </c>
      <c r="N2778" s="2" t="s">
        <v>151</v>
      </c>
      <c r="O2778" s="2" t="s">
        <v>115</v>
      </c>
      <c r="P2778" s="2" t="str">
        <f>"2170563461                    "</f>
        <v xml:space="preserve">2170563461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4.29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1</v>
      </c>
      <c r="BJ2778" s="2">
        <v>0.2</v>
      </c>
      <c r="BK2778" s="2">
        <v>1</v>
      </c>
      <c r="BL2778" s="2">
        <v>41.73</v>
      </c>
      <c r="BM2778" s="2">
        <v>5.84</v>
      </c>
      <c r="BN2778" s="2">
        <v>47.57</v>
      </c>
      <c r="BO2778" s="2">
        <v>47.57</v>
      </c>
      <c r="BP2778" s="2"/>
      <c r="BQ2778" s="2" t="s">
        <v>152</v>
      </c>
      <c r="BR2778" s="2" t="s">
        <v>84</v>
      </c>
      <c r="BS2778" s="3">
        <v>42849</v>
      </c>
      <c r="BT2778" s="4">
        <v>0.30555555555555552</v>
      </c>
      <c r="BU2778" s="2" t="s">
        <v>3045</v>
      </c>
      <c r="BV2778" s="2" t="s">
        <v>111</v>
      </c>
      <c r="BW2778" s="2"/>
      <c r="BX2778" s="2"/>
      <c r="BY2778" s="2">
        <v>1200</v>
      </c>
      <c r="BZ2778" s="2" t="s">
        <v>27</v>
      </c>
      <c r="CA2778" s="2"/>
      <c r="CB2778" s="2"/>
      <c r="CC2778" s="2" t="s">
        <v>100</v>
      </c>
      <c r="CD2778" s="2">
        <v>6001</v>
      </c>
      <c r="CE2778" s="2" t="s">
        <v>118</v>
      </c>
      <c r="CF2778" s="5">
        <v>42850</v>
      </c>
      <c r="CG2778" s="2"/>
      <c r="CH2778" s="2"/>
      <c r="CI2778" s="2">
        <v>1</v>
      </c>
      <c r="CJ2778" s="2">
        <v>1</v>
      </c>
      <c r="CK2778" s="2">
        <v>21</v>
      </c>
      <c r="CL2778" s="2" t="s">
        <v>86</v>
      </c>
      <c r="CM2778" s="2"/>
    </row>
    <row r="2779" spans="1:91">
      <c r="A2779" s="2" t="s">
        <v>71</v>
      </c>
      <c r="B2779" s="2" t="s">
        <v>72</v>
      </c>
      <c r="C2779" s="2" t="s">
        <v>73</v>
      </c>
      <c r="D2779" s="2"/>
      <c r="E2779" s="2" t="str">
        <f>"FES1162544932"</f>
        <v>FES1162544932</v>
      </c>
      <c r="F2779" s="3">
        <v>42846</v>
      </c>
      <c r="G2779" s="2">
        <v>201710</v>
      </c>
      <c r="H2779" s="2" t="s">
        <v>74</v>
      </c>
      <c r="I2779" s="2" t="s">
        <v>75</v>
      </c>
      <c r="J2779" s="2" t="s">
        <v>76</v>
      </c>
      <c r="K2779" s="2" t="s">
        <v>77</v>
      </c>
      <c r="L2779" s="2" t="s">
        <v>396</v>
      </c>
      <c r="M2779" s="2" t="s">
        <v>397</v>
      </c>
      <c r="N2779" s="2" t="s">
        <v>398</v>
      </c>
      <c r="O2779" s="2" t="s">
        <v>115</v>
      </c>
      <c r="P2779" s="2" t="str">
        <f>"2170563422                    "</f>
        <v xml:space="preserve">2170563422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4.29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1</v>
      </c>
      <c r="BI2779" s="2">
        <v>1</v>
      </c>
      <c r="BJ2779" s="2">
        <v>0.2</v>
      </c>
      <c r="BK2779" s="2">
        <v>1</v>
      </c>
      <c r="BL2779" s="2">
        <v>41.73</v>
      </c>
      <c r="BM2779" s="2">
        <v>5.84</v>
      </c>
      <c r="BN2779" s="2">
        <v>47.57</v>
      </c>
      <c r="BO2779" s="2">
        <v>47.57</v>
      </c>
      <c r="BP2779" s="2"/>
      <c r="BQ2779" s="2" t="s">
        <v>399</v>
      </c>
      <c r="BR2779" s="2" t="s">
        <v>84</v>
      </c>
      <c r="BS2779" s="3">
        <v>42849</v>
      </c>
      <c r="BT2779" s="4">
        <v>0.39583333333333331</v>
      </c>
      <c r="BU2779" s="2" t="s">
        <v>2474</v>
      </c>
      <c r="BV2779" s="2" t="s">
        <v>111</v>
      </c>
      <c r="BW2779" s="2"/>
      <c r="BX2779" s="2"/>
      <c r="BY2779" s="2">
        <v>1200</v>
      </c>
      <c r="BZ2779" s="2" t="s">
        <v>27</v>
      </c>
      <c r="CA2779" s="2"/>
      <c r="CB2779" s="2"/>
      <c r="CC2779" s="2" t="s">
        <v>397</v>
      </c>
      <c r="CD2779" s="2">
        <v>4300</v>
      </c>
      <c r="CE2779" s="2" t="s">
        <v>118</v>
      </c>
      <c r="CF2779" s="5">
        <v>42850</v>
      </c>
      <c r="CG2779" s="2"/>
      <c r="CH2779" s="2"/>
      <c r="CI2779" s="2">
        <v>1</v>
      </c>
      <c r="CJ2779" s="2">
        <v>1</v>
      </c>
      <c r="CK2779" s="2">
        <v>21</v>
      </c>
      <c r="CL2779" s="2" t="s">
        <v>86</v>
      </c>
      <c r="CM2779" s="2"/>
    </row>
    <row r="2780" spans="1:91">
      <c r="A2780" s="2" t="s">
        <v>71</v>
      </c>
      <c r="B2780" s="2" t="s">
        <v>72</v>
      </c>
      <c r="C2780" s="2" t="s">
        <v>73</v>
      </c>
      <c r="D2780" s="2"/>
      <c r="E2780" s="2" t="str">
        <f>"FES1162544828"</f>
        <v>FES1162544828</v>
      </c>
      <c r="F2780" s="3">
        <v>42846</v>
      </c>
      <c r="G2780" s="2">
        <v>201710</v>
      </c>
      <c r="H2780" s="2" t="s">
        <v>74</v>
      </c>
      <c r="I2780" s="2" t="s">
        <v>75</v>
      </c>
      <c r="J2780" s="2" t="s">
        <v>76</v>
      </c>
      <c r="K2780" s="2" t="s">
        <v>77</v>
      </c>
      <c r="L2780" s="2" t="s">
        <v>598</v>
      </c>
      <c r="M2780" s="2" t="s">
        <v>599</v>
      </c>
      <c r="N2780" s="2" t="s">
        <v>600</v>
      </c>
      <c r="O2780" s="2" t="s">
        <v>115</v>
      </c>
      <c r="P2780" s="2" t="str">
        <f>"2170563358                    "</f>
        <v xml:space="preserve">2170563358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8.31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1</v>
      </c>
      <c r="BJ2780" s="2">
        <v>0.2</v>
      </c>
      <c r="BK2780" s="2">
        <v>1</v>
      </c>
      <c r="BL2780" s="2">
        <v>80.849999999999994</v>
      </c>
      <c r="BM2780" s="2">
        <v>11.32</v>
      </c>
      <c r="BN2780" s="2">
        <v>92.17</v>
      </c>
      <c r="BO2780" s="2">
        <v>92.17</v>
      </c>
      <c r="BP2780" s="2"/>
      <c r="BQ2780" s="2" t="s">
        <v>601</v>
      </c>
      <c r="BR2780" s="2" t="s">
        <v>84</v>
      </c>
      <c r="BS2780" s="3">
        <v>42849</v>
      </c>
      <c r="BT2780" s="4">
        <v>0.59861111111111109</v>
      </c>
      <c r="BU2780" s="2" t="s">
        <v>601</v>
      </c>
      <c r="BV2780" s="2" t="s">
        <v>111</v>
      </c>
      <c r="BW2780" s="2"/>
      <c r="BX2780" s="2"/>
      <c r="BY2780" s="2">
        <v>1200</v>
      </c>
      <c r="BZ2780" s="2" t="s">
        <v>27</v>
      </c>
      <c r="CA2780" s="2"/>
      <c r="CB2780" s="2"/>
      <c r="CC2780" s="2" t="s">
        <v>599</v>
      </c>
      <c r="CD2780" s="2">
        <v>3370</v>
      </c>
      <c r="CE2780" s="2" t="s">
        <v>118</v>
      </c>
      <c r="CF2780" s="5">
        <v>42851</v>
      </c>
      <c r="CG2780" s="2"/>
      <c r="CH2780" s="2"/>
      <c r="CI2780" s="2">
        <v>3</v>
      </c>
      <c r="CJ2780" s="2">
        <v>1</v>
      </c>
      <c r="CK2780" s="2">
        <v>23</v>
      </c>
      <c r="CL2780" s="2" t="s">
        <v>86</v>
      </c>
      <c r="CM2780" s="2"/>
    </row>
    <row r="2781" spans="1:91">
      <c r="A2781" s="2" t="s">
        <v>71</v>
      </c>
      <c r="B2781" s="2" t="s">
        <v>72</v>
      </c>
      <c r="C2781" s="2" t="s">
        <v>73</v>
      </c>
      <c r="D2781" s="2"/>
      <c r="E2781" s="2" t="str">
        <f>"FES1162544929"</f>
        <v>FES1162544929</v>
      </c>
      <c r="F2781" s="3">
        <v>42846</v>
      </c>
      <c r="G2781" s="2">
        <v>201710</v>
      </c>
      <c r="H2781" s="2" t="s">
        <v>74</v>
      </c>
      <c r="I2781" s="2" t="s">
        <v>75</v>
      </c>
      <c r="J2781" s="2" t="s">
        <v>76</v>
      </c>
      <c r="K2781" s="2" t="s">
        <v>77</v>
      </c>
      <c r="L2781" s="2" t="s">
        <v>131</v>
      </c>
      <c r="M2781" s="2" t="s">
        <v>132</v>
      </c>
      <c r="N2781" s="2" t="s">
        <v>1220</v>
      </c>
      <c r="O2781" s="2" t="s">
        <v>115</v>
      </c>
      <c r="P2781" s="2" t="str">
        <f>"2170563414                    "</f>
        <v xml:space="preserve">2170563414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4.29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1</v>
      </c>
      <c r="BJ2781" s="2">
        <v>0.2</v>
      </c>
      <c r="BK2781" s="2">
        <v>1</v>
      </c>
      <c r="BL2781" s="2">
        <v>41.73</v>
      </c>
      <c r="BM2781" s="2">
        <v>5.84</v>
      </c>
      <c r="BN2781" s="2">
        <v>47.57</v>
      </c>
      <c r="BO2781" s="2">
        <v>47.57</v>
      </c>
      <c r="BP2781" s="2"/>
      <c r="BQ2781" s="2" t="s">
        <v>122</v>
      </c>
      <c r="BR2781" s="2" t="s">
        <v>84</v>
      </c>
      <c r="BS2781" s="3">
        <v>42849</v>
      </c>
      <c r="BT2781" s="4">
        <v>0.43194444444444446</v>
      </c>
      <c r="BU2781" s="2" t="s">
        <v>3046</v>
      </c>
      <c r="BV2781" s="2" t="s">
        <v>111</v>
      </c>
      <c r="BW2781" s="2"/>
      <c r="BX2781" s="2"/>
      <c r="BY2781" s="2">
        <v>1200</v>
      </c>
      <c r="BZ2781" s="2" t="s">
        <v>27</v>
      </c>
      <c r="CA2781" s="2"/>
      <c r="CB2781" s="2"/>
      <c r="CC2781" s="2" t="s">
        <v>132</v>
      </c>
      <c r="CD2781" s="2">
        <v>7500</v>
      </c>
      <c r="CE2781" s="2" t="s">
        <v>118</v>
      </c>
      <c r="CF2781" s="5">
        <v>42850</v>
      </c>
      <c r="CG2781" s="2"/>
      <c r="CH2781" s="2"/>
      <c r="CI2781" s="2">
        <v>1</v>
      </c>
      <c r="CJ2781" s="2">
        <v>1</v>
      </c>
      <c r="CK2781" s="2">
        <v>21</v>
      </c>
      <c r="CL2781" s="2" t="s">
        <v>86</v>
      </c>
      <c r="CM2781" s="2"/>
    </row>
    <row r="2782" spans="1:91">
      <c r="A2782" s="2" t="s">
        <v>71</v>
      </c>
      <c r="B2782" s="2" t="s">
        <v>72</v>
      </c>
      <c r="C2782" s="2" t="s">
        <v>73</v>
      </c>
      <c r="D2782" s="2"/>
      <c r="E2782" s="2" t="str">
        <f>"FES1162544851"</f>
        <v>FES1162544851</v>
      </c>
      <c r="F2782" s="3">
        <v>42846</v>
      </c>
      <c r="G2782" s="2">
        <v>201710</v>
      </c>
      <c r="H2782" s="2" t="s">
        <v>74</v>
      </c>
      <c r="I2782" s="2" t="s">
        <v>75</v>
      </c>
      <c r="J2782" s="2" t="s">
        <v>76</v>
      </c>
      <c r="K2782" s="2" t="s">
        <v>77</v>
      </c>
      <c r="L2782" s="2" t="s">
        <v>99</v>
      </c>
      <c r="M2782" s="2" t="s">
        <v>100</v>
      </c>
      <c r="N2782" s="2" t="s">
        <v>3047</v>
      </c>
      <c r="O2782" s="2" t="s">
        <v>115</v>
      </c>
      <c r="P2782" s="2" t="str">
        <f>"21705613558                   "</f>
        <v xml:space="preserve">21705613558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4.29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1</v>
      </c>
      <c r="BJ2782" s="2">
        <v>0.2</v>
      </c>
      <c r="BK2782" s="2">
        <v>1</v>
      </c>
      <c r="BL2782" s="2">
        <v>41.73</v>
      </c>
      <c r="BM2782" s="2">
        <v>5.84</v>
      </c>
      <c r="BN2782" s="2">
        <v>47.57</v>
      </c>
      <c r="BO2782" s="2">
        <v>47.57</v>
      </c>
      <c r="BP2782" s="2"/>
      <c r="BQ2782" s="2"/>
      <c r="BR2782" s="2" t="s">
        <v>84</v>
      </c>
      <c r="BS2782" s="3">
        <v>42849</v>
      </c>
      <c r="BT2782" s="4">
        <v>0.4368055555555555</v>
      </c>
      <c r="BU2782" s="2" t="s">
        <v>3048</v>
      </c>
      <c r="BV2782" s="2" t="s">
        <v>111</v>
      </c>
      <c r="BW2782" s="2"/>
      <c r="BX2782" s="2"/>
      <c r="BY2782" s="2">
        <v>1200</v>
      </c>
      <c r="BZ2782" s="2" t="s">
        <v>27</v>
      </c>
      <c r="CA2782" s="2"/>
      <c r="CB2782" s="2"/>
      <c r="CC2782" s="2" t="s">
        <v>100</v>
      </c>
      <c r="CD2782" s="2">
        <v>6001</v>
      </c>
      <c r="CE2782" s="2" t="s">
        <v>118</v>
      </c>
      <c r="CF2782" s="5">
        <v>42850</v>
      </c>
      <c r="CG2782" s="2"/>
      <c r="CH2782" s="2"/>
      <c r="CI2782" s="2">
        <v>1</v>
      </c>
      <c r="CJ2782" s="2">
        <v>1</v>
      </c>
      <c r="CK2782" s="2">
        <v>21</v>
      </c>
      <c r="CL2782" s="2" t="s">
        <v>86</v>
      </c>
      <c r="CM2782" s="2"/>
    </row>
    <row r="2783" spans="1:91">
      <c r="A2783" s="2" t="s">
        <v>71</v>
      </c>
      <c r="B2783" s="2" t="s">
        <v>72</v>
      </c>
      <c r="C2783" s="2" t="s">
        <v>73</v>
      </c>
      <c r="D2783" s="2"/>
      <c r="E2783" s="2" t="str">
        <f>"FES1162544944"</f>
        <v>FES1162544944</v>
      </c>
      <c r="F2783" s="3">
        <v>42846</v>
      </c>
      <c r="G2783" s="2">
        <v>201710</v>
      </c>
      <c r="H2783" s="2" t="s">
        <v>74</v>
      </c>
      <c r="I2783" s="2" t="s">
        <v>75</v>
      </c>
      <c r="J2783" s="2" t="s">
        <v>76</v>
      </c>
      <c r="K2783" s="2" t="s">
        <v>77</v>
      </c>
      <c r="L2783" s="2" t="s">
        <v>131</v>
      </c>
      <c r="M2783" s="2" t="s">
        <v>132</v>
      </c>
      <c r="N2783" s="2" t="s">
        <v>1908</v>
      </c>
      <c r="O2783" s="2" t="s">
        <v>115</v>
      </c>
      <c r="P2783" s="2" t="str">
        <f>"2170563437                    "</f>
        <v xml:space="preserve">2170563437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4.29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1</v>
      </c>
      <c r="BJ2783" s="2">
        <v>0.2</v>
      </c>
      <c r="BK2783" s="2">
        <v>1</v>
      </c>
      <c r="BL2783" s="2">
        <v>41.73</v>
      </c>
      <c r="BM2783" s="2">
        <v>5.84</v>
      </c>
      <c r="BN2783" s="2">
        <v>47.57</v>
      </c>
      <c r="BO2783" s="2">
        <v>47.57</v>
      </c>
      <c r="BP2783" s="2"/>
      <c r="BQ2783" s="2" t="s">
        <v>1909</v>
      </c>
      <c r="BR2783" s="2" t="s">
        <v>84</v>
      </c>
      <c r="BS2783" s="3">
        <v>42849</v>
      </c>
      <c r="BT2783" s="4">
        <v>0.32361111111111113</v>
      </c>
      <c r="BU2783" s="2" t="s">
        <v>3049</v>
      </c>
      <c r="BV2783" s="2" t="s">
        <v>111</v>
      </c>
      <c r="BW2783" s="2"/>
      <c r="BX2783" s="2"/>
      <c r="BY2783" s="2">
        <v>1200</v>
      </c>
      <c r="BZ2783" s="2" t="s">
        <v>27</v>
      </c>
      <c r="CA2783" s="2"/>
      <c r="CB2783" s="2"/>
      <c r="CC2783" s="2" t="s">
        <v>132</v>
      </c>
      <c r="CD2783" s="2">
        <v>7945</v>
      </c>
      <c r="CE2783" s="2" t="s">
        <v>118</v>
      </c>
      <c r="CF2783" s="5">
        <v>42850</v>
      </c>
      <c r="CG2783" s="2"/>
      <c r="CH2783" s="2"/>
      <c r="CI2783" s="2">
        <v>1</v>
      </c>
      <c r="CJ2783" s="2">
        <v>1</v>
      </c>
      <c r="CK2783" s="2">
        <v>21</v>
      </c>
      <c r="CL2783" s="2" t="s">
        <v>86</v>
      </c>
      <c r="CM2783" s="2"/>
    </row>
    <row r="2784" spans="1:91">
      <c r="A2784" s="2" t="s">
        <v>71</v>
      </c>
      <c r="B2784" s="2" t="s">
        <v>72</v>
      </c>
      <c r="C2784" s="2" t="s">
        <v>73</v>
      </c>
      <c r="D2784" s="2"/>
      <c r="E2784" s="2" t="str">
        <f>"FES1162544795"</f>
        <v>FES1162544795</v>
      </c>
      <c r="F2784" s="3">
        <v>42846</v>
      </c>
      <c r="G2784" s="2">
        <v>201710</v>
      </c>
      <c r="H2784" s="2" t="s">
        <v>74</v>
      </c>
      <c r="I2784" s="2" t="s">
        <v>75</v>
      </c>
      <c r="J2784" s="2" t="s">
        <v>76</v>
      </c>
      <c r="K2784" s="2" t="s">
        <v>77</v>
      </c>
      <c r="L2784" s="2" t="s">
        <v>131</v>
      </c>
      <c r="M2784" s="2" t="s">
        <v>132</v>
      </c>
      <c r="N2784" s="2" t="s">
        <v>363</v>
      </c>
      <c r="O2784" s="2" t="s">
        <v>115</v>
      </c>
      <c r="P2784" s="2" t="str">
        <f>"2170563349                    "</f>
        <v xml:space="preserve">2170563349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4.29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1</v>
      </c>
      <c r="BJ2784" s="2">
        <v>0.2</v>
      </c>
      <c r="BK2784" s="2">
        <v>1</v>
      </c>
      <c r="BL2784" s="2">
        <v>41.73</v>
      </c>
      <c r="BM2784" s="2">
        <v>5.84</v>
      </c>
      <c r="BN2784" s="2">
        <v>47.57</v>
      </c>
      <c r="BO2784" s="2">
        <v>47.57</v>
      </c>
      <c r="BP2784" s="2"/>
      <c r="BQ2784" s="2" t="s">
        <v>170</v>
      </c>
      <c r="BR2784" s="2" t="s">
        <v>84</v>
      </c>
      <c r="BS2784" s="3">
        <v>42849</v>
      </c>
      <c r="BT2784" s="4">
        <v>0.41666666666666669</v>
      </c>
      <c r="BU2784" s="2" t="s">
        <v>2676</v>
      </c>
      <c r="BV2784" s="2" t="s">
        <v>111</v>
      </c>
      <c r="BW2784" s="2"/>
      <c r="BX2784" s="2"/>
      <c r="BY2784" s="2">
        <v>1200</v>
      </c>
      <c r="BZ2784" s="2" t="s">
        <v>27</v>
      </c>
      <c r="CA2784" s="2"/>
      <c r="CB2784" s="2"/>
      <c r="CC2784" s="2" t="s">
        <v>132</v>
      </c>
      <c r="CD2784" s="2">
        <v>7441</v>
      </c>
      <c r="CE2784" s="2" t="s">
        <v>118</v>
      </c>
      <c r="CF2784" s="5">
        <v>42850</v>
      </c>
      <c r="CG2784" s="2"/>
      <c r="CH2784" s="2"/>
      <c r="CI2784" s="2">
        <v>1</v>
      </c>
      <c r="CJ2784" s="2">
        <v>1</v>
      </c>
      <c r="CK2784" s="2">
        <v>21</v>
      </c>
      <c r="CL2784" s="2" t="s">
        <v>86</v>
      </c>
      <c r="CM2784" s="2"/>
    </row>
    <row r="2785" spans="1:91">
      <c r="A2785" s="2" t="s">
        <v>71</v>
      </c>
      <c r="B2785" s="2" t="s">
        <v>72</v>
      </c>
      <c r="C2785" s="2" t="s">
        <v>73</v>
      </c>
      <c r="D2785" s="2"/>
      <c r="E2785" s="2" t="str">
        <f>"FES1162544869"</f>
        <v>FES1162544869</v>
      </c>
      <c r="F2785" s="3">
        <v>42846</v>
      </c>
      <c r="G2785" s="2">
        <v>201710</v>
      </c>
      <c r="H2785" s="2" t="s">
        <v>74</v>
      </c>
      <c r="I2785" s="2" t="s">
        <v>75</v>
      </c>
      <c r="J2785" s="2" t="s">
        <v>76</v>
      </c>
      <c r="K2785" s="2" t="s">
        <v>77</v>
      </c>
      <c r="L2785" s="2" t="s">
        <v>99</v>
      </c>
      <c r="M2785" s="2" t="s">
        <v>100</v>
      </c>
      <c r="N2785" s="2" t="s">
        <v>101</v>
      </c>
      <c r="O2785" s="2" t="s">
        <v>115</v>
      </c>
      <c r="P2785" s="2" t="str">
        <f>"2170562388                    "</f>
        <v xml:space="preserve">2170562388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4.29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1</v>
      </c>
      <c r="BI2785" s="2">
        <v>1</v>
      </c>
      <c r="BJ2785" s="2">
        <v>0.2</v>
      </c>
      <c r="BK2785" s="2">
        <v>1</v>
      </c>
      <c r="BL2785" s="2">
        <v>41.73</v>
      </c>
      <c r="BM2785" s="2">
        <v>5.84</v>
      </c>
      <c r="BN2785" s="2">
        <v>47.57</v>
      </c>
      <c r="BO2785" s="2">
        <v>47.57</v>
      </c>
      <c r="BP2785" s="2"/>
      <c r="BQ2785" s="2" t="s">
        <v>102</v>
      </c>
      <c r="BR2785" s="2" t="s">
        <v>84</v>
      </c>
      <c r="BS2785" s="3">
        <v>42849</v>
      </c>
      <c r="BT2785" s="4">
        <v>0.41666666666666669</v>
      </c>
      <c r="BU2785" s="2" t="s">
        <v>1253</v>
      </c>
      <c r="BV2785" s="2" t="s">
        <v>111</v>
      </c>
      <c r="BW2785" s="2"/>
      <c r="BX2785" s="2"/>
      <c r="BY2785" s="2">
        <v>1200</v>
      </c>
      <c r="BZ2785" s="2" t="s">
        <v>27</v>
      </c>
      <c r="CA2785" s="2"/>
      <c r="CB2785" s="2"/>
      <c r="CC2785" s="2" t="s">
        <v>100</v>
      </c>
      <c r="CD2785" s="2">
        <v>6012</v>
      </c>
      <c r="CE2785" s="2" t="s">
        <v>118</v>
      </c>
      <c r="CF2785" s="5">
        <v>42851</v>
      </c>
      <c r="CG2785" s="2"/>
      <c r="CH2785" s="2"/>
      <c r="CI2785" s="2">
        <v>1</v>
      </c>
      <c r="CJ2785" s="2">
        <v>1</v>
      </c>
      <c r="CK2785" s="2">
        <v>21</v>
      </c>
      <c r="CL2785" s="2" t="s">
        <v>86</v>
      </c>
      <c r="CM2785" s="2"/>
    </row>
    <row r="2786" spans="1:91">
      <c r="A2786" s="2" t="s">
        <v>71</v>
      </c>
      <c r="B2786" s="2" t="s">
        <v>72</v>
      </c>
      <c r="C2786" s="2" t="s">
        <v>73</v>
      </c>
      <c r="D2786" s="2"/>
      <c r="E2786" s="2" t="str">
        <f>"FES1162544870"</f>
        <v>FES1162544870</v>
      </c>
      <c r="F2786" s="3">
        <v>42846</v>
      </c>
      <c r="G2786" s="2">
        <v>201710</v>
      </c>
      <c r="H2786" s="2" t="s">
        <v>74</v>
      </c>
      <c r="I2786" s="2" t="s">
        <v>75</v>
      </c>
      <c r="J2786" s="2" t="s">
        <v>76</v>
      </c>
      <c r="K2786" s="2" t="s">
        <v>77</v>
      </c>
      <c r="L2786" s="2" t="s">
        <v>234</v>
      </c>
      <c r="M2786" s="2" t="s">
        <v>235</v>
      </c>
      <c r="N2786" s="2" t="s">
        <v>236</v>
      </c>
      <c r="O2786" s="2" t="s">
        <v>115</v>
      </c>
      <c r="P2786" s="2" t="str">
        <f>"2170562455                    "</f>
        <v xml:space="preserve">2170562455 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4.29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1</v>
      </c>
      <c r="BJ2786" s="2">
        <v>0.2</v>
      </c>
      <c r="BK2786" s="2">
        <v>1</v>
      </c>
      <c r="BL2786" s="2">
        <v>41.73</v>
      </c>
      <c r="BM2786" s="2">
        <v>5.84</v>
      </c>
      <c r="BN2786" s="2">
        <v>47.57</v>
      </c>
      <c r="BO2786" s="2">
        <v>47.57</v>
      </c>
      <c r="BP2786" s="2"/>
      <c r="BQ2786" s="2" t="s">
        <v>285</v>
      </c>
      <c r="BR2786" s="2" t="s">
        <v>84</v>
      </c>
      <c r="BS2786" s="3">
        <v>42849</v>
      </c>
      <c r="BT2786" s="4">
        <v>0.34166666666666662</v>
      </c>
      <c r="BU2786" s="2" t="s">
        <v>130</v>
      </c>
      <c r="BV2786" s="2" t="s">
        <v>111</v>
      </c>
      <c r="BW2786" s="2"/>
      <c r="BX2786" s="2"/>
      <c r="BY2786" s="2">
        <v>1200</v>
      </c>
      <c r="BZ2786" s="2" t="s">
        <v>27</v>
      </c>
      <c r="CA2786" s="2"/>
      <c r="CB2786" s="2"/>
      <c r="CC2786" s="2" t="s">
        <v>235</v>
      </c>
      <c r="CD2786" s="2">
        <v>6220</v>
      </c>
      <c r="CE2786" s="2" t="s">
        <v>118</v>
      </c>
      <c r="CF2786" s="5">
        <v>42850</v>
      </c>
      <c r="CG2786" s="2"/>
      <c r="CH2786" s="2"/>
      <c r="CI2786" s="2">
        <v>1</v>
      </c>
      <c r="CJ2786" s="2">
        <v>1</v>
      </c>
      <c r="CK2786" s="2">
        <v>21</v>
      </c>
      <c r="CL2786" s="2" t="s">
        <v>86</v>
      </c>
      <c r="CM2786" s="2"/>
    </row>
    <row r="2787" spans="1:91">
      <c r="A2787" s="2" t="s">
        <v>71</v>
      </c>
      <c r="B2787" s="2" t="s">
        <v>72</v>
      </c>
      <c r="C2787" s="2" t="s">
        <v>73</v>
      </c>
      <c r="D2787" s="2"/>
      <c r="E2787" s="2" t="str">
        <f>"FES1162544834"</f>
        <v>FES1162544834</v>
      </c>
      <c r="F2787" s="3">
        <v>42846</v>
      </c>
      <c r="G2787" s="2">
        <v>201710</v>
      </c>
      <c r="H2787" s="2" t="s">
        <v>74</v>
      </c>
      <c r="I2787" s="2" t="s">
        <v>75</v>
      </c>
      <c r="J2787" s="2" t="s">
        <v>76</v>
      </c>
      <c r="K2787" s="2" t="s">
        <v>77</v>
      </c>
      <c r="L2787" s="2" t="s">
        <v>641</v>
      </c>
      <c r="M2787" s="2" t="s">
        <v>642</v>
      </c>
      <c r="N2787" s="2" t="s">
        <v>643</v>
      </c>
      <c r="O2787" s="2" t="s">
        <v>115</v>
      </c>
      <c r="P2787" s="2" t="str">
        <f>"2170563365                    "</f>
        <v xml:space="preserve">2170563365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8.31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1</v>
      </c>
      <c r="BJ2787" s="2">
        <v>0.2</v>
      </c>
      <c r="BK2787" s="2">
        <v>1</v>
      </c>
      <c r="BL2787" s="2">
        <v>80.849999999999994</v>
      </c>
      <c r="BM2787" s="2">
        <v>11.32</v>
      </c>
      <c r="BN2787" s="2">
        <v>92.17</v>
      </c>
      <c r="BO2787" s="2">
        <v>92.17</v>
      </c>
      <c r="BP2787" s="2"/>
      <c r="BQ2787" s="2" t="s">
        <v>83</v>
      </c>
      <c r="BR2787" s="2" t="s">
        <v>84</v>
      </c>
      <c r="BS2787" s="3">
        <v>42849</v>
      </c>
      <c r="BT2787" s="4">
        <v>0.46527777777777773</v>
      </c>
      <c r="BU2787" s="2" t="s">
        <v>1894</v>
      </c>
      <c r="BV2787" s="2" t="s">
        <v>111</v>
      </c>
      <c r="BW2787" s="2"/>
      <c r="BX2787" s="2"/>
      <c r="BY2787" s="2">
        <v>1200</v>
      </c>
      <c r="BZ2787" s="2" t="s">
        <v>27</v>
      </c>
      <c r="CA2787" s="2"/>
      <c r="CB2787" s="2"/>
      <c r="CC2787" s="2" t="s">
        <v>642</v>
      </c>
      <c r="CD2787" s="2">
        <v>6300</v>
      </c>
      <c r="CE2787" s="2" t="s">
        <v>118</v>
      </c>
      <c r="CF2787" s="5">
        <v>42850</v>
      </c>
      <c r="CG2787" s="2"/>
      <c r="CH2787" s="2"/>
      <c r="CI2787" s="2">
        <v>3</v>
      </c>
      <c r="CJ2787" s="2">
        <v>1</v>
      </c>
      <c r="CK2787" s="2">
        <v>23</v>
      </c>
      <c r="CL2787" s="2" t="s">
        <v>86</v>
      </c>
      <c r="CM2787" s="2"/>
    </row>
    <row r="2788" spans="1:91">
      <c r="A2788" s="2" t="s">
        <v>71</v>
      </c>
      <c r="B2788" s="2" t="s">
        <v>72</v>
      </c>
      <c r="C2788" s="2" t="s">
        <v>73</v>
      </c>
      <c r="D2788" s="2"/>
      <c r="E2788" s="2" t="str">
        <f>"FES1162544883"</f>
        <v>FES1162544883</v>
      </c>
      <c r="F2788" s="3">
        <v>42846</v>
      </c>
      <c r="G2788" s="2">
        <v>201710</v>
      </c>
      <c r="H2788" s="2" t="s">
        <v>74</v>
      </c>
      <c r="I2788" s="2" t="s">
        <v>75</v>
      </c>
      <c r="J2788" s="2" t="s">
        <v>76</v>
      </c>
      <c r="K2788" s="2" t="s">
        <v>77</v>
      </c>
      <c r="L2788" s="2" t="s">
        <v>99</v>
      </c>
      <c r="M2788" s="2" t="s">
        <v>100</v>
      </c>
      <c r="N2788" s="2" t="s">
        <v>1009</v>
      </c>
      <c r="O2788" s="2" t="s">
        <v>115</v>
      </c>
      <c r="P2788" s="2" t="str">
        <f>"2170559229                    "</f>
        <v xml:space="preserve">2170559229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4.29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1</v>
      </c>
      <c r="BJ2788" s="2">
        <v>0.2</v>
      </c>
      <c r="BK2788" s="2">
        <v>1</v>
      </c>
      <c r="BL2788" s="2">
        <v>41.73</v>
      </c>
      <c r="BM2788" s="2">
        <v>5.84</v>
      </c>
      <c r="BN2788" s="2">
        <v>47.57</v>
      </c>
      <c r="BO2788" s="2">
        <v>47.57</v>
      </c>
      <c r="BP2788" s="2"/>
      <c r="BQ2788" s="2" t="s">
        <v>1010</v>
      </c>
      <c r="BR2788" s="2" t="s">
        <v>84</v>
      </c>
      <c r="BS2788" s="3">
        <v>42849</v>
      </c>
      <c r="BT2788" s="4">
        <v>0.33333333333333331</v>
      </c>
      <c r="BU2788" s="2" t="s">
        <v>1761</v>
      </c>
      <c r="BV2788" s="2" t="s">
        <v>111</v>
      </c>
      <c r="BW2788" s="2"/>
      <c r="BX2788" s="2"/>
      <c r="BY2788" s="2">
        <v>1200</v>
      </c>
      <c r="BZ2788" s="2" t="s">
        <v>27</v>
      </c>
      <c r="CA2788" s="2"/>
      <c r="CB2788" s="2"/>
      <c r="CC2788" s="2" t="s">
        <v>100</v>
      </c>
      <c r="CD2788" s="2">
        <v>6001</v>
      </c>
      <c r="CE2788" s="2" t="s">
        <v>118</v>
      </c>
      <c r="CF2788" s="5">
        <v>42850</v>
      </c>
      <c r="CG2788" s="2"/>
      <c r="CH2788" s="2"/>
      <c r="CI2788" s="2">
        <v>1</v>
      </c>
      <c r="CJ2788" s="2">
        <v>1</v>
      </c>
      <c r="CK2788" s="2">
        <v>21</v>
      </c>
      <c r="CL2788" s="2" t="s">
        <v>86</v>
      </c>
      <c r="CM2788" s="2"/>
    </row>
    <row r="2789" spans="1:91">
      <c r="A2789" s="2" t="s">
        <v>71</v>
      </c>
      <c r="B2789" s="2" t="s">
        <v>72</v>
      </c>
      <c r="C2789" s="2" t="s">
        <v>73</v>
      </c>
      <c r="D2789" s="2"/>
      <c r="E2789" s="2" t="str">
        <f>"FES1162544842"</f>
        <v>FES1162544842</v>
      </c>
      <c r="F2789" s="3">
        <v>42846</v>
      </c>
      <c r="G2789" s="2">
        <v>201710</v>
      </c>
      <c r="H2789" s="2" t="s">
        <v>74</v>
      </c>
      <c r="I2789" s="2" t="s">
        <v>75</v>
      </c>
      <c r="J2789" s="2" t="s">
        <v>76</v>
      </c>
      <c r="K2789" s="2" t="s">
        <v>77</v>
      </c>
      <c r="L2789" s="2" t="s">
        <v>131</v>
      </c>
      <c r="M2789" s="2" t="s">
        <v>132</v>
      </c>
      <c r="N2789" s="2" t="s">
        <v>649</v>
      </c>
      <c r="O2789" s="2" t="s">
        <v>115</v>
      </c>
      <c r="P2789" s="2" t="str">
        <f>"2170563378                    "</f>
        <v xml:space="preserve">2170563378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4.29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1</v>
      </c>
      <c r="BJ2789" s="2">
        <v>0.2</v>
      </c>
      <c r="BK2789" s="2">
        <v>1</v>
      </c>
      <c r="BL2789" s="2">
        <v>41.73</v>
      </c>
      <c r="BM2789" s="2">
        <v>5.84</v>
      </c>
      <c r="BN2789" s="2">
        <v>47.57</v>
      </c>
      <c r="BO2789" s="2">
        <v>47.57</v>
      </c>
      <c r="BP2789" s="2"/>
      <c r="BQ2789" s="2" t="s">
        <v>650</v>
      </c>
      <c r="BR2789" s="2" t="s">
        <v>84</v>
      </c>
      <c r="BS2789" s="3">
        <v>42849</v>
      </c>
      <c r="BT2789" s="4">
        <v>0.41666666666666669</v>
      </c>
      <c r="BU2789" s="2" t="s">
        <v>130</v>
      </c>
      <c r="BV2789" s="2" t="s">
        <v>111</v>
      </c>
      <c r="BW2789" s="2"/>
      <c r="BX2789" s="2"/>
      <c r="BY2789" s="2">
        <v>1200</v>
      </c>
      <c r="BZ2789" s="2" t="s">
        <v>27</v>
      </c>
      <c r="CA2789" s="2"/>
      <c r="CB2789" s="2"/>
      <c r="CC2789" s="2" t="s">
        <v>132</v>
      </c>
      <c r="CD2789" s="2">
        <v>7405</v>
      </c>
      <c r="CE2789" s="2" t="s">
        <v>118</v>
      </c>
      <c r="CF2789" s="5">
        <v>42850</v>
      </c>
      <c r="CG2789" s="2"/>
      <c r="CH2789" s="2"/>
      <c r="CI2789" s="2">
        <v>1</v>
      </c>
      <c r="CJ2789" s="2">
        <v>1</v>
      </c>
      <c r="CK2789" s="2">
        <v>21</v>
      </c>
      <c r="CL2789" s="2" t="s">
        <v>86</v>
      </c>
      <c r="CM2789" s="2"/>
    </row>
    <row r="2790" spans="1:91">
      <c r="A2790" s="2" t="s">
        <v>71</v>
      </c>
      <c r="B2790" s="2" t="s">
        <v>72</v>
      </c>
      <c r="C2790" s="2" t="s">
        <v>73</v>
      </c>
      <c r="D2790" s="2"/>
      <c r="E2790" s="2" t="str">
        <f>"FES1162544879"</f>
        <v>FES1162544879</v>
      </c>
      <c r="F2790" s="3">
        <v>42846</v>
      </c>
      <c r="G2790" s="2">
        <v>201710</v>
      </c>
      <c r="H2790" s="2" t="s">
        <v>74</v>
      </c>
      <c r="I2790" s="2" t="s">
        <v>75</v>
      </c>
      <c r="J2790" s="2" t="s">
        <v>76</v>
      </c>
      <c r="K2790" s="2" t="s">
        <v>77</v>
      </c>
      <c r="L2790" s="2" t="s">
        <v>131</v>
      </c>
      <c r="M2790" s="2" t="s">
        <v>132</v>
      </c>
      <c r="N2790" s="2" t="s">
        <v>384</v>
      </c>
      <c r="O2790" s="2" t="s">
        <v>115</v>
      </c>
      <c r="P2790" s="2" t="str">
        <f>"2170563394                    "</f>
        <v xml:space="preserve">2170563394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4.29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1</v>
      </c>
      <c r="BJ2790" s="2">
        <v>0.2</v>
      </c>
      <c r="BK2790" s="2">
        <v>1</v>
      </c>
      <c r="BL2790" s="2">
        <v>41.73</v>
      </c>
      <c r="BM2790" s="2">
        <v>5.84</v>
      </c>
      <c r="BN2790" s="2">
        <v>47.57</v>
      </c>
      <c r="BO2790" s="2">
        <v>47.57</v>
      </c>
      <c r="BP2790" s="2"/>
      <c r="BQ2790" s="2" t="s">
        <v>468</v>
      </c>
      <c r="BR2790" s="2" t="s">
        <v>84</v>
      </c>
      <c r="BS2790" s="3">
        <v>42849</v>
      </c>
      <c r="BT2790" s="4">
        <v>0.41666666666666669</v>
      </c>
      <c r="BU2790" s="2" t="s">
        <v>872</v>
      </c>
      <c r="BV2790" s="2" t="s">
        <v>111</v>
      </c>
      <c r="BW2790" s="2"/>
      <c r="BX2790" s="2"/>
      <c r="BY2790" s="2">
        <v>1200</v>
      </c>
      <c r="BZ2790" s="2" t="s">
        <v>27</v>
      </c>
      <c r="CA2790" s="2"/>
      <c r="CB2790" s="2"/>
      <c r="CC2790" s="2" t="s">
        <v>132</v>
      </c>
      <c r="CD2790" s="2">
        <v>7405</v>
      </c>
      <c r="CE2790" s="2" t="s">
        <v>118</v>
      </c>
      <c r="CF2790" s="5">
        <v>42850</v>
      </c>
      <c r="CG2790" s="2"/>
      <c r="CH2790" s="2"/>
      <c r="CI2790" s="2">
        <v>1</v>
      </c>
      <c r="CJ2790" s="2">
        <v>1</v>
      </c>
      <c r="CK2790" s="2">
        <v>21</v>
      </c>
      <c r="CL2790" s="2" t="s">
        <v>86</v>
      </c>
      <c r="CM2790" s="2"/>
    </row>
    <row r="2791" spans="1:91">
      <c r="A2791" s="2" t="s">
        <v>71</v>
      </c>
      <c r="B2791" s="2" t="s">
        <v>72</v>
      </c>
      <c r="C2791" s="2" t="s">
        <v>73</v>
      </c>
      <c r="D2791" s="2"/>
      <c r="E2791" s="2" t="str">
        <f>"FES1162544895"</f>
        <v>FES1162544895</v>
      </c>
      <c r="F2791" s="3">
        <v>42846</v>
      </c>
      <c r="G2791" s="2">
        <v>201710</v>
      </c>
      <c r="H2791" s="2" t="s">
        <v>74</v>
      </c>
      <c r="I2791" s="2" t="s">
        <v>75</v>
      </c>
      <c r="J2791" s="2" t="s">
        <v>76</v>
      </c>
      <c r="K2791" s="2" t="s">
        <v>77</v>
      </c>
      <c r="L2791" s="2" t="s">
        <v>131</v>
      </c>
      <c r="M2791" s="2" t="s">
        <v>132</v>
      </c>
      <c r="N2791" s="2" t="s">
        <v>188</v>
      </c>
      <c r="O2791" s="2" t="s">
        <v>115</v>
      </c>
      <c r="P2791" s="2" t="str">
        <f>"2170560950                    "</f>
        <v xml:space="preserve">2170560950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4.29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1</v>
      </c>
      <c r="BJ2791" s="2">
        <v>0.2</v>
      </c>
      <c r="BK2791" s="2">
        <v>1</v>
      </c>
      <c r="BL2791" s="2">
        <v>41.73</v>
      </c>
      <c r="BM2791" s="2">
        <v>5.84</v>
      </c>
      <c r="BN2791" s="2">
        <v>47.57</v>
      </c>
      <c r="BO2791" s="2">
        <v>47.57</v>
      </c>
      <c r="BP2791" s="2"/>
      <c r="BQ2791" s="2" t="s">
        <v>83</v>
      </c>
      <c r="BR2791" s="2" t="s">
        <v>84</v>
      </c>
      <c r="BS2791" s="3">
        <v>42849</v>
      </c>
      <c r="BT2791" s="4">
        <v>0.41666666666666669</v>
      </c>
      <c r="BU2791" s="2" t="s">
        <v>1407</v>
      </c>
      <c r="BV2791" s="2" t="s">
        <v>111</v>
      </c>
      <c r="BW2791" s="2"/>
      <c r="BX2791" s="2"/>
      <c r="BY2791" s="2">
        <v>1200</v>
      </c>
      <c r="BZ2791" s="2" t="s">
        <v>27</v>
      </c>
      <c r="CA2791" s="2"/>
      <c r="CB2791" s="2"/>
      <c r="CC2791" s="2" t="s">
        <v>132</v>
      </c>
      <c r="CD2791" s="2">
        <v>7460</v>
      </c>
      <c r="CE2791" s="2" t="s">
        <v>118</v>
      </c>
      <c r="CF2791" s="5">
        <v>42850</v>
      </c>
      <c r="CG2791" s="2"/>
      <c r="CH2791" s="2"/>
      <c r="CI2791" s="2">
        <v>1</v>
      </c>
      <c r="CJ2791" s="2">
        <v>1</v>
      </c>
      <c r="CK2791" s="2">
        <v>21</v>
      </c>
      <c r="CL2791" s="2" t="s">
        <v>86</v>
      </c>
      <c r="CM2791" s="2"/>
    </row>
    <row r="2792" spans="1:91">
      <c r="A2792" s="2" t="s">
        <v>71</v>
      </c>
      <c r="B2792" s="2" t="s">
        <v>72</v>
      </c>
      <c r="C2792" s="2" t="s">
        <v>73</v>
      </c>
      <c r="D2792" s="2"/>
      <c r="E2792" s="2" t="str">
        <f>"FES1162544868"</f>
        <v>FES1162544868</v>
      </c>
      <c r="F2792" s="3">
        <v>42846</v>
      </c>
      <c r="G2792" s="2">
        <v>201710</v>
      </c>
      <c r="H2792" s="2" t="s">
        <v>74</v>
      </c>
      <c r="I2792" s="2" t="s">
        <v>75</v>
      </c>
      <c r="J2792" s="2" t="s">
        <v>76</v>
      </c>
      <c r="K2792" s="2" t="s">
        <v>77</v>
      </c>
      <c r="L2792" s="2" t="s">
        <v>220</v>
      </c>
      <c r="M2792" s="2" t="s">
        <v>221</v>
      </c>
      <c r="N2792" s="2" t="s">
        <v>222</v>
      </c>
      <c r="O2792" s="2" t="s">
        <v>115</v>
      </c>
      <c r="P2792" s="2" t="str">
        <f>"2170562198                    "</f>
        <v xml:space="preserve">2170562198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4.29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1</v>
      </c>
      <c r="BJ2792" s="2">
        <v>0.2</v>
      </c>
      <c r="BK2792" s="2">
        <v>1</v>
      </c>
      <c r="BL2792" s="2">
        <v>41.73</v>
      </c>
      <c r="BM2792" s="2">
        <v>5.84</v>
      </c>
      <c r="BN2792" s="2">
        <v>47.57</v>
      </c>
      <c r="BO2792" s="2">
        <v>47.57</v>
      </c>
      <c r="BP2792" s="2"/>
      <c r="BQ2792" s="2" t="s">
        <v>223</v>
      </c>
      <c r="BR2792" s="2" t="s">
        <v>84</v>
      </c>
      <c r="BS2792" s="3">
        <v>42849</v>
      </c>
      <c r="BT2792" s="4">
        <v>0.43055555555555558</v>
      </c>
      <c r="BU2792" s="2" t="s">
        <v>3050</v>
      </c>
      <c r="BV2792" s="2" t="s">
        <v>111</v>
      </c>
      <c r="BW2792" s="2"/>
      <c r="BX2792" s="2"/>
      <c r="BY2792" s="2">
        <v>1200</v>
      </c>
      <c r="BZ2792" s="2" t="s">
        <v>27</v>
      </c>
      <c r="CA2792" s="2" t="s">
        <v>3051</v>
      </c>
      <c r="CB2792" s="2"/>
      <c r="CC2792" s="2" t="s">
        <v>221</v>
      </c>
      <c r="CD2792" s="2">
        <v>6536</v>
      </c>
      <c r="CE2792" s="2" t="s">
        <v>118</v>
      </c>
      <c r="CF2792" s="5">
        <v>42849</v>
      </c>
      <c r="CG2792" s="2"/>
      <c r="CH2792" s="2"/>
      <c r="CI2792" s="2">
        <v>1</v>
      </c>
      <c r="CJ2792" s="2">
        <v>1</v>
      </c>
      <c r="CK2792" s="2">
        <v>21</v>
      </c>
      <c r="CL2792" s="2" t="s">
        <v>86</v>
      </c>
      <c r="CM2792" s="2"/>
    </row>
    <row r="2793" spans="1:91">
      <c r="A2793" s="2" t="s">
        <v>71</v>
      </c>
      <c r="B2793" s="2" t="s">
        <v>72</v>
      </c>
      <c r="C2793" s="2" t="s">
        <v>73</v>
      </c>
      <c r="D2793" s="2"/>
      <c r="E2793" s="2" t="str">
        <f>"FES1162542705"</f>
        <v>FES1162542705</v>
      </c>
      <c r="F2793" s="3">
        <v>42846</v>
      </c>
      <c r="G2793" s="2">
        <v>201710</v>
      </c>
      <c r="H2793" s="2" t="s">
        <v>74</v>
      </c>
      <c r="I2793" s="2" t="s">
        <v>75</v>
      </c>
      <c r="J2793" s="2" t="s">
        <v>76</v>
      </c>
      <c r="K2793" s="2" t="s">
        <v>77</v>
      </c>
      <c r="L2793" s="2" t="s">
        <v>74</v>
      </c>
      <c r="M2793" s="2" t="s">
        <v>75</v>
      </c>
      <c r="N2793" s="2" t="s">
        <v>488</v>
      </c>
      <c r="O2793" s="2" t="s">
        <v>115</v>
      </c>
      <c r="P2793" s="2" t="str">
        <f>"2170561530                    "</f>
        <v xml:space="preserve">2170561530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3.35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1</v>
      </c>
      <c r="BJ2793" s="2">
        <v>0.2</v>
      </c>
      <c r="BK2793" s="2">
        <v>1</v>
      </c>
      <c r="BL2793" s="2">
        <v>32.6</v>
      </c>
      <c r="BM2793" s="2">
        <v>4.5599999999999996</v>
      </c>
      <c r="BN2793" s="2">
        <v>37.159999999999997</v>
      </c>
      <c r="BO2793" s="2">
        <v>37.159999999999997</v>
      </c>
      <c r="BP2793" s="2"/>
      <c r="BQ2793" s="2" t="s">
        <v>489</v>
      </c>
      <c r="BR2793" s="2" t="s">
        <v>84</v>
      </c>
      <c r="BS2793" s="3">
        <v>42849</v>
      </c>
      <c r="BT2793" s="4">
        <v>0.41666666666666669</v>
      </c>
      <c r="BU2793" s="2" t="s">
        <v>1750</v>
      </c>
      <c r="BV2793" s="2" t="s">
        <v>111</v>
      </c>
      <c r="BW2793" s="2"/>
      <c r="BX2793" s="2"/>
      <c r="BY2793" s="2">
        <v>1200</v>
      </c>
      <c r="BZ2793" s="2" t="s">
        <v>27</v>
      </c>
      <c r="CA2793" s="2"/>
      <c r="CB2793" s="2"/>
      <c r="CC2793" s="2" t="s">
        <v>75</v>
      </c>
      <c r="CD2793" s="2">
        <v>1645</v>
      </c>
      <c r="CE2793" s="2" t="s">
        <v>118</v>
      </c>
      <c r="CF2793" s="5">
        <v>42850</v>
      </c>
      <c r="CG2793" s="2"/>
      <c r="CH2793" s="2"/>
      <c r="CI2793" s="2">
        <v>1</v>
      </c>
      <c r="CJ2793" s="2">
        <v>1</v>
      </c>
      <c r="CK2793" s="2">
        <v>22</v>
      </c>
      <c r="CL2793" s="2" t="s">
        <v>86</v>
      </c>
      <c r="CM2793" s="2"/>
    </row>
    <row r="2794" spans="1:91">
      <c r="A2794" s="2" t="s">
        <v>71</v>
      </c>
      <c r="B2794" s="2" t="s">
        <v>72</v>
      </c>
      <c r="C2794" s="2" t="s">
        <v>73</v>
      </c>
      <c r="D2794" s="2"/>
      <c r="E2794" s="2" t="str">
        <f>"FES1162544887"</f>
        <v>FES1162544887</v>
      </c>
      <c r="F2794" s="3">
        <v>42846</v>
      </c>
      <c r="G2794" s="2">
        <v>201710</v>
      </c>
      <c r="H2794" s="2" t="s">
        <v>74</v>
      </c>
      <c r="I2794" s="2" t="s">
        <v>75</v>
      </c>
      <c r="J2794" s="2" t="s">
        <v>76</v>
      </c>
      <c r="K2794" s="2" t="s">
        <v>77</v>
      </c>
      <c r="L2794" s="2" t="s">
        <v>99</v>
      </c>
      <c r="M2794" s="2" t="s">
        <v>100</v>
      </c>
      <c r="N2794" s="2" t="s">
        <v>108</v>
      </c>
      <c r="O2794" s="2" t="s">
        <v>115</v>
      </c>
      <c r="P2794" s="2" t="str">
        <f>"2170560213                    "</f>
        <v xml:space="preserve">2170560213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4.29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1</v>
      </c>
      <c r="BJ2794" s="2">
        <v>0.2</v>
      </c>
      <c r="BK2794" s="2">
        <v>1</v>
      </c>
      <c r="BL2794" s="2">
        <v>41.73</v>
      </c>
      <c r="BM2794" s="2">
        <v>5.84</v>
      </c>
      <c r="BN2794" s="2">
        <v>47.57</v>
      </c>
      <c r="BO2794" s="2">
        <v>47.57</v>
      </c>
      <c r="BP2794" s="2"/>
      <c r="BQ2794" s="2" t="s">
        <v>109</v>
      </c>
      <c r="BR2794" s="2" t="s">
        <v>84</v>
      </c>
      <c r="BS2794" s="3">
        <v>42849</v>
      </c>
      <c r="BT2794" s="4">
        <v>0.36458333333333331</v>
      </c>
      <c r="BU2794" s="2" t="s">
        <v>3001</v>
      </c>
      <c r="BV2794" s="2" t="s">
        <v>111</v>
      </c>
      <c r="BW2794" s="2"/>
      <c r="BX2794" s="2"/>
      <c r="BY2794" s="2">
        <v>1200</v>
      </c>
      <c r="BZ2794" s="2" t="s">
        <v>27</v>
      </c>
      <c r="CA2794" s="2"/>
      <c r="CB2794" s="2"/>
      <c r="CC2794" s="2" t="s">
        <v>100</v>
      </c>
      <c r="CD2794" s="2">
        <v>6001</v>
      </c>
      <c r="CE2794" s="2" t="s">
        <v>118</v>
      </c>
      <c r="CF2794" s="5">
        <v>42851</v>
      </c>
      <c r="CG2794" s="2"/>
      <c r="CH2794" s="2"/>
      <c r="CI2794" s="2">
        <v>1</v>
      </c>
      <c r="CJ2794" s="2">
        <v>1</v>
      </c>
      <c r="CK2794" s="2">
        <v>21</v>
      </c>
      <c r="CL2794" s="2" t="s">
        <v>86</v>
      </c>
      <c r="CM2794" s="2"/>
    </row>
    <row r="2795" spans="1:91">
      <c r="A2795" s="2" t="s">
        <v>71</v>
      </c>
      <c r="B2795" s="2" t="s">
        <v>72</v>
      </c>
      <c r="C2795" s="2" t="s">
        <v>73</v>
      </c>
      <c r="D2795" s="2"/>
      <c r="E2795" s="2" t="str">
        <f>"FES1162544876"</f>
        <v>FES1162544876</v>
      </c>
      <c r="F2795" s="3">
        <v>42846</v>
      </c>
      <c r="G2795" s="2">
        <v>201710</v>
      </c>
      <c r="H2795" s="2" t="s">
        <v>74</v>
      </c>
      <c r="I2795" s="2" t="s">
        <v>75</v>
      </c>
      <c r="J2795" s="2" t="s">
        <v>76</v>
      </c>
      <c r="K2795" s="2" t="s">
        <v>77</v>
      </c>
      <c r="L2795" s="2" t="s">
        <v>641</v>
      </c>
      <c r="M2795" s="2" t="s">
        <v>642</v>
      </c>
      <c r="N2795" s="2" t="s">
        <v>643</v>
      </c>
      <c r="O2795" s="2" t="s">
        <v>115</v>
      </c>
      <c r="P2795" s="2" t="str">
        <f>"2170563384                    "</f>
        <v xml:space="preserve">2170563384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8.31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1</v>
      </c>
      <c r="BJ2795" s="2">
        <v>0.2</v>
      </c>
      <c r="BK2795" s="2">
        <v>1</v>
      </c>
      <c r="BL2795" s="2">
        <v>80.849999999999994</v>
      </c>
      <c r="BM2795" s="2">
        <v>11.32</v>
      </c>
      <c r="BN2795" s="2">
        <v>92.17</v>
      </c>
      <c r="BO2795" s="2">
        <v>92.17</v>
      </c>
      <c r="BP2795" s="2"/>
      <c r="BQ2795" s="2" t="s">
        <v>83</v>
      </c>
      <c r="BR2795" s="2" t="s">
        <v>84</v>
      </c>
      <c r="BS2795" s="3">
        <v>42849</v>
      </c>
      <c r="BT2795" s="4">
        <v>0.60277777777777775</v>
      </c>
      <c r="BU2795" s="2" t="s">
        <v>1894</v>
      </c>
      <c r="BV2795" s="2" t="s">
        <v>111</v>
      </c>
      <c r="BW2795" s="2"/>
      <c r="BX2795" s="2"/>
      <c r="BY2795" s="2">
        <v>1200</v>
      </c>
      <c r="BZ2795" s="2" t="s">
        <v>27</v>
      </c>
      <c r="CA2795" s="2"/>
      <c r="CB2795" s="2"/>
      <c r="CC2795" s="2" t="s">
        <v>642</v>
      </c>
      <c r="CD2795" s="2">
        <v>6300</v>
      </c>
      <c r="CE2795" s="2" t="s">
        <v>118</v>
      </c>
      <c r="CF2795" s="5">
        <v>42850</v>
      </c>
      <c r="CG2795" s="2"/>
      <c r="CH2795" s="2"/>
      <c r="CI2795" s="2">
        <v>3</v>
      </c>
      <c r="CJ2795" s="2">
        <v>1</v>
      </c>
      <c r="CK2795" s="2">
        <v>23</v>
      </c>
      <c r="CL2795" s="2" t="s">
        <v>86</v>
      </c>
      <c r="CM2795" s="2"/>
    </row>
    <row r="2796" spans="1:91">
      <c r="A2796" s="2" t="s">
        <v>71</v>
      </c>
      <c r="B2796" s="2" t="s">
        <v>72</v>
      </c>
      <c r="C2796" s="2" t="s">
        <v>73</v>
      </c>
      <c r="D2796" s="2"/>
      <c r="E2796" s="2" t="str">
        <f>"FES1162544837"</f>
        <v>FES1162544837</v>
      </c>
      <c r="F2796" s="3">
        <v>42846</v>
      </c>
      <c r="G2796" s="2">
        <v>201710</v>
      </c>
      <c r="H2796" s="2" t="s">
        <v>74</v>
      </c>
      <c r="I2796" s="2" t="s">
        <v>75</v>
      </c>
      <c r="J2796" s="2" t="s">
        <v>76</v>
      </c>
      <c r="K2796" s="2" t="s">
        <v>77</v>
      </c>
      <c r="L2796" s="2" t="s">
        <v>99</v>
      </c>
      <c r="M2796" s="2" t="s">
        <v>100</v>
      </c>
      <c r="N2796" s="2" t="s">
        <v>1009</v>
      </c>
      <c r="O2796" s="2" t="s">
        <v>115</v>
      </c>
      <c r="P2796" s="2" t="str">
        <f>"2170563371                    "</f>
        <v xml:space="preserve">2170563371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4.29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1</v>
      </c>
      <c r="BJ2796" s="2">
        <v>0.2</v>
      </c>
      <c r="BK2796" s="2">
        <v>1</v>
      </c>
      <c r="BL2796" s="2">
        <v>41.73</v>
      </c>
      <c r="BM2796" s="2">
        <v>5.84</v>
      </c>
      <c r="BN2796" s="2">
        <v>47.57</v>
      </c>
      <c r="BO2796" s="2">
        <v>47.57</v>
      </c>
      <c r="BP2796" s="2"/>
      <c r="BQ2796" s="2" t="s">
        <v>1010</v>
      </c>
      <c r="BR2796" s="2" t="s">
        <v>84</v>
      </c>
      <c r="BS2796" s="3">
        <v>42849</v>
      </c>
      <c r="BT2796" s="4">
        <v>0.33333333333333331</v>
      </c>
      <c r="BU2796" s="2" t="s">
        <v>385</v>
      </c>
      <c r="BV2796" s="2" t="s">
        <v>111</v>
      </c>
      <c r="BW2796" s="2"/>
      <c r="BX2796" s="2"/>
      <c r="BY2796" s="2">
        <v>1200</v>
      </c>
      <c r="BZ2796" s="2" t="s">
        <v>27</v>
      </c>
      <c r="CA2796" s="2"/>
      <c r="CB2796" s="2"/>
      <c r="CC2796" s="2" t="s">
        <v>100</v>
      </c>
      <c r="CD2796" s="2">
        <v>6001</v>
      </c>
      <c r="CE2796" s="2" t="s">
        <v>118</v>
      </c>
      <c r="CF2796" s="5">
        <v>42850</v>
      </c>
      <c r="CG2796" s="2"/>
      <c r="CH2796" s="2"/>
      <c r="CI2796" s="2">
        <v>1</v>
      </c>
      <c r="CJ2796" s="2">
        <v>1</v>
      </c>
      <c r="CK2796" s="2">
        <v>21</v>
      </c>
      <c r="CL2796" s="2" t="s">
        <v>86</v>
      </c>
      <c r="CM2796" s="2"/>
    </row>
    <row r="2797" spans="1:91">
      <c r="A2797" s="2" t="s">
        <v>71</v>
      </c>
      <c r="B2797" s="2" t="s">
        <v>72</v>
      </c>
      <c r="C2797" s="2" t="s">
        <v>73</v>
      </c>
      <c r="D2797" s="2"/>
      <c r="E2797" s="2" t="str">
        <f>"FES1162544852"</f>
        <v>FES1162544852</v>
      </c>
      <c r="F2797" s="3">
        <v>42846</v>
      </c>
      <c r="G2797" s="2">
        <v>201710</v>
      </c>
      <c r="H2797" s="2" t="s">
        <v>74</v>
      </c>
      <c r="I2797" s="2" t="s">
        <v>75</v>
      </c>
      <c r="J2797" s="2" t="s">
        <v>76</v>
      </c>
      <c r="K2797" s="2" t="s">
        <v>77</v>
      </c>
      <c r="L2797" s="2" t="s">
        <v>1026</v>
      </c>
      <c r="M2797" s="2" t="s">
        <v>1027</v>
      </c>
      <c r="N2797" s="2" t="s">
        <v>1453</v>
      </c>
      <c r="O2797" s="2" t="s">
        <v>115</v>
      </c>
      <c r="P2797" s="2" t="str">
        <f>"2170562200                    "</f>
        <v xml:space="preserve">2170562200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8.31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1</v>
      </c>
      <c r="BJ2797" s="2">
        <v>0.2</v>
      </c>
      <c r="BK2797" s="2">
        <v>1</v>
      </c>
      <c r="BL2797" s="2">
        <v>80.849999999999994</v>
      </c>
      <c r="BM2797" s="2">
        <v>11.32</v>
      </c>
      <c r="BN2797" s="2">
        <v>92.17</v>
      </c>
      <c r="BO2797" s="2">
        <v>92.17</v>
      </c>
      <c r="BP2797" s="2"/>
      <c r="BQ2797" s="2"/>
      <c r="BR2797" s="2" t="s">
        <v>84</v>
      </c>
      <c r="BS2797" s="3">
        <v>42849</v>
      </c>
      <c r="BT2797" s="4">
        <v>0.41666666666666669</v>
      </c>
      <c r="BU2797" s="2" t="s">
        <v>3052</v>
      </c>
      <c r="BV2797" s="2" t="s">
        <v>111</v>
      </c>
      <c r="BW2797" s="2"/>
      <c r="BX2797" s="2"/>
      <c r="BY2797" s="2">
        <v>1200</v>
      </c>
      <c r="BZ2797" s="2" t="s">
        <v>27</v>
      </c>
      <c r="CA2797" s="2"/>
      <c r="CB2797" s="2"/>
      <c r="CC2797" s="2" t="s">
        <v>1027</v>
      </c>
      <c r="CD2797" s="2">
        <v>7349</v>
      </c>
      <c r="CE2797" s="2" t="s">
        <v>118</v>
      </c>
      <c r="CF2797" s="5">
        <v>42850</v>
      </c>
      <c r="CG2797" s="2"/>
      <c r="CH2797" s="2"/>
      <c r="CI2797" s="2">
        <v>1</v>
      </c>
      <c r="CJ2797" s="2">
        <v>1</v>
      </c>
      <c r="CK2797" s="2">
        <v>23</v>
      </c>
      <c r="CL2797" s="2" t="s">
        <v>86</v>
      </c>
      <c r="CM2797" s="2"/>
    </row>
    <row r="2798" spans="1:91">
      <c r="A2798" s="2" t="s">
        <v>71</v>
      </c>
      <c r="B2798" s="2" t="s">
        <v>72</v>
      </c>
      <c r="C2798" s="2" t="s">
        <v>73</v>
      </c>
      <c r="D2798" s="2"/>
      <c r="E2798" s="2" t="str">
        <f>"FES1162544847"</f>
        <v>FES1162544847</v>
      </c>
      <c r="F2798" s="3">
        <v>42846</v>
      </c>
      <c r="G2798" s="2">
        <v>201710</v>
      </c>
      <c r="H2798" s="2" t="s">
        <v>74</v>
      </c>
      <c r="I2798" s="2" t="s">
        <v>75</v>
      </c>
      <c r="J2798" s="2" t="s">
        <v>76</v>
      </c>
      <c r="K2798" s="2" t="s">
        <v>77</v>
      </c>
      <c r="L2798" s="2" t="s">
        <v>126</v>
      </c>
      <c r="M2798" s="2" t="s">
        <v>127</v>
      </c>
      <c r="N2798" s="2" t="s">
        <v>2172</v>
      </c>
      <c r="O2798" s="2" t="s">
        <v>115</v>
      </c>
      <c r="P2798" s="2" t="str">
        <f>"21705623558                   "</f>
        <v xml:space="preserve">21705623558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4.29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</v>
      </c>
      <c r="BJ2798" s="2">
        <v>0.2</v>
      </c>
      <c r="BK2798" s="2">
        <v>1</v>
      </c>
      <c r="BL2798" s="2">
        <v>41.73</v>
      </c>
      <c r="BM2798" s="2">
        <v>5.84</v>
      </c>
      <c r="BN2798" s="2">
        <v>47.57</v>
      </c>
      <c r="BO2798" s="2">
        <v>47.57</v>
      </c>
      <c r="BP2798" s="2"/>
      <c r="BQ2798" s="2" t="s">
        <v>2173</v>
      </c>
      <c r="BR2798" s="2" t="s">
        <v>84</v>
      </c>
      <c r="BS2798" s="3">
        <v>42849</v>
      </c>
      <c r="BT2798" s="4">
        <v>0.44861111111111113</v>
      </c>
      <c r="BU2798" s="2" t="s">
        <v>1087</v>
      </c>
      <c r="BV2798" s="2" t="s">
        <v>111</v>
      </c>
      <c r="BW2798" s="2"/>
      <c r="BX2798" s="2"/>
      <c r="BY2798" s="2">
        <v>1200</v>
      </c>
      <c r="BZ2798" s="2" t="s">
        <v>27</v>
      </c>
      <c r="CA2798" s="2"/>
      <c r="CB2798" s="2"/>
      <c r="CC2798" s="2" t="s">
        <v>127</v>
      </c>
      <c r="CD2798" s="2">
        <v>6850</v>
      </c>
      <c r="CE2798" s="2" t="s">
        <v>118</v>
      </c>
      <c r="CF2798" s="5">
        <v>42850</v>
      </c>
      <c r="CG2798" s="2"/>
      <c r="CH2798" s="2"/>
      <c r="CI2798" s="2">
        <v>3</v>
      </c>
      <c r="CJ2798" s="2">
        <v>1</v>
      </c>
      <c r="CK2798" s="2">
        <v>21</v>
      </c>
      <c r="CL2798" s="2" t="s">
        <v>86</v>
      </c>
      <c r="CM2798" s="2"/>
    </row>
    <row r="2799" spans="1:91">
      <c r="A2799" s="2" t="s">
        <v>71</v>
      </c>
      <c r="B2799" s="2" t="s">
        <v>72</v>
      </c>
      <c r="C2799" s="2" t="s">
        <v>73</v>
      </c>
      <c r="D2799" s="2"/>
      <c r="E2799" s="2" t="str">
        <f>"FES1162544811"</f>
        <v>FES1162544811</v>
      </c>
      <c r="F2799" s="3">
        <v>42846</v>
      </c>
      <c r="G2799" s="2">
        <v>201710</v>
      </c>
      <c r="H2799" s="2" t="s">
        <v>74</v>
      </c>
      <c r="I2799" s="2" t="s">
        <v>75</v>
      </c>
      <c r="J2799" s="2" t="s">
        <v>76</v>
      </c>
      <c r="K2799" s="2" t="s">
        <v>77</v>
      </c>
      <c r="L2799" s="2" t="s">
        <v>187</v>
      </c>
      <c r="M2799" s="2" t="s">
        <v>146</v>
      </c>
      <c r="N2799" s="2" t="s">
        <v>188</v>
      </c>
      <c r="O2799" s="2" t="s">
        <v>115</v>
      </c>
      <c r="P2799" s="2" t="str">
        <f>"2170562324                    "</f>
        <v xml:space="preserve">2170562324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4.29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1</v>
      </c>
      <c r="BJ2799" s="2">
        <v>0.2</v>
      </c>
      <c r="BK2799" s="2">
        <v>1</v>
      </c>
      <c r="BL2799" s="2">
        <v>41.73</v>
      </c>
      <c r="BM2799" s="2">
        <v>5.84</v>
      </c>
      <c r="BN2799" s="2">
        <v>47.57</v>
      </c>
      <c r="BO2799" s="2">
        <v>47.57</v>
      </c>
      <c r="BP2799" s="2"/>
      <c r="BQ2799" s="2"/>
      <c r="BR2799" s="2" t="s">
        <v>84</v>
      </c>
      <c r="BS2799" s="3">
        <v>42849</v>
      </c>
      <c r="BT2799" s="4">
        <v>0.41319444444444442</v>
      </c>
      <c r="BU2799" s="2" t="s">
        <v>3053</v>
      </c>
      <c r="BV2799" s="2" t="s">
        <v>111</v>
      </c>
      <c r="BW2799" s="2"/>
      <c r="BX2799" s="2"/>
      <c r="BY2799" s="2">
        <v>1200</v>
      </c>
      <c r="BZ2799" s="2" t="s">
        <v>27</v>
      </c>
      <c r="CA2799" s="2"/>
      <c r="CB2799" s="2"/>
      <c r="CC2799" s="2" t="s">
        <v>146</v>
      </c>
      <c r="CD2799" s="2">
        <v>200</v>
      </c>
      <c r="CE2799" s="2" t="s">
        <v>118</v>
      </c>
      <c r="CF2799" s="5">
        <v>42851</v>
      </c>
      <c r="CG2799" s="2"/>
      <c r="CH2799" s="2"/>
      <c r="CI2799" s="2">
        <v>0</v>
      </c>
      <c r="CJ2799" s="2">
        <v>0</v>
      </c>
      <c r="CK2799" s="2">
        <v>21</v>
      </c>
      <c r="CL2799" s="2" t="s">
        <v>86</v>
      </c>
      <c r="CM2799" s="2"/>
    </row>
    <row r="2800" spans="1:91">
      <c r="A2800" s="2" t="s">
        <v>71</v>
      </c>
      <c r="B2800" s="2" t="s">
        <v>72</v>
      </c>
      <c r="C2800" s="2" t="s">
        <v>73</v>
      </c>
      <c r="D2800" s="2"/>
      <c r="E2800" s="2" t="str">
        <f>"FES1162544848"</f>
        <v>FES1162544848</v>
      </c>
      <c r="F2800" s="3">
        <v>42846</v>
      </c>
      <c r="G2800" s="2">
        <v>201710</v>
      </c>
      <c r="H2800" s="2" t="s">
        <v>74</v>
      </c>
      <c r="I2800" s="2" t="s">
        <v>75</v>
      </c>
      <c r="J2800" s="2" t="s">
        <v>76</v>
      </c>
      <c r="K2800" s="2" t="s">
        <v>77</v>
      </c>
      <c r="L2800" s="2" t="s">
        <v>187</v>
      </c>
      <c r="M2800" s="2" t="s">
        <v>146</v>
      </c>
      <c r="N2800" s="2" t="s">
        <v>1602</v>
      </c>
      <c r="O2800" s="2" t="s">
        <v>115</v>
      </c>
      <c r="P2800" s="2" t="str">
        <f>"2170561022                    "</f>
        <v xml:space="preserve">2170561022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4.29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1</v>
      </c>
      <c r="BJ2800" s="2">
        <v>0.2</v>
      </c>
      <c r="BK2800" s="2">
        <v>1</v>
      </c>
      <c r="BL2800" s="2">
        <v>41.73</v>
      </c>
      <c r="BM2800" s="2">
        <v>5.84</v>
      </c>
      <c r="BN2800" s="2">
        <v>47.57</v>
      </c>
      <c r="BO2800" s="2">
        <v>47.57</v>
      </c>
      <c r="BP2800" s="2"/>
      <c r="BQ2800" s="2" t="s">
        <v>1603</v>
      </c>
      <c r="BR2800" s="2" t="s">
        <v>84</v>
      </c>
      <c r="BS2800" s="3">
        <v>42849</v>
      </c>
      <c r="BT2800" s="4">
        <v>0.39583333333333331</v>
      </c>
      <c r="BU2800" s="2" t="s">
        <v>3054</v>
      </c>
      <c r="BV2800" s="2" t="s">
        <v>111</v>
      </c>
      <c r="BW2800" s="2"/>
      <c r="BX2800" s="2"/>
      <c r="BY2800" s="2">
        <v>1200</v>
      </c>
      <c r="BZ2800" s="2" t="s">
        <v>27</v>
      </c>
      <c r="CA2800" s="2"/>
      <c r="CB2800" s="2"/>
      <c r="CC2800" s="2" t="s">
        <v>146</v>
      </c>
      <c r="CD2800" s="2">
        <v>117</v>
      </c>
      <c r="CE2800" s="2" t="s">
        <v>118</v>
      </c>
      <c r="CF2800" s="5">
        <v>42851</v>
      </c>
      <c r="CG2800" s="2"/>
      <c r="CH2800" s="2"/>
      <c r="CI2800" s="2">
        <v>0</v>
      </c>
      <c r="CJ2800" s="2">
        <v>0</v>
      </c>
      <c r="CK2800" s="2">
        <v>21</v>
      </c>
      <c r="CL2800" s="2" t="s">
        <v>86</v>
      </c>
      <c r="CM2800" s="2"/>
    </row>
    <row r="2801" spans="1:91">
      <c r="A2801" s="2" t="s">
        <v>71</v>
      </c>
      <c r="B2801" s="2" t="s">
        <v>72</v>
      </c>
      <c r="C2801" s="2" t="s">
        <v>73</v>
      </c>
      <c r="D2801" s="2"/>
      <c r="E2801" s="2" t="str">
        <f>"FES1162544809"</f>
        <v>FES1162544809</v>
      </c>
      <c r="F2801" s="3">
        <v>42846</v>
      </c>
      <c r="G2801" s="2">
        <v>201710</v>
      </c>
      <c r="H2801" s="2" t="s">
        <v>74</v>
      </c>
      <c r="I2801" s="2" t="s">
        <v>75</v>
      </c>
      <c r="J2801" s="2" t="s">
        <v>76</v>
      </c>
      <c r="K2801" s="2" t="s">
        <v>77</v>
      </c>
      <c r="L2801" s="2" t="s">
        <v>443</v>
      </c>
      <c r="M2801" s="2" t="s">
        <v>444</v>
      </c>
      <c r="N2801" s="2" t="s">
        <v>627</v>
      </c>
      <c r="O2801" s="2" t="s">
        <v>115</v>
      </c>
      <c r="P2801" s="2" t="str">
        <f>"2170562090                    "</f>
        <v xml:space="preserve">2170562090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42.87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20</v>
      </c>
      <c r="BJ2801" s="2">
        <v>9.1</v>
      </c>
      <c r="BK2801" s="2">
        <v>20</v>
      </c>
      <c r="BL2801" s="2">
        <v>417.27</v>
      </c>
      <c r="BM2801" s="2">
        <v>58.42</v>
      </c>
      <c r="BN2801" s="2">
        <v>475.69</v>
      </c>
      <c r="BO2801" s="2">
        <v>475.69</v>
      </c>
      <c r="BP2801" s="2"/>
      <c r="BQ2801" s="2" t="s">
        <v>628</v>
      </c>
      <c r="BR2801" s="2" t="s">
        <v>84</v>
      </c>
      <c r="BS2801" s="3">
        <v>42849</v>
      </c>
      <c r="BT2801" s="4">
        <v>0.35069444444444442</v>
      </c>
      <c r="BU2801" s="2" t="s">
        <v>2704</v>
      </c>
      <c r="BV2801" s="2" t="s">
        <v>111</v>
      </c>
      <c r="BW2801" s="2"/>
      <c r="BX2801" s="2"/>
      <c r="BY2801" s="2">
        <v>45632</v>
      </c>
      <c r="BZ2801" s="2" t="s">
        <v>27</v>
      </c>
      <c r="CA2801" s="2" t="s">
        <v>159</v>
      </c>
      <c r="CB2801" s="2"/>
      <c r="CC2801" s="2" t="s">
        <v>444</v>
      </c>
      <c r="CD2801" s="2">
        <v>7130</v>
      </c>
      <c r="CE2801" s="2" t="s">
        <v>89</v>
      </c>
      <c r="CF2801" s="5">
        <v>42850</v>
      </c>
      <c r="CG2801" s="2"/>
      <c r="CH2801" s="2"/>
      <c r="CI2801" s="2">
        <v>1</v>
      </c>
      <c r="CJ2801" s="2">
        <v>1</v>
      </c>
      <c r="CK2801" s="2">
        <v>21</v>
      </c>
      <c r="CL2801" s="2" t="s">
        <v>86</v>
      </c>
      <c r="CM2801" s="2"/>
    </row>
    <row r="2802" spans="1:91">
      <c r="A2802" s="2" t="s">
        <v>71</v>
      </c>
      <c r="B2802" s="2" t="s">
        <v>72</v>
      </c>
      <c r="C2802" s="2" t="s">
        <v>73</v>
      </c>
      <c r="D2802" s="2"/>
      <c r="E2802" s="2" t="str">
        <f>"FES1162544836"</f>
        <v>FES1162544836</v>
      </c>
      <c r="F2802" s="3">
        <v>42846</v>
      </c>
      <c r="G2802" s="2">
        <v>201710</v>
      </c>
      <c r="H2802" s="2" t="s">
        <v>74</v>
      </c>
      <c r="I2802" s="2" t="s">
        <v>75</v>
      </c>
      <c r="J2802" s="2" t="s">
        <v>76</v>
      </c>
      <c r="K2802" s="2" t="s">
        <v>77</v>
      </c>
      <c r="L2802" s="2" t="s">
        <v>139</v>
      </c>
      <c r="M2802" s="2" t="s">
        <v>140</v>
      </c>
      <c r="N2802" s="2" t="s">
        <v>2095</v>
      </c>
      <c r="O2802" s="2" t="s">
        <v>115</v>
      </c>
      <c r="P2802" s="2" t="str">
        <f>"2170563375                    "</f>
        <v xml:space="preserve">2170563375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4.29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1</v>
      </c>
      <c r="BJ2802" s="2">
        <v>0.2</v>
      </c>
      <c r="BK2802" s="2">
        <v>1</v>
      </c>
      <c r="BL2802" s="2">
        <v>41.73</v>
      </c>
      <c r="BM2802" s="2">
        <v>5.84</v>
      </c>
      <c r="BN2802" s="2">
        <v>47.57</v>
      </c>
      <c r="BO2802" s="2">
        <v>47.57</v>
      </c>
      <c r="BP2802" s="2"/>
      <c r="BQ2802" s="2" t="s">
        <v>2096</v>
      </c>
      <c r="BR2802" s="2" t="s">
        <v>84</v>
      </c>
      <c r="BS2802" s="3">
        <v>42849</v>
      </c>
      <c r="BT2802" s="4">
        <v>0.3888888888888889</v>
      </c>
      <c r="BU2802" s="2" t="s">
        <v>3055</v>
      </c>
      <c r="BV2802" s="2" t="s">
        <v>111</v>
      </c>
      <c r="BW2802" s="2"/>
      <c r="BX2802" s="2"/>
      <c r="BY2802" s="2">
        <v>1200</v>
      </c>
      <c r="BZ2802" s="2" t="s">
        <v>27</v>
      </c>
      <c r="CA2802" s="2" t="s">
        <v>159</v>
      </c>
      <c r="CB2802" s="2"/>
      <c r="CC2802" s="2" t="s">
        <v>140</v>
      </c>
      <c r="CD2802" s="2">
        <v>157</v>
      </c>
      <c r="CE2802" s="2" t="s">
        <v>118</v>
      </c>
      <c r="CF2802" s="5">
        <v>42851</v>
      </c>
      <c r="CG2802" s="2"/>
      <c r="CH2802" s="2"/>
      <c r="CI2802" s="2">
        <v>0</v>
      </c>
      <c r="CJ2802" s="2">
        <v>0</v>
      </c>
      <c r="CK2802" s="2">
        <v>21</v>
      </c>
      <c r="CL2802" s="2" t="s">
        <v>86</v>
      </c>
      <c r="CM2802" s="2"/>
    </row>
    <row r="2803" spans="1:91">
      <c r="A2803" s="2" t="s">
        <v>71</v>
      </c>
      <c r="B2803" s="2" t="s">
        <v>72</v>
      </c>
      <c r="C2803" s="2" t="s">
        <v>73</v>
      </c>
      <c r="D2803" s="2"/>
      <c r="E2803" s="2" t="str">
        <f>"FES1162544985"</f>
        <v>FES1162544985</v>
      </c>
      <c r="F2803" s="3">
        <v>42846</v>
      </c>
      <c r="G2803" s="2">
        <v>201710</v>
      </c>
      <c r="H2803" s="2" t="s">
        <v>74</v>
      </c>
      <c r="I2803" s="2" t="s">
        <v>75</v>
      </c>
      <c r="J2803" s="2" t="s">
        <v>76</v>
      </c>
      <c r="K2803" s="2" t="s">
        <v>77</v>
      </c>
      <c r="L2803" s="2" t="s">
        <v>396</v>
      </c>
      <c r="M2803" s="2" t="s">
        <v>397</v>
      </c>
      <c r="N2803" s="2" t="s">
        <v>500</v>
      </c>
      <c r="O2803" s="2" t="s">
        <v>115</v>
      </c>
      <c r="P2803" s="2" t="str">
        <f>"2170563472                    "</f>
        <v xml:space="preserve">2170563472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4.29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1</v>
      </c>
      <c r="BJ2803" s="2">
        <v>0.2</v>
      </c>
      <c r="BK2803" s="2">
        <v>1</v>
      </c>
      <c r="BL2803" s="2">
        <v>41.73</v>
      </c>
      <c r="BM2803" s="2">
        <v>5.84</v>
      </c>
      <c r="BN2803" s="2">
        <v>47.57</v>
      </c>
      <c r="BO2803" s="2">
        <v>47.57</v>
      </c>
      <c r="BP2803" s="2"/>
      <c r="BQ2803" s="2" t="s">
        <v>501</v>
      </c>
      <c r="BR2803" s="2" t="s">
        <v>84</v>
      </c>
      <c r="BS2803" s="3">
        <v>42849</v>
      </c>
      <c r="BT2803" s="4">
        <v>0.41666666666666669</v>
      </c>
      <c r="BU2803" s="2" t="s">
        <v>3056</v>
      </c>
      <c r="BV2803" s="2" t="s">
        <v>111</v>
      </c>
      <c r="BW2803" s="2"/>
      <c r="BX2803" s="2"/>
      <c r="BY2803" s="2">
        <v>1200</v>
      </c>
      <c r="BZ2803" s="2" t="s">
        <v>27</v>
      </c>
      <c r="CA2803" s="2"/>
      <c r="CB2803" s="2"/>
      <c r="CC2803" s="2" t="s">
        <v>397</v>
      </c>
      <c r="CD2803" s="2">
        <v>4302</v>
      </c>
      <c r="CE2803" s="2" t="s">
        <v>118</v>
      </c>
      <c r="CF2803" s="5">
        <v>42850</v>
      </c>
      <c r="CG2803" s="2"/>
      <c r="CH2803" s="2"/>
      <c r="CI2803" s="2">
        <v>1</v>
      </c>
      <c r="CJ2803" s="2">
        <v>1</v>
      </c>
      <c r="CK2803" s="2">
        <v>21</v>
      </c>
      <c r="CL2803" s="2" t="s">
        <v>86</v>
      </c>
      <c r="CM2803" s="2"/>
    </row>
    <row r="2804" spans="1:91">
      <c r="A2804" s="2" t="s">
        <v>71</v>
      </c>
      <c r="B2804" s="2" t="s">
        <v>72</v>
      </c>
      <c r="C2804" s="2" t="s">
        <v>73</v>
      </c>
      <c r="D2804" s="2"/>
      <c r="E2804" s="2" t="str">
        <f>"FES1162543162"</f>
        <v>FES1162543162</v>
      </c>
      <c r="F2804" s="3">
        <v>42846</v>
      </c>
      <c r="G2804" s="2">
        <v>201710</v>
      </c>
      <c r="H2804" s="2" t="s">
        <v>74</v>
      </c>
      <c r="I2804" s="2" t="s">
        <v>75</v>
      </c>
      <c r="J2804" s="2" t="s">
        <v>76</v>
      </c>
      <c r="K2804" s="2" t="s">
        <v>77</v>
      </c>
      <c r="L2804" s="2" t="s">
        <v>900</v>
      </c>
      <c r="M2804" s="2" t="s">
        <v>901</v>
      </c>
      <c r="N2804" s="2" t="s">
        <v>1717</v>
      </c>
      <c r="O2804" s="2" t="s">
        <v>115</v>
      </c>
      <c r="P2804" s="2" t="str">
        <f>"2170561951                    "</f>
        <v xml:space="preserve">2170561951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4.29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</v>
      </c>
      <c r="BJ2804" s="2">
        <v>0.2</v>
      </c>
      <c r="BK2804" s="2">
        <v>1</v>
      </c>
      <c r="BL2804" s="2">
        <v>41.73</v>
      </c>
      <c r="BM2804" s="2">
        <v>5.84</v>
      </c>
      <c r="BN2804" s="2">
        <v>47.57</v>
      </c>
      <c r="BO2804" s="2">
        <v>47.57</v>
      </c>
      <c r="BP2804" s="2"/>
      <c r="BQ2804" s="2" t="s">
        <v>129</v>
      </c>
      <c r="BR2804" s="2" t="s">
        <v>84</v>
      </c>
      <c r="BS2804" s="3">
        <v>42849</v>
      </c>
      <c r="BT2804" s="4">
        <v>0.375</v>
      </c>
      <c r="BU2804" s="2" t="s">
        <v>3057</v>
      </c>
      <c r="BV2804" s="2" t="s">
        <v>111</v>
      </c>
      <c r="BW2804" s="2"/>
      <c r="BX2804" s="2"/>
      <c r="BY2804" s="2">
        <v>1200</v>
      </c>
      <c r="BZ2804" s="2" t="s">
        <v>27</v>
      </c>
      <c r="CA2804" s="2"/>
      <c r="CB2804" s="2"/>
      <c r="CC2804" s="2" t="s">
        <v>901</v>
      </c>
      <c r="CD2804" s="2">
        <v>4026</v>
      </c>
      <c r="CE2804" s="2" t="s">
        <v>118</v>
      </c>
      <c r="CF2804" s="5">
        <v>42850</v>
      </c>
      <c r="CG2804" s="2"/>
      <c r="CH2804" s="2"/>
      <c r="CI2804" s="2">
        <v>1</v>
      </c>
      <c r="CJ2804" s="2">
        <v>1</v>
      </c>
      <c r="CK2804" s="2">
        <v>21</v>
      </c>
      <c r="CL2804" s="2" t="s">
        <v>86</v>
      </c>
      <c r="CM2804" s="2"/>
    </row>
    <row r="2805" spans="1:91">
      <c r="A2805" s="2" t="s">
        <v>71</v>
      </c>
      <c r="B2805" s="2" t="s">
        <v>72</v>
      </c>
      <c r="C2805" s="2" t="s">
        <v>73</v>
      </c>
      <c r="D2805" s="2"/>
      <c r="E2805" s="2" t="str">
        <f>"FES1162544980"</f>
        <v>FES1162544980</v>
      </c>
      <c r="F2805" s="3">
        <v>42846</v>
      </c>
      <c r="G2805" s="2">
        <v>201710</v>
      </c>
      <c r="H2805" s="2" t="s">
        <v>74</v>
      </c>
      <c r="I2805" s="2" t="s">
        <v>75</v>
      </c>
      <c r="J2805" s="2" t="s">
        <v>76</v>
      </c>
      <c r="K2805" s="2" t="s">
        <v>77</v>
      </c>
      <c r="L2805" s="2" t="s">
        <v>294</v>
      </c>
      <c r="M2805" s="2" t="s">
        <v>295</v>
      </c>
      <c r="N2805" s="2" t="s">
        <v>3058</v>
      </c>
      <c r="O2805" s="2" t="s">
        <v>115</v>
      </c>
      <c r="P2805" s="2" t="str">
        <f>"2170562786                    "</f>
        <v xml:space="preserve">2170562786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4.29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1</v>
      </c>
      <c r="BJ2805" s="2">
        <v>0.2</v>
      </c>
      <c r="BK2805" s="2">
        <v>1</v>
      </c>
      <c r="BL2805" s="2">
        <v>41.73</v>
      </c>
      <c r="BM2805" s="2">
        <v>5.84</v>
      </c>
      <c r="BN2805" s="2">
        <v>47.57</v>
      </c>
      <c r="BO2805" s="2">
        <v>47.57</v>
      </c>
      <c r="BP2805" s="2"/>
      <c r="BQ2805" s="2"/>
      <c r="BR2805" s="2" t="s">
        <v>84</v>
      </c>
      <c r="BS2805" s="3">
        <v>42849</v>
      </c>
      <c r="BT2805" s="4">
        <v>0.41805555555555557</v>
      </c>
      <c r="BU2805" s="2" t="s">
        <v>3059</v>
      </c>
      <c r="BV2805" s="2" t="s">
        <v>111</v>
      </c>
      <c r="BW2805" s="2"/>
      <c r="BX2805" s="2"/>
      <c r="BY2805" s="2">
        <v>1200</v>
      </c>
      <c r="BZ2805" s="2" t="s">
        <v>27</v>
      </c>
      <c r="CA2805" s="2"/>
      <c r="CB2805" s="2"/>
      <c r="CC2805" s="2" t="s">
        <v>295</v>
      </c>
      <c r="CD2805" s="2">
        <v>3610</v>
      </c>
      <c r="CE2805" s="2" t="s">
        <v>118</v>
      </c>
      <c r="CF2805" s="5">
        <v>42850</v>
      </c>
      <c r="CG2805" s="2"/>
      <c r="CH2805" s="2"/>
      <c r="CI2805" s="2">
        <v>1</v>
      </c>
      <c r="CJ2805" s="2">
        <v>1</v>
      </c>
      <c r="CK2805" s="2">
        <v>21</v>
      </c>
      <c r="CL2805" s="2" t="s">
        <v>86</v>
      </c>
      <c r="CM2805" s="2"/>
    </row>
    <row r="2806" spans="1:91">
      <c r="A2806" s="2" t="s">
        <v>71</v>
      </c>
      <c r="B2806" s="2" t="s">
        <v>72</v>
      </c>
      <c r="C2806" s="2" t="s">
        <v>73</v>
      </c>
      <c r="D2806" s="2"/>
      <c r="E2806" s="2" t="str">
        <f>"FES1162544199"</f>
        <v>FES1162544199</v>
      </c>
      <c r="F2806" s="3">
        <v>42846</v>
      </c>
      <c r="G2806" s="2">
        <v>201710</v>
      </c>
      <c r="H2806" s="2" t="s">
        <v>74</v>
      </c>
      <c r="I2806" s="2" t="s">
        <v>75</v>
      </c>
      <c r="J2806" s="2" t="s">
        <v>76</v>
      </c>
      <c r="K2806" s="2" t="s">
        <v>77</v>
      </c>
      <c r="L2806" s="2" t="s">
        <v>294</v>
      </c>
      <c r="M2806" s="2" t="s">
        <v>295</v>
      </c>
      <c r="N2806" s="2" t="s">
        <v>1071</v>
      </c>
      <c r="O2806" s="2" t="s">
        <v>115</v>
      </c>
      <c r="P2806" s="2" t="str">
        <f>"2170562751                    "</f>
        <v xml:space="preserve">2170562751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4.29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</v>
      </c>
      <c r="BJ2806" s="2">
        <v>0.2</v>
      </c>
      <c r="BK2806" s="2">
        <v>1</v>
      </c>
      <c r="BL2806" s="2">
        <v>41.73</v>
      </c>
      <c r="BM2806" s="2">
        <v>5.84</v>
      </c>
      <c r="BN2806" s="2">
        <v>47.57</v>
      </c>
      <c r="BO2806" s="2">
        <v>47.57</v>
      </c>
      <c r="BP2806" s="2"/>
      <c r="BQ2806" s="2" t="s">
        <v>129</v>
      </c>
      <c r="BR2806" s="2" t="s">
        <v>84</v>
      </c>
      <c r="BS2806" s="3">
        <v>42849</v>
      </c>
      <c r="BT2806" s="4">
        <v>0.43055555555555558</v>
      </c>
      <c r="BU2806" s="2" t="s">
        <v>1072</v>
      </c>
      <c r="BV2806" s="2" t="s">
        <v>111</v>
      </c>
      <c r="BW2806" s="2"/>
      <c r="BX2806" s="2"/>
      <c r="BY2806" s="2">
        <v>1200</v>
      </c>
      <c r="BZ2806" s="2" t="s">
        <v>27</v>
      </c>
      <c r="CA2806" s="2"/>
      <c r="CB2806" s="2"/>
      <c r="CC2806" s="2" t="s">
        <v>295</v>
      </c>
      <c r="CD2806" s="2">
        <v>3610</v>
      </c>
      <c r="CE2806" s="2" t="s">
        <v>118</v>
      </c>
      <c r="CF2806" s="5">
        <v>42850</v>
      </c>
      <c r="CG2806" s="2"/>
      <c r="CH2806" s="2"/>
      <c r="CI2806" s="2">
        <v>1</v>
      </c>
      <c r="CJ2806" s="2">
        <v>1</v>
      </c>
      <c r="CK2806" s="2">
        <v>21</v>
      </c>
      <c r="CL2806" s="2" t="s">
        <v>86</v>
      </c>
      <c r="CM2806" s="2"/>
    </row>
    <row r="2807" spans="1:91">
      <c r="A2807" s="2" t="s">
        <v>71</v>
      </c>
      <c r="B2807" s="2" t="s">
        <v>72</v>
      </c>
      <c r="C2807" s="2" t="s">
        <v>73</v>
      </c>
      <c r="D2807" s="2"/>
      <c r="E2807" s="2" t="str">
        <f>"FES1162544951"</f>
        <v>FES1162544951</v>
      </c>
      <c r="F2807" s="3">
        <v>42846</v>
      </c>
      <c r="G2807" s="2">
        <v>201710</v>
      </c>
      <c r="H2807" s="2" t="s">
        <v>74</v>
      </c>
      <c r="I2807" s="2" t="s">
        <v>75</v>
      </c>
      <c r="J2807" s="2" t="s">
        <v>76</v>
      </c>
      <c r="K2807" s="2" t="s">
        <v>77</v>
      </c>
      <c r="L2807" s="2" t="s">
        <v>131</v>
      </c>
      <c r="M2807" s="2" t="s">
        <v>132</v>
      </c>
      <c r="N2807" s="2" t="s">
        <v>3060</v>
      </c>
      <c r="O2807" s="2" t="s">
        <v>115</v>
      </c>
      <c r="P2807" s="2" t="str">
        <f>"2170563403                    "</f>
        <v xml:space="preserve">2170563403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4.29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1</v>
      </c>
      <c r="BJ2807" s="2">
        <v>0.2</v>
      </c>
      <c r="BK2807" s="2">
        <v>1</v>
      </c>
      <c r="BL2807" s="2">
        <v>41.73</v>
      </c>
      <c r="BM2807" s="2">
        <v>5.84</v>
      </c>
      <c r="BN2807" s="2">
        <v>47.57</v>
      </c>
      <c r="BO2807" s="2">
        <v>47.57</v>
      </c>
      <c r="BP2807" s="2"/>
      <c r="BQ2807" s="2"/>
      <c r="BR2807" s="2" t="s">
        <v>84</v>
      </c>
      <c r="BS2807" s="3">
        <v>42849</v>
      </c>
      <c r="BT2807" s="4">
        <v>0.42638888888888887</v>
      </c>
      <c r="BU2807" s="2" t="s">
        <v>3061</v>
      </c>
      <c r="BV2807" s="2" t="s">
        <v>111</v>
      </c>
      <c r="BW2807" s="2"/>
      <c r="BX2807" s="2"/>
      <c r="BY2807" s="2">
        <v>1200</v>
      </c>
      <c r="BZ2807" s="2" t="s">
        <v>27</v>
      </c>
      <c r="CA2807" s="2"/>
      <c r="CB2807" s="2"/>
      <c r="CC2807" s="2" t="s">
        <v>132</v>
      </c>
      <c r="CD2807" s="2">
        <v>7764</v>
      </c>
      <c r="CE2807" s="2" t="s">
        <v>118</v>
      </c>
      <c r="CF2807" s="5">
        <v>42850</v>
      </c>
      <c r="CG2807" s="2"/>
      <c r="CH2807" s="2"/>
      <c r="CI2807" s="2">
        <v>1</v>
      </c>
      <c r="CJ2807" s="2">
        <v>1</v>
      </c>
      <c r="CK2807" s="2">
        <v>21</v>
      </c>
      <c r="CL2807" s="2" t="s">
        <v>86</v>
      </c>
      <c r="CM2807" s="2"/>
    </row>
    <row r="2808" spans="1:91">
      <c r="A2808" s="2" t="s">
        <v>71</v>
      </c>
      <c r="B2808" s="2" t="s">
        <v>72</v>
      </c>
      <c r="C2808" s="2" t="s">
        <v>73</v>
      </c>
      <c r="D2808" s="2"/>
      <c r="E2808" s="2" t="str">
        <f>"FES1162544902"</f>
        <v>FES1162544902</v>
      </c>
      <c r="F2808" s="3">
        <v>42846</v>
      </c>
      <c r="G2808" s="2">
        <v>201710</v>
      </c>
      <c r="H2808" s="2" t="s">
        <v>74</v>
      </c>
      <c r="I2808" s="2" t="s">
        <v>75</v>
      </c>
      <c r="J2808" s="2" t="s">
        <v>76</v>
      </c>
      <c r="K2808" s="2" t="s">
        <v>77</v>
      </c>
      <c r="L2808" s="2" t="s">
        <v>131</v>
      </c>
      <c r="M2808" s="2" t="s">
        <v>132</v>
      </c>
      <c r="N2808" s="2" t="s">
        <v>1564</v>
      </c>
      <c r="O2808" s="2" t="s">
        <v>115</v>
      </c>
      <c r="P2808" s="2" t="str">
        <f>"2170561126                    "</f>
        <v xml:space="preserve">2170561126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4.29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1</v>
      </c>
      <c r="BJ2808" s="2">
        <v>0.2</v>
      </c>
      <c r="BK2808" s="2">
        <v>1</v>
      </c>
      <c r="BL2808" s="2">
        <v>41.73</v>
      </c>
      <c r="BM2808" s="2">
        <v>5.84</v>
      </c>
      <c r="BN2808" s="2">
        <v>47.57</v>
      </c>
      <c r="BO2808" s="2">
        <v>47.57</v>
      </c>
      <c r="BP2808" s="2"/>
      <c r="BQ2808" s="2" t="s">
        <v>1565</v>
      </c>
      <c r="BR2808" s="2" t="s">
        <v>84</v>
      </c>
      <c r="BS2808" s="3">
        <v>42849</v>
      </c>
      <c r="BT2808" s="4">
        <v>0.41666666666666669</v>
      </c>
      <c r="BU2808" s="2" t="s">
        <v>1566</v>
      </c>
      <c r="BV2808" s="2" t="s">
        <v>111</v>
      </c>
      <c r="BW2808" s="2"/>
      <c r="BX2808" s="2"/>
      <c r="BY2808" s="2">
        <v>1200</v>
      </c>
      <c r="BZ2808" s="2" t="s">
        <v>27</v>
      </c>
      <c r="CA2808" s="2"/>
      <c r="CB2808" s="2"/>
      <c r="CC2808" s="2" t="s">
        <v>132</v>
      </c>
      <c r="CD2808" s="2">
        <v>7475</v>
      </c>
      <c r="CE2808" s="2" t="s">
        <v>118</v>
      </c>
      <c r="CF2808" s="5">
        <v>42850</v>
      </c>
      <c r="CG2808" s="2"/>
      <c r="CH2808" s="2"/>
      <c r="CI2808" s="2">
        <v>1</v>
      </c>
      <c r="CJ2808" s="2">
        <v>1</v>
      </c>
      <c r="CK2808" s="2">
        <v>21</v>
      </c>
      <c r="CL2808" s="2" t="s">
        <v>86</v>
      </c>
      <c r="CM2808" s="2"/>
    </row>
    <row r="2809" spans="1:91">
      <c r="A2809" s="2" t="s">
        <v>71</v>
      </c>
      <c r="B2809" s="2" t="s">
        <v>72</v>
      </c>
      <c r="C2809" s="2" t="s">
        <v>73</v>
      </c>
      <c r="D2809" s="2"/>
      <c r="E2809" s="2" t="str">
        <f>"FES1162544786"</f>
        <v>FES1162544786</v>
      </c>
      <c r="F2809" s="3">
        <v>42846</v>
      </c>
      <c r="G2809" s="2">
        <v>201710</v>
      </c>
      <c r="H2809" s="2" t="s">
        <v>74</v>
      </c>
      <c r="I2809" s="2" t="s">
        <v>75</v>
      </c>
      <c r="J2809" s="2" t="s">
        <v>76</v>
      </c>
      <c r="K2809" s="2" t="s">
        <v>77</v>
      </c>
      <c r="L2809" s="2" t="s">
        <v>131</v>
      </c>
      <c r="M2809" s="2" t="s">
        <v>132</v>
      </c>
      <c r="N2809" s="2" t="s">
        <v>384</v>
      </c>
      <c r="O2809" s="2" t="s">
        <v>115</v>
      </c>
      <c r="P2809" s="2" t="str">
        <f>"2170563329                    "</f>
        <v xml:space="preserve">2170563329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4.29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1</v>
      </c>
      <c r="BJ2809" s="2">
        <v>0.2</v>
      </c>
      <c r="BK2809" s="2">
        <v>1</v>
      </c>
      <c r="BL2809" s="2">
        <v>41.73</v>
      </c>
      <c r="BM2809" s="2">
        <v>5.84</v>
      </c>
      <c r="BN2809" s="2">
        <v>47.57</v>
      </c>
      <c r="BO2809" s="2">
        <v>47.57</v>
      </c>
      <c r="BP2809" s="2"/>
      <c r="BQ2809" s="2" t="s">
        <v>468</v>
      </c>
      <c r="BR2809" s="2" t="s">
        <v>84</v>
      </c>
      <c r="BS2809" s="3">
        <v>42849</v>
      </c>
      <c r="BT2809" s="4">
        <v>0.41666666666666669</v>
      </c>
      <c r="BU2809" s="2" t="s">
        <v>872</v>
      </c>
      <c r="BV2809" s="2" t="s">
        <v>111</v>
      </c>
      <c r="BW2809" s="2"/>
      <c r="BX2809" s="2"/>
      <c r="BY2809" s="2">
        <v>1200</v>
      </c>
      <c r="BZ2809" s="2" t="s">
        <v>27</v>
      </c>
      <c r="CA2809" s="2"/>
      <c r="CB2809" s="2"/>
      <c r="CC2809" s="2" t="s">
        <v>132</v>
      </c>
      <c r="CD2809" s="2">
        <v>7405</v>
      </c>
      <c r="CE2809" s="2" t="s">
        <v>118</v>
      </c>
      <c r="CF2809" s="5">
        <v>42850</v>
      </c>
      <c r="CG2809" s="2"/>
      <c r="CH2809" s="2"/>
      <c r="CI2809" s="2">
        <v>1</v>
      </c>
      <c r="CJ2809" s="2">
        <v>1</v>
      </c>
      <c r="CK2809" s="2">
        <v>21</v>
      </c>
      <c r="CL2809" s="2" t="s">
        <v>86</v>
      </c>
      <c r="CM2809" s="2"/>
    </row>
    <row r="2810" spans="1:91">
      <c r="A2810" s="2" t="s">
        <v>71</v>
      </c>
      <c r="B2810" s="2" t="s">
        <v>72</v>
      </c>
      <c r="C2810" s="2" t="s">
        <v>73</v>
      </c>
      <c r="D2810" s="2"/>
      <c r="E2810" s="2" t="str">
        <f>"FES1162544975"</f>
        <v>FES1162544975</v>
      </c>
      <c r="F2810" s="3">
        <v>42846</v>
      </c>
      <c r="G2810" s="2">
        <v>201710</v>
      </c>
      <c r="H2810" s="2" t="s">
        <v>74</v>
      </c>
      <c r="I2810" s="2" t="s">
        <v>75</v>
      </c>
      <c r="J2810" s="2" t="s">
        <v>76</v>
      </c>
      <c r="K2810" s="2" t="s">
        <v>77</v>
      </c>
      <c r="L2810" s="2" t="s">
        <v>176</v>
      </c>
      <c r="M2810" s="2" t="s">
        <v>176</v>
      </c>
      <c r="N2810" s="2" t="s">
        <v>177</v>
      </c>
      <c r="O2810" s="2" t="s">
        <v>115</v>
      </c>
      <c r="P2810" s="2" t="str">
        <f>"2170563462                    "</f>
        <v xml:space="preserve">2170563462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4.29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1</v>
      </c>
      <c r="BJ2810" s="2">
        <v>0.2</v>
      </c>
      <c r="BK2810" s="2">
        <v>1</v>
      </c>
      <c r="BL2810" s="2">
        <v>41.73</v>
      </c>
      <c r="BM2810" s="2">
        <v>5.84</v>
      </c>
      <c r="BN2810" s="2">
        <v>47.57</v>
      </c>
      <c r="BO2810" s="2">
        <v>47.57</v>
      </c>
      <c r="BP2810" s="2"/>
      <c r="BQ2810" s="2" t="s">
        <v>178</v>
      </c>
      <c r="BR2810" s="2" t="s">
        <v>84</v>
      </c>
      <c r="BS2810" s="3">
        <v>42849</v>
      </c>
      <c r="BT2810" s="4">
        <v>0.49652777777777773</v>
      </c>
      <c r="BU2810" s="2" t="s">
        <v>1487</v>
      </c>
      <c r="BV2810" s="2" t="s">
        <v>111</v>
      </c>
      <c r="BW2810" s="2"/>
      <c r="BX2810" s="2"/>
      <c r="BY2810" s="2">
        <v>1200</v>
      </c>
      <c r="BZ2810" s="2" t="s">
        <v>27</v>
      </c>
      <c r="CA2810" s="2"/>
      <c r="CB2810" s="2"/>
      <c r="CC2810" s="2" t="s">
        <v>176</v>
      </c>
      <c r="CD2810" s="2">
        <v>7646</v>
      </c>
      <c r="CE2810" s="2" t="s">
        <v>118</v>
      </c>
      <c r="CF2810" s="5">
        <v>42850</v>
      </c>
      <c r="CG2810" s="2"/>
      <c r="CH2810" s="2"/>
      <c r="CI2810" s="2">
        <v>1</v>
      </c>
      <c r="CJ2810" s="2">
        <v>1</v>
      </c>
      <c r="CK2810" s="2">
        <v>21</v>
      </c>
      <c r="CL2810" s="2" t="s">
        <v>86</v>
      </c>
      <c r="CM2810" s="2"/>
    </row>
    <row r="2811" spans="1:91">
      <c r="A2811" s="2" t="s">
        <v>71</v>
      </c>
      <c r="B2811" s="2" t="s">
        <v>72</v>
      </c>
      <c r="C2811" s="2" t="s">
        <v>73</v>
      </c>
      <c r="D2811" s="2"/>
      <c r="E2811" s="2" t="str">
        <f>"FES1162544899"</f>
        <v>FES1162544899</v>
      </c>
      <c r="F2811" s="3">
        <v>42846</v>
      </c>
      <c r="G2811" s="2">
        <v>201710</v>
      </c>
      <c r="H2811" s="2" t="s">
        <v>74</v>
      </c>
      <c r="I2811" s="2" t="s">
        <v>75</v>
      </c>
      <c r="J2811" s="2" t="s">
        <v>76</v>
      </c>
      <c r="K2811" s="2" t="s">
        <v>77</v>
      </c>
      <c r="L2811" s="2" t="s">
        <v>131</v>
      </c>
      <c r="M2811" s="2" t="s">
        <v>132</v>
      </c>
      <c r="N2811" s="2" t="s">
        <v>188</v>
      </c>
      <c r="O2811" s="2" t="s">
        <v>115</v>
      </c>
      <c r="P2811" s="2" t="str">
        <f>"2170561031                    "</f>
        <v xml:space="preserve">2170561031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4.29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1</v>
      </c>
      <c r="BJ2811" s="2">
        <v>0.2</v>
      </c>
      <c r="BK2811" s="2">
        <v>1</v>
      </c>
      <c r="BL2811" s="2">
        <v>41.73</v>
      </c>
      <c r="BM2811" s="2">
        <v>5.84</v>
      </c>
      <c r="BN2811" s="2">
        <v>47.57</v>
      </c>
      <c r="BO2811" s="2">
        <v>47.57</v>
      </c>
      <c r="BP2811" s="2"/>
      <c r="BQ2811" s="2" t="s">
        <v>83</v>
      </c>
      <c r="BR2811" s="2" t="s">
        <v>84</v>
      </c>
      <c r="BS2811" s="3">
        <v>42849</v>
      </c>
      <c r="BT2811" s="4">
        <v>0.41666666666666669</v>
      </c>
      <c r="BU2811" s="2" t="s">
        <v>1407</v>
      </c>
      <c r="BV2811" s="2" t="s">
        <v>111</v>
      </c>
      <c r="BW2811" s="2"/>
      <c r="BX2811" s="2"/>
      <c r="BY2811" s="2">
        <v>1200</v>
      </c>
      <c r="BZ2811" s="2" t="s">
        <v>27</v>
      </c>
      <c r="CA2811" s="2"/>
      <c r="CB2811" s="2"/>
      <c r="CC2811" s="2" t="s">
        <v>132</v>
      </c>
      <c r="CD2811" s="2">
        <v>7460</v>
      </c>
      <c r="CE2811" s="2" t="s">
        <v>118</v>
      </c>
      <c r="CF2811" s="5">
        <v>42850</v>
      </c>
      <c r="CG2811" s="2"/>
      <c r="CH2811" s="2"/>
      <c r="CI2811" s="2">
        <v>1</v>
      </c>
      <c r="CJ2811" s="2">
        <v>1</v>
      </c>
      <c r="CK2811" s="2">
        <v>21</v>
      </c>
      <c r="CL2811" s="2" t="s">
        <v>86</v>
      </c>
      <c r="CM2811" s="2"/>
    </row>
    <row r="2812" spans="1:91">
      <c r="A2812" s="2" t="s">
        <v>71</v>
      </c>
      <c r="B2812" s="2" t="s">
        <v>72</v>
      </c>
      <c r="C2812" s="2" t="s">
        <v>73</v>
      </c>
      <c r="D2812" s="2"/>
      <c r="E2812" s="2" t="str">
        <f>"FES1162544999"</f>
        <v>FES1162544999</v>
      </c>
      <c r="F2812" s="3">
        <v>42846</v>
      </c>
      <c r="G2812" s="2">
        <v>201710</v>
      </c>
      <c r="H2812" s="2" t="s">
        <v>74</v>
      </c>
      <c r="I2812" s="2" t="s">
        <v>75</v>
      </c>
      <c r="J2812" s="2" t="s">
        <v>76</v>
      </c>
      <c r="K2812" s="2" t="s">
        <v>77</v>
      </c>
      <c r="L2812" s="2" t="s">
        <v>99</v>
      </c>
      <c r="M2812" s="2" t="s">
        <v>100</v>
      </c>
      <c r="N2812" s="2" t="s">
        <v>351</v>
      </c>
      <c r="O2812" s="2" t="s">
        <v>115</v>
      </c>
      <c r="P2812" s="2" t="str">
        <f>"2170563491                    "</f>
        <v xml:space="preserve">2170563491  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4.29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1</v>
      </c>
      <c r="BI2812" s="2">
        <v>1</v>
      </c>
      <c r="BJ2812" s="2">
        <v>0.2</v>
      </c>
      <c r="BK2812" s="2">
        <v>1</v>
      </c>
      <c r="BL2812" s="2">
        <v>41.73</v>
      </c>
      <c r="BM2812" s="2">
        <v>5.84</v>
      </c>
      <c r="BN2812" s="2">
        <v>47.57</v>
      </c>
      <c r="BO2812" s="2">
        <v>47.57</v>
      </c>
      <c r="BP2812" s="2"/>
      <c r="BQ2812" s="2" t="s">
        <v>352</v>
      </c>
      <c r="BR2812" s="2" t="s">
        <v>84</v>
      </c>
      <c r="BS2812" s="3">
        <v>42849</v>
      </c>
      <c r="BT2812" s="4">
        <v>0.43402777777777773</v>
      </c>
      <c r="BU2812" s="2" t="s">
        <v>385</v>
      </c>
      <c r="BV2812" s="2" t="s">
        <v>111</v>
      </c>
      <c r="BW2812" s="2"/>
      <c r="BX2812" s="2"/>
      <c r="BY2812" s="2">
        <v>1200</v>
      </c>
      <c r="BZ2812" s="2" t="s">
        <v>27</v>
      </c>
      <c r="CA2812" s="2"/>
      <c r="CB2812" s="2"/>
      <c r="CC2812" s="2" t="s">
        <v>100</v>
      </c>
      <c r="CD2812" s="2">
        <v>6001</v>
      </c>
      <c r="CE2812" s="2" t="s">
        <v>118</v>
      </c>
      <c r="CF2812" s="5">
        <v>42850</v>
      </c>
      <c r="CG2812" s="2"/>
      <c r="CH2812" s="2"/>
      <c r="CI2812" s="2">
        <v>1</v>
      </c>
      <c r="CJ2812" s="2">
        <v>1</v>
      </c>
      <c r="CK2812" s="2">
        <v>21</v>
      </c>
      <c r="CL2812" s="2" t="s">
        <v>86</v>
      </c>
      <c r="CM2812" s="2"/>
    </row>
    <row r="2813" spans="1:91">
      <c r="A2813" s="2" t="s">
        <v>71</v>
      </c>
      <c r="B2813" s="2" t="s">
        <v>72</v>
      </c>
      <c r="C2813" s="2" t="s">
        <v>73</v>
      </c>
      <c r="D2813" s="2"/>
      <c r="E2813" s="2" t="str">
        <f>"FES1162545009"</f>
        <v>FES1162545009</v>
      </c>
      <c r="F2813" s="3">
        <v>42846</v>
      </c>
      <c r="G2813" s="2">
        <v>201710</v>
      </c>
      <c r="H2813" s="2" t="s">
        <v>74</v>
      </c>
      <c r="I2813" s="2" t="s">
        <v>75</v>
      </c>
      <c r="J2813" s="2" t="s">
        <v>76</v>
      </c>
      <c r="K2813" s="2" t="s">
        <v>77</v>
      </c>
      <c r="L2813" s="2" t="s">
        <v>99</v>
      </c>
      <c r="M2813" s="2" t="s">
        <v>100</v>
      </c>
      <c r="N2813" s="2" t="s">
        <v>351</v>
      </c>
      <c r="O2813" s="2" t="s">
        <v>115</v>
      </c>
      <c r="P2813" s="2" t="str">
        <f>"2170563505                    "</f>
        <v xml:space="preserve">2170563505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4.29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1</v>
      </c>
      <c r="BJ2813" s="2">
        <v>0.2</v>
      </c>
      <c r="BK2813" s="2">
        <v>1</v>
      </c>
      <c r="BL2813" s="2">
        <v>41.73</v>
      </c>
      <c r="BM2813" s="2">
        <v>5.84</v>
      </c>
      <c r="BN2813" s="2">
        <v>47.57</v>
      </c>
      <c r="BO2813" s="2">
        <v>47.57</v>
      </c>
      <c r="BP2813" s="2"/>
      <c r="BQ2813" s="2" t="s">
        <v>352</v>
      </c>
      <c r="BR2813" s="2" t="s">
        <v>84</v>
      </c>
      <c r="BS2813" s="3">
        <v>42849</v>
      </c>
      <c r="BT2813" s="4">
        <v>0.43402777777777773</v>
      </c>
      <c r="BU2813" s="2" t="s">
        <v>385</v>
      </c>
      <c r="BV2813" s="2" t="s">
        <v>111</v>
      </c>
      <c r="BW2813" s="2"/>
      <c r="BX2813" s="2"/>
      <c r="BY2813" s="2">
        <v>1200</v>
      </c>
      <c r="BZ2813" s="2" t="s">
        <v>27</v>
      </c>
      <c r="CA2813" s="2"/>
      <c r="CB2813" s="2"/>
      <c r="CC2813" s="2" t="s">
        <v>100</v>
      </c>
      <c r="CD2813" s="2">
        <v>6001</v>
      </c>
      <c r="CE2813" s="2" t="s">
        <v>118</v>
      </c>
      <c r="CF2813" s="5">
        <v>42850</v>
      </c>
      <c r="CG2813" s="2"/>
      <c r="CH2813" s="2"/>
      <c r="CI2813" s="2">
        <v>1</v>
      </c>
      <c r="CJ2813" s="2">
        <v>1</v>
      </c>
      <c r="CK2813" s="2">
        <v>21</v>
      </c>
      <c r="CL2813" s="2" t="s">
        <v>86</v>
      </c>
      <c r="CM2813" s="2"/>
    </row>
    <row r="2814" spans="1:91">
      <c r="A2814" s="2" t="s">
        <v>71</v>
      </c>
      <c r="B2814" s="2" t="s">
        <v>72</v>
      </c>
      <c r="C2814" s="2" t="s">
        <v>73</v>
      </c>
      <c r="D2814" s="2"/>
      <c r="E2814" s="2" t="str">
        <f>"FES1162543770"</f>
        <v>FES1162543770</v>
      </c>
      <c r="F2814" s="3">
        <v>42846</v>
      </c>
      <c r="G2814" s="2">
        <v>201710</v>
      </c>
      <c r="H2814" s="2" t="s">
        <v>74</v>
      </c>
      <c r="I2814" s="2" t="s">
        <v>75</v>
      </c>
      <c r="J2814" s="2" t="s">
        <v>76</v>
      </c>
      <c r="K2814" s="2" t="s">
        <v>77</v>
      </c>
      <c r="L2814" s="2" t="s">
        <v>74</v>
      </c>
      <c r="M2814" s="2" t="s">
        <v>75</v>
      </c>
      <c r="N2814" s="2" t="s">
        <v>2330</v>
      </c>
      <c r="O2814" s="2" t="s">
        <v>115</v>
      </c>
      <c r="P2814" s="2" t="str">
        <f>"2170562373                    "</f>
        <v xml:space="preserve">2170562373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3.35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1</v>
      </c>
      <c r="BJ2814" s="2">
        <v>0.2</v>
      </c>
      <c r="BK2814" s="2">
        <v>1</v>
      </c>
      <c r="BL2814" s="2">
        <v>32.6</v>
      </c>
      <c r="BM2814" s="2">
        <v>4.5599999999999996</v>
      </c>
      <c r="BN2814" s="2">
        <v>37.159999999999997</v>
      </c>
      <c r="BO2814" s="2">
        <v>37.159999999999997</v>
      </c>
      <c r="BP2814" s="2"/>
      <c r="BQ2814" s="2" t="s">
        <v>122</v>
      </c>
      <c r="BR2814" s="2" t="s">
        <v>84</v>
      </c>
      <c r="BS2814" s="3">
        <v>42849</v>
      </c>
      <c r="BT2814" s="4">
        <v>0.375</v>
      </c>
      <c r="BU2814" s="2" t="s">
        <v>3062</v>
      </c>
      <c r="BV2814" s="2" t="s">
        <v>111</v>
      </c>
      <c r="BW2814" s="2"/>
      <c r="BX2814" s="2"/>
      <c r="BY2814" s="2">
        <v>1200</v>
      </c>
      <c r="BZ2814" s="2" t="s">
        <v>27</v>
      </c>
      <c r="CA2814" s="2" t="s">
        <v>159</v>
      </c>
      <c r="CB2814" s="2"/>
      <c r="CC2814" s="2" t="s">
        <v>75</v>
      </c>
      <c r="CD2814" s="2">
        <v>1600</v>
      </c>
      <c r="CE2814" s="2" t="s">
        <v>118</v>
      </c>
      <c r="CF2814" s="5">
        <v>42850</v>
      </c>
      <c r="CG2814" s="2"/>
      <c r="CH2814" s="2"/>
      <c r="CI2814" s="2">
        <v>1</v>
      </c>
      <c r="CJ2814" s="2">
        <v>1</v>
      </c>
      <c r="CK2814" s="2">
        <v>22</v>
      </c>
      <c r="CL2814" s="2" t="s">
        <v>86</v>
      </c>
      <c r="CM2814" s="2"/>
    </row>
    <row r="2815" spans="1:91">
      <c r="A2815" s="2" t="s">
        <v>71</v>
      </c>
      <c r="B2815" s="2" t="s">
        <v>72</v>
      </c>
      <c r="C2815" s="2" t="s">
        <v>73</v>
      </c>
      <c r="D2815" s="2"/>
      <c r="E2815" s="2" t="str">
        <f>"FES1162544873"</f>
        <v>FES1162544873</v>
      </c>
      <c r="F2815" s="3">
        <v>42846</v>
      </c>
      <c r="G2815" s="2">
        <v>201710</v>
      </c>
      <c r="H2815" s="2" t="s">
        <v>74</v>
      </c>
      <c r="I2815" s="2" t="s">
        <v>75</v>
      </c>
      <c r="J2815" s="2" t="s">
        <v>76</v>
      </c>
      <c r="K2815" s="2" t="s">
        <v>77</v>
      </c>
      <c r="L2815" s="2" t="s">
        <v>166</v>
      </c>
      <c r="M2815" s="2" t="s">
        <v>167</v>
      </c>
      <c r="N2815" s="2" t="s">
        <v>2160</v>
      </c>
      <c r="O2815" s="2" t="s">
        <v>115</v>
      </c>
      <c r="P2815" s="2" t="str">
        <f>"2170562748                    "</f>
        <v xml:space="preserve">2170562748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3.35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1</v>
      </c>
      <c r="BJ2815" s="2">
        <v>0.2</v>
      </c>
      <c r="BK2815" s="2">
        <v>1</v>
      </c>
      <c r="BL2815" s="2">
        <v>32.6</v>
      </c>
      <c r="BM2815" s="2">
        <v>4.5599999999999996</v>
      </c>
      <c r="BN2815" s="2">
        <v>37.159999999999997</v>
      </c>
      <c r="BO2815" s="2">
        <v>37.159999999999997</v>
      </c>
      <c r="BP2815" s="2"/>
      <c r="BQ2815" s="2" t="s">
        <v>2161</v>
      </c>
      <c r="BR2815" s="2" t="s">
        <v>84</v>
      </c>
      <c r="BS2815" s="3">
        <v>42849</v>
      </c>
      <c r="BT2815" s="4">
        <v>0.36874999999999997</v>
      </c>
      <c r="BU2815" s="2" t="s">
        <v>290</v>
      </c>
      <c r="BV2815" s="2" t="s">
        <v>111</v>
      </c>
      <c r="BW2815" s="2"/>
      <c r="BX2815" s="2"/>
      <c r="BY2815" s="2">
        <v>1200</v>
      </c>
      <c r="BZ2815" s="2" t="s">
        <v>27</v>
      </c>
      <c r="CA2815" s="2" t="s">
        <v>171</v>
      </c>
      <c r="CB2815" s="2"/>
      <c r="CC2815" s="2" t="s">
        <v>167</v>
      </c>
      <c r="CD2815" s="2">
        <v>2001</v>
      </c>
      <c r="CE2815" s="2" t="s">
        <v>118</v>
      </c>
      <c r="CF2815" s="5">
        <v>42849</v>
      </c>
      <c r="CG2815" s="2"/>
      <c r="CH2815" s="2"/>
      <c r="CI2815" s="2">
        <v>1</v>
      </c>
      <c r="CJ2815" s="2">
        <v>1</v>
      </c>
      <c r="CK2815" s="2">
        <v>22</v>
      </c>
      <c r="CL2815" s="2" t="s">
        <v>86</v>
      </c>
      <c r="CM2815" s="2"/>
    </row>
    <row r="2816" spans="1:91">
      <c r="A2816" s="2" t="s">
        <v>71</v>
      </c>
      <c r="B2816" s="2" t="s">
        <v>72</v>
      </c>
      <c r="C2816" s="2" t="s">
        <v>73</v>
      </c>
      <c r="D2816" s="2"/>
      <c r="E2816" s="2" t="str">
        <f>"FES1162544935"</f>
        <v>FES1162544935</v>
      </c>
      <c r="F2816" s="3">
        <v>42846</v>
      </c>
      <c r="G2816" s="2">
        <v>201710</v>
      </c>
      <c r="H2816" s="2" t="s">
        <v>74</v>
      </c>
      <c r="I2816" s="2" t="s">
        <v>75</v>
      </c>
      <c r="J2816" s="2" t="s">
        <v>76</v>
      </c>
      <c r="K2816" s="2" t="s">
        <v>77</v>
      </c>
      <c r="L2816" s="2" t="s">
        <v>187</v>
      </c>
      <c r="M2816" s="2" t="s">
        <v>146</v>
      </c>
      <c r="N2816" s="2" t="s">
        <v>427</v>
      </c>
      <c r="O2816" s="2" t="s">
        <v>115</v>
      </c>
      <c r="P2816" s="2" t="str">
        <f>"2170563426                    "</f>
        <v xml:space="preserve">2170563426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4.29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1</v>
      </c>
      <c r="BJ2816" s="2">
        <v>0.2</v>
      </c>
      <c r="BK2816" s="2">
        <v>1</v>
      </c>
      <c r="BL2816" s="2">
        <v>41.73</v>
      </c>
      <c r="BM2816" s="2">
        <v>5.84</v>
      </c>
      <c r="BN2816" s="2">
        <v>47.57</v>
      </c>
      <c r="BO2816" s="2">
        <v>47.57</v>
      </c>
      <c r="BP2816" s="2"/>
      <c r="BQ2816" s="2" t="s">
        <v>1208</v>
      </c>
      <c r="BR2816" s="2" t="s">
        <v>84</v>
      </c>
      <c r="BS2816" s="3">
        <v>42849</v>
      </c>
      <c r="BT2816" s="4">
        <v>0.40902777777777777</v>
      </c>
      <c r="BU2816" s="2" t="s">
        <v>1875</v>
      </c>
      <c r="BV2816" s="2" t="s">
        <v>111</v>
      </c>
      <c r="BW2816" s="2"/>
      <c r="BX2816" s="2"/>
      <c r="BY2816" s="2">
        <v>1200</v>
      </c>
      <c r="BZ2816" s="2" t="s">
        <v>27</v>
      </c>
      <c r="CA2816" s="2"/>
      <c r="CB2816" s="2"/>
      <c r="CC2816" s="2" t="s">
        <v>146</v>
      </c>
      <c r="CD2816" s="2">
        <v>184</v>
      </c>
      <c r="CE2816" s="2" t="s">
        <v>118</v>
      </c>
      <c r="CF2816" s="5">
        <v>42851</v>
      </c>
      <c r="CG2816" s="2"/>
      <c r="CH2816" s="2"/>
      <c r="CI2816" s="2">
        <v>0</v>
      </c>
      <c r="CJ2816" s="2">
        <v>0</v>
      </c>
      <c r="CK2816" s="2">
        <v>21</v>
      </c>
      <c r="CL2816" s="2" t="s">
        <v>86</v>
      </c>
      <c r="CM2816" s="2"/>
    </row>
    <row r="2817" spans="1:91">
      <c r="A2817" s="2" t="s">
        <v>71</v>
      </c>
      <c r="B2817" s="2" t="s">
        <v>72</v>
      </c>
      <c r="C2817" s="2" t="s">
        <v>73</v>
      </c>
      <c r="D2817" s="2"/>
      <c r="E2817" s="2" t="str">
        <f>"FES1162544874"</f>
        <v>FES1162544874</v>
      </c>
      <c r="F2817" s="3">
        <v>42846</v>
      </c>
      <c r="G2817" s="2">
        <v>201710</v>
      </c>
      <c r="H2817" s="2" t="s">
        <v>74</v>
      </c>
      <c r="I2817" s="2" t="s">
        <v>75</v>
      </c>
      <c r="J2817" s="2" t="s">
        <v>76</v>
      </c>
      <c r="K2817" s="2" t="s">
        <v>77</v>
      </c>
      <c r="L2817" s="2" t="s">
        <v>187</v>
      </c>
      <c r="M2817" s="2" t="s">
        <v>146</v>
      </c>
      <c r="N2817" s="2" t="s">
        <v>1810</v>
      </c>
      <c r="O2817" s="2" t="s">
        <v>115</v>
      </c>
      <c r="P2817" s="2" t="str">
        <f>"2170562906                    "</f>
        <v xml:space="preserve">2170562906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4.29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1</v>
      </c>
      <c r="BJ2817" s="2">
        <v>0.2</v>
      </c>
      <c r="BK2817" s="2">
        <v>1</v>
      </c>
      <c r="BL2817" s="2">
        <v>41.73</v>
      </c>
      <c r="BM2817" s="2">
        <v>5.84</v>
      </c>
      <c r="BN2817" s="2">
        <v>47.57</v>
      </c>
      <c r="BO2817" s="2">
        <v>47.57</v>
      </c>
      <c r="BP2817" s="2"/>
      <c r="BQ2817" s="2" t="s">
        <v>116</v>
      </c>
      <c r="BR2817" s="2" t="s">
        <v>84</v>
      </c>
      <c r="BS2817" s="3">
        <v>42849</v>
      </c>
      <c r="BT2817" s="4">
        <v>0.375</v>
      </c>
      <c r="BU2817" s="2" t="s">
        <v>3063</v>
      </c>
      <c r="BV2817" s="2" t="s">
        <v>111</v>
      </c>
      <c r="BW2817" s="2"/>
      <c r="BX2817" s="2"/>
      <c r="BY2817" s="2">
        <v>1200</v>
      </c>
      <c r="BZ2817" s="2" t="s">
        <v>27</v>
      </c>
      <c r="CA2817" s="2"/>
      <c r="CB2817" s="2"/>
      <c r="CC2817" s="2" t="s">
        <v>146</v>
      </c>
      <c r="CD2817" s="2">
        <v>159</v>
      </c>
      <c r="CE2817" s="2" t="s">
        <v>118</v>
      </c>
      <c r="CF2817" s="5">
        <v>42851</v>
      </c>
      <c r="CG2817" s="2"/>
      <c r="CH2817" s="2"/>
      <c r="CI2817" s="2">
        <v>0</v>
      </c>
      <c r="CJ2817" s="2">
        <v>0</v>
      </c>
      <c r="CK2817" s="2">
        <v>21</v>
      </c>
      <c r="CL2817" s="2" t="s">
        <v>86</v>
      </c>
      <c r="CM2817" s="2"/>
    </row>
    <row r="2818" spans="1:91">
      <c r="A2818" s="2" t="s">
        <v>71</v>
      </c>
      <c r="B2818" s="2" t="s">
        <v>72</v>
      </c>
      <c r="C2818" s="2" t="s">
        <v>73</v>
      </c>
      <c r="D2818" s="2"/>
      <c r="E2818" s="2" t="str">
        <f>"FES1162544345"</f>
        <v>FES1162544345</v>
      </c>
      <c r="F2818" s="3">
        <v>42846</v>
      </c>
      <c r="G2818" s="2">
        <v>201710</v>
      </c>
      <c r="H2818" s="2" t="s">
        <v>74</v>
      </c>
      <c r="I2818" s="2" t="s">
        <v>75</v>
      </c>
      <c r="J2818" s="2" t="s">
        <v>76</v>
      </c>
      <c r="K2818" s="2" t="s">
        <v>77</v>
      </c>
      <c r="L2818" s="2" t="s">
        <v>74</v>
      </c>
      <c r="M2818" s="2" t="s">
        <v>75</v>
      </c>
      <c r="N2818" s="2" t="s">
        <v>1157</v>
      </c>
      <c r="O2818" s="2" t="s">
        <v>115</v>
      </c>
      <c r="P2818" s="2" t="str">
        <f>"2170562664                    "</f>
        <v xml:space="preserve">2170562664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3.35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1</v>
      </c>
      <c r="BJ2818" s="2">
        <v>0.2</v>
      </c>
      <c r="BK2818" s="2">
        <v>1</v>
      </c>
      <c r="BL2818" s="2">
        <v>32.6</v>
      </c>
      <c r="BM2818" s="2">
        <v>4.5599999999999996</v>
      </c>
      <c r="BN2818" s="2">
        <v>37.159999999999997</v>
      </c>
      <c r="BO2818" s="2">
        <v>37.159999999999997</v>
      </c>
      <c r="BP2818" s="2"/>
      <c r="BQ2818" s="2" t="s">
        <v>1158</v>
      </c>
      <c r="BR2818" s="2" t="s">
        <v>84</v>
      </c>
      <c r="BS2818" s="3">
        <v>42849</v>
      </c>
      <c r="BT2818" s="4">
        <v>0.41666666666666669</v>
      </c>
      <c r="BU2818" s="2" t="s">
        <v>2152</v>
      </c>
      <c r="BV2818" s="2" t="s">
        <v>111</v>
      </c>
      <c r="BW2818" s="2"/>
      <c r="BX2818" s="2"/>
      <c r="BY2818" s="2">
        <v>1200</v>
      </c>
      <c r="BZ2818" s="2" t="s">
        <v>27</v>
      </c>
      <c r="CA2818" s="2"/>
      <c r="CB2818" s="2"/>
      <c r="CC2818" s="2" t="s">
        <v>75</v>
      </c>
      <c r="CD2818" s="2">
        <v>1666</v>
      </c>
      <c r="CE2818" s="2" t="s">
        <v>118</v>
      </c>
      <c r="CF2818" s="5">
        <v>42850</v>
      </c>
      <c r="CG2818" s="2"/>
      <c r="CH2818" s="2"/>
      <c r="CI2818" s="2">
        <v>1</v>
      </c>
      <c r="CJ2818" s="2">
        <v>1</v>
      </c>
      <c r="CK2818" s="2">
        <v>22</v>
      </c>
      <c r="CL2818" s="2" t="s">
        <v>86</v>
      </c>
      <c r="CM2818" s="2"/>
    </row>
    <row r="2819" spans="1:91">
      <c r="A2819" s="2" t="s">
        <v>71</v>
      </c>
      <c r="B2819" s="2" t="s">
        <v>72</v>
      </c>
      <c r="C2819" s="2" t="s">
        <v>73</v>
      </c>
      <c r="D2819" s="2"/>
      <c r="E2819" s="2" t="str">
        <f>"FES1162544661"</f>
        <v>FES1162544661</v>
      </c>
      <c r="F2819" s="3">
        <v>42846</v>
      </c>
      <c r="G2819" s="2">
        <v>201710</v>
      </c>
      <c r="H2819" s="2" t="s">
        <v>74</v>
      </c>
      <c r="I2819" s="2" t="s">
        <v>75</v>
      </c>
      <c r="J2819" s="2" t="s">
        <v>76</v>
      </c>
      <c r="K2819" s="2" t="s">
        <v>77</v>
      </c>
      <c r="L2819" s="2" t="s">
        <v>516</v>
      </c>
      <c r="M2819" s="2" t="s">
        <v>517</v>
      </c>
      <c r="N2819" s="2" t="s">
        <v>1017</v>
      </c>
      <c r="O2819" s="2" t="s">
        <v>115</v>
      </c>
      <c r="P2819" s="2" t="str">
        <f>"2170563048                    "</f>
        <v xml:space="preserve">2170563048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3.35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1</v>
      </c>
      <c r="BJ2819" s="2">
        <v>0.2</v>
      </c>
      <c r="BK2819" s="2">
        <v>1</v>
      </c>
      <c r="BL2819" s="2">
        <v>32.6</v>
      </c>
      <c r="BM2819" s="2">
        <v>4.5599999999999996</v>
      </c>
      <c r="BN2819" s="2">
        <v>37.159999999999997</v>
      </c>
      <c r="BO2819" s="2">
        <v>37.159999999999997</v>
      </c>
      <c r="BP2819" s="2"/>
      <c r="BQ2819" s="2" t="s">
        <v>1018</v>
      </c>
      <c r="BR2819" s="2" t="s">
        <v>84</v>
      </c>
      <c r="BS2819" s="3">
        <v>42849</v>
      </c>
      <c r="BT2819" s="4">
        <v>0.41666666666666669</v>
      </c>
      <c r="BU2819" s="2" t="s">
        <v>2152</v>
      </c>
      <c r="BV2819" s="2" t="s">
        <v>111</v>
      </c>
      <c r="BW2819" s="2"/>
      <c r="BX2819" s="2"/>
      <c r="BY2819" s="2">
        <v>1200</v>
      </c>
      <c r="BZ2819" s="2" t="s">
        <v>27</v>
      </c>
      <c r="CA2819" s="2" t="s">
        <v>2639</v>
      </c>
      <c r="CB2819" s="2"/>
      <c r="CC2819" s="2" t="s">
        <v>517</v>
      </c>
      <c r="CD2819" s="2">
        <v>1459</v>
      </c>
      <c r="CE2819" s="2" t="s">
        <v>118</v>
      </c>
      <c r="CF2819" s="5">
        <v>42850</v>
      </c>
      <c r="CG2819" s="2"/>
      <c r="CH2819" s="2"/>
      <c r="CI2819" s="2">
        <v>1</v>
      </c>
      <c r="CJ2819" s="2">
        <v>1</v>
      </c>
      <c r="CK2819" s="2">
        <v>22</v>
      </c>
      <c r="CL2819" s="2" t="s">
        <v>86</v>
      </c>
      <c r="CM2819" s="2"/>
    </row>
    <row r="2820" spans="1:91">
      <c r="A2820" s="2" t="s">
        <v>71</v>
      </c>
      <c r="B2820" s="2" t="s">
        <v>72</v>
      </c>
      <c r="C2820" s="2" t="s">
        <v>73</v>
      </c>
      <c r="D2820" s="2"/>
      <c r="E2820" s="2" t="str">
        <f>"FES1162544908"</f>
        <v>FES1162544908</v>
      </c>
      <c r="F2820" s="3">
        <v>42846</v>
      </c>
      <c r="G2820" s="2">
        <v>201710</v>
      </c>
      <c r="H2820" s="2" t="s">
        <v>74</v>
      </c>
      <c r="I2820" s="2" t="s">
        <v>75</v>
      </c>
      <c r="J2820" s="2" t="s">
        <v>76</v>
      </c>
      <c r="K2820" s="2" t="s">
        <v>77</v>
      </c>
      <c r="L2820" s="2" t="s">
        <v>934</v>
      </c>
      <c r="M2820" s="2" t="s">
        <v>935</v>
      </c>
      <c r="N2820" s="2" t="s">
        <v>3064</v>
      </c>
      <c r="O2820" s="2" t="s">
        <v>115</v>
      </c>
      <c r="P2820" s="2" t="str">
        <f>"2170561334                    "</f>
        <v xml:space="preserve">2170561334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4.29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1</v>
      </c>
      <c r="BJ2820" s="2">
        <v>0.2</v>
      </c>
      <c r="BK2820" s="2">
        <v>1</v>
      </c>
      <c r="BL2820" s="2">
        <v>41.73</v>
      </c>
      <c r="BM2820" s="2">
        <v>5.84</v>
      </c>
      <c r="BN2820" s="2">
        <v>47.57</v>
      </c>
      <c r="BO2820" s="2">
        <v>47.57</v>
      </c>
      <c r="BP2820" s="2"/>
      <c r="BQ2820" s="2" t="s">
        <v>122</v>
      </c>
      <c r="BR2820" s="2" t="s">
        <v>84</v>
      </c>
      <c r="BS2820" s="3">
        <v>42850</v>
      </c>
      <c r="BT2820" s="4">
        <v>0.47569444444444442</v>
      </c>
      <c r="BU2820" s="2" t="s">
        <v>3065</v>
      </c>
      <c r="BV2820" s="2" t="s">
        <v>86</v>
      </c>
      <c r="BW2820" s="2"/>
      <c r="BX2820" s="2"/>
      <c r="BY2820" s="2">
        <v>1200</v>
      </c>
      <c r="BZ2820" s="2" t="s">
        <v>27</v>
      </c>
      <c r="CA2820" s="2"/>
      <c r="CB2820" s="2"/>
      <c r="CC2820" s="2" t="s">
        <v>935</v>
      </c>
      <c r="CD2820" s="2">
        <v>1939</v>
      </c>
      <c r="CE2820" s="2" t="s">
        <v>118</v>
      </c>
      <c r="CF2820" s="5">
        <v>42851</v>
      </c>
      <c r="CG2820" s="2"/>
      <c r="CH2820" s="2"/>
      <c r="CI2820" s="2">
        <v>1</v>
      </c>
      <c r="CJ2820" s="2">
        <v>2</v>
      </c>
      <c r="CK2820" s="2">
        <v>21</v>
      </c>
      <c r="CL2820" s="2" t="s">
        <v>86</v>
      </c>
      <c r="CM2820" s="2"/>
    </row>
    <row r="2821" spans="1:91">
      <c r="A2821" s="2" t="s">
        <v>71</v>
      </c>
      <c r="B2821" s="2" t="s">
        <v>72</v>
      </c>
      <c r="C2821" s="2" t="s">
        <v>73</v>
      </c>
      <c r="D2821" s="2"/>
      <c r="E2821" s="2" t="str">
        <f>"FES1162544897"</f>
        <v>FES1162544897</v>
      </c>
      <c r="F2821" s="3">
        <v>42846</v>
      </c>
      <c r="G2821" s="2">
        <v>201710</v>
      </c>
      <c r="H2821" s="2" t="s">
        <v>74</v>
      </c>
      <c r="I2821" s="2" t="s">
        <v>75</v>
      </c>
      <c r="J2821" s="2" t="s">
        <v>76</v>
      </c>
      <c r="K2821" s="2" t="s">
        <v>77</v>
      </c>
      <c r="L2821" s="2" t="s">
        <v>119</v>
      </c>
      <c r="M2821" s="2" t="s">
        <v>120</v>
      </c>
      <c r="N2821" s="2" t="s">
        <v>725</v>
      </c>
      <c r="O2821" s="2" t="s">
        <v>115</v>
      </c>
      <c r="P2821" s="2" t="str">
        <f>"2170561006                    "</f>
        <v xml:space="preserve">2170561006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3.35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1</v>
      </c>
      <c r="BJ2821" s="2">
        <v>0.2</v>
      </c>
      <c r="BK2821" s="2">
        <v>1</v>
      </c>
      <c r="BL2821" s="2">
        <v>32.6</v>
      </c>
      <c r="BM2821" s="2">
        <v>4.5599999999999996</v>
      </c>
      <c r="BN2821" s="2">
        <v>37.159999999999997</v>
      </c>
      <c r="BO2821" s="2">
        <v>37.159999999999997</v>
      </c>
      <c r="BP2821" s="2"/>
      <c r="BQ2821" s="2" t="s">
        <v>726</v>
      </c>
      <c r="BR2821" s="2" t="s">
        <v>84</v>
      </c>
      <c r="BS2821" s="3">
        <v>42849</v>
      </c>
      <c r="BT2821" s="4">
        <v>0.43402777777777773</v>
      </c>
      <c r="BU2821" s="2" t="s">
        <v>3009</v>
      </c>
      <c r="BV2821" s="2" t="s">
        <v>111</v>
      </c>
      <c r="BW2821" s="2"/>
      <c r="BX2821" s="2"/>
      <c r="BY2821" s="2">
        <v>1200</v>
      </c>
      <c r="BZ2821" s="2" t="s">
        <v>27</v>
      </c>
      <c r="CA2821" s="2" t="s">
        <v>125</v>
      </c>
      <c r="CB2821" s="2"/>
      <c r="CC2821" s="2" t="s">
        <v>120</v>
      </c>
      <c r="CD2821" s="2">
        <v>2162</v>
      </c>
      <c r="CE2821" s="2" t="s">
        <v>118</v>
      </c>
      <c r="CF2821" s="5">
        <v>42850</v>
      </c>
      <c r="CG2821" s="2"/>
      <c r="CH2821" s="2"/>
      <c r="CI2821" s="2">
        <v>1</v>
      </c>
      <c r="CJ2821" s="2">
        <v>1</v>
      </c>
      <c r="CK2821" s="2">
        <v>22</v>
      </c>
      <c r="CL2821" s="2" t="s">
        <v>86</v>
      </c>
      <c r="CM2821" s="2"/>
    </row>
    <row r="2822" spans="1:91">
      <c r="A2822" s="2" t="s">
        <v>71</v>
      </c>
      <c r="B2822" s="2" t="s">
        <v>72</v>
      </c>
      <c r="C2822" s="2" t="s">
        <v>73</v>
      </c>
      <c r="D2822" s="2"/>
      <c r="E2822" s="2" t="str">
        <f>"FES1162545020"</f>
        <v>FES1162545020</v>
      </c>
      <c r="F2822" s="3">
        <v>42846</v>
      </c>
      <c r="G2822" s="2">
        <v>201710</v>
      </c>
      <c r="H2822" s="2" t="s">
        <v>74</v>
      </c>
      <c r="I2822" s="2" t="s">
        <v>75</v>
      </c>
      <c r="J2822" s="2" t="s">
        <v>76</v>
      </c>
      <c r="K2822" s="2" t="s">
        <v>77</v>
      </c>
      <c r="L2822" s="2" t="s">
        <v>74</v>
      </c>
      <c r="M2822" s="2" t="s">
        <v>75</v>
      </c>
      <c r="N2822" s="2" t="s">
        <v>1157</v>
      </c>
      <c r="O2822" s="2" t="s">
        <v>115</v>
      </c>
      <c r="P2822" s="2" t="str">
        <f>"2170563531                    "</f>
        <v xml:space="preserve">2170563531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3.35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1</v>
      </c>
      <c r="BJ2822" s="2">
        <v>0.2</v>
      </c>
      <c r="BK2822" s="2">
        <v>1</v>
      </c>
      <c r="BL2822" s="2">
        <v>32.6</v>
      </c>
      <c r="BM2822" s="2">
        <v>4.5599999999999996</v>
      </c>
      <c r="BN2822" s="2">
        <v>37.159999999999997</v>
      </c>
      <c r="BO2822" s="2">
        <v>37.159999999999997</v>
      </c>
      <c r="BP2822" s="2"/>
      <c r="BQ2822" s="2" t="s">
        <v>1158</v>
      </c>
      <c r="BR2822" s="2" t="s">
        <v>84</v>
      </c>
      <c r="BS2822" s="3">
        <v>42849</v>
      </c>
      <c r="BT2822" s="4">
        <v>0.41666666666666669</v>
      </c>
      <c r="BU2822" s="2" t="s">
        <v>221</v>
      </c>
      <c r="BV2822" s="2" t="s">
        <v>111</v>
      </c>
      <c r="BW2822" s="2"/>
      <c r="BX2822" s="2"/>
      <c r="BY2822" s="2">
        <v>1200</v>
      </c>
      <c r="BZ2822" s="2" t="s">
        <v>27</v>
      </c>
      <c r="CA2822" s="2"/>
      <c r="CB2822" s="2"/>
      <c r="CC2822" s="2" t="s">
        <v>75</v>
      </c>
      <c r="CD2822" s="2">
        <v>1666</v>
      </c>
      <c r="CE2822" s="2" t="s">
        <v>118</v>
      </c>
      <c r="CF2822" s="5">
        <v>42850</v>
      </c>
      <c r="CG2822" s="2"/>
      <c r="CH2822" s="2"/>
      <c r="CI2822" s="2">
        <v>1</v>
      </c>
      <c r="CJ2822" s="2">
        <v>1</v>
      </c>
      <c r="CK2822" s="2">
        <v>22</v>
      </c>
      <c r="CL2822" s="2" t="s">
        <v>86</v>
      </c>
      <c r="CM2822" s="2"/>
    </row>
    <row r="2823" spans="1:91">
      <c r="A2823" s="2" t="s">
        <v>71</v>
      </c>
      <c r="B2823" s="2" t="s">
        <v>72</v>
      </c>
      <c r="C2823" s="2" t="s">
        <v>73</v>
      </c>
      <c r="D2823" s="2"/>
      <c r="E2823" s="2" t="str">
        <f>"FES1162544992"</f>
        <v>FES1162544992</v>
      </c>
      <c r="F2823" s="3">
        <v>42846</v>
      </c>
      <c r="G2823" s="2">
        <v>201710</v>
      </c>
      <c r="H2823" s="2" t="s">
        <v>74</v>
      </c>
      <c r="I2823" s="2" t="s">
        <v>75</v>
      </c>
      <c r="J2823" s="2" t="s">
        <v>76</v>
      </c>
      <c r="K2823" s="2" t="s">
        <v>77</v>
      </c>
      <c r="L2823" s="2" t="s">
        <v>1026</v>
      </c>
      <c r="M2823" s="2" t="s">
        <v>1027</v>
      </c>
      <c r="N2823" s="2" t="s">
        <v>3066</v>
      </c>
      <c r="O2823" s="2" t="s">
        <v>115</v>
      </c>
      <c r="P2823" s="2" t="str">
        <f>"2170563492                    "</f>
        <v xml:space="preserve">2170563492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8.31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1</v>
      </c>
      <c r="BJ2823" s="2">
        <v>0.2</v>
      </c>
      <c r="BK2823" s="2">
        <v>1</v>
      </c>
      <c r="BL2823" s="2">
        <v>80.849999999999994</v>
      </c>
      <c r="BM2823" s="2">
        <v>11.32</v>
      </c>
      <c r="BN2823" s="2">
        <v>92.17</v>
      </c>
      <c r="BO2823" s="2">
        <v>92.17</v>
      </c>
      <c r="BP2823" s="2"/>
      <c r="BQ2823" s="2"/>
      <c r="BR2823" s="2" t="s">
        <v>84</v>
      </c>
      <c r="BS2823" s="3">
        <v>42849</v>
      </c>
      <c r="BT2823" s="4">
        <v>0.41666666666666669</v>
      </c>
      <c r="BU2823" s="2" t="s">
        <v>1991</v>
      </c>
      <c r="BV2823" s="2" t="s">
        <v>111</v>
      </c>
      <c r="BW2823" s="2"/>
      <c r="BX2823" s="2"/>
      <c r="BY2823" s="2">
        <v>1200</v>
      </c>
      <c r="BZ2823" s="2" t="s">
        <v>27</v>
      </c>
      <c r="CA2823" s="2"/>
      <c r="CB2823" s="2"/>
      <c r="CC2823" s="2" t="s">
        <v>1027</v>
      </c>
      <c r="CD2823" s="2">
        <v>7349</v>
      </c>
      <c r="CE2823" s="2" t="s">
        <v>118</v>
      </c>
      <c r="CF2823" s="5">
        <v>42850</v>
      </c>
      <c r="CG2823" s="2"/>
      <c r="CH2823" s="2"/>
      <c r="CI2823" s="2">
        <v>1</v>
      </c>
      <c r="CJ2823" s="2">
        <v>1</v>
      </c>
      <c r="CK2823" s="2">
        <v>23</v>
      </c>
      <c r="CL2823" s="2" t="s">
        <v>86</v>
      </c>
      <c r="CM2823" s="2"/>
    </row>
    <row r="2824" spans="1:91">
      <c r="A2824" s="2" t="s">
        <v>71</v>
      </c>
      <c r="B2824" s="2" t="s">
        <v>72</v>
      </c>
      <c r="C2824" s="2" t="s">
        <v>73</v>
      </c>
      <c r="D2824" s="2"/>
      <c r="E2824" s="2" t="str">
        <f>"FES1162544907"</f>
        <v>FES1162544907</v>
      </c>
      <c r="F2824" s="3">
        <v>42846</v>
      </c>
      <c r="G2824" s="2">
        <v>201710</v>
      </c>
      <c r="H2824" s="2" t="s">
        <v>74</v>
      </c>
      <c r="I2824" s="2" t="s">
        <v>75</v>
      </c>
      <c r="J2824" s="2" t="s">
        <v>76</v>
      </c>
      <c r="K2824" s="2" t="s">
        <v>77</v>
      </c>
      <c r="L2824" s="2" t="s">
        <v>74</v>
      </c>
      <c r="M2824" s="2" t="s">
        <v>75</v>
      </c>
      <c r="N2824" s="2" t="s">
        <v>534</v>
      </c>
      <c r="O2824" s="2" t="s">
        <v>115</v>
      </c>
      <c r="P2824" s="2" t="str">
        <f>"2170561332                    "</f>
        <v xml:space="preserve">2170561332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3.35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1</v>
      </c>
      <c r="BJ2824" s="2">
        <v>0.2</v>
      </c>
      <c r="BK2824" s="2">
        <v>1</v>
      </c>
      <c r="BL2824" s="2">
        <v>32.6</v>
      </c>
      <c r="BM2824" s="2">
        <v>4.5599999999999996</v>
      </c>
      <c r="BN2824" s="2">
        <v>37.159999999999997</v>
      </c>
      <c r="BO2824" s="2">
        <v>37.159999999999997</v>
      </c>
      <c r="BP2824" s="2"/>
      <c r="BQ2824" s="2" t="s">
        <v>535</v>
      </c>
      <c r="BR2824" s="2" t="s">
        <v>84</v>
      </c>
      <c r="BS2824" s="3">
        <v>42849</v>
      </c>
      <c r="BT2824" s="4">
        <v>0.36041666666666666</v>
      </c>
      <c r="BU2824" s="2" t="s">
        <v>3067</v>
      </c>
      <c r="BV2824" s="2" t="s">
        <v>111</v>
      </c>
      <c r="BW2824" s="2"/>
      <c r="BX2824" s="2"/>
      <c r="BY2824" s="2">
        <v>1200</v>
      </c>
      <c r="BZ2824" s="2" t="s">
        <v>27</v>
      </c>
      <c r="CA2824" s="2" t="s">
        <v>2997</v>
      </c>
      <c r="CB2824" s="2"/>
      <c r="CC2824" s="2" t="s">
        <v>75</v>
      </c>
      <c r="CD2824" s="2">
        <v>1601</v>
      </c>
      <c r="CE2824" s="2" t="s">
        <v>118</v>
      </c>
      <c r="CF2824" s="5">
        <v>42849</v>
      </c>
      <c r="CG2824" s="2"/>
      <c r="CH2824" s="2"/>
      <c r="CI2824" s="2">
        <v>1</v>
      </c>
      <c r="CJ2824" s="2">
        <v>1</v>
      </c>
      <c r="CK2824" s="2">
        <v>22</v>
      </c>
      <c r="CL2824" s="2" t="s">
        <v>86</v>
      </c>
      <c r="CM2824" s="2"/>
    </row>
    <row r="2825" spans="1:91">
      <c r="A2825" s="2" t="s">
        <v>71</v>
      </c>
      <c r="B2825" s="2" t="s">
        <v>72</v>
      </c>
      <c r="C2825" s="2" t="s">
        <v>73</v>
      </c>
      <c r="D2825" s="2"/>
      <c r="E2825" s="2" t="str">
        <f>"FES1162544904"</f>
        <v>FES1162544904</v>
      </c>
      <c r="F2825" s="3">
        <v>42846</v>
      </c>
      <c r="G2825" s="2">
        <v>201710</v>
      </c>
      <c r="H2825" s="2" t="s">
        <v>74</v>
      </c>
      <c r="I2825" s="2" t="s">
        <v>75</v>
      </c>
      <c r="J2825" s="2" t="s">
        <v>76</v>
      </c>
      <c r="K2825" s="2" t="s">
        <v>77</v>
      </c>
      <c r="L2825" s="2" t="s">
        <v>166</v>
      </c>
      <c r="M2825" s="2" t="s">
        <v>167</v>
      </c>
      <c r="N2825" s="2" t="s">
        <v>1285</v>
      </c>
      <c r="O2825" s="2" t="s">
        <v>115</v>
      </c>
      <c r="P2825" s="2" t="str">
        <f>"2170561178                    "</f>
        <v xml:space="preserve">2170561178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3.35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1</v>
      </c>
      <c r="BJ2825" s="2">
        <v>0.2</v>
      </c>
      <c r="BK2825" s="2">
        <v>1</v>
      </c>
      <c r="BL2825" s="2">
        <v>32.6</v>
      </c>
      <c r="BM2825" s="2">
        <v>4.5599999999999996</v>
      </c>
      <c r="BN2825" s="2">
        <v>37.159999999999997</v>
      </c>
      <c r="BO2825" s="2">
        <v>37.159999999999997</v>
      </c>
      <c r="BP2825" s="2"/>
      <c r="BQ2825" s="2" t="s">
        <v>122</v>
      </c>
      <c r="BR2825" s="2" t="s">
        <v>84</v>
      </c>
      <c r="BS2825" s="3">
        <v>42849</v>
      </c>
      <c r="BT2825" s="4">
        <v>0.39444444444444443</v>
      </c>
      <c r="BU2825" s="2" t="s">
        <v>124</v>
      </c>
      <c r="BV2825" s="2" t="s">
        <v>111</v>
      </c>
      <c r="BW2825" s="2"/>
      <c r="BX2825" s="2"/>
      <c r="BY2825" s="2">
        <v>1200</v>
      </c>
      <c r="BZ2825" s="2" t="s">
        <v>27</v>
      </c>
      <c r="CA2825" s="2" t="s">
        <v>171</v>
      </c>
      <c r="CB2825" s="2"/>
      <c r="CC2825" s="2" t="s">
        <v>167</v>
      </c>
      <c r="CD2825" s="2">
        <v>2197</v>
      </c>
      <c r="CE2825" s="2" t="s">
        <v>118</v>
      </c>
      <c r="CF2825" s="5">
        <v>42849</v>
      </c>
      <c r="CG2825" s="2"/>
      <c r="CH2825" s="2"/>
      <c r="CI2825" s="2">
        <v>1</v>
      </c>
      <c r="CJ2825" s="2">
        <v>1</v>
      </c>
      <c r="CK2825" s="2">
        <v>22</v>
      </c>
      <c r="CL2825" s="2" t="s">
        <v>86</v>
      </c>
      <c r="CM2825" s="2"/>
    </row>
    <row r="2826" spans="1:91">
      <c r="A2826" s="2" t="s">
        <v>71</v>
      </c>
      <c r="B2826" s="2" t="s">
        <v>72</v>
      </c>
      <c r="C2826" s="2" t="s">
        <v>73</v>
      </c>
      <c r="D2826" s="2"/>
      <c r="E2826" s="2" t="str">
        <f>"FES1162544938"</f>
        <v>FES1162544938</v>
      </c>
      <c r="F2826" s="3">
        <v>42846</v>
      </c>
      <c r="G2826" s="2">
        <v>201710</v>
      </c>
      <c r="H2826" s="2" t="s">
        <v>74</v>
      </c>
      <c r="I2826" s="2" t="s">
        <v>75</v>
      </c>
      <c r="J2826" s="2" t="s">
        <v>76</v>
      </c>
      <c r="K2826" s="2" t="s">
        <v>77</v>
      </c>
      <c r="L2826" s="2" t="s">
        <v>187</v>
      </c>
      <c r="M2826" s="2" t="s">
        <v>146</v>
      </c>
      <c r="N2826" s="2" t="s">
        <v>427</v>
      </c>
      <c r="O2826" s="2" t="s">
        <v>115</v>
      </c>
      <c r="P2826" s="2" t="str">
        <f>"2170563430                    "</f>
        <v xml:space="preserve">2170563430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4.29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1</v>
      </c>
      <c r="BJ2826" s="2">
        <v>0.2</v>
      </c>
      <c r="BK2826" s="2">
        <v>1</v>
      </c>
      <c r="BL2826" s="2">
        <v>41.73</v>
      </c>
      <c r="BM2826" s="2">
        <v>5.84</v>
      </c>
      <c r="BN2826" s="2">
        <v>47.57</v>
      </c>
      <c r="BO2826" s="2">
        <v>47.57</v>
      </c>
      <c r="BP2826" s="2"/>
      <c r="BQ2826" s="2" t="s">
        <v>1208</v>
      </c>
      <c r="BR2826" s="2" t="s">
        <v>84</v>
      </c>
      <c r="BS2826" s="3">
        <v>42849</v>
      </c>
      <c r="BT2826" s="4">
        <v>0.40902777777777777</v>
      </c>
      <c r="BU2826" s="2" t="s">
        <v>1875</v>
      </c>
      <c r="BV2826" s="2" t="s">
        <v>111</v>
      </c>
      <c r="BW2826" s="2"/>
      <c r="BX2826" s="2"/>
      <c r="BY2826" s="2">
        <v>1200</v>
      </c>
      <c r="BZ2826" s="2" t="s">
        <v>27</v>
      </c>
      <c r="CA2826" s="2"/>
      <c r="CB2826" s="2"/>
      <c r="CC2826" s="2" t="s">
        <v>146</v>
      </c>
      <c r="CD2826" s="2">
        <v>184</v>
      </c>
      <c r="CE2826" s="2" t="s">
        <v>118</v>
      </c>
      <c r="CF2826" s="5">
        <v>42851</v>
      </c>
      <c r="CG2826" s="2"/>
      <c r="CH2826" s="2"/>
      <c r="CI2826" s="2">
        <v>0</v>
      </c>
      <c r="CJ2826" s="2">
        <v>0</v>
      </c>
      <c r="CK2826" s="2">
        <v>21</v>
      </c>
      <c r="CL2826" s="2" t="s">
        <v>86</v>
      </c>
      <c r="CM2826" s="2"/>
    </row>
    <row r="2827" spans="1:91">
      <c r="A2827" s="2" t="s">
        <v>71</v>
      </c>
      <c r="B2827" s="2" t="s">
        <v>72</v>
      </c>
      <c r="C2827" s="2" t="s">
        <v>73</v>
      </c>
      <c r="D2827" s="2"/>
      <c r="E2827" s="2" t="str">
        <f>"FES1162544844"</f>
        <v>FES1162544844</v>
      </c>
      <c r="F2827" s="3">
        <v>42846</v>
      </c>
      <c r="G2827" s="2">
        <v>201710</v>
      </c>
      <c r="H2827" s="2" t="s">
        <v>74</v>
      </c>
      <c r="I2827" s="2" t="s">
        <v>75</v>
      </c>
      <c r="J2827" s="2" t="s">
        <v>76</v>
      </c>
      <c r="K2827" s="2" t="s">
        <v>77</v>
      </c>
      <c r="L2827" s="2" t="s">
        <v>187</v>
      </c>
      <c r="M2827" s="2" t="s">
        <v>146</v>
      </c>
      <c r="N2827" s="2" t="s">
        <v>3068</v>
      </c>
      <c r="O2827" s="2" t="s">
        <v>115</v>
      </c>
      <c r="P2827" s="2" t="str">
        <f>"2170563385                    "</f>
        <v xml:space="preserve">2170563385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4.29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1</v>
      </c>
      <c r="BJ2827" s="2">
        <v>0.2</v>
      </c>
      <c r="BK2827" s="2">
        <v>1</v>
      </c>
      <c r="BL2827" s="2">
        <v>41.73</v>
      </c>
      <c r="BM2827" s="2">
        <v>5.84</v>
      </c>
      <c r="BN2827" s="2">
        <v>47.57</v>
      </c>
      <c r="BO2827" s="2">
        <v>47.57</v>
      </c>
      <c r="BP2827" s="2"/>
      <c r="BQ2827" s="2" t="s">
        <v>687</v>
      </c>
      <c r="BR2827" s="2" t="s">
        <v>84</v>
      </c>
      <c r="BS2827" s="3">
        <v>42849</v>
      </c>
      <c r="BT2827" s="4">
        <v>0.3923611111111111</v>
      </c>
      <c r="BU2827" s="2" t="s">
        <v>3069</v>
      </c>
      <c r="BV2827" s="2" t="s">
        <v>111</v>
      </c>
      <c r="BW2827" s="2"/>
      <c r="BX2827" s="2"/>
      <c r="BY2827" s="2">
        <v>1200</v>
      </c>
      <c r="BZ2827" s="2" t="s">
        <v>27</v>
      </c>
      <c r="CA2827" s="2"/>
      <c r="CB2827" s="2"/>
      <c r="CC2827" s="2" t="s">
        <v>146</v>
      </c>
      <c r="CD2827" s="2">
        <v>200</v>
      </c>
      <c r="CE2827" s="2" t="s">
        <v>118</v>
      </c>
      <c r="CF2827" s="5">
        <v>42851</v>
      </c>
      <c r="CG2827" s="2"/>
      <c r="CH2827" s="2"/>
      <c r="CI2827" s="2">
        <v>0</v>
      </c>
      <c r="CJ2827" s="2">
        <v>0</v>
      </c>
      <c r="CK2827" s="2">
        <v>21</v>
      </c>
      <c r="CL2827" s="2" t="s">
        <v>86</v>
      </c>
      <c r="CM2827" s="2"/>
    </row>
    <row r="2828" spans="1:91">
      <c r="A2828" s="2" t="s">
        <v>71</v>
      </c>
      <c r="B2828" s="2" t="s">
        <v>72</v>
      </c>
      <c r="C2828" s="2" t="s">
        <v>73</v>
      </c>
      <c r="D2828" s="2"/>
      <c r="E2828" s="2" t="str">
        <f>"FES1162544846"</f>
        <v>FES1162544846</v>
      </c>
      <c r="F2828" s="3">
        <v>42846</v>
      </c>
      <c r="G2828" s="2">
        <v>201710</v>
      </c>
      <c r="H2828" s="2" t="s">
        <v>74</v>
      </c>
      <c r="I2828" s="2" t="s">
        <v>75</v>
      </c>
      <c r="J2828" s="2" t="s">
        <v>76</v>
      </c>
      <c r="K2828" s="2" t="s">
        <v>77</v>
      </c>
      <c r="L2828" s="2" t="s">
        <v>187</v>
      </c>
      <c r="M2828" s="2" t="s">
        <v>146</v>
      </c>
      <c r="N2828" s="2" t="s">
        <v>3070</v>
      </c>
      <c r="O2828" s="2" t="s">
        <v>115</v>
      </c>
      <c r="P2828" s="2" t="str">
        <f>"2170563386                    "</f>
        <v xml:space="preserve">2170563386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4.29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1</v>
      </c>
      <c r="BJ2828" s="2">
        <v>0.2</v>
      </c>
      <c r="BK2828" s="2">
        <v>1</v>
      </c>
      <c r="BL2828" s="2">
        <v>41.73</v>
      </c>
      <c r="BM2828" s="2">
        <v>5.84</v>
      </c>
      <c r="BN2828" s="2">
        <v>47.57</v>
      </c>
      <c r="BO2828" s="2">
        <v>47.57</v>
      </c>
      <c r="BP2828" s="2"/>
      <c r="BQ2828" s="2"/>
      <c r="BR2828" s="2" t="s">
        <v>84</v>
      </c>
      <c r="BS2828" s="3">
        <v>42849</v>
      </c>
      <c r="BT2828" s="4">
        <v>0.34236111111111112</v>
      </c>
      <c r="BU2828" s="2" t="s">
        <v>3071</v>
      </c>
      <c r="BV2828" s="2" t="s">
        <v>111</v>
      </c>
      <c r="BW2828" s="2"/>
      <c r="BX2828" s="2"/>
      <c r="BY2828" s="2">
        <v>1200</v>
      </c>
      <c r="BZ2828" s="2" t="s">
        <v>27</v>
      </c>
      <c r="CA2828" s="2"/>
      <c r="CB2828" s="2"/>
      <c r="CC2828" s="2" t="s">
        <v>146</v>
      </c>
      <c r="CD2828" s="2">
        <v>186</v>
      </c>
      <c r="CE2828" s="2" t="s">
        <v>118</v>
      </c>
      <c r="CF2828" s="5">
        <v>42851</v>
      </c>
      <c r="CG2828" s="2"/>
      <c r="CH2828" s="2"/>
      <c r="CI2828" s="2">
        <v>0</v>
      </c>
      <c r="CJ2828" s="2">
        <v>0</v>
      </c>
      <c r="CK2828" s="2">
        <v>21</v>
      </c>
      <c r="CL2828" s="2" t="s">
        <v>86</v>
      </c>
      <c r="CM2828" s="2"/>
    </row>
    <row r="2829" spans="1:91">
      <c r="A2829" s="2" t="s">
        <v>71</v>
      </c>
      <c r="B2829" s="2" t="s">
        <v>72</v>
      </c>
      <c r="C2829" s="2" t="s">
        <v>73</v>
      </c>
      <c r="D2829" s="2"/>
      <c r="E2829" s="2" t="str">
        <f>"FES1162544906"</f>
        <v>FES1162544906</v>
      </c>
      <c r="F2829" s="3">
        <v>42846</v>
      </c>
      <c r="G2829" s="2">
        <v>201710</v>
      </c>
      <c r="H2829" s="2" t="s">
        <v>74</v>
      </c>
      <c r="I2829" s="2" t="s">
        <v>75</v>
      </c>
      <c r="J2829" s="2" t="s">
        <v>76</v>
      </c>
      <c r="K2829" s="2" t="s">
        <v>77</v>
      </c>
      <c r="L2829" s="2" t="s">
        <v>166</v>
      </c>
      <c r="M2829" s="2" t="s">
        <v>167</v>
      </c>
      <c r="N2829" s="2" t="s">
        <v>168</v>
      </c>
      <c r="O2829" s="2" t="s">
        <v>115</v>
      </c>
      <c r="P2829" s="2" t="str">
        <f>"2170561319                    "</f>
        <v xml:space="preserve">2170561319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3.35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1</v>
      </c>
      <c r="BJ2829" s="2">
        <v>0.2</v>
      </c>
      <c r="BK2829" s="2">
        <v>1</v>
      </c>
      <c r="BL2829" s="2">
        <v>32.6</v>
      </c>
      <c r="BM2829" s="2">
        <v>4.5599999999999996</v>
      </c>
      <c r="BN2829" s="2">
        <v>37.159999999999997</v>
      </c>
      <c r="BO2829" s="2">
        <v>37.159999999999997</v>
      </c>
      <c r="BP2829" s="2"/>
      <c r="BQ2829" s="2" t="s">
        <v>169</v>
      </c>
      <c r="BR2829" s="2" t="s">
        <v>84</v>
      </c>
      <c r="BS2829" s="3">
        <v>42849</v>
      </c>
      <c r="BT2829" s="4">
        <v>0.35833333333333334</v>
      </c>
      <c r="BU2829" s="2" t="s">
        <v>1317</v>
      </c>
      <c r="BV2829" s="2" t="s">
        <v>111</v>
      </c>
      <c r="BW2829" s="2"/>
      <c r="BX2829" s="2"/>
      <c r="BY2829" s="2">
        <v>1200</v>
      </c>
      <c r="BZ2829" s="2" t="s">
        <v>27</v>
      </c>
      <c r="CA2829" s="2" t="s">
        <v>171</v>
      </c>
      <c r="CB2829" s="2"/>
      <c r="CC2829" s="2" t="s">
        <v>167</v>
      </c>
      <c r="CD2829" s="2">
        <v>2094</v>
      </c>
      <c r="CE2829" s="2" t="s">
        <v>118</v>
      </c>
      <c r="CF2829" s="5">
        <v>42849</v>
      </c>
      <c r="CG2829" s="2"/>
      <c r="CH2829" s="2"/>
      <c r="CI2829" s="2">
        <v>1</v>
      </c>
      <c r="CJ2829" s="2">
        <v>1</v>
      </c>
      <c r="CK2829" s="2">
        <v>22</v>
      </c>
      <c r="CL2829" s="2" t="s">
        <v>86</v>
      </c>
      <c r="CM2829" s="2"/>
    </row>
    <row r="2830" spans="1:91">
      <c r="A2830" s="2" t="s">
        <v>71</v>
      </c>
      <c r="B2830" s="2" t="s">
        <v>72</v>
      </c>
      <c r="C2830" s="2" t="s">
        <v>73</v>
      </c>
      <c r="D2830" s="2"/>
      <c r="E2830" s="2" t="str">
        <f>"FES1162544962"</f>
        <v>FES1162544962</v>
      </c>
      <c r="F2830" s="3">
        <v>42846</v>
      </c>
      <c r="G2830" s="2">
        <v>201710</v>
      </c>
      <c r="H2830" s="2" t="s">
        <v>74</v>
      </c>
      <c r="I2830" s="2" t="s">
        <v>75</v>
      </c>
      <c r="J2830" s="2" t="s">
        <v>76</v>
      </c>
      <c r="K2830" s="2" t="s">
        <v>77</v>
      </c>
      <c r="L2830" s="2" t="s">
        <v>131</v>
      </c>
      <c r="M2830" s="2" t="s">
        <v>132</v>
      </c>
      <c r="N2830" s="2" t="s">
        <v>1534</v>
      </c>
      <c r="O2830" s="2" t="s">
        <v>115</v>
      </c>
      <c r="P2830" s="2" t="str">
        <f>"2170563221                    "</f>
        <v xml:space="preserve">2170563221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15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7</v>
      </c>
      <c r="BJ2830" s="2">
        <v>2.9</v>
      </c>
      <c r="BK2830" s="2">
        <v>7</v>
      </c>
      <c r="BL2830" s="2">
        <v>146.04</v>
      </c>
      <c r="BM2830" s="2">
        <v>20.45</v>
      </c>
      <c r="BN2830" s="2">
        <v>166.49</v>
      </c>
      <c r="BO2830" s="2">
        <v>166.49</v>
      </c>
      <c r="BP2830" s="2"/>
      <c r="BQ2830" s="2" t="s">
        <v>116</v>
      </c>
      <c r="BR2830" s="2" t="s">
        <v>84</v>
      </c>
      <c r="BS2830" s="3">
        <v>42849</v>
      </c>
      <c r="BT2830" s="4">
        <v>0.36805555555555558</v>
      </c>
      <c r="BU2830" s="2" t="s">
        <v>1939</v>
      </c>
      <c r="BV2830" s="2" t="s">
        <v>111</v>
      </c>
      <c r="BW2830" s="2"/>
      <c r="BX2830" s="2"/>
      <c r="BY2830" s="2">
        <v>14278</v>
      </c>
      <c r="BZ2830" s="2" t="s">
        <v>27</v>
      </c>
      <c r="CA2830" s="2"/>
      <c r="CB2830" s="2"/>
      <c r="CC2830" s="2" t="s">
        <v>132</v>
      </c>
      <c r="CD2830" s="2">
        <v>7493</v>
      </c>
      <c r="CE2830" s="2" t="s">
        <v>89</v>
      </c>
      <c r="CF2830" s="5">
        <v>42850</v>
      </c>
      <c r="CG2830" s="2"/>
      <c r="CH2830" s="2"/>
      <c r="CI2830" s="2">
        <v>1</v>
      </c>
      <c r="CJ2830" s="2">
        <v>1</v>
      </c>
      <c r="CK2830" s="2">
        <v>21</v>
      </c>
      <c r="CL2830" s="2" t="s">
        <v>86</v>
      </c>
      <c r="CM2830" s="2"/>
    </row>
    <row r="2831" spans="1:91">
      <c r="A2831" s="2" t="s">
        <v>71</v>
      </c>
      <c r="B2831" s="2" t="s">
        <v>72</v>
      </c>
      <c r="C2831" s="2" t="s">
        <v>73</v>
      </c>
      <c r="D2831" s="2"/>
      <c r="E2831" s="2" t="str">
        <f>"FES1162544891"</f>
        <v>FES1162544891</v>
      </c>
      <c r="F2831" s="3">
        <v>42846</v>
      </c>
      <c r="G2831" s="2">
        <v>201710</v>
      </c>
      <c r="H2831" s="2" t="s">
        <v>74</v>
      </c>
      <c r="I2831" s="2" t="s">
        <v>75</v>
      </c>
      <c r="J2831" s="2" t="s">
        <v>76</v>
      </c>
      <c r="K2831" s="2" t="s">
        <v>77</v>
      </c>
      <c r="L2831" s="2" t="s">
        <v>166</v>
      </c>
      <c r="M2831" s="2" t="s">
        <v>167</v>
      </c>
      <c r="N2831" s="2" t="s">
        <v>329</v>
      </c>
      <c r="O2831" s="2" t="s">
        <v>115</v>
      </c>
      <c r="P2831" s="2" t="str">
        <f>"2170560866                    "</f>
        <v xml:space="preserve">2170560866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3.35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1</v>
      </c>
      <c r="BJ2831" s="2">
        <v>0.2</v>
      </c>
      <c r="BK2831" s="2">
        <v>1</v>
      </c>
      <c r="BL2831" s="2">
        <v>32.6</v>
      </c>
      <c r="BM2831" s="2">
        <v>4.5599999999999996</v>
      </c>
      <c r="BN2831" s="2">
        <v>37.159999999999997</v>
      </c>
      <c r="BO2831" s="2">
        <v>37.159999999999997</v>
      </c>
      <c r="BP2831" s="2"/>
      <c r="BQ2831" s="2" t="s">
        <v>330</v>
      </c>
      <c r="BR2831" s="2" t="s">
        <v>84</v>
      </c>
      <c r="BS2831" s="3">
        <v>42849</v>
      </c>
      <c r="BT2831" s="4">
        <v>0.3611111111111111</v>
      </c>
      <c r="BU2831" s="2" t="s">
        <v>124</v>
      </c>
      <c r="BV2831" s="2" t="s">
        <v>111</v>
      </c>
      <c r="BW2831" s="2"/>
      <c r="BX2831" s="2"/>
      <c r="BY2831" s="2">
        <v>1200</v>
      </c>
      <c r="BZ2831" s="2" t="s">
        <v>27</v>
      </c>
      <c r="CA2831" s="2"/>
      <c r="CB2831" s="2"/>
      <c r="CC2831" s="2" t="s">
        <v>167</v>
      </c>
      <c r="CD2831" s="2">
        <v>2090</v>
      </c>
      <c r="CE2831" s="2" t="s">
        <v>118</v>
      </c>
      <c r="CF2831" s="5">
        <v>42850</v>
      </c>
      <c r="CG2831" s="2"/>
      <c r="CH2831" s="2"/>
      <c r="CI2831" s="2">
        <v>1</v>
      </c>
      <c r="CJ2831" s="2">
        <v>1</v>
      </c>
      <c r="CK2831" s="2">
        <v>22</v>
      </c>
      <c r="CL2831" s="2" t="s">
        <v>86</v>
      </c>
      <c r="CM2831" s="2"/>
    </row>
    <row r="2832" spans="1:91">
      <c r="A2832" s="2" t="s">
        <v>71</v>
      </c>
      <c r="B2832" s="2" t="s">
        <v>72</v>
      </c>
      <c r="C2832" s="2" t="s">
        <v>73</v>
      </c>
      <c r="D2832" s="2"/>
      <c r="E2832" s="2" t="str">
        <f>"FES1162544721"</f>
        <v>FES1162544721</v>
      </c>
      <c r="F2832" s="3">
        <v>42846</v>
      </c>
      <c r="G2832" s="2">
        <v>201710</v>
      </c>
      <c r="H2832" s="2" t="s">
        <v>74</v>
      </c>
      <c r="I2832" s="2" t="s">
        <v>75</v>
      </c>
      <c r="J2832" s="2" t="s">
        <v>76</v>
      </c>
      <c r="K2832" s="2" t="s">
        <v>77</v>
      </c>
      <c r="L2832" s="2" t="s">
        <v>496</v>
      </c>
      <c r="M2832" s="2" t="s">
        <v>497</v>
      </c>
      <c r="N2832" s="2" t="s">
        <v>1357</v>
      </c>
      <c r="O2832" s="2" t="s">
        <v>115</v>
      </c>
      <c r="P2832" s="2" t="str">
        <f>"2170558729                    "</f>
        <v xml:space="preserve">2170558729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3.35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1</v>
      </c>
      <c r="BJ2832" s="2">
        <v>0.2</v>
      </c>
      <c r="BK2832" s="2">
        <v>1</v>
      </c>
      <c r="BL2832" s="2">
        <v>32.6</v>
      </c>
      <c r="BM2832" s="2">
        <v>4.5599999999999996</v>
      </c>
      <c r="BN2832" s="2">
        <v>37.159999999999997</v>
      </c>
      <c r="BO2832" s="2">
        <v>37.159999999999997</v>
      </c>
      <c r="BP2832" s="2"/>
      <c r="BQ2832" s="2" t="s">
        <v>1358</v>
      </c>
      <c r="BR2832" s="2" t="s">
        <v>84</v>
      </c>
      <c r="BS2832" s="3">
        <v>42849</v>
      </c>
      <c r="BT2832" s="4">
        <v>0.40277777777777773</v>
      </c>
      <c r="BU2832" s="2" t="s">
        <v>290</v>
      </c>
      <c r="BV2832" s="2" t="s">
        <v>111</v>
      </c>
      <c r="BW2832" s="2"/>
      <c r="BX2832" s="2"/>
      <c r="BY2832" s="2">
        <v>1200</v>
      </c>
      <c r="BZ2832" s="2" t="s">
        <v>27</v>
      </c>
      <c r="CA2832" s="2"/>
      <c r="CB2832" s="2"/>
      <c r="CC2832" s="2" t="s">
        <v>497</v>
      </c>
      <c r="CD2832" s="2">
        <v>1559</v>
      </c>
      <c r="CE2832" s="2" t="s">
        <v>118</v>
      </c>
      <c r="CF2832" s="5">
        <v>42850</v>
      </c>
      <c r="CG2832" s="2"/>
      <c r="CH2832" s="2"/>
      <c r="CI2832" s="2">
        <v>1</v>
      </c>
      <c r="CJ2832" s="2">
        <v>1</v>
      </c>
      <c r="CK2832" s="2">
        <v>22</v>
      </c>
      <c r="CL2832" s="2" t="s">
        <v>86</v>
      </c>
      <c r="CM2832" s="2"/>
    </row>
    <row r="2833" spans="1:91">
      <c r="A2833" s="2" t="s">
        <v>71</v>
      </c>
      <c r="B2833" s="2" t="s">
        <v>72</v>
      </c>
      <c r="C2833" s="2" t="s">
        <v>73</v>
      </c>
      <c r="D2833" s="2"/>
      <c r="E2833" s="2" t="str">
        <f>"FES1162544943"</f>
        <v>FES1162544943</v>
      </c>
      <c r="F2833" s="3">
        <v>42846</v>
      </c>
      <c r="G2833" s="2">
        <v>201710</v>
      </c>
      <c r="H2833" s="2" t="s">
        <v>74</v>
      </c>
      <c r="I2833" s="2" t="s">
        <v>75</v>
      </c>
      <c r="J2833" s="2" t="s">
        <v>76</v>
      </c>
      <c r="K2833" s="2" t="s">
        <v>77</v>
      </c>
      <c r="L2833" s="2" t="s">
        <v>516</v>
      </c>
      <c r="M2833" s="2" t="s">
        <v>517</v>
      </c>
      <c r="N2833" s="2" t="s">
        <v>3072</v>
      </c>
      <c r="O2833" s="2" t="s">
        <v>115</v>
      </c>
      <c r="P2833" s="2" t="str">
        <f>"2170563435                    "</f>
        <v xml:space="preserve">2170563435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3.35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1</v>
      </c>
      <c r="BJ2833" s="2">
        <v>0.2</v>
      </c>
      <c r="BK2833" s="2">
        <v>1</v>
      </c>
      <c r="BL2833" s="2">
        <v>32.6</v>
      </c>
      <c r="BM2833" s="2">
        <v>4.5599999999999996</v>
      </c>
      <c r="BN2833" s="2">
        <v>37.159999999999997</v>
      </c>
      <c r="BO2833" s="2">
        <v>37.159999999999997</v>
      </c>
      <c r="BP2833" s="2"/>
      <c r="BQ2833" s="2" t="s">
        <v>122</v>
      </c>
      <c r="BR2833" s="2" t="s">
        <v>84</v>
      </c>
      <c r="BS2833" s="3">
        <v>42849</v>
      </c>
      <c r="BT2833" s="4">
        <v>0.41666666666666669</v>
      </c>
      <c r="BU2833" s="2" t="s">
        <v>2152</v>
      </c>
      <c r="BV2833" s="2" t="s">
        <v>111</v>
      </c>
      <c r="BW2833" s="2"/>
      <c r="BX2833" s="2"/>
      <c r="BY2833" s="2">
        <v>1200</v>
      </c>
      <c r="BZ2833" s="2" t="s">
        <v>27</v>
      </c>
      <c r="CA2833" s="2" t="s">
        <v>2639</v>
      </c>
      <c r="CB2833" s="2"/>
      <c r="CC2833" s="2" t="s">
        <v>517</v>
      </c>
      <c r="CD2833" s="2">
        <v>1459</v>
      </c>
      <c r="CE2833" s="2" t="s">
        <v>118</v>
      </c>
      <c r="CF2833" s="5">
        <v>42849</v>
      </c>
      <c r="CG2833" s="2"/>
      <c r="CH2833" s="2"/>
      <c r="CI2833" s="2">
        <v>1</v>
      </c>
      <c r="CJ2833" s="2">
        <v>1</v>
      </c>
      <c r="CK2833" s="2">
        <v>22</v>
      </c>
      <c r="CL2833" s="2" t="s">
        <v>86</v>
      </c>
      <c r="CM2833" s="2"/>
    </row>
    <row r="2834" spans="1:91">
      <c r="A2834" s="2" t="s">
        <v>71</v>
      </c>
      <c r="B2834" s="2" t="s">
        <v>72</v>
      </c>
      <c r="C2834" s="2" t="s">
        <v>73</v>
      </c>
      <c r="D2834" s="2"/>
      <c r="E2834" s="2" t="str">
        <f>"FES1162544937"</f>
        <v>FES1162544937</v>
      </c>
      <c r="F2834" s="3">
        <v>42846</v>
      </c>
      <c r="G2834" s="2">
        <v>201710</v>
      </c>
      <c r="H2834" s="2" t="s">
        <v>74</v>
      </c>
      <c r="I2834" s="2" t="s">
        <v>75</v>
      </c>
      <c r="J2834" s="2" t="s">
        <v>76</v>
      </c>
      <c r="K2834" s="2" t="s">
        <v>77</v>
      </c>
      <c r="L2834" s="2" t="s">
        <v>99</v>
      </c>
      <c r="M2834" s="2" t="s">
        <v>100</v>
      </c>
      <c r="N2834" s="2" t="s">
        <v>1057</v>
      </c>
      <c r="O2834" s="2" t="s">
        <v>115</v>
      </c>
      <c r="P2834" s="2" t="str">
        <f>"2170563428                    "</f>
        <v xml:space="preserve">2170563428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4.29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1</v>
      </c>
      <c r="BJ2834" s="2">
        <v>0.2</v>
      </c>
      <c r="BK2834" s="2">
        <v>1</v>
      </c>
      <c r="BL2834" s="2">
        <v>41.73</v>
      </c>
      <c r="BM2834" s="2">
        <v>5.84</v>
      </c>
      <c r="BN2834" s="2">
        <v>47.57</v>
      </c>
      <c r="BO2834" s="2">
        <v>47.57</v>
      </c>
      <c r="BP2834" s="2"/>
      <c r="BQ2834" s="2" t="s">
        <v>1058</v>
      </c>
      <c r="BR2834" s="2" t="s">
        <v>84</v>
      </c>
      <c r="BS2834" s="3">
        <v>42849</v>
      </c>
      <c r="BT2834" s="4">
        <v>0.3263888888888889</v>
      </c>
      <c r="BU2834" s="2" t="s">
        <v>385</v>
      </c>
      <c r="BV2834" s="2" t="s">
        <v>111</v>
      </c>
      <c r="BW2834" s="2"/>
      <c r="BX2834" s="2"/>
      <c r="BY2834" s="2">
        <v>1200</v>
      </c>
      <c r="BZ2834" s="2" t="s">
        <v>27</v>
      </c>
      <c r="CA2834" s="2"/>
      <c r="CB2834" s="2"/>
      <c r="CC2834" s="2" t="s">
        <v>100</v>
      </c>
      <c r="CD2834" s="2">
        <v>6001</v>
      </c>
      <c r="CE2834" s="2" t="s">
        <v>118</v>
      </c>
      <c r="CF2834" s="5">
        <v>42850</v>
      </c>
      <c r="CG2834" s="2"/>
      <c r="CH2834" s="2"/>
      <c r="CI2834" s="2">
        <v>1</v>
      </c>
      <c r="CJ2834" s="2">
        <v>1</v>
      </c>
      <c r="CK2834" s="2">
        <v>21</v>
      </c>
      <c r="CL2834" s="2" t="s">
        <v>86</v>
      </c>
      <c r="CM2834" s="2"/>
    </row>
    <row r="2835" spans="1:91">
      <c r="A2835" s="2" t="s">
        <v>71</v>
      </c>
      <c r="B2835" s="2" t="s">
        <v>72</v>
      </c>
      <c r="C2835" s="2" t="s">
        <v>73</v>
      </c>
      <c r="D2835" s="2"/>
      <c r="E2835" s="2" t="str">
        <f>"FES1162544849"</f>
        <v>FES1162544849</v>
      </c>
      <c r="F2835" s="3">
        <v>42846</v>
      </c>
      <c r="G2835" s="2">
        <v>201710</v>
      </c>
      <c r="H2835" s="2" t="s">
        <v>74</v>
      </c>
      <c r="I2835" s="2" t="s">
        <v>75</v>
      </c>
      <c r="J2835" s="2" t="s">
        <v>76</v>
      </c>
      <c r="K2835" s="2" t="s">
        <v>77</v>
      </c>
      <c r="L2835" s="2" t="s">
        <v>294</v>
      </c>
      <c r="M2835" s="2" t="s">
        <v>295</v>
      </c>
      <c r="N2835" s="2" t="s">
        <v>296</v>
      </c>
      <c r="O2835" s="2" t="s">
        <v>115</v>
      </c>
      <c r="P2835" s="2" t="str">
        <f>"2170561350                    "</f>
        <v xml:space="preserve">2170561350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4.29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1</v>
      </c>
      <c r="BJ2835" s="2">
        <v>0.2</v>
      </c>
      <c r="BK2835" s="2">
        <v>1</v>
      </c>
      <c r="BL2835" s="2">
        <v>41.73</v>
      </c>
      <c r="BM2835" s="2">
        <v>5.84</v>
      </c>
      <c r="BN2835" s="2">
        <v>47.57</v>
      </c>
      <c r="BO2835" s="2">
        <v>47.57</v>
      </c>
      <c r="BP2835" s="2"/>
      <c r="BQ2835" s="2" t="s">
        <v>297</v>
      </c>
      <c r="BR2835" s="2" t="s">
        <v>84</v>
      </c>
      <c r="BS2835" s="3">
        <v>42849</v>
      </c>
      <c r="BT2835" s="4">
        <v>0.42152777777777778</v>
      </c>
      <c r="BU2835" s="2" t="s">
        <v>2349</v>
      </c>
      <c r="BV2835" s="2" t="s">
        <v>111</v>
      </c>
      <c r="BW2835" s="2"/>
      <c r="BX2835" s="2"/>
      <c r="BY2835" s="2">
        <v>1200</v>
      </c>
      <c r="BZ2835" s="2" t="s">
        <v>27</v>
      </c>
      <c r="CA2835" s="2"/>
      <c r="CB2835" s="2"/>
      <c r="CC2835" s="2" t="s">
        <v>295</v>
      </c>
      <c r="CD2835" s="2">
        <v>3620</v>
      </c>
      <c r="CE2835" s="2" t="s">
        <v>118</v>
      </c>
      <c r="CF2835" s="5">
        <v>42850</v>
      </c>
      <c r="CG2835" s="2"/>
      <c r="CH2835" s="2"/>
      <c r="CI2835" s="2">
        <v>1</v>
      </c>
      <c r="CJ2835" s="2">
        <v>1</v>
      </c>
      <c r="CK2835" s="2">
        <v>21</v>
      </c>
      <c r="CL2835" s="2" t="s">
        <v>86</v>
      </c>
      <c r="CM2835" s="2"/>
    </row>
    <row r="2836" spans="1:91">
      <c r="A2836" s="2" t="s">
        <v>71</v>
      </c>
      <c r="B2836" s="2" t="s">
        <v>72</v>
      </c>
      <c r="C2836" s="2" t="s">
        <v>73</v>
      </c>
      <c r="D2836" s="2"/>
      <c r="E2836" s="2" t="str">
        <f>"FES1162544798"</f>
        <v>FES1162544798</v>
      </c>
      <c r="F2836" s="3">
        <v>42846</v>
      </c>
      <c r="G2836" s="2">
        <v>201710</v>
      </c>
      <c r="H2836" s="2" t="s">
        <v>74</v>
      </c>
      <c r="I2836" s="2" t="s">
        <v>75</v>
      </c>
      <c r="J2836" s="2" t="s">
        <v>76</v>
      </c>
      <c r="K2836" s="2" t="s">
        <v>77</v>
      </c>
      <c r="L2836" s="2" t="s">
        <v>474</v>
      </c>
      <c r="M2836" s="2" t="s">
        <v>475</v>
      </c>
      <c r="N2836" s="2" t="s">
        <v>1001</v>
      </c>
      <c r="O2836" s="2" t="s">
        <v>115</v>
      </c>
      <c r="P2836" s="2" t="str">
        <f>"2170559141                    "</f>
        <v xml:space="preserve">2170559141 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4.29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1</v>
      </c>
      <c r="BJ2836" s="2">
        <v>0.2</v>
      </c>
      <c r="BK2836" s="2">
        <v>1</v>
      </c>
      <c r="BL2836" s="2">
        <v>41.73</v>
      </c>
      <c r="BM2836" s="2">
        <v>5.84</v>
      </c>
      <c r="BN2836" s="2">
        <v>47.57</v>
      </c>
      <c r="BO2836" s="2">
        <v>47.57</v>
      </c>
      <c r="BP2836" s="2"/>
      <c r="BQ2836" s="2" t="s">
        <v>472</v>
      </c>
      <c r="BR2836" s="2" t="s">
        <v>84</v>
      </c>
      <c r="BS2836" s="3">
        <v>42849</v>
      </c>
      <c r="BT2836" s="4">
        <v>0.39513888888888887</v>
      </c>
      <c r="BU2836" s="2" t="s">
        <v>1738</v>
      </c>
      <c r="BV2836" s="2" t="s">
        <v>111</v>
      </c>
      <c r="BW2836" s="2"/>
      <c r="BX2836" s="2"/>
      <c r="BY2836" s="2">
        <v>1200</v>
      </c>
      <c r="BZ2836" s="2" t="s">
        <v>27</v>
      </c>
      <c r="CA2836" s="2"/>
      <c r="CB2836" s="2"/>
      <c r="CC2836" s="2" t="s">
        <v>475</v>
      </c>
      <c r="CD2836" s="2">
        <v>3290</v>
      </c>
      <c r="CE2836" s="2" t="s">
        <v>118</v>
      </c>
      <c r="CF2836" s="5">
        <v>42850</v>
      </c>
      <c r="CG2836" s="2"/>
      <c r="CH2836" s="2"/>
      <c r="CI2836" s="2">
        <v>1</v>
      </c>
      <c r="CJ2836" s="2">
        <v>1</v>
      </c>
      <c r="CK2836" s="2">
        <v>21</v>
      </c>
      <c r="CL2836" s="2" t="s">
        <v>86</v>
      </c>
      <c r="CM2836" s="2"/>
    </row>
    <row r="2837" spans="1:91">
      <c r="A2837" s="2" t="s">
        <v>71</v>
      </c>
      <c r="B2837" s="2" t="s">
        <v>72</v>
      </c>
      <c r="C2837" s="2" t="s">
        <v>73</v>
      </c>
      <c r="D2837" s="2"/>
      <c r="E2837" s="2" t="str">
        <f>"FES1162544945"</f>
        <v>FES1162544945</v>
      </c>
      <c r="F2837" s="3">
        <v>42846</v>
      </c>
      <c r="G2837" s="2">
        <v>201710</v>
      </c>
      <c r="H2837" s="2" t="s">
        <v>74</v>
      </c>
      <c r="I2837" s="2" t="s">
        <v>75</v>
      </c>
      <c r="J2837" s="2" t="s">
        <v>76</v>
      </c>
      <c r="K2837" s="2" t="s">
        <v>77</v>
      </c>
      <c r="L2837" s="2" t="s">
        <v>474</v>
      </c>
      <c r="M2837" s="2" t="s">
        <v>475</v>
      </c>
      <c r="N2837" s="2" t="s">
        <v>1001</v>
      </c>
      <c r="O2837" s="2" t="s">
        <v>115</v>
      </c>
      <c r="P2837" s="2" t="str">
        <f>"2170563439                    "</f>
        <v xml:space="preserve">2170563439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4.29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1</v>
      </c>
      <c r="BJ2837" s="2">
        <v>0.2</v>
      </c>
      <c r="BK2837" s="2">
        <v>1</v>
      </c>
      <c r="BL2837" s="2">
        <v>41.73</v>
      </c>
      <c r="BM2837" s="2">
        <v>5.84</v>
      </c>
      <c r="BN2837" s="2">
        <v>47.57</v>
      </c>
      <c r="BO2837" s="2">
        <v>47.57</v>
      </c>
      <c r="BP2837" s="2"/>
      <c r="BQ2837" s="2" t="s">
        <v>472</v>
      </c>
      <c r="BR2837" s="2" t="s">
        <v>84</v>
      </c>
      <c r="BS2837" s="3">
        <v>42849</v>
      </c>
      <c r="BT2837" s="4">
        <v>0.39513888888888887</v>
      </c>
      <c r="BU2837" s="2" t="s">
        <v>1738</v>
      </c>
      <c r="BV2837" s="2" t="s">
        <v>111</v>
      </c>
      <c r="BW2837" s="2"/>
      <c r="BX2837" s="2"/>
      <c r="BY2837" s="2">
        <v>1200</v>
      </c>
      <c r="BZ2837" s="2" t="s">
        <v>27</v>
      </c>
      <c r="CA2837" s="2"/>
      <c r="CB2837" s="2"/>
      <c r="CC2837" s="2" t="s">
        <v>475</v>
      </c>
      <c r="CD2837" s="2">
        <v>3290</v>
      </c>
      <c r="CE2837" s="2" t="s">
        <v>118</v>
      </c>
      <c r="CF2837" s="5">
        <v>42850</v>
      </c>
      <c r="CG2837" s="2"/>
      <c r="CH2837" s="2"/>
      <c r="CI2837" s="2">
        <v>1</v>
      </c>
      <c r="CJ2837" s="2">
        <v>1</v>
      </c>
      <c r="CK2837" s="2">
        <v>21</v>
      </c>
      <c r="CL2837" s="2" t="s">
        <v>86</v>
      </c>
      <c r="CM2837" s="2"/>
    </row>
    <row r="2838" spans="1:91">
      <c r="A2838" s="2" t="s">
        <v>71</v>
      </c>
      <c r="B2838" s="2" t="s">
        <v>72</v>
      </c>
      <c r="C2838" s="2" t="s">
        <v>73</v>
      </c>
      <c r="D2838" s="2"/>
      <c r="E2838" s="2" t="str">
        <f>"FES1162544845"</f>
        <v>FES1162544845</v>
      </c>
      <c r="F2838" s="3">
        <v>42846</v>
      </c>
      <c r="G2838" s="2">
        <v>201710</v>
      </c>
      <c r="H2838" s="2" t="s">
        <v>74</v>
      </c>
      <c r="I2838" s="2" t="s">
        <v>75</v>
      </c>
      <c r="J2838" s="2" t="s">
        <v>76</v>
      </c>
      <c r="K2838" s="2" t="s">
        <v>77</v>
      </c>
      <c r="L2838" s="2" t="s">
        <v>396</v>
      </c>
      <c r="M2838" s="2" t="s">
        <v>397</v>
      </c>
      <c r="N2838" s="2" t="s">
        <v>500</v>
      </c>
      <c r="O2838" s="2" t="s">
        <v>115</v>
      </c>
      <c r="P2838" s="2" t="str">
        <f>"2170563381                    "</f>
        <v xml:space="preserve">2170563381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4.29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1</v>
      </c>
      <c r="BI2838" s="2">
        <v>1</v>
      </c>
      <c r="BJ2838" s="2">
        <v>0.2</v>
      </c>
      <c r="BK2838" s="2">
        <v>1</v>
      </c>
      <c r="BL2838" s="2">
        <v>41.73</v>
      </c>
      <c r="BM2838" s="2">
        <v>5.84</v>
      </c>
      <c r="BN2838" s="2">
        <v>47.57</v>
      </c>
      <c r="BO2838" s="2">
        <v>47.57</v>
      </c>
      <c r="BP2838" s="2"/>
      <c r="BQ2838" s="2" t="s">
        <v>501</v>
      </c>
      <c r="BR2838" s="2" t="s">
        <v>84</v>
      </c>
      <c r="BS2838" s="3">
        <v>42849</v>
      </c>
      <c r="BT2838" s="4">
        <v>0.41666666666666669</v>
      </c>
      <c r="BU2838" s="2" t="s">
        <v>3056</v>
      </c>
      <c r="BV2838" s="2" t="s">
        <v>111</v>
      </c>
      <c r="BW2838" s="2"/>
      <c r="BX2838" s="2"/>
      <c r="BY2838" s="2">
        <v>1200</v>
      </c>
      <c r="BZ2838" s="2" t="s">
        <v>27</v>
      </c>
      <c r="CA2838" s="2"/>
      <c r="CB2838" s="2"/>
      <c r="CC2838" s="2" t="s">
        <v>397</v>
      </c>
      <c r="CD2838" s="2">
        <v>4302</v>
      </c>
      <c r="CE2838" s="2" t="s">
        <v>118</v>
      </c>
      <c r="CF2838" s="5">
        <v>42850</v>
      </c>
      <c r="CG2838" s="2"/>
      <c r="CH2838" s="2"/>
      <c r="CI2838" s="2">
        <v>1</v>
      </c>
      <c r="CJ2838" s="2">
        <v>1</v>
      </c>
      <c r="CK2838" s="2">
        <v>21</v>
      </c>
      <c r="CL2838" s="2" t="s">
        <v>86</v>
      </c>
      <c r="CM2838" s="2"/>
    </row>
    <row r="2839" spans="1:91">
      <c r="A2839" s="2" t="s">
        <v>71</v>
      </c>
      <c r="B2839" s="2" t="s">
        <v>72</v>
      </c>
      <c r="C2839" s="2" t="s">
        <v>73</v>
      </c>
      <c r="D2839" s="2"/>
      <c r="E2839" s="2" t="str">
        <f>"FES1162544843"</f>
        <v>FES1162544843</v>
      </c>
      <c r="F2839" s="3">
        <v>42846</v>
      </c>
      <c r="G2839" s="2">
        <v>201710</v>
      </c>
      <c r="H2839" s="2" t="s">
        <v>74</v>
      </c>
      <c r="I2839" s="2" t="s">
        <v>75</v>
      </c>
      <c r="J2839" s="2" t="s">
        <v>76</v>
      </c>
      <c r="K2839" s="2" t="s">
        <v>77</v>
      </c>
      <c r="L2839" s="2" t="s">
        <v>396</v>
      </c>
      <c r="M2839" s="2" t="s">
        <v>397</v>
      </c>
      <c r="N2839" s="2" t="s">
        <v>500</v>
      </c>
      <c r="O2839" s="2" t="s">
        <v>115</v>
      </c>
      <c r="P2839" s="2" t="str">
        <f>"2170563379                    "</f>
        <v xml:space="preserve">2170563379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4.29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1</v>
      </c>
      <c r="BJ2839" s="2">
        <v>0.2</v>
      </c>
      <c r="BK2839" s="2">
        <v>1</v>
      </c>
      <c r="BL2839" s="2">
        <v>41.73</v>
      </c>
      <c r="BM2839" s="2">
        <v>5.84</v>
      </c>
      <c r="BN2839" s="2">
        <v>47.57</v>
      </c>
      <c r="BO2839" s="2">
        <v>47.57</v>
      </c>
      <c r="BP2839" s="2"/>
      <c r="BQ2839" s="2" t="s">
        <v>501</v>
      </c>
      <c r="BR2839" s="2" t="s">
        <v>84</v>
      </c>
      <c r="BS2839" s="3">
        <v>42849</v>
      </c>
      <c r="BT2839" s="4">
        <v>0.41666666666666669</v>
      </c>
      <c r="BU2839" s="2" t="s">
        <v>3056</v>
      </c>
      <c r="BV2839" s="2" t="s">
        <v>111</v>
      </c>
      <c r="BW2839" s="2"/>
      <c r="BX2839" s="2"/>
      <c r="BY2839" s="2">
        <v>1200</v>
      </c>
      <c r="BZ2839" s="2" t="s">
        <v>27</v>
      </c>
      <c r="CA2839" s="2"/>
      <c r="CB2839" s="2"/>
      <c r="CC2839" s="2" t="s">
        <v>397</v>
      </c>
      <c r="CD2839" s="2">
        <v>4302</v>
      </c>
      <c r="CE2839" s="2" t="s">
        <v>118</v>
      </c>
      <c r="CF2839" s="5">
        <v>42850</v>
      </c>
      <c r="CG2839" s="2"/>
      <c r="CH2839" s="2"/>
      <c r="CI2839" s="2">
        <v>1</v>
      </c>
      <c r="CJ2839" s="2">
        <v>1</v>
      </c>
      <c r="CK2839" s="2">
        <v>21</v>
      </c>
      <c r="CL2839" s="2" t="s">
        <v>86</v>
      </c>
      <c r="CM2839" s="2"/>
    </row>
    <row r="2840" spans="1:91">
      <c r="A2840" s="2" t="s">
        <v>71</v>
      </c>
      <c r="B2840" s="2" t="s">
        <v>72</v>
      </c>
      <c r="C2840" s="2" t="s">
        <v>73</v>
      </c>
      <c r="D2840" s="2"/>
      <c r="E2840" s="2" t="str">
        <f>"FES1162544818"</f>
        <v>FES1162544818</v>
      </c>
      <c r="F2840" s="3">
        <v>42846</v>
      </c>
      <c r="G2840" s="2">
        <v>201710</v>
      </c>
      <c r="H2840" s="2" t="s">
        <v>74</v>
      </c>
      <c r="I2840" s="2" t="s">
        <v>75</v>
      </c>
      <c r="J2840" s="2" t="s">
        <v>76</v>
      </c>
      <c r="K2840" s="2" t="s">
        <v>77</v>
      </c>
      <c r="L2840" s="2" t="s">
        <v>549</v>
      </c>
      <c r="M2840" s="2" t="s">
        <v>550</v>
      </c>
      <c r="N2840" s="2" t="s">
        <v>3073</v>
      </c>
      <c r="O2840" s="2" t="s">
        <v>115</v>
      </c>
      <c r="P2840" s="2" t="str">
        <f>"2170562911                    "</f>
        <v xml:space="preserve">2170562911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4.29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1</v>
      </c>
      <c r="BJ2840" s="2">
        <v>0.2</v>
      </c>
      <c r="BK2840" s="2">
        <v>1</v>
      </c>
      <c r="BL2840" s="2">
        <v>41.73</v>
      </c>
      <c r="BM2840" s="2">
        <v>5.84</v>
      </c>
      <c r="BN2840" s="2">
        <v>47.57</v>
      </c>
      <c r="BO2840" s="2">
        <v>47.57</v>
      </c>
      <c r="BP2840" s="2"/>
      <c r="BQ2840" s="2"/>
      <c r="BR2840" s="2" t="s">
        <v>84</v>
      </c>
      <c r="BS2840" s="3">
        <v>42849</v>
      </c>
      <c r="BT2840" s="4">
        <v>0.40277777777777773</v>
      </c>
      <c r="BU2840" s="2" t="s">
        <v>3038</v>
      </c>
      <c r="BV2840" s="2" t="s">
        <v>111</v>
      </c>
      <c r="BW2840" s="2"/>
      <c r="BX2840" s="2"/>
      <c r="BY2840" s="2">
        <v>1200</v>
      </c>
      <c r="BZ2840" s="2" t="s">
        <v>27</v>
      </c>
      <c r="CA2840" s="2" t="s">
        <v>159</v>
      </c>
      <c r="CB2840" s="2"/>
      <c r="CC2840" s="2" t="s">
        <v>550</v>
      </c>
      <c r="CD2840" s="2">
        <v>3700</v>
      </c>
      <c r="CE2840" s="2" t="s">
        <v>118</v>
      </c>
      <c r="CF2840" s="5">
        <v>42850</v>
      </c>
      <c r="CG2840" s="2"/>
      <c r="CH2840" s="2"/>
      <c r="CI2840" s="2">
        <v>1</v>
      </c>
      <c r="CJ2840" s="2">
        <v>1</v>
      </c>
      <c r="CK2840" s="2">
        <v>21</v>
      </c>
      <c r="CL2840" s="2" t="s">
        <v>86</v>
      </c>
      <c r="CM2840" s="2"/>
    </row>
    <row r="2841" spans="1:91">
      <c r="A2841" s="2" t="s">
        <v>71</v>
      </c>
      <c r="B2841" s="2" t="s">
        <v>72</v>
      </c>
      <c r="C2841" s="2" t="s">
        <v>73</v>
      </c>
      <c r="D2841" s="2"/>
      <c r="E2841" s="2" t="str">
        <f>"FES1162544814"</f>
        <v>FES1162544814</v>
      </c>
      <c r="F2841" s="3">
        <v>42846</v>
      </c>
      <c r="G2841" s="2">
        <v>201710</v>
      </c>
      <c r="H2841" s="2" t="s">
        <v>74</v>
      </c>
      <c r="I2841" s="2" t="s">
        <v>75</v>
      </c>
      <c r="J2841" s="2" t="s">
        <v>76</v>
      </c>
      <c r="K2841" s="2" t="s">
        <v>77</v>
      </c>
      <c r="L2841" s="2" t="s">
        <v>549</v>
      </c>
      <c r="M2841" s="2" t="s">
        <v>550</v>
      </c>
      <c r="N2841" s="2" t="s">
        <v>3073</v>
      </c>
      <c r="O2841" s="2" t="s">
        <v>115</v>
      </c>
      <c r="P2841" s="2" t="str">
        <f>"2170562623                    "</f>
        <v xml:space="preserve">2170562623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4.29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1</v>
      </c>
      <c r="BJ2841" s="2">
        <v>0.2</v>
      </c>
      <c r="BK2841" s="2">
        <v>1</v>
      </c>
      <c r="BL2841" s="2">
        <v>41.73</v>
      </c>
      <c r="BM2841" s="2">
        <v>5.84</v>
      </c>
      <c r="BN2841" s="2">
        <v>47.57</v>
      </c>
      <c r="BO2841" s="2">
        <v>47.57</v>
      </c>
      <c r="BP2841" s="2"/>
      <c r="BQ2841" s="2"/>
      <c r="BR2841" s="2" t="s">
        <v>84</v>
      </c>
      <c r="BS2841" s="3">
        <v>42849</v>
      </c>
      <c r="BT2841" s="4">
        <v>0.4236111111111111</v>
      </c>
      <c r="BU2841" s="2" t="s">
        <v>3074</v>
      </c>
      <c r="BV2841" s="2" t="s">
        <v>111</v>
      </c>
      <c r="BW2841" s="2"/>
      <c r="BX2841" s="2"/>
      <c r="BY2841" s="2">
        <v>1200</v>
      </c>
      <c r="BZ2841" s="2" t="s">
        <v>27</v>
      </c>
      <c r="CA2841" s="2" t="s">
        <v>159</v>
      </c>
      <c r="CB2841" s="2"/>
      <c r="CC2841" s="2" t="s">
        <v>550</v>
      </c>
      <c r="CD2841" s="2">
        <v>3700</v>
      </c>
      <c r="CE2841" s="2" t="s">
        <v>118</v>
      </c>
      <c r="CF2841" s="5">
        <v>42850</v>
      </c>
      <c r="CG2841" s="2"/>
      <c r="CH2841" s="2"/>
      <c r="CI2841" s="2">
        <v>1</v>
      </c>
      <c r="CJ2841" s="2">
        <v>1</v>
      </c>
      <c r="CK2841" s="2">
        <v>21</v>
      </c>
      <c r="CL2841" s="2" t="s">
        <v>86</v>
      </c>
      <c r="CM2841" s="2"/>
    </row>
    <row r="2842" spans="1:91">
      <c r="A2842" s="2" t="s">
        <v>71</v>
      </c>
      <c r="B2842" s="2" t="s">
        <v>72</v>
      </c>
      <c r="C2842" s="2" t="s">
        <v>73</v>
      </c>
      <c r="D2842" s="2"/>
      <c r="E2842" s="2" t="str">
        <f>"FES1162544973"</f>
        <v>FES1162544973</v>
      </c>
      <c r="F2842" s="3">
        <v>42846</v>
      </c>
      <c r="G2842" s="2">
        <v>201710</v>
      </c>
      <c r="H2842" s="2" t="s">
        <v>74</v>
      </c>
      <c r="I2842" s="2" t="s">
        <v>75</v>
      </c>
      <c r="J2842" s="2" t="s">
        <v>76</v>
      </c>
      <c r="K2842" s="2" t="s">
        <v>77</v>
      </c>
      <c r="L2842" s="2" t="s">
        <v>160</v>
      </c>
      <c r="M2842" s="2" t="s">
        <v>161</v>
      </c>
      <c r="N2842" s="2" t="s">
        <v>907</v>
      </c>
      <c r="O2842" s="2" t="s">
        <v>115</v>
      </c>
      <c r="P2842" s="2" t="str">
        <f>"2170563458                    "</f>
        <v xml:space="preserve">2170563458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4.29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1</v>
      </c>
      <c r="BI2842" s="2">
        <v>1</v>
      </c>
      <c r="BJ2842" s="2">
        <v>0.2</v>
      </c>
      <c r="BK2842" s="2">
        <v>1</v>
      </c>
      <c r="BL2842" s="2">
        <v>41.73</v>
      </c>
      <c r="BM2842" s="2">
        <v>5.84</v>
      </c>
      <c r="BN2842" s="2">
        <v>47.57</v>
      </c>
      <c r="BO2842" s="2">
        <v>47.57</v>
      </c>
      <c r="BP2842" s="2"/>
      <c r="BQ2842" s="2"/>
      <c r="BR2842" s="2" t="s">
        <v>84</v>
      </c>
      <c r="BS2842" s="3">
        <v>42849</v>
      </c>
      <c r="BT2842" s="4">
        <v>0.41666666666666669</v>
      </c>
      <c r="BU2842" s="2" t="s">
        <v>3075</v>
      </c>
      <c r="BV2842" s="2" t="s">
        <v>111</v>
      </c>
      <c r="BW2842" s="2"/>
      <c r="BX2842" s="2"/>
      <c r="BY2842" s="2">
        <v>1200</v>
      </c>
      <c r="BZ2842" s="2" t="s">
        <v>27</v>
      </c>
      <c r="CA2842" s="2"/>
      <c r="CB2842" s="2"/>
      <c r="CC2842" s="2" t="s">
        <v>161</v>
      </c>
      <c r="CD2842" s="2">
        <v>5201</v>
      </c>
      <c r="CE2842" s="2" t="s">
        <v>118</v>
      </c>
      <c r="CF2842" s="5">
        <v>42850</v>
      </c>
      <c r="CG2842" s="2"/>
      <c r="CH2842" s="2"/>
      <c r="CI2842" s="2">
        <v>1</v>
      </c>
      <c r="CJ2842" s="2">
        <v>1</v>
      </c>
      <c r="CK2842" s="2">
        <v>21</v>
      </c>
      <c r="CL2842" s="2" t="s">
        <v>86</v>
      </c>
      <c r="CM2842" s="2"/>
    </row>
    <row r="2843" spans="1:91">
      <c r="A2843" s="2" t="s">
        <v>71</v>
      </c>
      <c r="B2843" s="2" t="s">
        <v>72</v>
      </c>
      <c r="C2843" s="2" t="s">
        <v>73</v>
      </c>
      <c r="D2843" s="2"/>
      <c r="E2843" s="2" t="str">
        <f>"FES1162544860"</f>
        <v>FES1162544860</v>
      </c>
      <c r="F2843" s="3">
        <v>42846</v>
      </c>
      <c r="G2843" s="2">
        <v>201710</v>
      </c>
      <c r="H2843" s="2" t="s">
        <v>74</v>
      </c>
      <c r="I2843" s="2" t="s">
        <v>75</v>
      </c>
      <c r="J2843" s="2" t="s">
        <v>76</v>
      </c>
      <c r="K2843" s="2" t="s">
        <v>77</v>
      </c>
      <c r="L2843" s="2" t="s">
        <v>358</v>
      </c>
      <c r="M2843" s="2" t="s">
        <v>359</v>
      </c>
      <c r="N2843" s="2" t="s">
        <v>360</v>
      </c>
      <c r="O2843" s="2" t="s">
        <v>115</v>
      </c>
      <c r="P2843" s="2" t="str">
        <f>"2170560471                    "</f>
        <v xml:space="preserve">2170560471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4.29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1</v>
      </c>
      <c r="BJ2843" s="2">
        <v>0.2</v>
      </c>
      <c r="BK2843" s="2">
        <v>1</v>
      </c>
      <c r="BL2843" s="2">
        <v>41.73</v>
      </c>
      <c r="BM2843" s="2">
        <v>5.84</v>
      </c>
      <c r="BN2843" s="2">
        <v>47.57</v>
      </c>
      <c r="BO2843" s="2">
        <v>47.57</v>
      </c>
      <c r="BP2843" s="2"/>
      <c r="BQ2843" s="2" t="s">
        <v>361</v>
      </c>
      <c r="BR2843" s="2" t="s">
        <v>84</v>
      </c>
      <c r="BS2843" s="3">
        <v>42849</v>
      </c>
      <c r="BT2843" s="4">
        <v>0.3125</v>
      </c>
      <c r="BU2843" s="2" t="s">
        <v>1271</v>
      </c>
      <c r="BV2843" s="2" t="s">
        <v>111</v>
      </c>
      <c r="BW2843" s="2"/>
      <c r="BX2843" s="2"/>
      <c r="BY2843" s="2">
        <v>1200</v>
      </c>
      <c r="BZ2843" s="2" t="s">
        <v>27</v>
      </c>
      <c r="CA2843" s="2"/>
      <c r="CB2843" s="2"/>
      <c r="CC2843" s="2" t="s">
        <v>359</v>
      </c>
      <c r="CD2843" s="2">
        <v>6229</v>
      </c>
      <c r="CE2843" s="2" t="s">
        <v>118</v>
      </c>
      <c r="CF2843" s="5">
        <v>42850</v>
      </c>
      <c r="CG2843" s="2"/>
      <c r="CH2843" s="2"/>
      <c r="CI2843" s="2">
        <v>1</v>
      </c>
      <c r="CJ2843" s="2">
        <v>1</v>
      </c>
      <c r="CK2843" s="2">
        <v>21</v>
      </c>
      <c r="CL2843" s="2" t="s">
        <v>86</v>
      </c>
      <c r="CM2843" s="2"/>
    </row>
    <row r="2844" spans="1:91">
      <c r="A2844" s="2" t="s">
        <v>71</v>
      </c>
      <c r="B2844" s="2" t="s">
        <v>72</v>
      </c>
      <c r="C2844" s="2" t="s">
        <v>73</v>
      </c>
      <c r="D2844" s="2"/>
      <c r="E2844" s="2" t="str">
        <f>"FES1162544859"</f>
        <v>FES1162544859</v>
      </c>
      <c r="F2844" s="3">
        <v>42846</v>
      </c>
      <c r="G2844" s="2">
        <v>201710</v>
      </c>
      <c r="H2844" s="2" t="s">
        <v>74</v>
      </c>
      <c r="I2844" s="2" t="s">
        <v>75</v>
      </c>
      <c r="J2844" s="2" t="s">
        <v>76</v>
      </c>
      <c r="K2844" s="2" t="s">
        <v>77</v>
      </c>
      <c r="L2844" s="2" t="s">
        <v>99</v>
      </c>
      <c r="M2844" s="2" t="s">
        <v>100</v>
      </c>
      <c r="N2844" s="2" t="s">
        <v>848</v>
      </c>
      <c r="O2844" s="2" t="s">
        <v>115</v>
      </c>
      <c r="P2844" s="2" t="str">
        <f>"2170560287                    "</f>
        <v xml:space="preserve">2170560287 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4.29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1</v>
      </c>
      <c r="BJ2844" s="2">
        <v>0.2</v>
      </c>
      <c r="BK2844" s="2">
        <v>1</v>
      </c>
      <c r="BL2844" s="2">
        <v>41.73</v>
      </c>
      <c r="BM2844" s="2">
        <v>5.84</v>
      </c>
      <c r="BN2844" s="2">
        <v>47.57</v>
      </c>
      <c r="BO2844" s="2">
        <v>47.57</v>
      </c>
      <c r="BP2844" s="2"/>
      <c r="BQ2844" s="2" t="s">
        <v>849</v>
      </c>
      <c r="BR2844" s="2" t="s">
        <v>84</v>
      </c>
      <c r="BS2844" s="3">
        <v>42849</v>
      </c>
      <c r="BT2844" s="4">
        <v>0.3125</v>
      </c>
      <c r="BU2844" s="2" t="s">
        <v>3076</v>
      </c>
      <c r="BV2844" s="2" t="s">
        <v>111</v>
      </c>
      <c r="BW2844" s="2"/>
      <c r="BX2844" s="2"/>
      <c r="BY2844" s="2">
        <v>1200</v>
      </c>
      <c r="BZ2844" s="2" t="s">
        <v>27</v>
      </c>
      <c r="CA2844" s="2"/>
      <c r="CB2844" s="2"/>
      <c r="CC2844" s="2" t="s">
        <v>100</v>
      </c>
      <c r="CD2844" s="2">
        <v>6012</v>
      </c>
      <c r="CE2844" s="2" t="s">
        <v>118</v>
      </c>
      <c r="CF2844" s="5">
        <v>42851</v>
      </c>
      <c r="CG2844" s="2"/>
      <c r="CH2844" s="2"/>
      <c r="CI2844" s="2">
        <v>1</v>
      </c>
      <c r="CJ2844" s="2">
        <v>1</v>
      </c>
      <c r="CK2844" s="2">
        <v>21</v>
      </c>
      <c r="CL2844" s="2" t="s">
        <v>86</v>
      </c>
      <c r="CM2844" s="2"/>
    </row>
    <row r="2845" spans="1:91">
      <c r="A2845" s="2" t="s">
        <v>71</v>
      </c>
      <c r="B2845" s="2" t="s">
        <v>72</v>
      </c>
      <c r="C2845" s="2" t="s">
        <v>73</v>
      </c>
      <c r="D2845" s="2"/>
      <c r="E2845" s="2" t="str">
        <f>"FES1162544517"</f>
        <v>FES1162544517</v>
      </c>
      <c r="F2845" s="3">
        <v>42846</v>
      </c>
      <c r="G2845" s="2">
        <v>201710</v>
      </c>
      <c r="H2845" s="2" t="s">
        <v>74</v>
      </c>
      <c r="I2845" s="2" t="s">
        <v>75</v>
      </c>
      <c r="J2845" s="2" t="s">
        <v>76</v>
      </c>
      <c r="K2845" s="2" t="s">
        <v>77</v>
      </c>
      <c r="L2845" s="2" t="s">
        <v>496</v>
      </c>
      <c r="M2845" s="2" t="s">
        <v>497</v>
      </c>
      <c r="N2845" s="2" t="s">
        <v>3077</v>
      </c>
      <c r="O2845" s="2" t="s">
        <v>81</v>
      </c>
      <c r="P2845" s="2" t="str">
        <f>"2170559643                    "</f>
        <v xml:space="preserve">2170559643 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6.83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18.399999999999999</v>
      </c>
      <c r="BJ2845" s="2">
        <v>18.600000000000001</v>
      </c>
      <c r="BK2845" s="2">
        <v>19</v>
      </c>
      <c r="BL2845" s="2">
        <v>71.52</v>
      </c>
      <c r="BM2845" s="2">
        <v>10.01</v>
      </c>
      <c r="BN2845" s="2">
        <v>81.53</v>
      </c>
      <c r="BO2845" s="2">
        <v>81.53</v>
      </c>
      <c r="BP2845" s="2"/>
      <c r="BQ2845" s="2" t="s">
        <v>122</v>
      </c>
      <c r="BR2845" s="2" t="s">
        <v>84</v>
      </c>
      <c r="BS2845" s="3">
        <v>42849</v>
      </c>
      <c r="BT2845" s="4">
        <v>0.46180555555555558</v>
      </c>
      <c r="BU2845" s="2" t="s">
        <v>3078</v>
      </c>
      <c r="BV2845" s="2" t="s">
        <v>111</v>
      </c>
      <c r="BW2845" s="2"/>
      <c r="BX2845" s="2"/>
      <c r="BY2845" s="2">
        <v>93067.520000000004</v>
      </c>
      <c r="BZ2845" s="2"/>
      <c r="CA2845" s="2" t="s">
        <v>3079</v>
      </c>
      <c r="CB2845" s="2"/>
      <c r="CC2845" s="2" t="s">
        <v>497</v>
      </c>
      <c r="CD2845" s="2">
        <v>1559</v>
      </c>
      <c r="CE2845" s="2" t="s">
        <v>89</v>
      </c>
      <c r="CF2845" s="5">
        <v>42850</v>
      </c>
      <c r="CG2845" s="2"/>
      <c r="CH2845" s="2"/>
      <c r="CI2845" s="2">
        <v>0</v>
      </c>
      <c r="CJ2845" s="2">
        <v>0</v>
      </c>
      <c r="CK2845" s="2" t="s">
        <v>98</v>
      </c>
      <c r="CL2845" s="2" t="s">
        <v>86</v>
      </c>
      <c r="CM2845" s="2"/>
    </row>
    <row r="2846" spans="1:91">
      <c r="A2846" s="2" t="s">
        <v>71</v>
      </c>
      <c r="B2846" s="2" t="s">
        <v>72</v>
      </c>
      <c r="C2846" s="2" t="s">
        <v>73</v>
      </c>
      <c r="D2846" s="2"/>
      <c r="E2846" s="2" t="str">
        <f>"FES1162544853"</f>
        <v>FES1162544853</v>
      </c>
      <c r="F2846" s="3">
        <v>42846</v>
      </c>
      <c r="G2846" s="2">
        <v>201710</v>
      </c>
      <c r="H2846" s="2" t="s">
        <v>74</v>
      </c>
      <c r="I2846" s="2" t="s">
        <v>75</v>
      </c>
      <c r="J2846" s="2" t="s">
        <v>76</v>
      </c>
      <c r="K2846" s="2" t="s">
        <v>77</v>
      </c>
      <c r="L2846" s="2" t="s">
        <v>294</v>
      </c>
      <c r="M2846" s="2" t="s">
        <v>295</v>
      </c>
      <c r="N2846" s="2" t="s">
        <v>2079</v>
      </c>
      <c r="O2846" s="2" t="s">
        <v>81</v>
      </c>
      <c r="P2846" s="2" t="str">
        <f>"2170562545                    "</f>
        <v xml:space="preserve">2170562545 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12.38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4</v>
      </c>
      <c r="BI2846" s="2">
        <v>40</v>
      </c>
      <c r="BJ2846" s="2">
        <v>13.6</v>
      </c>
      <c r="BK2846" s="2">
        <v>40</v>
      </c>
      <c r="BL2846" s="2">
        <v>125.53</v>
      </c>
      <c r="BM2846" s="2">
        <v>17.57</v>
      </c>
      <c r="BN2846" s="2">
        <v>143.1</v>
      </c>
      <c r="BO2846" s="2">
        <v>143.1</v>
      </c>
      <c r="BP2846" s="2"/>
      <c r="BQ2846" s="2" t="s">
        <v>2080</v>
      </c>
      <c r="BR2846" s="2" t="s">
        <v>84</v>
      </c>
      <c r="BS2846" s="3">
        <v>42849</v>
      </c>
      <c r="BT2846" s="4">
        <v>0.45833333333333331</v>
      </c>
      <c r="BU2846" s="2" t="s">
        <v>3080</v>
      </c>
      <c r="BV2846" s="2" t="s">
        <v>111</v>
      </c>
      <c r="BW2846" s="2"/>
      <c r="BX2846" s="2"/>
      <c r="BY2846" s="2">
        <v>67780.86</v>
      </c>
      <c r="BZ2846" s="2"/>
      <c r="CA2846" s="2"/>
      <c r="CB2846" s="2"/>
      <c r="CC2846" s="2" t="s">
        <v>295</v>
      </c>
      <c r="CD2846" s="2">
        <v>4037</v>
      </c>
      <c r="CE2846" s="2" t="s">
        <v>89</v>
      </c>
      <c r="CF2846" s="5">
        <v>42850</v>
      </c>
      <c r="CG2846" s="2"/>
      <c r="CH2846" s="2"/>
      <c r="CI2846" s="2">
        <v>0</v>
      </c>
      <c r="CJ2846" s="2">
        <v>0</v>
      </c>
      <c r="CK2846" s="2" t="s">
        <v>2236</v>
      </c>
      <c r="CL2846" s="2" t="s">
        <v>86</v>
      </c>
      <c r="CM2846" s="2"/>
    </row>
    <row r="2847" spans="1:91">
      <c r="A2847" s="2" t="s">
        <v>71</v>
      </c>
      <c r="B2847" s="2" t="s">
        <v>72</v>
      </c>
      <c r="C2847" s="2" t="s">
        <v>73</v>
      </c>
      <c r="D2847" s="2"/>
      <c r="E2847" s="2" t="str">
        <f>"FES1162544925"</f>
        <v>FES1162544925</v>
      </c>
      <c r="F2847" s="3">
        <v>42849</v>
      </c>
      <c r="G2847" s="2">
        <v>201710</v>
      </c>
      <c r="H2847" s="2" t="s">
        <v>74</v>
      </c>
      <c r="I2847" s="2" t="s">
        <v>75</v>
      </c>
      <c r="J2847" s="2" t="s">
        <v>76</v>
      </c>
      <c r="K2847" s="2" t="s">
        <v>77</v>
      </c>
      <c r="L2847" s="2" t="s">
        <v>91</v>
      </c>
      <c r="M2847" s="2" t="s">
        <v>92</v>
      </c>
      <c r="N2847" s="2" t="s">
        <v>3081</v>
      </c>
      <c r="O2847" s="2" t="s">
        <v>115</v>
      </c>
      <c r="P2847" s="2" t="str">
        <f>"217056072                     "</f>
        <v xml:space="preserve">217056072 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3.35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2</v>
      </c>
      <c r="BJ2847" s="2">
        <v>0.2</v>
      </c>
      <c r="BK2847" s="2">
        <v>2</v>
      </c>
      <c r="BL2847" s="2">
        <v>32.6</v>
      </c>
      <c r="BM2847" s="2">
        <v>4.5599999999999996</v>
      </c>
      <c r="BN2847" s="2">
        <v>37.159999999999997</v>
      </c>
      <c r="BO2847" s="2">
        <v>37.159999999999997</v>
      </c>
      <c r="BP2847" s="2"/>
      <c r="BQ2847" s="2" t="s">
        <v>3082</v>
      </c>
      <c r="BR2847" s="2" t="s">
        <v>84</v>
      </c>
      <c r="BS2847" s="3">
        <v>42850</v>
      </c>
      <c r="BT2847" s="4">
        <v>0.29097222222222224</v>
      </c>
      <c r="BU2847" s="2" t="s">
        <v>2604</v>
      </c>
      <c r="BV2847" s="2" t="s">
        <v>111</v>
      </c>
      <c r="BW2847" s="2"/>
      <c r="BX2847" s="2"/>
      <c r="BY2847" s="2">
        <v>1200</v>
      </c>
      <c r="BZ2847" s="2"/>
      <c r="CA2847" s="2" t="s">
        <v>520</v>
      </c>
      <c r="CB2847" s="2"/>
      <c r="CC2847" s="2" t="s">
        <v>92</v>
      </c>
      <c r="CD2847" s="2">
        <v>1422</v>
      </c>
      <c r="CE2847" s="2" t="s">
        <v>118</v>
      </c>
      <c r="CF2847" s="5">
        <v>42850</v>
      </c>
      <c r="CG2847" s="2"/>
      <c r="CH2847" s="2"/>
      <c r="CI2847" s="2">
        <v>1</v>
      </c>
      <c r="CJ2847" s="2">
        <v>1</v>
      </c>
      <c r="CK2847" s="2">
        <v>22</v>
      </c>
      <c r="CL2847" s="2" t="s">
        <v>86</v>
      </c>
      <c r="CM2847" s="2"/>
    </row>
    <row r="2848" spans="1:91">
      <c r="A2848" s="2" t="s">
        <v>71</v>
      </c>
      <c r="B2848" s="2" t="s">
        <v>72</v>
      </c>
      <c r="C2848" s="2" t="s">
        <v>73</v>
      </c>
      <c r="D2848" s="2"/>
      <c r="E2848" s="2" t="str">
        <f>"FES1162544865"</f>
        <v>FES1162544865</v>
      </c>
      <c r="F2848" s="3">
        <v>42846</v>
      </c>
      <c r="G2848" s="2">
        <v>201710</v>
      </c>
      <c r="H2848" s="2" t="s">
        <v>74</v>
      </c>
      <c r="I2848" s="2" t="s">
        <v>75</v>
      </c>
      <c r="J2848" s="2" t="s">
        <v>76</v>
      </c>
      <c r="K2848" s="2" t="s">
        <v>77</v>
      </c>
      <c r="L2848" s="2" t="s">
        <v>99</v>
      </c>
      <c r="M2848" s="2" t="s">
        <v>100</v>
      </c>
      <c r="N2848" s="2" t="s">
        <v>910</v>
      </c>
      <c r="O2848" s="2" t="s">
        <v>115</v>
      </c>
      <c r="P2848" s="2" t="str">
        <f>"2170561258                    "</f>
        <v xml:space="preserve">2170561258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4.29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1</v>
      </c>
      <c r="BJ2848" s="2">
        <v>0.2</v>
      </c>
      <c r="BK2848" s="2">
        <v>1</v>
      </c>
      <c r="BL2848" s="2">
        <v>41.73</v>
      </c>
      <c r="BM2848" s="2">
        <v>5.84</v>
      </c>
      <c r="BN2848" s="2">
        <v>47.57</v>
      </c>
      <c r="BO2848" s="2">
        <v>47.57</v>
      </c>
      <c r="BP2848" s="2"/>
      <c r="BQ2848" s="2" t="s">
        <v>911</v>
      </c>
      <c r="BR2848" s="2" t="s">
        <v>84</v>
      </c>
      <c r="BS2848" s="3">
        <v>42849</v>
      </c>
      <c r="BT2848" s="4">
        <v>0.39583333333333331</v>
      </c>
      <c r="BU2848" s="2" t="s">
        <v>912</v>
      </c>
      <c r="BV2848" s="2" t="s">
        <v>111</v>
      </c>
      <c r="BW2848" s="2"/>
      <c r="BX2848" s="2"/>
      <c r="BY2848" s="2">
        <v>1200</v>
      </c>
      <c r="BZ2848" s="2"/>
      <c r="CA2848" s="2" t="s">
        <v>913</v>
      </c>
      <c r="CB2848" s="2"/>
      <c r="CC2848" s="2" t="s">
        <v>100</v>
      </c>
      <c r="CD2848" s="2">
        <v>6065</v>
      </c>
      <c r="CE2848" s="2" t="s">
        <v>118</v>
      </c>
      <c r="CF2848" s="5">
        <v>42849</v>
      </c>
      <c r="CG2848" s="2"/>
      <c r="CH2848" s="2"/>
      <c r="CI2848" s="2">
        <v>1</v>
      </c>
      <c r="CJ2848" s="2">
        <v>1</v>
      </c>
      <c r="CK2848" s="2">
        <v>21</v>
      </c>
      <c r="CL2848" s="2" t="s">
        <v>86</v>
      </c>
      <c r="CM2848" s="2"/>
    </row>
    <row r="2849" spans="1:91">
      <c r="A2849" s="2" t="s">
        <v>71</v>
      </c>
      <c r="B2849" s="2" t="s">
        <v>72</v>
      </c>
      <c r="C2849" s="2" t="s">
        <v>73</v>
      </c>
      <c r="D2849" s="2"/>
      <c r="E2849" s="2" t="str">
        <f>"FES1162544850"</f>
        <v>FES1162544850</v>
      </c>
      <c r="F2849" s="3">
        <v>42846</v>
      </c>
      <c r="G2849" s="2">
        <v>201710</v>
      </c>
      <c r="H2849" s="2" t="s">
        <v>74</v>
      </c>
      <c r="I2849" s="2" t="s">
        <v>75</v>
      </c>
      <c r="J2849" s="2" t="s">
        <v>76</v>
      </c>
      <c r="K2849" s="2" t="s">
        <v>77</v>
      </c>
      <c r="L2849" s="2" t="s">
        <v>180</v>
      </c>
      <c r="M2849" s="2" t="s">
        <v>181</v>
      </c>
      <c r="N2849" s="2" t="s">
        <v>457</v>
      </c>
      <c r="O2849" s="2" t="s">
        <v>115</v>
      </c>
      <c r="P2849" s="2" t="str">
        <f>"2170561353                    "</f>
        <v xml:space="preserve">2170561353 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4.29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1.9</v>
      </c>
      <c r="BJ2849" s="2">
        <v>1.7</v>
      </c>
      <c r="BK2849" s="2">
        <v>2</v>
      </c>
      <c r="BL2849" s="2">
        <v>41.73</v>
      </c>
      <c r="BM2849" s="2">
        <v>5.84</v>
      </c>
      <c r="BN2849" s="2">
        <v>47.57</v>
      </c>
      <c r="BO2849" s="2">
        <v>47.57</v>
      </c>
      <c r="BP2849" s="2"/>
      <c r="BQ2849" s="2" t="s">
        <v>458</v>
      </c>
      <c r="BR2849" s="2" t="s">
        <v>84</v>
      </c>
      <c r="BS2849" s="3">
        <v>42849</v>
      </c>
      <c r="BT2849" s="4">
        <v>0.4375</v>
      </c>
      <c r="BU2849" s="2" t="s">
        <v>3083</v>
      </c>
      <c r="BV2849" s="2" t="s">
        <v>111</v>
      </c>
      <c r="BW2849" s="2"/>
      <c r="BX2849" s="2"/>
      <c r="BY2849" s="2">
        <v>8685.66</v>
      </c>
      <c r="BZ2849" s="2" t="s">
        <v>27</v>
      </c>
      <c r="CA2849" s="2"/>
      <c r="CB2849" s="2"/>
      <c r="CC2849" s="2" t="s">
        <v>181</v>
      </c>
      <c r="CD2849" s="2">
        <v>4001</v>
      </c>
      <c r="CE2849" s="2" t="s">
        <v>89</v>
      </c>
      <c r="CF2849" s="5">
        <v>42850</v>
      </c>
      <c r="CG2849" s="2"/>
      <c r="CH2849" s="2"/>
      <c r="CI2849" s="2">
        <v>1</v>
      </c>
      <c r="CJ2849" s="2">
        <v>1</v>
      </c>
      <c r="CK2849" s="2">
        <v>21</v>
      </c>
      <c r="CL2849" s="2" t="s">
        <v>86</v>
      </c>
      <c r="CM2849" s="2"/>
    </row>
    <row r="2850" spans="1:91">
      <c r="A2850" s="2" t="s">
        <v>71</v>
      </c>
      <c r="B2850" s="2" t="s">
        <v>72</v>
      </c>
      <c r="C2850" s="2" t="s">
        <v>73</v>
      </c>
      <c r="D2850" s="2"/>
      <c r="E2850" s="2" t="str">
        <f>"FES1162544519"</f>
        <v>FES1162544519</v>
      </c>
      <c r="F2850" s="3">
        <v>42845</v>
      </c>
      <c r="G2850" s="2">
        <v>201710</v>
      </c>
      <c r="H2850" s="2" t="s">
        <v>74</v>
      </c>
      <c r="I2850" s="2" t="s">
        <v>75</v>
      </c>
      <c r="J2850" s="2" t="s">
        <v>76</v>
      </c>
      <c r="K2850" s="2" t="s">
        <v>77</v>
      </c>
      <c r="L2850" s="2" t="s">
        <v>187</v>
      </c>
      <c r="M2850" s="2" t="s">
        <v>146</v>
      </c>
      <c r="N2850" s="2" t="s">
        <v>979</v>
      </c>
      <c r="O2850" s="2" t="s">
        <v>115</v>
      </c>
      <c r="P2850" s="2" t="str">
        <f>"2170559996                    "</f>
        <v xml:space="preserve">2170559996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4.29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1</v>
      </c>
      <c r="BJ2850" s="2">
        <v>0.2</v>
      </c>
      <c r="BK2850" s="2">
        <v>1</v>
      </c>
      <c r="BL2850" s="2">
        <v>41.73</v>
      </c>
      <c r="BM2850" s="2">
        <v>5.84</v>
      </c>
      <c r="BN2850" s="2">
        <v>47.57</v>
      </c>
      <c r="BO2850" s="2">
        <v>47.57</v>
      </c>
      <c r="BP2850" s="2"/>
      <c r="BQ2850" s="2" t="s">
        <v>980</v>
      </c>
      <c r="BR2850" s="2" t="s">
        <v>84</v>
      </c>
      <c r="BS2850" s="3">
        <v>42849</v>
      </c>
      <c r="BT2850" s="4">
        <v>0.41666666666666669</v>
      </c>
      <c r="BU2850" s="2" t="s">
        <v>3084</v>
      </c>
      <c r="BV2850" s="2" t="s">
        <v>86</v>
      </c>
      <c r="BW2850" s="2"/>
      <c r="BX2850" s="2"/>
      <c r="BY2850" s="2">
        <v>1200</v>
      </c>
      <c r="BZ2850" s="2"/>
      <c r="CA2850" s="2"/>
      <c r="CB2850" s="2"/>
      <c r="CC2850" s="2" t="s">
        <v>146</v>
      </c>
      <c r="CD2850" s="2">
        <v>200</v>
      </c>
      <c r="CE2850" s="2" t="s">
        <v>118</v>
      </c>
      <c r="CF2850" s="5">
        <v>42851</v>
      </c>
      <c r="CG2850" s="2"/>
      <c r="CH2850" s="2"/>
      <c r="CI2850" s="2">
        <v>0</v>
      </c>
      <c r="CJ2850" s="2">
        <v>0</v>
      </c>
      <c r="CK2850" s="2">
        <v>21</v>
      </c>
      <c r="CL2850" s="2" t="s">
        <v>86</v>
      </c>
      <c r="CM2850" s="2"/>
    </row>
    <row r="2851" spans="1:91">
      <c r="A2851" s="2" t="s">
        <v>71</v>
      </c>
      <c r="B2851" s="2" t="s">
        <v>72</v>
      </c>
      <c r="C2851" s="2" t="s">
        <v>73</v>
      </c>
      <c r="D2851" s="2"/>
      <c r="E2851" s="2" t="str">
        <f>"FES1162544971"</f>
        <v>FES1162544971</v>
      </c>
      <c r="F2851" s="3">
        <v>42846</v>
      </c>
      <c r="G2851" s="2">
        <v>201710</v>
      </c>
      <c r="H2851" s="2" t="s">
        <v>74</v>
      </c>
      <c r="I2851" s="2" t="s">
        <v>75</v>
      </c>
      <c r="J2851" s="2" t="s">
        <v>76</v>
      </c>
      <c r="K2851" s="2" t="s">
        <v>77</v>
      </c>
      <c r="L2851" s="2" t="s">
        <v>131</v>
      </c>
      <c r="M2851" s="2" t="s">
        <v>132</v>
      </c>
      <c r="N2851" s="2" t="s">
        <v>363</v>
      </c>
      <c r="O2851" s="2" t="s">
        <v>115</v>
      </c>
      <c r="P2851" s="2" t="str">
        <f>"2170563235                    "</f>
        <v xml:space="preserve">2170563235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5.36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2.2999999999999998</v>
      </c>
      <c r="BJ2851" s="2">
        <v>1.5</v>
      </c>
      <c r="BK2851" s="2">
        <v>2.5</v>
      </c>
      <c r="BL2851" s="2">
        <v>52.16</v>
      </c>
      <c r="BM2851" s="2">
        <v>7.3</v>
      </c>
      <c r="BN2851" s="2">
        <v>59.46</v>
      </c>
      <c r="BO2851" s="2">
        <v>59.46</v>
      </c>
      <c r="BP2851" s="2"/>
      <c r="BQ2851" s="2" t="s">
        <v>170</v>
      </c>
      <c r="BR2851" s="2" t="s">
        <v>84</v>
      </c>
      <c r="BS2851" s="3">
        <v>42849</v>
      </c>
      <c r="BT2851" s="4">
        <v>0.41666666666666669</v>
      </c>
      <c r="BU2851" s="2" t="s">
        <v>2676</v>
      </c>
      <c r="BV2851" s="2" t="s">
        <v>111</v>
      </c>
      <c r="BW2851" s="2"/>
      <c r="BX2851" s="2"/>
      <c r="BY2851" s="2">
        <v>7450.52</v>
      </c>
      <c r="BZ2851" s="2"/>
      <c r="CA2851" s="2"/>
      <c r="CB2851" s="2"/>
      <c r="CC2851" s="2" t="s">
        <v>132</v>
      </c>
      <c r="CD2851" s="2">
        <v>7441</v>
      </c>
      <c r="CE2851" s="2" t="s">
        <v>118</v>
      </c>
      <c r="CF2851" s="5">
        <v>42850</v>
      </c>
      <c r="CG2851" s="2"/>
      <c r="CH2851" s="2"/>
      <c r="CI2851" s="2">
        <v>1</v>
      </c>
      <c r="CJ2851" s="2">
        <v>1</v>
      </c>
      <c r="CK2851" s="2">
        <v>21</v>
      </c>
      <c r="CL2851" s="2" t="s">
        <v>86</v>
      </c>
      <c r="CM2851" s="2"/>
    </row>
    <row r="2852" spans="1:91">
      <c r="A2852" s="2" t="s">
        <v>71</v>
      </c>
      <c r="B2852" s="2" t="s">
        <v>72</v>
      </c>
      <c r="C2852" s="2" t="s">
        <v>73</v>
      </c>
      <c r="D2852" s="2"/>
      <c r="E2852" s="2" t="str">
        <f>"FES1162544903"</f>
        <v>FES1162544903</v>
      </c>
      <c r="F2852" s="3">
        <v>42846</v>
      </c>
      <c r="G2852" s="2">
        <v>201710</v>
      </c>
      <c r="H2852" s="2" t="s">
        <v>74</v>
      </c>
      <c r="I2852" s="2" t="s">
        <v>75</v>
      </c>
      <c r="J2852" s="2" t="s">
        <v>76</v>
      </c>
      <c r="K2852" s="2" t="s">
        <v>77</v>
      </c>
      <c r="L2852" s="2" t="s">
        <v>131</v>
      </c>
      <c r="M2852" s="2" t="s">
        <v>132</v>
      </c>
      <c r="N2852" s="2" t="s">
        <v>1925</v>
      </c>
      <c r="O2852" s="2" t="s">
        <v>115</v>
      </c>
      <c r="P2852" s="2" t="str">
        <f>"2170561163                    "</f>
        <v xml:space="preserve">2170561163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19.29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8.4</v>
      </c>
      <c r="BJ2852" s="2">
        <v>8.6</v>
      </c>
      <c r="BK2852" s="2">
        <v>9</v>
      </c>
      <c r="BL2852" s="2">
        <v>187.77</v>
      </c>
      <c r="BM2852" s="2">
        <v>26.29</v>
      </c>
      <c r="BN2852" s="2">
        <v>214.06</v>
      </c>
      <c r="BO2852" s="2">
        <v>214.06</v>
      </c>
      <c r="BP2852" s="2"/>
      <c r="BQ2852" s="2" t="s">
        <v>1926</v>
      </c>
      <c r="BR2852" s="2" t="s">
        <v>84</v>
      </c>
      <c r="BS2852" s="3">
        <v>42849</v>
      </c>
      <c r="BT2852" s="4">
        <v>0.4201388888888889</v>
      </c>
      <c r="BU2852" s="2" t="s">
        <v>1927</v>
      </c>
      <c r="BV2852" s="2" t="s">
        <v>111</v>
      </c>
      <c r="BW2852" s="2"/>
      <c r="BX2852" s="2"/>
      <c r="BY2852" s="2">
        <v>42975.65</v>
      </c>
      <c r="BZ2852" s="2"/>
      <c r="CA2852" s="2"/>
      <c r="CB2852" s="2"/>
      <c r="CC2852" s="2" t="s">
        <v>132</v>
      </c>
      <c r="CD2852" s="2">
        <v>7530</v>
      </c>
      <c r="CE2852" s="2" t="s">
        <v>89</v>
      </c>
      <c r="CF2852" s="5">
        <v>42850</v>
      </c>
      <c r="CG2852" s="2"/>
      <c r="CH2852" s="2"/>
      <c r="CI2852" s="2">
        <v>1</v>
      </c>
      <c r="CJ2852" s="2">
        <v>1</v>
      </c>
      <c r="CK2852" s="2">
        <v>21</v>
      </c>
      <c r="CL2852" s="2" t="s">
        <v>86</v>
      </c>
      <c r="CM2852" s="2"/>
    </row>
    <row r="2853" spans="1:91">
      <c r="A2853" s="2" t="s">
        <v>71</v>
      </c>
      <c r="B2853" s="2" t="s">
        <v>72</v>
      </c>
      <c r="C2853" s="2" t="s">
        <v>73</v>
      </c>
      <c r="D2853" s="2"/>
      <c r="E2853" s="2" t="str">
        <f>"FES1162545015"</f>
        <v>FES1162545015</v>
      </c>
      <c r="F2853" s="3">
        <v>42846</v>
      </c>
      <c r="G2853" s="2">
        <v>201710</v>
      </c>
      <c r="H2853" s="2" t="s">
        <v>74</v>
      </c>
      <c r="I2853" s="2" t="s">
        <v>75</v>
      </c>
      <c r="J2853" s="2" t="s">
        <v>76</v>
      </c>
      <c r="K2853" s="2" t="s">
        <v>77</v>
      </c>
      <c r="L2853" s="2" t="s">
        <v>180</v>
      </c>
      <c r="M2853" s="2" t="s">
        <v>181</v>
      </c>
      <c r="N2853" s="2" t="s">
        <v>320</v>
      </c>
      <c r="O2853" s="2" t="s">
        <v>115</v>
      </c>
      <c r="P2853" s="2" t="str">
        <f>"2170563522                    "</f>
        <v xml:space="preserve">2170563522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36.44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234</v>
      </c>
      <c r="BF2853" s="2">
        <v>0</v>
      </c>
      <c r="BG2853" s="2">
        <v>0</v>
      </c>
      <c r="BH2853" s="2">
        <v>1</v>
      </c>
      <c r="BI2853" s="2">
        <v>16.7</v>
      </c>
      <c r="BJ2853" s="2">
        <v>8.8000000000000007</v>
      </c>
      <c r="BK2853" s="2">
        <v>17</v>
      </c>
      <c r="BL2853" s="2">
        <v>588.67999999999995</v>
      </c>
      <c r="BM2853" s="2">
        <v>82.42</v>
      </c>
      <c r="BN2853" s="2">
        <v>671.1</v>
      </c>
      <c r="BO2853" s="2">
        <v>671.1</v>
      </c>
      <c r="BP2853" s="2" t="s">
        <v>3085</v>
      </c>
      <c r="BQ2853" s="2" t="s">
        <v>3086</v>
      </c>
      <c r="BR2853" s="2" t="s">
        <v>84</v>
      </c>
      <c r="BS2853" s="3">
        <v>42847</v>
      </c>
      <c r="BT2853" s="4">
        <v>0.55902777777777779</v>
      </c>
      <c r="BU2853" s="2" t="s">
        <v>3006</v>
      </c>
      <c r="BV2853" s="2" t="s">
        <v>111</v>
      </c>
      <c r="BW2853" s="2"/>
      <c r="BX2853" s="2"/>
      <c r="BY2853" s="2">
        <v>44044.28</v>
      </c>
      <c r="BZ2853" s="2" t="s">
        <v>2426</v>
      </c>
      <c r="CA2853" s="2"/>
      <c r="CB2853" s="2"/>
      <c r="CC2853" s="2" t="s">
        <v>181</v>
      </c>
      <c r="CD2853" s="2">
        <v>4051</v>
      </c>
      <c r="CE2853" s="2" t="s">
        <v>89</v>
      </c>
      <c r="CF2853" s="5">
        <v>42850</v>
      </c>
      <c r="CG2853" s="2"/>
      <c r="CH2853" s="2"/>
      <c r="CI2853" s="2">
        <v>1</v>
      </c>
      <c r="CJ2853" s="2">
        <v>1</v>
      </c>
      <c r="CK2853" s="2">
        <v>21</v>
      </c>
      <c r="CL2853" s="2" t="s">
        <v>86</v>
      </c>
      <c r="CM2853" s="2"/>
    </row>
    <row r="2854" spans="1:91">
      <c r="A2854" s="2" t="s">
        <v>71</v>
      </c>
      <c r="B2854" s="2" t="s">
        <v>72</v>
      </c>
      <c r="C2854" s="2" t="s">
        <v>73</v>
      </c>
      <c r="D2854" s="2"/>
      <c r="E2854" s="2" t="str">
        <f>"FES1162545010"</f>
        <v>FES1162545010</v>
      </c>
      <c r="F2854" s="3">
        <v>42846</v>
      </c>
      <c r="G2854" s="2">
        <v>201710</v>
      </c>
      <c r="H2854" s="2" t="s">
        <v>74</v>
      </c>
      <c r="I2854" s="2" t="s">
        <v>75</v>
      </c>
      <c r="J2854" s="2" t="s">
        <v>76</v>
      </c>
      <c r="K2854" s="2" t="s">
        <v>77</v>
      </c>
      <c r="L2854" s="2" t="s">
        <v>160</v>
      </c>
      <c r="M2854" s="2" t="s">
        <v>161</v>
      </c>
      <c r="N2854" s="2" t="s">
        <v>2330</v>
      </c>
      <c r="O2854" s="2" t="s">
        <v>115</v>
      </c>
      <c r="P2854" s="2" t="str">
        <f>"2170563507                    "</f>
        <v xml:space="preserve">2170563507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11.79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2.6</v>
      </c>
      <c r="BJ2854" s="2">
        <v>5.0999999999999996</v>
      </c>
      <c r="BK2854" s="2">
        <v>5.5</v>
      </c>
      <c r="BL2854" s="2">
        <v>114.75</v>
      </c>
      <c r="BM2854" s="2">
        <v>16.07</v>
      </c>
      <c r="BN2854" s="2">
        <v>130.82</v>
      </c>
      <c r="BO2854" s="2">
        <v>130.82</v>
      </c>
      <c r="BP2854" s="2"/>
      <c r="BQ2854" s="2" t="s">
        <v>3087</v>
      </c>
      <c r="BR2854" s="2" t="s">
        <v>84</v>
      </c>
      <c r="BS2854" s="3">
        <v>42849</v>
      </c>
      <c r="BT2854" s="4">
        <v>0.41666666666666669</v>
      </c>
      <c r="BU2854" s="2" t="s">
        <v>3088</v>
      </c>
      <c r="BV2854" s="2" t="s">
        <v>111</v>
      </c>
      <c r="BW2854" s="2"/>
      <c r="BX2854" s="2"/>
      <c r="BY2854" s="2">
        <v>25718.400000000001</v>
      </c>
      <c r="BZ2854" s="2"/>
      <c r="CA2854" s="2" t="s">
        <v>159</v>
      </c>
      <c r="CB2854" s="2"/>
      <c r="CC2854" s="2" t="s">
        <v>161</v>
      </c>
      <c r="CD2854" s="2">
        <v>5247</v>
      </c>
      <c r="CE2854" s="2" t="s">
        <v>89</v>
      </c>
      <c r="CF2854" s="5">
        <v>42851</v>
      </c>
      <c r="CG2854" s="2"/>
      <c r="CH2854" s="2"/>
      <c r="CI2854" s="2">
        <v>1</v>
      </c>
      <c r="CJ2854" s="2">
        <v>1</v>
      </c>
      <c r="CK2854" s="2">
        <v>21</v>
      </c>
      <c r="CL2854" s="2" t="s">
        <v>86</v>
      </c>
      <c r="CM2854" s="2"/>
    </row>
    <row r="2855" spans="1:91">
      <c r="A2855" s="2" t="s">
        <v>71</v>
      </c>
      <c r="B2855" s="2" t="s">
        <v>72</v>
      </c>
      <c r="C2855" s="2" t="s">
        <v>73</v>
      </c>
      <c r="D2855" s="2"/>
      <c r="E2855" s="2" t="str">
        <f>"FES1162544923"</f>
        <v>FES1162544923</v>
      </c>
      <c r="F2855" s="3">
        <v>42846</v>
      </c>
      <c r="G2855" s="2">
        <v>201710</v>
      </c>
      <c r="H2855" s="2" t="s">
        <v>74</v>
      </c>
      <c r="I2855" s="2" t="s">
        <v>75</v>
      </c>
      <c r="J2855" s="2" t="s">
        <v>76</v>
      </c>
      <c r="K2855" s="2" t="s">
        <v>77</v>
      </c>
      <c r="L2855" s="2" t="s">
        <v>443</v>
      </c>
      <c r="M2855" s="2" t="s">
        <v>444</v>
      </c>
      <c r="N2855" s="2" t="s">
        <v>627</v>
      </c>
      <c r="O2855" s="2" t="s">
        <v>115</v>
      </c>
      <c r="P2855" s="2" t="str">
        <f>"2170561028                    "</f>
        <v xml:space="preserve">2170561028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21.43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9.6</v>
      </c>
      <c r="BJ2855" s="2">
        <v>3.2</v>
      </c>
      <c r="BK2855" s="2">
        <v>10</v>
      </c>
      <c r="BL2855" s="2">
        <v>208.63</v>
      </c>
      <c r="BM2855" s="2">
        <v>29.21</v>
      </c>
      <c r="BN2855" s="2">
        <v>237.84</v>
      </c>
      <c r="BO2855" s="2">
        <v>237.84</v>
      </c>
      <c r="BP2855" s="2"/>
      <c r="BQ2855" s="2" t="s">
        <v>628</v>
      </c>
      <c r="BR2855" s="2" t="s">
        <v>84</v>
      </c>
      <c r="BS2855" s="3">
        <v>42849</v>
      </c>
      <c r="BT2855" s="4">
        <v>0.35069444444444442</v>
      </c>
      <c r="BU2855" s="2" t="s">
        <v>2704</v>
      </c>
      <c r="BV2855" s="2" t="s">
        <v>111</v>
      </c>
      <c r="BW2855" s="2"/>
      <c r="BX2855" s="2"/>
      <c r="BY2855" s="2">
        <v>15991.61</v>
      </c>
      <c r="BZ2855" s="2"/>
      <c r="CA2855" s="2" t="s">
        <v>159</v>
      </c>
      <c r="CB2855" s="2"/>
      <c r="CC2855" s="2" t="s">
        <v>444</v>
      </c>
      <c r="CD2855" s="2">
        <v>7130</v>
      </c>
      <c r="CE2855" s="2" t="s">
        <v>89</v>
      </c>
      <c r="CF2855" s="5">
        <v>42850</v>
      </c>
      <c r="CG2855" s="2"/>
      <c r="CH2855" s="2"/>
      <c r="CI2855" s="2">
        <v>1</v>
      </c>
      <c r="CJ2855" s="2">
        <v>1</v>
      </c>
      <c r="CK2855" s="2">
        <v>21</v>
      </c>
      <c r="CL2855" s="2" t="s">
        <v>86</v>
      </c>
      <c r="CM2855" s="2"/>
    </row>
    <row r="2856" spans="1:91">
      <c r="A2856" s="2" t="s">
        <v>71</v>
      </c>
      <c r="B2856" s="2" t="s">
        <v>72</v>
      </c>
      <c r="C2856" s="2" t="s">
        <v>73</v>
      </c>
      <c r="D2856" s="2"/>
      <c r="E2856" s="2" t="str">
        <f>"FES1162545045"</f>
        <v>FES1162545045</v>
      </c>
      <c r="F2856" s="3">
        <v>42846</v>
      </c>
      <c r="G2856" s="2">
        <v>201710</v>
      </c>
      <c r="H2856" s="2" t="s">
        <v>74</v>
      </c>
      <c r="I2856" s="2" t="s">
        <v>75</v>
      </c>
      <c r="J2856" s="2" t="s">
        <v>76</v>
      </c>
      <c r="K2856" s="2" t="s">
        <v>77</v>
      </c>
      <c r="L2856" s="2" t="s">
        <v>131</v>
      </c>
      <c r="M2856" s="2" t="s">
        <v>132</v>
      </c>
      <c r="N2856" s="2" t="s">
        <v>649</v>
      </c>
      <c r="O2856" s="2" t="s">
        <v>115</v>
      </c>
      <c r="P2856" s="2" t="str">
        <f>"2170563560                    "</f>
        <v xml:space="preserve">2170563560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17.149999999999999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7.9</v>
      </c>
      <c r="BJ2856" s="2">
        <v>1.7</v>
      </c>
      <c r="BK2856" s="2">
        <v>8</v>
      </c>
      <c r="BL2856" s="2">
        <v>166.91</v>
      </c>
      <c r="BM2856" s="2">
        <v>23.37</v>
      </c>
      <c r="BN2856" s="2">
        <v>190.28</v>
      </c>
      <c r="BO2856" s="2">
        <v>190.28</v>
      </c>
      <c r="BP2856" s="2"/>
      <c r="BQ2856" s="2" t="s">
        <v>650</v>
      </c>
      <c r="BR2856" s="2" t="s">
        <v>84</v>
      </c>
      <c r="BS2856" s="3">
        <v>42849</v>
      </c>
      <c r="BT2856" s="4">
        <v>0.41666666666666669</v>
      </c>
      <c r="BU2856" s="2" t="s">
        <v>3089</v>
      </c>
      <c r="BV2856" s="2" t="s">
        <v>111</v>
      </c>
      <c r="BW2856" s="2"/>
      <c r="BX2856" s="2"/>
      <c r="BY2856" s="2">
        <v>8434</v>
      </c>
      <c r="BZ2856" s="2"/>
      <c r="CA2856" s="2"/>
      <c r="CB2856" s="2"/>
      <c r="CC2856" s="2" t="s">
        <v>132</v>
      </c>
      <c r="CD2856" s="2">
        <v>7405</v>
      </c>
      <c r="CE2856" s="2" t="s">
        <v>89</v>
      </c>
      <c r="CF2856" s="5">
        <v>42850</v>
      </c>
      <c r="CG2856" s="2"/>
      <c r="CH2856" s="2"/>
      <c r="CI2856" s="2">
        <v>1</v>
      </c>
      <c r="CJ2856" s="2">
        <v>1</v>
      </c>
      <c r="CK2856" s="2">
        <v>21</v>
      </c>
      <c r="CL2856" s="2" t="s">
        <v>86</v>
      </c>
      <c r="CM2856" s="2"/>
    </row>
    <row r="2857" spans="1:91">
      <c r="A2857" s="2" t="s">
        <v>71</v>
      </c>
      <c r="B2857" s="2" t="s">
        <v>72</v>
      </c>
      <c r="C2857" s="2" t="s">
        <v>73</v>
      </c>
      <c r="D2857" s="2"/>
      <c r="E2857" s="2" t="str">
        <f>"FES1162544994"</f>
        <v>FES1162544994</v>
      </c>
      <c r="F2857" s="3">
        <v>42846</v>
      </c>
      <c r="G2857" s="2">
        <v>201710</v>
      </c>
      <c r="H2857" s="2" t="s">
        <v>74</v>
      </c>
      <c r="I2857" s="2" t="s">
        <v>75</v>
      </c>
      <c r="J2857" s="2" t="s">
        <v>76</v>
      </c>
      <c r="K2857" s="2" t="s">
        <v>77</v>
      </c>
      <c r="L2857" s="2" t="s">
        <v>139</v>
      </c>
      <c r="M2857" s="2" t="s">
        <v>140</v>
      </c>
      <c r="N2857" s="2" t="s">
        <v>2953</v>
      </c>
      <c r="O2857" s="2" t="s">
        <v>115</v>
      </c>
      <c r="P2857" s="2" t="str">
        <f>"2170563169                    "</f>
        <v xml:space="preserve">2170563169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5.36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2.5</v>
      </c>
      <c r="BJ2857" s="2">
        <v>1.7</v>
      </c>
      <c r="BK2857" s="2">
        <v>2.5</v>
      </c>
      <c r="BL2857" s="2">
        <v>52.16</v>
      </c>
      <c r="BM2857" s="2">
        <v>7.3</v>
      </c>
      <c r="BN2857" s="2">
        <v>59.46</v>
      </c>
      <c r="BO2857" s="2">
        <v>59.46</v>
      </c>
      <c r="BP2857" s="2"/>
      <c r="BQ2857" s="2" t="s">
        <v>2954</v>
      </c>
      <c r="BR2857" s="2" t="s">
        <v>84</v>
      </c>
      <c r="BS2857" s="3">
        <v>42849</v>
      </c>
      <c r="BT2857" s="4">
        <v>0.37222222222222223</v>
      </c>
      <c r="BU2857" s="2" t="s">
        <v>3028</v>
      </c>
      <c r="BV2857" s="2" t="s">
        <v>111</v>
      </c>
      <c r="BW2857" s="2"/>
      <c r="BX2857" s="2"/>
      <c r="BY2857" s="2">
        <v>8449.67</v>
      </c>
      <c r="BZ2857" s="2"/>
      <c r="CA2857" s="2"/>
      <c r="CB2857" s="2"/>
      <c r="CC2857" s="2" t="s">
        <v>140</v>
      </c>
      <c r="CD2857" s="2">
        <v>157</v>
      </c>
      <c r="CE2857" s="2" t="s">
        <v>89</v>
      </c>
      <c r="CF2857" s="5">
        <v>42851</v>
      </c>
      <c r="CG2857" s="2"/>
      <c r="CH2857" s="2"/>
      <c r="CI2857" s="2">
        <v>0</v>
      </c>
      <c r="CJ2857" s="2">
        <v>0</v>
      </c>
      <c r="CK2857" s="2">
        <v>21</v>
      </c>
      <c r="CL2857" s="2" t="s">
        <v>86</v>
      </c>
      <c r="CM2857" s="2"/>
    </row>
    <row r="2858" spans="1:91">
      <c r="A2858" s="2" t="s">
        <v>71</v>
      </c>
      <c r="B2858" s="2" t="s">
        <v>72</v>
      </c>
      <c r="C2858" s="2" t="s">
        <v>73</v>
      </c>
      <c r="D2858" s="2"/>
      <c r="E2858" s="2" t="str">
        <f>"FES1162540158"</f>
        <v>FES1162540158</v>
      </c>
      <c r="F2858" s="3">
        <v>42846</v>
      </c>
      <c r="G2858" s="2">
        <v>201710</v>
      </c>
      <c r="H2858" s="2" t="s">
        <v>74</v>
      </c>
      <c r="I2858" s="2" t="s">
        <v>75</v>
      </c>
      <c r="J2858" s="2" t="s">
        <v>76</v>
      </c>
      <c r="K2858" s="2" t="s">
        <v>77</v>
      </c>
      <c r="L2858" s="2" t="s">
        <v>1161</v>
      </c>
      <c r="M2858" s="2" t="s">
        <v>1162</v>
      </c>
      <c r="N2858" s="2" t="s">
        <v>1163</v>
      </c>
      <c r="O2858" s="2" t="s">
        <v>115</v>
      </c>
      <c r="P2858" s="2" t="str">
        <f>"2170555291                    "</f>
        <v xml:space="preserve">2170555291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26.58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9</v>
      </c>
      <c r="BJ2858" s="2">
        <v>8.9</v>
      </c>
      <c r="BK2858" s="2">
        <v>9</v>
      </c>
      <c r="BL2858" s="2">
        <v>258.70999999999998</v>
      </c>
      <c r="BM2858" s="2">
        <v>36.22</v>
      </c>
      <c r="BN2858" s="2">
        <v>294.93</v>
      </c>
      <c r="BO2858" s="2">
        <v>294.93</v>
      </c>
      <c r="BP2858" s="2"/>
      <c r="BQ2858" s="2" t="s">
        <v>122</v>
      </c>
      <c r="BR2858" s="2" t="s">
        <v>84</v>
      </c>
      <c r="BS2858" s="3">
        <v>42849</v>
      </c>
      <c r="BT2858" s="4">
        <v>0.64930555555555558</v>
      </c>
      <c r="BU2858" s="2" t="s">
        <v>927</v>
      </c>
      <c r="BV2858" s="2" t="s">
        <v>111</v>
      </c>
      <c r="BW2858" s="2"/>
      <c r="BX2858" s="2"/>
      <c r="BY2858" s="2">
        <v>44706.82</v>
      </c>
      <c r="BZ2858" s="2"/>
      <c r="CA2858" s="2"/>
      <c r="CB2858" s="2"/>
      <c r="CC2858" s="2" t="s">
        <v>1162</v>
      </c>
      <c r="CD2858" s="2">
        <v>1028</v>
      </c>
      <c r="CE2858" s="2" t="s">
        <v>89</v>
      </c>
      <c r="CF2858" s="5">
        <v>42851</v>
      </c>
      <c r="CG2858" s="2"/>
      <c r="CH2858" s="2"/>
      <c r="CI2858" s="2">
        <v>0</v>
      </c>
      <c r="CJ2858" s="2">
        <v>0</v>
      </c>
      <c r="CK2858" s="2">
        <v>24</v>
      </c>
      <c r="CL2858" s="2" t="s">
        <v>86</v>
      </c>
      <c r="CM2858" s="2"/>
    </row>
    <row r="2859" spans="1:91">
      <c r="A2859" s="2" t="s">
        <v>71</v>
      </c>
      <c r="B2859" s="2" t="s">
        <v>72</v>
      </c>
      <c r="C2859" s="2" t="s">
        <v>73</v>
      </c>
      <c r="D2859" s="2"/>
      <c r="E2859" s="2" t="str">
        <f>"FES1162545036"</f>
        <v>FES1162545036</v>
      </c>
      <c r="F2859" s="3">
        <v>42846</v>
      </c>
      <c r="G2859" s="2">
        <v>201710</v>
      </c>
      <c r="H2859" s="2" t="s">
        <v>74</v>
      </c>
      <c r="I2859" s="2" t="s">
        <v>75</v>
      </c>
      <c r="J2859" s="2" t="s">
        <v>76</v>
      </c>
      <c r="K2859" s="2" t="s">
        <v>77</v>
      </c>
      <c r="L2859" s="2" t="s">
        <v>180</v>
      </c>
      <c r="M2859" s="2" t="s">
        <v>181</v>
      </c>
      <c r="N2859" s="2" t="s">
        <v>1247</v>
      </c>
      <c r="O2859" s="2" t="s">
        <v>115</v>
      </c>
      <c r="P2859" s="2" t="str">
        <f>"2170563354                    "</f>
        <v xml:space="preserve">2170563354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6.43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2.7</v>
      </c>
      <c r="BJ2859" s="2">
        <v>1.9</v>
      </c>
      <c r="BK2859" s="2">
        <v>3</v>
      </c>
      <c r="BL2859" s="2">
        <v>62.59</v>
      </c>
      <c r="BM2859" s="2">
        <v>8.76</v>
      </c>
      <c r="BN2859" s="2">
        <v>71.349999999999994</v>
      </c>
      <c r="BO2859" s="2">
        <v>71.349999999999994</v>
      </c>
      <c r="BP2859" s="2"/>
      <c r="BQ2859" s="2" t="s">
        <v>129</v>
      </c>
      <c r="BR2859" s="2" t="s">
        <v>84</v>
      </c>
      <c r="BS2859" s="3">
        <v>42849</v>
      </c>
      <c r="BT2859" s="4">
        <v>0.41666666666666669</v>
      </c>
      <c r="BU2859" s="2" t="s">
        <v>3090</v>
      </c>
      <c r="BV2859" s="2" t="s">
        <v>111</v>
      </c>
      <c r="BW2859" s="2"/>
      <c r="BX2859" s="2"/>
      <c r="BY2859" s="2">
        <v>9307.73</v>
      </c>
      <c r="BZ2859" s="2"/>
      <c r="CA2859" s="2"/>
      <c r="CB2859" s="2"/>
      <c r="CC2859" s="2" t="s">
        <v>181</v>
      </c>
      <c r="CD2859" s="2">
        <v>4001</v>
      </c>
      <c r="CE2859" s="2" t="s">
        <v>89</v>
      </c>
      <c r="CF2859" s="5">
        <v>42850</v>
      </c>
      <c r="CG2859" s="2"/>
      <c r="CH2859" s="2"/>
      <c r="CI2859" s="2">
        <v>1</v>
      </c>
      <c r="CJ2859" s="2">
        <v>1</v>
      </c>
      <c r="CK2859" s="2">
        <v>21</v>
      </c>
      <c r="CL2859" s="2" t="s">
        <v>86</v>
      </c>
      <c r="CM2859" s="2"/>
    </row>
    <row r="2860" spans="1:91">
      <c r="A2860" s="2" t="s">
        <v>71</v>
      </c>
      <c r="B2860" s="2" t="s">
        <v>72</v>
      </c>
      <c r="C2860" s="2" t="s">
        <v>73</v>
      </c>
      <c r="D2860" s="2"/>
      <c r="E2860" s="2" t="str">
        <f>"FES1162544967"</f>
        <v>FES1162544967</v>
      </c>
      <c r="F2860" s="3">
        <v>42846</v>
      </c>
      <c r="G2860" s="2">
        <v>201710</v>
      </c>
      <c r="H2860" s="2" t="s">
        <v>74</v>
      </c>
      <c r="I2860" s="2" t="s">
        <v>75</v>
      </c>
      <c r="J2860" s="2" t="s">
        <v>76</v>
      </c>
      <c r="K2860" s="2" t="s">
        <v>77</v>
      </c>
      <c r="L2860" s="2" t="s">
        <v>549</v>
      </c>
      <c r="M2860" s="2" t="s">
        <v>550</v>
      </c>
      <c r="N2860" s="2" t="s">
        <v>1195</v>
      </c>
      <c r="O2860" s="2" t="s">
        <v>115</v>
      </c>
      <c r="P2860" s="2" t="str">
        <f>"2170562453                    "</f>
        <v xml:space="preserve">2170562453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18.22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6.9</v>
      </c>
      <c r="BJ2860" s="2">
        <v>8.1999999999999993</v>
      </c>
      <c r="BK2860" s="2">
        <v>8.5</v>
      </c>
      <c r="BL2860" s="2">
        <v>177.34</v>
      </c>
      <c r="BM2860" s="2">
        <v>24.83</v>
      </c>
      <c r="BN2860" s="2">
        <v>202.17</v>
      </c>
      <c r="BO2860" s="2">
        <v>202.17</v>
      </c>
      <c r="BP2860" s="2"/>
      <c r="BQ2860" s="2" t="s">
        <v>1196</v>
      </c>
      <c r="BR2860" s="2" t="s">
        <v>84</v>
      </c>
      <c r="BS2860" s="3">
        <v>42849</v>
      </c>
      <c r="BT2860" s="4">
        <v>0.41666666666666669</v>
      </c>
      <c r="BU2860" s="2" t="s">
        <v>3091</v>
      </c>
      <c r="BV2860" s="2" t="s">
        <v>111</v>
      </c>
      <c r="BW2860" s="2"/>
      <c r="BX2860" s="2"/>
      <c r="BY2860" s="2">
        <v>40875.800000000003</v>
      </c>
      <c r="BZ2860" s="2"/>
      <c r="CA2860" s="2" t="s">
        <v>159</v>
      </c>
      <c r="CB2860" s="2"/>
      <c r="CC2860" s="2" t="s">
        <v>550</v>
      </c>
      <c r="CD2860" s="2">
        <v>3699</v>
      </c>
      <c r="CE2860" s="2" t="s">
        <v>89</v>
      </c>
      <c r="CF2860" s="5">
        <v>42850</v>
      </c>
      <c r="CG2860" s="2"/>
      <c r="CH2860" s="2"/>
      <c r="CI2860" s="2">
        <v>1</v>
      </c>
      <c r="CJ2860" s="2">
        <v>1</v>
      </c>
      <c r="CK2860" s="2">
        <v>21</v>
      </c>
      <c r="CL2860" s="2" t="s">
        <v>86</v>
      </c>
      <c r="CM2860" s="2"/>
    </row>
    <row r="2861" spans="1:91">
      <c r="A2861" s="2" t="s">
        <v>71</v>
      </c>
      <c r="B2861" s="2" t="s">
        <v>72</v>
      </c>
      <c r="C2861" s="2" t="s">
        <v>73</v>
      </c>
      <c r="D2861" s="2"/>
      <c r="E2861" s="2" t="str">
        <f>"FES1162544791"</f>
        <v>FES1162544791</v>
      </c>
      <c r="F2861" s="3">
        <v>42846</v>
      </c>
      <c r="G2861" s="2">
        <v>201710</v>
      </c>
      <c r="H2861" s="2" t="s">
        <v>74</v>
      </c>
      <c r="I2861" s="2" t="s">
        <v>75</v>
      </c>
      <c r="J2861" s="2" t="s">
        <v>76</v>
      </c>
      <c r="K2861" s="2" t="s">
        <v>77</v>
      </c>
      <c r="L2861" s="2" t="s">
        <v>112</v>
      </c>
      <c r="M2861" s="2" t="s">
        <v>113</v>
      </c>
      <c r="N2861" s="2" t="s">
        <v>386</v>
      </c>
      <c r="O2861" s="2" t="s">
        <v>115</v>
      </c>
      <c r="P2861" s="2" t="str">
        <f>"2170563346                    "</f>
        <v xml:space="preserve">2170563346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24.65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11.4</v>
      </c>
      <c r="BJ2861" s="2">
        <v>3.9</v>
      </c>
      <c r="BK2861" s="2">
        <v>11.5</v>
      </c>
      <c r="BL2861" s="2">
        <v>239.93</v>
      </c>
      <c r="BM2861" s="2">
        <v>33.590000000000003</v>
      </c>
      <c r="BN2861" s="2">
        <v>273.52</v>
      </c>
      <c r="BO2861" s="2">
        <v>273.52</v>
      </c>
      <c r="BP2861" s="2"/>
      <c r="BQ2861" s="2" t="s">
        <v>122</v>
      </c>
      <c r="BR2861" s="2" t="s">
        <v>84</v>
      </c>
      <c r="BS2861" s="3">
        <v>42849</v>
      </c>
      <c r="BT2861" s="4">
        <v>0.41666666666666669</v>
      </c>
      <c r="BU2861" s="2" t="s">
        <v>3092</v>
      </c>
      <c r="BV2861" s="2" t="s">
        <v>111</v>
      </c>
      <c r="BW2861" s="2"/>
      <c r="BX2861" s="2"/>
      <c r="BY2861" s="2">
        <v>19476.72</v>
      </c>
      <c r="BZ2861" s="2"/>
      <c r="CA2861" s="2"/>
      <c r="CB2861" s="2"/>
      <c r="CC2861" s="2" t="s">
        <v>113</v>
      </c>
      <c r="CD2861" s="2">
        <v>3200</v>
      </c>
      <c r="CE2861" s="2" t="s">
        <v>89</v>
      </c>
      <c r="CF2861" s="5">
        <v>42850</v>
      </c>
      <c r="CG2861" s="2"/>
      <c r="CH2861" s="2"/>
      <c r="CI2861" s="2">
        <v>1</v>
      </c>
      <c r="CJ2861" s="2">
        <v>1</v>
      </c>
      <c r="CK2861" s="2">
        <v>21</v>
      </c>
      <c r="CL2861" s="2" t="s">
        <v>86</v>
      </c>
      <c r="CM2861" s="2"/>
    </row>
    <row r="2862" spans="1:91">
      <c r="A2862" s="2" t="s">
        <v>71</v>
      </c>
      <c r="B2862" s="2" t="s">
        <v>72</v>
      </c>
      <c r="C2862" s="2" t="s">
        <v>73</v>
      </c>
      <c r="D2862" s="2"/>
      <c r="E2862" s="2" t="str">
        <f>"FES1162544921"</f>
        <v>FES1162544921</v>
      </c>
      <c r="F2862" s="3">
        <v>42846</v>
      </c>
      <c r="G2862" s="2">
        <v>201710</v>
      </c>
      <c r="H2862" s="2" t="s">
        <v>74</v>
      </c>
      <c r="I2862" s="2" t="s">
        <v>75</v>
      </c>
      <c r="J2862" s="2" t="s">
        <v>76</v>
      </c>
      <c r="K2862" s="2" t="s">
        <v>77</v>
      </c>
      <c r="L2862" s="2" t="s">
        <v>99</v>
      </c>
      <c r="M2862" s="2" t="s">
        <v>100</v>
      </c>
      <c r="N2862" s="2" t="s">
        <v>108</v>
      </c>
      <c r="O2862" s="2" t="s">
        <v>115</v>
      </c>
      <c r="P2862" s="2" t="str">
        <f>"2170563410                    "</f>
        <v xml:space="preserve">2170563410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10.72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4.7</v>
      </c>
      <c r="BJ2862" s="2">
        <v>3.5</v>
      </c>
      <c r="BK2862" s="2">
        <v>5</v>
      </c>
      <c r="BL2862" s="2">
        <v>104.32</v>
      </c>
      <c r="BM2862" s="2">
        <v>14.6</v>
      </c>
      <c r="BN2862" s="2">
        <v>118.92</v>
      </c>
      <c r="BO2862" s="2">
        <v>118.92</v>
      </c>
      <c r="BP2862" s="2"/>
      <c r="BQ2862" s="2" t="s">
        <v>109</v>
      </c>
      <c r="BR2862" s="2" t="s">
        <v>84</v>
      </c>
      <c r="BS2862" s="3">
        <v>42849</v>
      </c>
      <c r="BT2862" s="4">
        <v>0.36458333333333331</v>
      </c>
      <c r="BU2862" s="2" t="s">
        <v>3001</v>
      </c>
      <c r="BV2862" s="2" t="s">
        <v>111</v>
      </c>
      <c r="BW2862" s="2"/>
      <c r="BX2862" s="2"/>
      <c r="BY2862" s="2">
        <v>17261.82</v>
      </c>
      <c r="BZ2862" s="2"/>
      <c r="CA2862" s="2"/>
      <c r="CB2862" s="2"/>
      <c r="CC2862" s="2" t="s">
        <v>100</v>
      </c>
      <c r="CD2862" s="2">
        <v>6001</v>
      </c>
      <c r="CE2862" s="2" t="s">
        <v>89</v>
      </c>
      <c r="CF2862" s="5">
        <v>42851</v>
      </c>
      <c r="CG2862" s="2"/>
      <c r="CH2862" s="2"/>
      <c r="CI2862" s="2">
        <v>1</v>
      </c>
      <c r="CJ2862" s="2">
        <v>1</v>
      </c>
      <c r="CK2862" s="2">
        <v>21</v>
      </c>
      <c r="CL2862" s="2" t="s">
        <v>86</v>
      </c>
      <c r="CM2862" s="2"/>
    </row>
    <row r="2863" spans="1:91">
      <c r="A2863" s="2" t="s">
        <v>71</v>
      </c>
      <c r="B2863" s="2" t="s">
        <v>72</v>
      </c>
      <c r="C2863" s="2" t="s">
        <v>73</v>
      </c>
      <c r="D2863" s="2"/>
      <c r="E2863" s="2" t="str">
        <f>"FES1162544890"</f>
        <v>FES1162544890</v>
      </c>
      <c r="F2863" s="3">
        <v>42846</v>
      </c>
      <c r="G2863" s="2">
        <v>201710</v>
      </c>
      <c r="H2863" s="2" t="s">
        <v>74</v>
      </c>
      <c r="I2863" s="2" t="s">
        <v>75</v>
      </c>
      <c r="J2863" s="2" t="s">
        <v>76</v>
      </c>
      <c r="K2863" s="2" t="s">
        <v>77</v>
      </c>
      <c r="L2863" s="2" t="s">
        <v>99</v>
      </c>
      <c r="M2863" s="2" t="s">
        <v>100</v>
      </c>
      <c r="N2863" s="2" t="s">
        <v>1682</v>
      </c>
      <c r="O2863" s="2" t="s">
        <v>115</v>
      </c>
      <c r="P2863" s="2" t="str">
        <f>"2170560838                    "</f>
        <v xml:space="preserve">2170560838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7.5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3.2</v>
      </c>
      <c r="BJ2863" s="2">
        <v>0.9</v>
      </c>
      <c r="BK2863" s="2">
        <v>3.5</v>
      </c>
      <c r="BL2863" s="2">
        <v>73.02</v>
      </c>
      <c r="BM2863" s="2">
        <v>10.220000000000001</v>
      </c>
      <c r="BN2863" s="2">
        <v>83.24</v>
      </c>
      <c r="BO2863" s="2">
        <v>83.24</v>
      </c>
      <c r="BP2863" s="2"/>
      <c r="BQ2863" s="2"/>
      <c r="BR2863" s="2" t="s">
        <v>84</v>
      </c>
      <c r="BS2863" s="3">
        <v>42849</v>
      </c>
      <c r="BT2863" s="4">
        <v>0.34583333333333338</v>
      </c>
      <c r="BU2863" s="2" t="s">
        <v>3093</v>
      </c>
      <c r="BV2863" s="2" t="s">
        <v>111</v>
      </c>
      <c r="BW2863" s="2"/>
      <c r="BX2863" s="2"/>
      <c r="BY2863" s="2">
        <v>4604.63</v>
      </c>
      <c r="BZ2863" s="2"/>
      <c r="CA2863" s="2"/>
      <c r="CB2863" s="2"/>
      <c r="CC2863" s="2" t="s">
        <v>100</v>
      </c>
      <c r="CD2863" s="2">
        <v>6000</v>
      </c>
      <c r="CE2863" s="2" t="s">
        <v>89</v>
      </c>
      <c r="CF2863" s="5">
        <v>42850</v>
      </c>
      <c r="CG2863" s="2"/>
      <c r="CH2863" s="2"/>
      <c r="CI2863" s="2">
        <v>1</v>
      </c>
      <c r="CJ2863" s="2">
        <v>1</v>
      </c>
      <c r="CK2863" s="2">
        <v>21</v>
      </c>
      <c r="CL2863" s="2" t="s">
        <v>86</v>
      </c>
      <c r="CM2863" s="2"/>
    </row>
    <row r="2864" spans="1:91">
      <c r="A2864" s="2" t="s">
        <v>71</v>
      </c>
      <c r="B2864" s="2" t="s">
        <v>72</v>
      </c>
      <c r="C2864" s="2" t="s">
        <v>73</v>
      </c>
      <c r="D2864" s="2"/>
      <c r="E2864" s="2" t="str">
        <f>"FES1162544804"</f>
        <v>FES1162544804</v>
      </c>
      <c r="F2864" s="3">
        <v>42846</v>
      </c>
      <c r="G2864" s="2">
        <v>201710</v>
      </c>
      <c r="H2864" s="2" t="s">
        <v>74</v>
      </c>
      <c r="I2864" s="2" t="s">
        <v>75</v>
      </c>
      <c r="J2864" s="2" t="s">
        <v>76</v>
      </c>
      <c r="K2864" s="2" t="s">
        <v>77</v>
      </c>
      <c r="L2864" s="2" t="s">
        <v>294</v>
      </c>
      <c r="M2864" s="2" t="s">
        <v>295</v>
      </c>
      <c r="N2864" s="2" t="s">
        <v>1403</v>
      </c>
      <c r="O2864" s="2" t="s">
        <v>115</v>
      </c>
      <c r="P2864" s="2" t="str">
        <f>"2170561213                    "</f>
        <v xml:space="preserve">2170561213 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67.52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13.4</v>
      </c>
      <c r="BJ2864" s="2">
        <v>31.1</v>
      </c>
      <c r="BK2864" s="2">
        <v>31.5</v>
      </c>
      <c r="BL2864" s="2">
        <v>657.2</v>
      </c>
      <c r="BM2864" s="2">
        <v>92.01</v>
      </c>
      <c r="BN2864" s="2">
        <v>749.21</v>
      </c>
      <c r="BO2864" s="2">
        <v>749.21</v>
      </c>
      <c r="BP2864" s="2"/>
      <c r="BQ2864" s="2" t="s">
        <v>122</v>
      </c>
      <c r="BR2864" s="2" t="s">
        <v>84</v>
      </c>
      <c r="BS2864" s="3">
        <v>42849</v>
      </c>
      <c r="BT2864" s="4">
        <v>0.39583333333333331</v>
      </c>
      <c r="BU2864" s="2" t="s">
        <v>3094</v>
      </c>
      <c r="BV2864" s="2" t="s">
        <v>111</v>
      </c>
      <c r="BW2864" s="2"/>
      <c r="BX2864" s="2"/>
      <c r="BY2864" s="2">
        <v>155384.32000000001</v>
      </c>
      <c r="BZ2864" s="2"/>
      <c r="CA2864" s="2"/>
      <c r="CB2864" s="2"/>
      <c r="CC2864" s="2" t="s">
        <v>295</v>
      </c>
      <c r="CD2864" s="2">
        <v>3610</v>
      </c>
      <c r="CE2864" s="2" t="s">
        <v>89</v>
      </c>
      <c r="CF2864" s="5">
        <v>42850</v>
      </c>
      <c r="CG2864" s="2"/>
      <c r="CH2864" s="2"/>
      <c r="CI2864" s="2">
        <v>1</v>
      </c>
      <c r="CJ2864" s="2">
        <v>1</v>
      </c>
      <c r="CK2864" s="2">
        <v>21</v>
      </c>
      <c r="CL2864" s="2" t="s">
        <v>86</v>
      </c>
      <c r="CM2864" s="2"/>
    </row>
    <row r="2865" spans="1:91">
      <c r="A2865" s="2" t="s">
        <v>71</v>
      </c>
      <c r="B2865" s="2" t="s">
        <v>72</v>
      </c>
      <c r="C2865" s="2" t="s">
        <v>73</v>
      </c>
      <c r="D2865" s="2"/>
      <c r="E2865" s="2" t="str">
        <f>"FES1162545012"</f>
        <v>FES1162545012</v>
      </c>
      <c r="F2865" s="3">
        <v>42846</v>
      </c>
      <c r="G2865" s="2">
        <v>201710</v>
      </c>
      <c r="H2865" s="2" t="s">
        <v>74</v>
      </c>
      <c r="I2865" s="2" t="s">
        <v>75</v>
      </c>
      <c r="J2865" s="2" t="s">
        <v>76</v>
      </c>
      <c r="K2865" s="2" t="s">
        <v>77</v>
      </c>
      <c r="L2865" s="2" t="s">
        <v>294</v>
      </c>
      <c r="M2865" s="2" t="s">
        <v>295</v>
      </c>
      <c r="N2865" s="2" t="s">
        <v>3095</v>
      </c>
      <c r="O2865" s="2" t="s">
        <v>115</v>
      </c>
      <c r="P2865" s="2" t="str">
        <f>"2170563512                    "</f>
        <v xml:space="preserve">2170563512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4.29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0.7</v>
      </c>
      <c r="BJ2865" s="2">
        <v>1</v>
      </c>
      <c r="BK2865" s="2">
        <v>1</v>
      </c>
      <c r="BL2865" s="2">
        <v>41.73</v>
      </c>
      <c r="BM2865" s="2">
        <v>5.84</v>
      </c>
      <c r="BN2865" s="2">
        <v>47.57</v>
      </c>
      <c r="BO2865" s="2">
        <v>47.57</v>
      </c>
      <c r="BP2865" s="2"/>
      <c r="BQ2865" s="2" t="s">
        <v>122</v>
      </c>
      <c r="BR2865" s="2" t="s">
        <v>84</v>
      </c>
      <c r="BS2865" s="3">
        <v>42849</v>
      </c>
      <c r="BT2865" s="4">
        <v>0.39583333333333331</v>
      </c>
      <c r="BU2865" s="2" t="s">
        <v>3096</v>
      </c>
      <c r="BV2865" s="2" t="s">
        <v>111</v>
      </c>
      <c r="BW2865" s="2"/>
      <c r="BX2865" s="2"/>
      <c r="BY2865" s="2">
        <v>4813.7700000000004</v>
      </c>
      <c r="BZ2865" s="2"/>
      <c r="CA2865" s="2"/>
      <c r="CB2865" s="2"/>
      <c r="CC2865" s="2" t="s">
        <v>295</v>
      </c>
      <c r="CD2865" s="2">
        <v>3608</v>
      </c>
      <c r="CE2865" s="2" t="s">
        <v>89</v>
      </c>
      <c r="CF2865" s="5">
        <v>42850</v>
      </c>
      <c r="CG2865" s="2"/>
      <c r="CH2865" s="2"/>
      <c r="CI2865" s="2">
        <v>1</v>
      </c>
      <c r="CJ2865" s="2">
        <v>1</v>
      </c>
      <c r="CK2865" s="2">
        <v>21</v>
      </c>
      <c r="CL2865" s="2" t="s">
        <v>86</v>
      </c>
      <c r="CM2865" s="2"/>
    </row>
    <row r="2866" spans="1:91">
      <c r="A2866" s="2" t="s">
        <v>71</v>
      </c>
      <c r="B2866" s="2" t="s">
        <v>72</v>
      </c>
      <c r="C2866" s="2" t="s">
        <v>73</v>
      </c>
      <c r="D2866" s="2"/>
      <c r="E2866" s="2" t="str">
        <f>"FES1162544867"</f>
        <v>FES1162544867</v>
      </c>
      <c r="F2866" s="3">
        <v>42846</v>
      </c>
      <c r="G2866" s="2">
        <v>201710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180</v>
      </c>
      <c r="M2866" s="2" t="s">
        <v>181</v>
      </c>
      <c r="N2866" s="2" t="s">
        <v>182</v>
      </c>
      <c r="O2866" s="2" t="s">
        <v>115</v>
      </c>
      <c r="P2866" s="2" t="str">
        <f>"2170561325                    "</f>
        <v xml:space="preserve">2170561325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6.43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2.9</v>
      </c>
      <c r="BJ2866" s="2">
        <v>1</v>
      </c>
      <c r="BK2866" s="2">
        <v>3</v>
      </c>
      <c r="BL2866" s="2">
        <v>62.59</v>
      </c>
      <c r="BM2866" s="2">
        <v>8.76</v>
      </c>
      <c r="BN2866" s="2">
        <v>71.349999999999994</v>
      </c>
      <c r="BO2866" s="2">
        <v>71.349999999999994</v>
      </c>
      <c r="BP2866" s="2"/>
      <c r="BQ2866" s="2" t="s">
        <v>183</v>
      </c>
      <c r="BR2866" s="2" t="s">
        <v>84</v>
      </c>
      <c r="BS2866" s="3">
        <v>42849</v>
      </c>
      <c r="BT2866" s="4">
        <v>0.4375</v>
      </c>
      <c r="BU2866" s="2" t="s">
        <v>3097</v>
      </c>
      <c r="BV2866" s="2" t="s">
        <v>111</v>
      </c>
      <c r="BW2866" s="2"/>
      <c r="BX2866" s="2"/>
      <c r="BY2866" s="2">
        <v>5184.1899999999996</v>
      </c>
      <c r="BZ2866" s="2"/>
      <c r="CA2866" s="2"/>
      <c r="CB2866" s="2"/>
      <c r="CC2866" s="2" t="s">
        <v>181</v>
      </c>
      <c r="CD2866" s="2">
        <v>4001</v>
      </c>
      <c r="CE2866" s="2" t="s">
        <v>89</v>
      </c>
      <c r="CF2866" s="5">
        <v>42850</v>
      </c>
      <c r="CG2866" s="2"/>
      <c r="CH2866" s="2"/>
      <c r="CI2866" s="2">
        <v>1</v>
      </c>
      <c r="CJ2866" s="2">
        <v>1</v>
      </c>
      <c r="CK2866" s="2">
        <v>21</v>
      </c>
      <c r="CL2866" s="2" t="s">
        <v>86</v>
      </c>
      <c r="CM2866" s="2"/>
    </row>
    <row r="2867" spans="1:91">
      <c r="A2867" s="2" t="s">
        <v>71</v>
      </c>
      <c r="B2867" s="2" t="s">
        <v>72</v>
      </c>
      <c r="C2867" s="2" t="s">
        <v>73</v>
      </c>
      <c r="D2867" s="2"/>
      <c r="E2867" s="2" t="str">
        <f>"FES1162544910"</f>
        <v>FES1162544910</v>
      </c>
      <c r="F2867" s="3">
        <v>42846</v>
      </c>
      <c r="G2867" s="2">
        <v>201710</v>
      </c>
      <c r="H2867" s="2" t="s">
        <v>74</v>
      </c>
      <c r="I2867" s="2" t="s">
        <v>75</v>
      </c>
      <c r="J2867" s="2" t="s">
        <v>76</v>
      </c>
      <c r="K2867" s="2" t="s">
        <v>77</v>
      </c>
      <c r="L2867" s="2" t="s">
        <v>180</v>
      </c>
      <c r="M2867" s="2" t="s">
        <v>181</v>
      </c>
      <c r="N2867" s="2" t="s">
        <v>988</v>
      </c>
      <c r="O2867" s="2" t="s">
        <v>115</v>
      </c>
      <c r="P2867" s="2" t="str">
        <f>"2170561548                    "</f>
        <v xml:space="preserve">2170561548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9.65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1</v>
      </c>
      <c r="BI2867" s="2">
        <v>4.0999999999999996</v>
      </c>
      <c r="BJ2867" s="2">
        <v>3.4</v>
      </c>
      <c r="BK2867" s="2">
        <v>4.5</v>
      </c>
      <c r="BL2867" s="2">
        <v>93.89</v>
      </c>
      <c r="BM2867" s="2">
        <v>13.14</v>
      </c>
      <c r="BN2867" s="2">
        <v>107.03</v>
      </c>
      <c r="BO2867" s="2">
        <v>107.03</v>
      </c>
      <c r="BP2867" s="2"/>
      <c r="BQ2867" s="2" t="s">
        <v>83</v>
      </c>
      <c r="BR2867" s="2" t="s">
        <v>84</v>
      </c>
      <c r="BS2867" s="3">
        <v>42849</v>
      </c>
      <c r="BT2867" s="4">
        <v>0.41666666666666669</v>
      </c>
      <c r="BU2867" s="2" t="s">
        <v>989</v>
      </c>
      <c r="BV2867" s="2" t="s">
        <v>111</v>
      </c>
      <c r="BW2867" s="2"/>
      <c r="BX2867" s="2"/>
      <c r="BY2867" s="2">
        <v>16912.28</v>
      </c>
      <c r="BZ2867" s="2"/>
      <c r="CA2867" s="2"/>
      <c r="CB2867" s="2"/>
      <c r="CC2867" s="2" t="s">
        <v>181</v>
      </c>
      <c r="CD2867" s="2">
        <v>4068</v>
      </c>
      <c r="CE2867" s="2" t="s">
        <v>89</v>
      </c>
      <c r="CF2867" s="5">
        <v>42850</v>
      </c>
      <c r="CG2867" s="2"/>
      <c r="CH2867" s="2"/>
      <c r="CI2867" s="2">
        <v>1</v>
      </c>
      <c r="CJ2867" s="2">
        <v>1</v>
      </c>
      <c r="CK2867" s="2">
        <v>21</v>
      </c>
      <c r="CL2867" s="2" t="s">
        <v>86</v>
      </c>
      <c r="CM2867" s="2"/>
    </row>
    <row r="2868" spans="1:91">
      <c r="A2868" s="2" t="s">
        <v>71</v>
      </c>
      <c r="B2868" s="2" t="s">
        <v>72</v>
      </c>
      <c r="C2868" s="2" t="s">
        <v>73</v>
      </c>
      <c r="D2868" s="2"/>
      <c r="E2868" s="2" t="str">
        <f>"FES1162544841"</f>
        <v>FES1162544841</v>
      </c>
      <c r="F2868" s="3">
        <v>42846</v>
      </c>
      <c r="G2868" s="2">
        <v>201710</v>
      </c>
      <c r="H2868" s="2" t="s">
        <v>74</v>
      </c>
      <c r="I2868" s="2" t="s">
        <v>75</v>
      </c>
      <c r="J2868" s="2" t="s">
        <v>76</v>
      </c>
      <c r="K2868" s="2" t="s">
        <v>77</v>
      </c>
      <c r="L2868" s="2" t="s">
        <v>180</v>
      </c>
      <c r="M2868" s="2" t="s">
        <v>181</v>
      </c>
      <c r="N2868" s="2" t="s">
        <v>182</v>
      </c>
      <c r="O2868" s="2" t="s">
        <v>115</v>
      </c>
      <c r="P2868" s="2" t="str">
        <f>"2170563377                    "</f>
        <v xml:space="preserve">2170563377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13.93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2</v>
      </c>
      <c r="BI2868" s="2">
        <v>6.5</v>
      </c>
      <c r="BJ2868" s="2">
        <v>2.6</v>
      </c>
      <c r="BK2868" s="2">
        <v>6.5</v>
      </c>
      <c r="BL2868" s="2">
        <v>135.61000000000001</v>
      </c>
      <c r="BM2868" s="2">
        <v>18.989999999999998</v>
      </c>
      <c r="BN2868" s="2">
        <v>154.6</v>
      </c>
      <c r="BO2868" s="2">
        <v>154.6</v>
      </c>
      <c r="BP2868" s="2"/>
      <c r="BQ2868" s="2" t="s">
        <v>183</v>
      </c>
      <c r="BR2868" s="2" t="s">
        <v>84</v>
      </c>
      <c r="BS2868" s="3">
        <v>42851</v>
      </c>
      <c r="BT2868" s="4">
        <v>0.71458333333333324</v>
      </c>
      <c r="BU2868" s="2" t="s">
        <v>1148</v>
      </c>
      <c r="BV2868" s="2" t="s">
        <v>86</v>
      </c>
      <c r="BW2868" s="2"/>
      <c r="BX2868" s="2"/>
      <c r="BY2868" s="2">
        <v>12862.23</v>
      </c>
      <c r="BZ2868" s="2"/>
      <c r="CA2868" s="2" t="s">
        <v>590</v>
      </c>
      <c r="CB2868" s="2"/>
      <c r="CC2868" s="2" t="s">
        <v>181</v>
      </c>
      <c r="CD2868" s="2">
        <v>4001</v>
      </c>
      <c r="CE2868" s="2" t="s">
        <v>89</v>
      </c>
      <c r="CF2868" s="2"/>
      <c r="CG2868" s="2"/>
      <c r="CH2868" s="2"/>
      <c r="CI2868" s="2">
        <v>1</v>
      </c>
      <c r="CJ2868" s="2">
        <v>3</v>
      </c>
      <c r="CK2868" s="2">
        <v>21</v>
      </c>
      <c r="CL2868" s="2" t="s">
        <v>86</v>
      </c>
      <c r="CM2868" s="2"/>
    </row>
    <row r="2869" spans="1:91">
      <c r="A2869" s="2" t="s">
        <v>71</v>
      </c>
      <c r="B2869" s="2" t="s">
        <v>72</v>
      </c>
      <c r="C2869" s="2" t="s">
        <v>73</v>
      </c>
      <c r="D2869" s="2"/>
      <c r="E2869" s="2" t="str">
        <f>"FES1162545021"</f>
        <v>FES1162545021</v>
      </c>
      <c r="F2869" s="3">
        <v>42846</v>
      </c>
      <c r="G2869" s="2">
        <v>201710</v>
      </c>
      <c r="H2869" s="2" t="s">
        <v>74</v>
      </c>
      <c r="I2869" s="2" t="s">
        <v>75</v>
      </c>
      <c r="J2869" s="2" t="s">
        <v>76</v>
      </c>
      <c r="K2869" s="2" t="s">
        <v>77</v>
      </c>
      <c r="L2869" s="2" t="s">
        <v>99</v>
      </c>
      <c r="M2869" s="2" t="s">
        <v>100</v>
      </c>
      <c r="N2869" s="2" t="s">
        <v>151</v>
      </c>
      <c r="O2869" s="2" t="s">
        <v>115</v>
      </c>
      <c r="P2869" s="2" t="str">
        <f>"2170563533                    "</f>
        <v xml:space="preserve">2170563533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5.36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2.1</v>
      </c>
      <c r="BJ2869" s="2">
        <v>0.9</v>
      </c>
      <c r="BK2869" s="2">
        <v>2.5</v>
      </c>
      <c r="BL2869" s="2">
        <v>52.16</v>
      </c>
      <c r="BM2869" s="2">
        <v>7.3</v>
      </c>
      <c r="BN2869" s="2">
        <v>59.46</v>
      </c>
      <c r="BO2869" s="2">
        <v>59.46</v>
      </c>
      <c r="BP2869" s="2"/>
      <c r="BQ2869" s="2" t="s">
        <v>152</v>
      </c>
      <c r="BR2869" s="2" t="s">
        <v>84</v>
      </c>
      <c r="BS2869" s="3">
        <v>42849</v>
      </c>
      <c r="BT2869" s="4">
        <v>0.30555555555555552</v>
      </c>
      <c r="BU2869" s="2" t="s">
        <v>3045</v>
      </c>
      <c r="BV2869" s="2" t="s">
        <v>111</v>
      </c>
      <c r="BW2869" s="2"/>
      <c r="BX2869" s="2"/>
      <c r="BY2869" s="2">
        <v>4693.08</v>
      </c>
      <c r="BZ2869" s="2"/>
      <c r="CA2869" s="2"/>
      <c r="CB2869" s="2"/>
      <c r="CC2869" s="2" t="s">
        <v>100</v>
      </c>
      <c r="CD2869" s="2">
        <v>6001</v>
      </c>
      <c r="CE2869" s="2" t="s">
        <v>89</v>
      </c>
      <c r="CF2869" s="5">
        <v>42850</v>
      </c>
      <c r="CG2869" s="2"/>
      <c r="CH2869" s="2"/>
      <c r="CI2869" s="2">
        <v>1</v>
      </c>
      <c r="CJ2869" s="2">
        <v>1</v>
      </c>
      <c r="CK2869" s="2">
        <v>21</v>
      </c>
      <c r="CL2869" s="2" t="s">
        <v>86</v>
      </c>
      <c r="CM2869" s="2"/>
    </row>
    <row r="2870" spans="1:91">
      <c r="A2870" s="2" t="s">
        <v>71</v>
      </c>
      <c r="B2870" s="2" t="s">
        <v>72</v>
      </c>
      <c r="C2870" s="2" t="s">
        <v>73</v>
      </c>
      <c r="D2870" s="2"/>
      <c r="E2870" s="2" t="str">
        <f>"FES1162544822"</f>
        <v>FES1162544822</v>
      </c>
      <c r="F2870" s="3">
        <v>42846</v>
      </c>
      <c r="G2870" s="2">
        <v>201710</v>
      </c>
      <c r="H2870" s="2" t="s">
        <v>74</v>
      </c>
      <c r="I2870" s="2" t="s">
        <v>75</v>
      </c>
      <c r="J2870" s="2" t="s">
        <v>76</v>
      </c>
      <c r="K2870" s="2" t="s">
        <v>77</v>
      </c>
      <c r="L2870" s="2" t="s">
        <v>180</v>
      </c>
      <c r="M2870" s="2" t="s">
        <v>181</v>
      </c>
      <c r="N2870" s="2" t="s">
        <v>1247</v>
      </c>
      <c r="O2870" s="2" t="s">
        <v>115</v>
      </c>
      <c r="P2870" s="2" t="str">
        <f>"2170563354                    "</f>
        <v xml:space="preserve">2170563354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5.36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2.5</v>
      </c>
      <c r="BJ2870" s="2">
        <v>1</v>
      </c>
      <c r="BK2870" s="2">
        <v>2.5</v>
      </c>
      <c r="BL2870" s="2">
        <v>52.16</v>
      </c>
      <c r="BM2870" s="2">
        <v>7.3</v>
      </c>
      <c r="BN2870" s="2">
        <v>59.46</v>
      </c>
      <c r="BO2870" s="2">
        <v>59.46</v>
      </c>
      <c r="BP2870" s="2"/>
      <c r="BQ2870" s="2" t="s">
        <v>129</v>
      </c>
      <c r="BR2870" s="2" t="s">
        <v>84</v>
      </c>
      <c r="BS2870" s="3">
        <v>42849</v>
      </c>
      <c r="BT2870" s="4">
        <v>0.41666666666666669</v>
      </c>
      <c r="BU2870" s="2" t="s">
        <v>3098</v>
      </c>
      <c r="BV2870" s="2" t="s">
        <v>111</v>
      </c>
      <c r="BW2870" s="2"/>
      <c r="BX2870" s="2"/>
      <c r="BY2870" s="2">
        <v>4961.55</v>
      </c>
      <c r="BZ2870" s="2"/>
      <c r="CA2870" s="2"/>
      <c r="CB2870" s="2"/>
      <c r="CC2870" s="2" t="s">
        <v>181</v>
      </c>
      <c r="CD2870" s="2">
        <v>4001</v>
      </c>
      <c r="CE2870" s="2" t="s">
        <v>89</v>
      </c>
      <c r="CF2870" s="5">
        <v>42850</v>
      </c>
      <c r="CG2870" s="2"/>
      <c r="CH2870" s="2"/>
      <c r="CI2870" s="2">
        <v>1</v>
      </c>
      <c r="CJ2870" s="2">
        <v>1</v>
      </c>
      <c r="CK2870" s="2">
        <v>21</v>
      </c>
      <c r="CL2870" s="2" t="s">
        <v>86</v>
      </c>
      <c r="CM2870" s="2"/>
    </row>
    <row r="2871" spans="1:91">
      <c r="A2871" s="2" t="s">
        <v>71</v>
      </c>
      <c r="B2871" s="2" t="s">
        <v>72</v>
      </c>
      <c r="C2871" s="2" t="s">
        <v>73</v>
      </c>
      <c r="D2871" s="2"/>
      <c r="E2871" s="2" t="str">
        <f>"FES1162544976"</f>
        <v>FES1162544976</v>
      </c>
      <c r="F2871" s="3">
        <v>42846</v>
      </c>
      <c r="G2871" s="2">
        <v>201710</v>
      </c>
      <c r="H2871" s="2" t="s">
        <v>74</v>
      </c>
      <c r="I2871" s="2" t="s">
        <v>75</v>
      </c>
      <c r="J2871" s="2" t="s">
        <v>76</v>
      </c>
      <c r="K2871" s="2" t="s">
        <v>77</v>
      </c>
      <c r="L2871" s="2" t="s">
        <v>131</v>
      </c>
      <c r="M2871" s="2" t="s">
        <v>132</v>
      </c>
      <c r="N2871" s="2" t="s">
        <v>3099</v>
      </c>
      <c r="O2871" s="2" t="s">
        <v>115</v>
      </c>
      <c r="P2871" s="2" t="str">
        <f>"2170563463                    "</f>
        <v xml:space="preserve">2170563463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11.79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2</v>
      </c>
      <c r="BI2871" s="2">
        <v>5.5</v>
      </c>
      <c r="BJ2871" s="2">
        <v>2.1</v>
      </c>
      <c r="BK2871" s="2">
        <v>5.5</v>
      </c>
      <c r="BL2871" s="2">
        <v>114.75</v>
      </c>
      <c r="BM2871" s="2">
        <v>16.07</v>
      </c>
      <c r="BN2871" s="2">
        <v>130.82</v>
      </c>
      <c r="BO2871" s="2">
        <v>130.82</v>
      </c>
      <c r="BP2871" s="2"/>
      <c r="BQ2871" s="2" t="s">
        <v>116</v>
      </c>
      <c r="BR2871" s="2" t="s">
        <v>84</v>
      </c>
      <c r="BS2871" s="3">
        <v>42849</v>
      </c>
      <c r="BT2871" s="4">
        <v>0.41666666666666669</v>
      </c>
      <c r="BU2871" s="2" t="s">
        <v>803</v>
      </c>
      <c r="BV2871" s="2" t="s">
        <v>111</v>
      </c>
      <c r="BW2871" s="2"/>
      <c r="BX2871" s="2"/>
      <c r="BY2871" s="2">
        <v>10339.459999999999</v>
      </c>
      <c r="BZ2871" s="2"/>
      <c r="CA2871" s="2"/>
      <c r="CB2871" s="2"/>
      <c r="CC2871" s="2" t="s">
        <v>132</v>
      </c>
      <c r="CD2871" s="2">
        <v>7441</v>
      </c>
      <c r="CE2871" s="2" t="s">
        <v>89</v>
      </c>
      <c r="CF2871" s="5">
        <v>42850</v>
      </c>
      <c r="CG2871" s="2"/>
      <c r="CH2871" s="2"/>
      <c r="CI2871" s="2">
        <v>1</v>
      </c>
      <c r="CJ2871" s="2">
        <v>1</v>
      </c>
      <c r="CK2871" s="2">
        <v>21</v>
      </c>
      <c r="CL2871" s="2" t="s">
        <v>86</v>
      </c>
      <c r="CM2871" s="2"/>
    </row>
    <row r="2872" spans="1:91">
      <c r="A2872" s="2" t="s">
        <v>71</v>
      </c>
      <c r="B2872" s="2" t="s">
        <v>72</v>
      </c>
      <c r="C2872" s="2" t="s">
        <v>73</v>
      </c>
      <c r="D2872" s="2"/>
      <c r="E2872" s="2" t="str">
        <f>"FES1162544807"</f>
        <v>FES1162544807</v>
      </c>
      <c r="F2872" s="3">
        <v>42846</v>
      </c>
      <c r="G2872" s="2">
        <v>201710</v>
      </c>
      <c r="H2872" s="2" t="s">
        <v>74</v>
      </c>
      <c r="I2872" s="2" t="s">
        <v>75</v>
      </c>
      <c r="J2872" s="2" t="s">
        <v>76</v>
      </c>
      <c r="K2872" s="2" t="s">
        <v>77</v>
      </c>
      <c r="L2872" s="2" t="s">
        <v>99</v>
      </c>
      <c r="M2872" s="2" t="s">
        <v>100</v>
      </c>
      <c r="N2872" s="2" t="s">
        <v>3100</v>
      </c>
      <c r="O2872" s="2" t="s">
        <v>115</v>
      </c>
      <c r="P2872" s="2" t="str">
        <f>"2170561348                    "</f>
        <v xml:space="preserve">2170561348 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41.8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19.5</v>
      </c>
      <c r="BJ2872" s="2">
        <v>19.2</v>
      </c>
      <c r="BK2872" s="2">
        <v>19.5</v>
      </c>
      <c r="BL2872" s="2">
        <v>406.84</v>
      </c>
      <c r="BM2872" s="2">
        <v>56.96</v>
      </c>
      <c r="BN2872" s="2">
        <v>463.8</v>
      </c>
      <c r="BO2872" s="2">
        <v>463.8</v>
      </c>
      <c r="BP2872" s="2"/>
      <c r="BQ2872" s="2" t="s">
        <v>116</v>
      </c>
      <c r="BR2872" s="2" t="s">
        <v>84</v>
      </c>
      <c r="BS2872" s="3">
        <v>42849</v>
      </c>
      <c r="BT2872" s="4">
        <v>0.41319444444444442</v>
      </c>
      <c r="BU2872" s="2" t="s">
        <v>130</v>
      </c>
      <c r="BV2872" s="2" t="s">
        <v>111</v>
      </c>
      <c r="BW2872" s="2"/>
      <c r="BX2872" s="2"/>
      <c r="BY2872" s="2">
        <v>95940.78</v>
      </c>
      <c r="BZ2872" s="2"/>
      <c r="CA2872" s="2"/>
      <c r="CB2872" s="2"/>
      <c r="CC2872" s="2" t="s">
        <v>100</v>
      </c>
      <c r="CD2872" s="2">
        <v>6001</v>
      </c>
      <c r="CE2872" s="2" t="s">
        <v>89</v>
      </c>
      <c r="CF2872" s="5">
        <v>42850</v>
      </c>
      <c r="CG2872" s="2"/>
      <c r="CH2872" s="2"/>
      <c r="CI2872" s="2">
        <v>1</v>
      </c>
      <c r="CJ2872" s="2">
        <v>1</v>
      </c>
      <c r="CK2872" s="2">
        <v>21</v>
      </c>
      <c r="CL2872" s="2" t="s">
        <v>86</v>
      </c>
      <c r="CM2872" s="2"/>
    </row>
    <row r="2873" spans="1:91">
      <c r="A2873" s="2" t="s">
        <v>71</v>
      </c>
      <c r="B2873" s="2" t="s">
        <v>72</v>
      </c>
      <c r="C2873" s="2" t="s">
        <v>73</v>
      </c>
      <c r="D2873" s="2"/>
      <c r="E2873" s="2" t="str">
        <f>"FES1162544470"</f>
        <v>FES1162544470</v>
      </c>
      <c r="F2873" s="3">
        <v>42846</v>
      </c>
      <c r="G2873" s="2">
        <v>201710</v>
      </c>
      <c r="H2873" s="2" t="s">
        <v>74</v>
      </c>
      <c r="I2873" s="2" t="s">
        <v>75</v>
      </c>
      <c r="J2873" s="2" t="s">
        <v>76</v>
      </c>
      <c r="K2873" s="2" t="s">
        <v>77</v>
      </c>
      <c r="L2873" s="2" t="s">
        <v>714</v>
      </c>
      <c r="M2873" s="2" t="s">
        <v>715</v>
      </c>
      <c r="N2873" s="2" t="s">
        <v>716</v>
      </c>
      <c r="O2873" s="2" t="s">
        <v>115</v>
      </c>
      <c r="P2873" s="2" t="str">
        <f>"2170562669                    "</f>
        <v xml:space="preserve">2170562669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3.35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6</v>
      </c>
      <c r="BJ2873" s="2">
        <v>7.5</v>
      </c>
      <c r="BK2873" s="2">
        <v>8</v>
      </c>
      <c r="BL2873" s="2">
        <v>32.6</v>
      </c>
      <c r="BM2873" s="2">
        <v>4.5599999999999996</v>
      </c>
      <c r="BN2873" s="2">
        <v>37.159999999999997</v>
      </c>
      <c r="BO2873" s="2">
        <v>37.159999999999997</v>
      </c>
      <c r="BP2873" s="2"/>
      <c r="BQ2873" s="2" t="s">
        <v>717</v>
      </c>
      <c r="BR2873" s="2" t="s">
        <v>84</v>
      </c>
      <c r="BS2873" s="1" t="s">
        <v>1744</v>
      </c>
      <c r="BT2873" s="2"/>
      <c r="BU2873" s="2"/>
      <c r="BV2873" s="2"/>
      <c r="BW2873" s="2"/>
      <c r="BX2873" s="2"/>
      <c r="BY2873" s="2">
        <v>37279.870000000003</v>
      </c>
      <c r="BZ2873" s="2"/>
      <c r="CA2873" s="2"/>
      <c r="CB2873" s="2"/>
      <c r="CC2873" s="2" t="s">
        <v>715</v>
      </c>
      <c r="CD2873" s="2">
        <v>1554</v>
      </c>
      <c r="CE2873" s="2" t="s">
        <v>89</v>
      </c>
      <c r="CF2873" s="2"/>
      <c r="CG2873" s="2"/>
      <c r="CH2873" s="2"/>
      <c r="CI2873" s="2">
        <v>1</v>
      </c>
      <c r="CJ2873" s="2" t="s">
        <v>1744</v>
      </c>
      <c r="CK2873" s="2">
        <v>22</v>
      </c>
      <c r="CL2873" s="2" t="s">
        <v>86</v>
      </c>
      <c r="CM2873" s="2"/>
    </row>
    <row r="2874" spans="1:91">
      <c r="A2874" s="2" t="s">
        <v>71</v>
      </c>
      <c r="B2874" s="2" t="s">
        <v>72</v>
      </c>
      <c r="C2874" s="2" t="s">
        <v>73</v>
      </c>
      <c r="D2874" s="2"/>
      <c r="E2874" s="2" t="str">
        <f>"FES1162544469"</f>
        <v>FES1162544469</v>
      </c>
      <c r="F2874" s="3">
        <v>42846</v>
      </c>
      <c r="G2874" s="2">
        <v>201710</v>
      </c>
      <c r="H2874" s="2" t="s">
        <v>74</v>
      </c>
      <c r="I2874" s="2" t="s">
        <v>75</v>
      </c>
      <c r="J2874" s="2" t="s">
        <v>76</v>
      </c>
      <c r="K2874" s="2" t="s">
        <v>77</v>
      </c>
      <c r="L2874" s="2" t="s">
        <v>91</v>
      </c>
      <c r="M2874" s="2" t="s">
        <v>92</v>
      </c>
      <c r="N2874" s="2" t="s">
        <v>1411</v>
      </c>
      <c r="O2874" s="2" t="s">
        <v>115</v>
      </c>
      <c r="P2874" s="2" t="str">
        <f>"2170562640                    "</f>
        <v xml:space="preserve">2170562640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3.35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2.2000000000000002</v>
      </c>
      <c r="BJ2874" s="2">
        <v>2.9</v>
      </c>
      <c r="BK2874" s="2">
        <v>3</v>
      </c>
      <c r="BL2874" s="2">
        <v>32.6</v>
      </c>
      <c r="BM2874" s="2">
        <v>4.5599999999999996</v>
      </c>
      <c r="BN2874" s="2">
        <v>37.159999999999997</v>
      </c>
      <c r="BO2874" s="2">
        <v>37.159999999999997</v>
      </c>
      <c r="BP2874" s="2"/>
      <c r="BQ2874" s="2" t="s">
        <v>1412</v>
      </c>
      <c r="BR2874" s="2" t="s">
        <v>84</v>
      </c>
      <c r="BS2874" s="3">
        <v>42849</v>
      </c>
      <c r="BT2874" s="4">
        <v>0.41666666666666669</v>
      </c>
      <c r="BU2874" s="2" t="s">
        <v>3101</v>
      </c>
      <c r="BV2874" s="2" t="s">
        <v>111</v>
      </c>
      <c r="BW2874" s="2"/>
      <c r="BX2874" s="2"/>
      <c r="BY2874" s="2">
        <v>14676.02</v>
      </c>
      <c r="BZ2874" s="2"/>
      <c r="CA2874" s="2" t="s">
        <v>159</v>
      </c>
      <c r="CB2874" s="2"/>
      <c r="CC2874" s="2" t="s">
        <v>92</v>
      </c>
      <c r="CD2874" s="2">
        <v>1422</v>
      </c>
      <c r="CE2874" s="2" t="s">
        <v>89</v>
      </c>
      <c r="CF2874" s="5">
        <v>42850</v>
      </c>
      <c r="CG2874" s="2"/>
      <c r="CH2874" s="2"/>
      <c r="CI2874" s="2">
        <v>1</v>
      </c>
      <c r="CJ2874" s="2">
        <v>1</v>
      </c>
      <c r="CK2874" s="2">
        <v>22</v>
      </c>
      <c r="CL2874" s="2" t="s">
        <v>86</v>
      </c>
      <c r="CM2874" s="2"/>
    </row>
    <row r="2875" spans="1:91">
      <c r="A2875" s="2" t="s">
        <v>71</v>
      </c>
      <c r="B2875" s="2" t="s">
        <v>72</v>
      </c>
      <c r="C2875" s="2" t="s">
        <v>73</v>
      </c>
      <c r="D2875" s="2"/>
      <c r="E2875" s="2" t="str">
        <f>"FES1162544754"</f>
        <v>FES1162544754</v>
      </c>
      <c r="F2875" s="3">
        <v>42846</v>
      </c>
      <c r="G2875" s="2">
        <v>201710</v>
      </c>
      <c r="H2875" s="2" t="s">
        <v>74</v>
      </c>
      <c r="I2875" s="2" t="s">
        <v>75</v>
      </c>
      <c r="J2875" s="2" t="s">
        <v>76</v>
      </c>
      <c r="K2875" s="2" t="s">
        <v>77</v>
      </c>
      <c r="L2875" s="2" t="s">
        <v>91</v>
      </c>
      <c r="M2875" s="2" t="s">
        <v>92</v>
      </c>
      <c r="N2875" s="2" t="s">
        <v>577</v>
      </c>
      <c r="O2875" s="2" t="s">
        <v>115</v>
      </c>
      <c r="P2875" s="2" t="str">
        <f>"2170563310                    "</f>
        <v xml:space="preserve">2170563310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3.35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1.3</v>
      </c>
      <c r="BJ2875" s="2">
        <v>0.6</v>
      </c>
      <c r="BK2875" s="2">
        <v>2</v>
      </c>
      <c r="BL2875" s="2">
        <v>32.6</v>
      </c>
      <c r="BM2875" s="2">
        <v>4.5599999999999996</v>
      </c>
      <c r="BN2875" s="2">
        <v>37.159999999999997</v>
      </c>
      <c r="BO2875" s="2">
        <v>37.159999999999997</v>
      </c>
      <c r="BP2875" s="2"/>
      <c r="BQ2875" s="2" t="s">
        <v>578</v>
      </c>
      <c r="BR2875" s="2" t="s">
        <v>84</v>
      </c>
      <c r="BS2875" s="3">
        <v>42849</v>
      </c>
      <c r="BT2875" s="4">
        <v>0.41666666666666669</v>
      </c>
      <c r="BU2875" s="2" t="s">
        <v>1159</v>
      </c>
      <c r="BV2875" s="2" t="s">
        <v>111</v>
      </c>
      <c r="BW2875" s="2"/>
      <c r="BX2875" s="2"/>
      <c r="BY2875" s="2">
        <v>2882.45</v>
      </c>
      <c r="BZ2875" s="2"/>
      <c r="CA2875" s="2" t="s">
        <v>159</v>
      </c>
      <c r="CB2875" s="2"/>
      <c r="CC2875" s="2" t="s">
        <v>92</v>
      </c>
      <c r="CD2875" s="2">
        <v>1428</v>
      </c>
      <c r="CE2875" s="2" t="s">
        <v>118</v>
      </c>
      <c r="CF2875" s="5">
        <v>42850</v>
      </c>
      <c r="CG2875" s="2"/>
      <c r="CH2875" s="2"/>
      <c r="CI2875" s="2">
        <v>1</v>
      </c>
      <c r="CJ2875" s="2">
        <v>1</v>
      </c>
      <c r="CK2875" s="2">
        <v>22</v>
      </c>
      <c r="CL2875" s="2" t="s">
        <v>86</v>
      </c>
      <c r="CM2875" s="2"/>
    </row>
    <row r="2876" spans="1:91">
      <c r="A2876" s="2" t="s">
        <v>71</v>
      </c>
      <c r="B2876" s="2" t="s">
        <v>72</v>
      </c>
      <c r="C2876" s="2" t="s">
        <v>73</v>
      </c>
      <c r="D2876" s="2"/>
      <c r="E2876" s="2" t="str">
        <f>"009932187242"</f>
        <v>009932187242</v>
      </c>
      <c r="F2876" s="3">
        <v>42846</v>
      </c>
      <c r="G2876" s="2">
        <v>201710</v>
      </c>
      <c r="H2876" s="2" t="s">
        <v>74</v>
      </c>
      <c r="I2876" s="2" t="s">
        <v>75</v>
      </c>
      <c r="J2876" s="2" t="s">
        <v>76</v>
      </c>
      <c r="K2876" s="2" t="s">
        <v>77</v>
      </c>
      <c r="L2876" s="2" t="s">
        <v>231</v>
      </c>
      <c r="M2876" s="2" t="s">
        <v>232</v>
      </c>
      <c r="N2876" s="2" t="s">
        <v>334</v>
      </c>
      <c r="O2876" s="2" t="s">
        <v>115</v>
      </c>
      <c r="P2876" s="2" t="str">
        <f>"1162541969                    "</f>
        <v xml:space="preserve">1162541969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7.5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1.4</v>
      </c>
      <c r="BJ2876" s="2">
        <v>2.2999999999999998</v>
      </c>
      <c r="BK2876" s="2">
        <v>2.5</v>
      </c>
      <c r="BL2876" s="2">
        <v>72.97</v>
      </c>
      <c r="BM2876" s="2">
        <v>10.220000000000001</v>
      </c>
      <c r="BN2876" s="2">
        <v>83.19</v>
      </c>
      <c r="BO2876" s="2">
        <v>83.19</v>
      </c>
      <c r="BP2876" s="2" t="s">
        <v>3102</v>
      </c>
      <c r="BQ2876" s="2" t="s">
        <v>122</v>
      </c>
      <c r="BR2876" s="2" t="s">
        <v>84</v>
      </c>
      <c r="BS2876" s="3">
        <v>42849</v>
      </c>
      <c r="BT2876" s="4">
        <v>0.46875</v>
      </c>
      <c r="BU2876" s="2" t="s">
        <v>335</v>
      </c>
      <c r="BV2876" s="2" t="s">
        <v>111</v>
      </c>
      <c r="BW2876" s="2"/>
      <c r="BX2876" s="2"/>
      <c r="BY2876" s="2">
        <v>11294.48</v>
      </c>
      <c r="BZ2876" s="2"/>
      <c r="CA2876" s="2"/>
      <c r="CB2876" s="2"/>
      <c r="CC2876" s="2" t="s">
        <v>232</v>
      </c>
      <c r="CD2876" s="2">
        <v>250</v>
      </c>
      <c r="CE2876" s="2" t="s">
        <v>118</v>
      </c>
      <c r="CF2876" s="5">
        <v>42851</v>
      </c>
      <c r="CG2876" s="2"/>
      <c r="CH2876" s="2"/>
      <c r="CI2876" s="2">
        <v>1</v>
      </c>
      <c r="CJ2876" s="2">
        <v>1</v>
      </c>
      <c r="CK2876" s="2">
        <v>24</v>
      </c>
      <c r="CL2876" s="2" t="s">
        <v>86</v>
      </c>
      <c r="CM2876" s="2"/>
    </row>
    <row r="2877" spans="1:91">
      <c r="A2877" s="2" t="s">
        <v>71</v>
      </c>
      <c r="B2877" s="2" t="s">
        <v>72</v>
      </c>
      <c r="C2877" s="2" t="s">
        <v>73</v>
      </c>
      <c r="D2877" s="2"/>
      <c r="E2877" s="2" t="str">
        <f>"FES1162545043"</f>
        <v>FES1162545043</v>
      </c>
      <c r="F2877" s="3">
        <v>42846</v>
      </c>
      <c r="G2877" s="2">
        <v>201710</v>
      </c>
      <c r="H2877" s="2" t="s">
        <v>74</v>
      </c>
      <c r="I2877" s="2" t="s">
        <v>75</v>
      </c>
      <c r="J2877" s="2" t="s">
        <v>76</v>
      </c>
      <c r="K2877" s="2" t="s">
        <v>77</v>
      </c>
      <c r="L2877" s="2" t="s">
        <v>131</v>
      </c>
      <c r="M2877" s="2" t="s">
        <v>132</v>
      </c>
      <c r="N2877" s="2" t="s">
        <v>155</v>
      </c>
      <c r="O2877" s="2" t="s">
        <v>115</v>
      </c>
      <c r="P2877" s="2" t="str">
        <f>"2170563557                    "</f>
        <v xml:space="preserve">2170563557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8.57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3.6</v>
      </c>
      <c r="BJ2877" s="2">
        <v>2.8</v>
      </c>
      <c r="BK2877" s="2">
        <v>4</v>
      </c>
      <c r="BL2877" s="2">
        <v>83.45</v>
      </c>
      <c r="BM2877" s="2">
        <v>11.68</v>
      </c>
      <c r="BN2877" s="2">
        <v>95.13</v>
      </c>
      <c r="BO2877" s="2">
        <v>95.13</v>
      </c>
      <c r="BP2877" s="2"/>
      <c r="BQ2877" s="2" t="s">
        <v>116</v>
      </c>
      <c r="BR2877" s="2" t="s">
        <v>84</v>
      </c>
      <c r="BS2877" s="3">
        <v>42849</v>
      </c>
      <c r="BT2877" s="4">
        <v>0.41666666666666669</v>
      </c>
      <c r="BU2877" s="2" t="s">
        <v>3103</v>
      </c>
      <c r="BV2877" s="2" t="s">
        <v>111</v>
      </c>
      <c r="BW2877" s="2"/>
      <c r="BX2877" s="2"/>
      <c r="BY2877" s="2">
        <v>13792.19</v>
      </c>
      <c r="BZ2877" s="2"/>
      <c r="CA2877" s="2"/>
      <c r="CB2877" s="2"/>
      <c r="CC2877" s="2" t="s">
        <v>132</v>
      </c>
      <c r="CD2877" s="2">
        <v>7441</v>
      </c>
      <c r="CE2877" s="2" t="s">
        <v>118</v>
      </c>
      <c r="CF2877" s="5">
        <v>42850</v>
      </c>
      <c r="CG2877" s="2"/>
      <c r="CH2877" s="2"/>
      <c r="CI2877" s="2">
        <v>1</v>
      </c>
      <c r="CJ2877" s="2">
        <v>1</v>
      </c>
      <c r="CK2877" s="2">
        <v>21</v>
      </c>
      <c r="CL2877" s="2" t="s">
        <v>86</v>
      </c>
      <c r="CM2877" s="2"/>
    </row>
    <row r="2878" spans="1:91">
      <c r="A2878" s="2" t="s">
        <v>71</v>
      </c>
      <c r="B2878" s="2" t="s">
        <v>72</v>
      </c>
      <c r="C2878" s="2" t="s">
        <v>73</v>
      </c>
      <c r="D2878" s="2"/>
      <c r="E2878" s="2" t="str">
        <f>"FES1162544725"</f>
        <v>FES1162544725</v>
      </c>
      <c r="F2878" s="3">
        <v>42846</v>
      </c>
      <c r="G2878" s="2">
        <v>201710</v>
      </c>
      <c r="H2878" s="2" t="s">
        <v>74</v>
      </c>
      <c r="I2878" s="2" t="s">
        <v>75</v>
      </c>
      <c r="J2878" s="2" t="s">
        <v>76</v>
      </c>
      <c r="K2878" s="2" t="s">
        <v>77</v>
      </c>
      <c r="L2878" s="2" t="s">
        <v>516</v>
      </c>
      <c r="M2878" s="2" t="s">
        <v>517</v>
      </c>
      <c r="N2878" s="2" t="s">
        <v>1994</v>
      </c>
      <c r="O2878" s="2" t="s">
        <v>115</v>
      </c>
      <c r="P2878" s="2" t="str">
        <f>"2170563137                    "</f>
        <v xml:space="preserve">2170563137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3.35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1.2</v>
      </c>
      <c r="BJ2878" s="2">
        <v>0.7</v>
      </c>
      <c r="BK2878" s="2">
        <v>2</v>
      </c>
      <c r="BL2878" s="2">
        <v>32.6</v>
      </c>
      <c r="BM2878" s="2">
        <v>4.5599999999999996</v>
      </c>
      <c r="BN2878" s="2">
        <v>37.159999999999997</v>
      </c>
      <c r="BO2878" s="2">
        <v>37.159999999999997</v>
      </c>
      <c r="BP2878" s="2"/>
      <c r="BQ2878" s="2" t="s">
        <v>1995</v>
      </c>
      <c r="BR2878" s="2" t="s">
        <v>84</v>
      </c>
      <c r="BS2878" s="3">
        <v>42849</v>
      </c>
      <c r="BT2878" s="4">
        <v>0.32083333333333336</v>
      </c>
      <c r="BU2878" s="2" t="s">
        <v>2152</v>
      </c>
      <c r="BV2878" s="2" t="s">
        <v>111</v>
      </c>
      <c r="BW2878" s="2"/>
      <c r="BX2878" s="2"/>
      <c r="BY2878" s="2">
        <v>3631.1</v>
      </c>
      <c r="BZ2878" s="2"/>
      <c r="CA2878" s="2" t="s">
        <v>2639</v>
      </c>
      <c r="CB2878" s="2"/>
      <c r="CC2878" s="2" t="s">
        <v>517</v>
      </c>
      <c r="CD2878" s="2">
        <v>1459</v>
      </c>
      <c r="CE2878" s="2" t="s">
        <v>89</v>
      </c>
      <c r="CF2878" s="5">
        <v>42849</v>
      </c>
      <c r="CG2878" s="2"/>
      <c r="CH2878" s="2"/>
      <c r="CI2878" s="2">
        <v>1</v>
      </c>
      <c r="CJ2878" s="2">
        <v>1</v>
      </c>
      <c r="CK2878" s="2">
        <v>22</v>
      </c>
      <c r="CL2878" s="2" t="s">
        <v>86</v>
      </c>
      <c r="CM2878" s="2"/>
    </row>
    <row r="2879" spans="1:91">
      <c r="A2879" s="2" t="s">
        <v>71</v>
      </c>
      <c r="B2879" s="2" t="s">
        <v>72</v>
      </c>
      <c r="C2879" s="2" t="s">
        <v>73</v>
      </c>
      <c r="D2879" s="2"/>
      <c r="E2879" s="2" t="str">
        <f>"FES1162544993"</f>
        <v>FES1162544993</v>
      </c>
      <c r="F2879" s="3">
        <v>42846</v>
      </c>
      <c r="G2879" s="2">
        <v>201710</v>
      </c>
      <c r="H2879" s="2" t="s">
        <v>74</v>
      </c>
      <c r="I2879" s="2" t="s">
        <v>75</v>
      </c>
      <c r="J2879" s="2" t="s">
        <v>76</v>
      </c>
      <c r="K2879" s="2" t="s">
        <v>77</v>
      </c>
      <c r="L2879" s="2" t="s">
        <v>166</v>
      </c>
      <c r="M2879" s="2" t="s">
        <v>167</v>
      </c>
      <c r="N2879" s="2" t="s">
        <v>2052</v>
      </c>
      <c r="O2879" s="2" t="s">
        <v>115</v>
      </c>
      <c r="P2879" s="2" t="str">
        <f>"2170563073                    "</f>
        <v xml:space="preserve">2170563073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3.35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3.5</v>
      </c>
      <c r="BJ2879" s="2">
        <v>1.8</v>
      </c>
      <c r="BK2879" s="2">
        <v>4</v>
      </c>
      <c r="BL2879" s="2">
        <v>32.6</v>
      </c>
      <c r="BM2879" s="2">
        <v>4.5599999999999996</v>
      </c>
      <c r="BN2879" s="2">
        <v>37.159999999999997</v>
      </c>
      <c r="BO2879" s="2">
        <v>37.159999999999997</v>
      </c>
      <c r="BP2879" s="2"/>
      <c r="BQ2879" s="2" t="s">
        <v>2053</v>
      </c>
      <c r="BR2879" s="2" t="s">
        <v>84</v>
      </c>
      <c r="BS2879" s="3">
        <v>42849</v>
      </c>
      <c r="BT2879" s="4">
        <v>0.41666666666666669</v>
      </c>
      <c r="BU2879" s="2" t="s">
        <v>3104</v>
      </c>
      <c r="BV2879" s="2" t="s">
        <v>111</v>
      </c>
      <c r="BW2879" s="2"/>
      <c r="BX2879" s="2"/>
      <c r="BY2879" s="2">
        <v>8972.3700000000008</v>
      </c>
      <c r="BZ2879" s="2"/>
      <c r="CA2879" s="2"/>
      <c r="CB2879" s="2"/>
      <c r="CC2879" s="2" t="s">
        <v>167</v>
      </c>
      <c r="CD2879" s="2">
        <v>2042</v>
      </c>
      <c r="CE2879" s="2" t="s">
        <v>89</v>
      </c>
      <c r="CF2879" s="5">
        <v>42850</v>
      </c>
      <c r="CG2879" s="2"/>
      <c r="CH2879" s="2"/>
      <c r="CI2879" s="2">
        <v>1</v>
      </c>
      <c r="CJ2879" s="2">
        <v>1</v>
      </c>
      <c r="CK2879" s="2">
        <v>22</v>
      </c>
      <c r="CL2879" s="2" t="s">
        <v>86</v>
      </c>
      <c r="CM2879" s="2"/>
    </row>
    <row r="2880" spans="1:91">
      <c r="A2880" s="2" t="s">
        <v>71</v>
      </c>
      <c r="B2880" s="2" t="s">
        <v>72</v>
      </c>
      <c r="C2880" s="2" t="s">
        <v>73</v>
      </c>
      <c r="D2880" s="2"/>
      <c r="E2880" s="2" t="str">
        <f>"FES1162545030"</f>
        <v>FES1162545030</v>
      </c>
      <c r="F2880" s="3">
        <v>42846</v>
      </c>
      <c r="G2880" s="2">
        <v>201710</v>
      </c>
      <c r="H2880" s="2" t="s">
        <v>74</v>
      </c>
      <c r="I2880" s="2" t="s">
        <v>75</v>
      </c>
      <c r="J2880" s="2" t="s">
        <v>76</v>
      </c>
      <c r="K2880" s="2" t="s">
        <v>77</v>
      </c>
      <c r="L2880" s="2" t="s">
        <v>474</v>
      </c>
      <c r="M2880" s="2" t="s">
        <v>475</v>
      </c>
      <c r="N2880" s="2" t="s">
        <v>1001</v>
      </c>
      <c r="O2880" s="2" t="s">
        <v>115</v>
      </c>
      <c r="P2880" s="2" t="str">
        <f>"2170563547                    "</f>
        <v xml:space="preserve">2170563547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5.36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2.2000000000000002</v>
      </c>
      <c r="BJ2880" s="2">
        <v>1.6</v>
      </c>
      <c r="BK2880" s="2">
        <v>2.5</v>
      </c>
      <c r="BL2880" s="2">
        <v>52.16</v>
      </c>
      <c r="BM2880" s="2">
        <v>7.3</v>
      </c>
      <c r="BN2880" s="2">
        <v>59.46</v>
      </c>
      <c r="BO2880" s="2">
        <v>59.46</v>
      </c>
      <c r="BP2880" s="2"/>
      <c r="BQ2880" s="2" t="s">
        <v>472</v>
      </c>
      <c r="BR2880" s="2" t="s">
        <v>84</v>
      </c>
      <c r="BS2880" s="3">
        <v>42849</v>
      </c>
      <c r="BT2880" s="4">
        <v>0.39513888888888887</v>
      </c>
      <c r="BU2880" s="2" t="s">
        <v>1738</v>
      </c>
      <c r="BV2880" s="2" t="s">
        <v>111</v>
      </c>
      <c r="BW2880" s="2"/>
      <c r="BX2880" s="2"/>
      <c r="BY2880" s="2">
        <v>8060.3</v>
      </c>
      <c r="BZ2880" s="2"/>
      <c r="CA2880" s="2"/>
      <c r="CB2880" s="2"/>
      <c r="CC2880" s="2" t="s">
        <v>475</v>
      </c>
      <c r="CD2880" s="2">
        <v>3290</v>
      </c>
      <c r="CE2880" s="2" t="s">
        <v>89</v>
      </c>
      <c r="CF2880" s="5">
        <v>42850</v>
      </c>
      <c r="CG2880" s="2"/>
      <c r="CH2880" s="2"/>
      <c r="CI2880" s="2">
        <v>1</v>
      </c>
      <c r="CJ2880" s="2">
        <v>1</v>
      </c>
      <c r="CK2880" s="2">
        <v>21</v>
      </c>
      <c r="CL2880" s="2" t="s">
        <v>86</v>
      </c>
      <c r="CM2880" s="2"/>
    </row>
    <row r="2881" spans="1:91">
      <c r="A2881" s="2" t="s">
        <v>71</v>
      </c>
      <c r="B2881" s="2" t="s">
        <v>72</v>
      </c>
      <c r="C2881" s="2" t="s">
        <v>73</v>
      </c>
      <c r="D2881" s="2"/>
      <c r="E2881" s="2" t="str">
        <f>"FES1162545006"</f>
        <v>FES1162545006</v>
      </c>
      <c r="F2881" s="3">
        <v>42846</v>
      </c>
      <c r="G2881" s="2">
        <v>201710</v>
      </c>
      <c r="H2881" s="2" t="s">
        <v>74</v>
      </c>
      <c r="I2881" s="2" t="s">
        <v>75</v>
      </c>
      <c r="J2881" s="2" t="s">
        <v>76</v>
      </c>
      <c r="K2881" s="2" t="s">
        <v>77</v>
      </c>
      <c r="L2881" s="2" t="s">
        <v>180</v>
      </c>
      <c r="M2881" s="2" t="s">
        <v>181</v>
      </c>
      <c r="N2881" s="2" t="s">
        <v>3105</v>
      </c>
      <c r="O2881" s="2" t="s">
        <v>115</v>
      </c>
      <c r="P2881" s="2" t="str">
        <f>"2170563501                    "</f>
        <v xml:space="preserve">2170563501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10.72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5</v>
      </c>
      <c r="BJ2881" s="2">
        <v>3.3</v>
      </c>
      <c r="BK2881" s="2">
        <v>5</v>
      </c>
      <c r="BL2881" s="2">
        <v>104.32</v>
      </c>
      <c r="BM2881" s="2">
        <v>14.6</v>
      </c>
      <c r="BN2881" s="2">
        <v>118.92</v>
      </c>
      <c r="BO2881" s="2">
        <v>118.92</v>
      </c>
      <c r="BP2881" s="2"/>
      <c r="BQ2881" s="2" t="s">
        <v>122</v>
      </c>
      <c r="BR2881" s="2" t="s">
        <v>84</v>
      </c>
      <c r="BS2881" s="3">
        <v>42849</v>
      </c>
      <c r="BT2881" s="4">
        <v>0.41666666666666669</v>
      </c>
      <c r="BU2881" s="2" t="s">
        <v>679</v>
      </c>
      <c r="BV2881" s="2" t="s">
        <v>111</v>
      </c>
      <c r="BW2881" s="2"/>
      <c r="BX2881" s="2"/>
      <c r="BY2881" s="2">
        <v>16495.54</v>
      </c>
      <c r="BZ2881" s="2"/>
      <c r="CA2881" s="2"/>
      <c r="CB2881" s="2"/>
      <c r="CC2881" s="2" t="s">
        <v>181</v>
      </c>
      <c r="CD2881" s="2">
        <v>4001</v>
      </c>
      <c r="CE2881" s="2" t="s">
        <v>89</v>
      </c>
      <c r="CF2881" s="5">
        <v>42850</v>
      </c>
      <c r="CG2881" s="2"/>
      <c r="CH2881" s="2"/>
      <c r="CI2881" s="2">
        <v>1</v>
      </c>
      <c r="CJ2881" s="2">
        <v>1</v>
      </c>
      <c r="CK2881" s="2">
        <v>21</v>
      </c>
      <c r="CL2881" s="2" t="s">
        <v>86</v>
      </c>
      <c r="CM2881" s="2"/>
    </row>
    <row r="2882" spans="1:91">
      <c r="A2882" s="2" t="s">
        <v>71</v>
      </c>
      <c r="B2882" s="2" t="s">
        <v>72</v>
      </c>
      <c r="C2882" s="2" t="s">
        <v>73</v>
      </c>
      <c r="D2882" s="2"/>
      <c r="E2882" s="2" t="str">
        <f>"FES1162544810"</f>
        <v>FES1162544810</v>
      </c>
      <c r="F2882" s="3">
        <v>42846</v>
      </c>
      <c r="G2882" s="2">
        <v>201710</v>
      </c>
      <c r="H2882" s="2" t="s">
        <v>74</v>
      </c>
      <c r="I2882" s="2" t="s">
        <v>75</v>
      </c>
      <c r="J2882" s="2" t="s">
        <v>76</v>
      </c>
      <c r="K2882" s="2" t="s">
        <v>77</v>
      </c>
      <c r="L2882" s="2" t="s">
        <v>1026</v>
      </c>
      <c r="M2882" s="2" t="s">
        <v>1027</v>
      </c>
      <c r="N2882" s="2" t="s">
        <v>1453</v>
      </c>
      <c r="O2882" s="2" t="s">
        <v>115</v>
      </c>
      <c r="P2882" s="2" t="str">
        <f>"2170562200                    "</f>
        <v xml:space="preserve">2170562200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8.31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2</v>
      </c>
      <c r="BJ2882" s="2">
        <v>1</v>
      </c>
      <c r="BK2882" s="2">
        <v>2</v>
      </c>
      <c r="BL2882" s="2">
        <v>80.849999999999994</v>
      </c>
      <c r="BM2882" s="2">
        <v>11.32</v>
      </c>
      <c r="BN2882" s="2">
        <v>92.17</v>
      </c>
      <c r="BO2882" s="2">
        <v>92.17</v>
      </c>
      <c r="BP2882" s="2"/>
      <c r="BQ2882" s="2"/>
      <c r="BR2882" s="2" t="s">
        <v>84</v>
      </c>
      <c r="BS2882" s="3">
        <v>42849</v>
      </c>
      <c r="BT2882" s="4">
        <v>0.41666666666666669</v>
      </c>
      <c r="BU2882" s="2" t="s">
        <v>3052</v>
      </c>
      <c r="BV2882" s="2" t="s">
        <v>111</v>
      </c>
      <c r="BW2882" s="2"/>
      <c r="BX2882" s="2"/>
      <c r="BY2882" s="2">
        <v>4847.58</v>
      </c>
      <c r="BZ2882" s="2"/>
      <c r="CA2882" s="2"/>
      <c r="CB2882" s="2"/>
      <c r="CC2882" s="2" t="s">
        <v>1027</v>
      </c>
      <c r="CD2882" s="2">
        <v>7349</v>
      </c>
      <c r="CE2882" s="2" t="s">
        <v>89</v>
      </c>
      <c r="CF2882" s="5">
        <v>42850</v>
      </c>
      <c r="CG2882" s="2"/>
      <c r="CH2882" s="2"/>
      <c r="CI2882" s="2">
        <v>1</v>
      </c>
      <c r="CJ2882" s="2">
        <v>1</v>
      </c>
      <c r="CK2882" s="2">
        <v>23</v>
      </c>
      <c r="CL2882" s="2" t="s">
        <v>86</v>
      </c>
      <c r="CM2882" s="2"/>
    </row>
    <row r="2883" spans="1:91">
      <c r="A2883" s="2" t="s">
        <v>71</v>
      </c>
      <c r="B2883" s="2" t="s">
        <v>72</v>
      </c>
      <c r="C2883" s="2" t="s">
        <v>73</v>
      </c>
      <c r="D2883" s="2"/>
      <c r="E2883" s="2" t="str">
        <f>"FES1162544493"</f>
        <v>FES1162544493</v>
      </c>
      <c r="F2883" s="3">
        <v>42846</v>
      </c>
      <c r="G2883" s="2">
        <v>201710</v>
      </c>
      <c r="H2883" s="2" t="s">
        <v>74</v>
      </c>
      <c r="I2883" s="2" t="s">
        <v>75</v>
      </c>
      <c r="J2883" s="2" t="s">
        <v>76</v>
      </c>
      <c r="K2883" s="2" t="s">
        <v>77</v>
      </c>
      <c r="L2883" s="2" t="s">
        <v>74</v>
      </c>
      <c r="M2883" s="2" t="s">
        <v>75</v>
      </c>
      <c r="N2883" s="2" t="s">
        <v>1383</v>
      </c>
      <c r="O2883" s="2" t="s">
        <v>115</v>
      </c>
      <c r="P2883" s="2" t="str">
        <f>"2170563086                    "</f>
        <v xml:space="preserve">2170563086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3.35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1.6</v>
      </c>
      <c r="BJ2883" s="2">
        <v>2.7</v>
      </c>
      <c r="BK2883" s="2">
        <v>3</v>
      </c>
      <c r="BL2883" s="2">
        <v>32.6</v>
      </c>
      <c r="BM2883" s="2">
        <v>4.5599999999999996</v>
      </c>
      <c r="BN2883" s="2">
        <v>37.159999999999997</v>
      </c>
      <c r="BO2883" s="2">
        <v>37.159999999999997</v>
      </c>
      <c r="BP2883" s="2"/>
      <c r="BQ2883" s="2" t="s">
        <v>1384</v>
      </c>
      <c r="BR2883" s="2" t="s">
        <v>84</v>
      </c>
      <c r="BS2883" s="3">
        <v>42849</v>
      </c>
      <c r="BT2883" s="4">
        <v>0.38958333333333334</v>
      </c>
      <c r="BU2883" s="2" t="s">
        <v>3106</v>
      </c>
      <c r="BV2883" s="2" t="s">
        <v>111</v>
      </c>
      <c r="BW2883" s="2"/>
      <c r="BX2883" s="2"/>
      <c r="BY2883" s="2">
        <v>13670.96</v>
      </c>
      <c r="BZ2883" s="2"/>
      <c r="CA2883" s="2" t="s">
        <v>383</v>
      </c>
      <c r="CB2883" s="2"/>
      <c r="CC2883" s="2" t="s">
        <v>75</v>
      </c>
      <c r="CD2883" s="2">
        <v>1600</v>
      </c>
      <c r="CE2883" s="2" t="s">
        <v>118</v>
      </c>
      <c r="CF2883" s="5">
        <v>42849</v>
      </c>
      <c r="CG2883" s="2"/>
      <c r="CH2883" s="2"/>
      <c r="CI2883" s="2">
        <v>1</v>
      </c>
      <c r="CJ2883" s="2">
        <v>1</v>
      </c>
      <c r="CK2883" s="2">
        <v>22</v>
      </c>
      <c r="CL2883" s="2" t="s">
        <v>86</v>
      </c>
      <c r="CM2883" s="2"/>
    </row>
    <row r="2884" spans="1:91">
      <c r="A2884" s="2" t="s">
        <v>71</v>
      </c>
      <c r="B2884" s="2" t="s">
        <v>72</v>
      </c>
      <c r="C2884" s="2" t="s">
        <v>73</v>
      </c>
      <c r="D2884" s="2"/>
      <c r="E2884" s="2" t="str">
        <f>"FES1162544658"</f>
        <v>FES1162544658</v>
      </c>
      <c r="F2884" s="3">
        <v>42846</v>
      </c>
      <c r="G2884" s="2">
        <v>201710</v>
      </c>
      <c r="H2884" s="2" t="s">
        <v>74</v>
      </c>
      <c r="I2884" s="2" t="s">
        <v>75</v>
      </c>
      <c r="J2884" s="2" t="s">
        <v>76</v>
      </c>
      <c r="K2884" s="2" t="s">
        <v>77</v>
      </c>
      <c r="L2884" s="2" t="s">
        <v>260</v>
      </c>
      <c r="M2884" s="2" t="s">
        <v>261</v>
      </c>
      <c r="N2884" s="2" t="s">
        <v>326</v>
      </c>
      <c r="O2884" s="2" t="s">
        <v>115</v>
      </c>
      <c r="P2884" s="2" t="str">
        <f>"2170563209                    "</f>
        <v xml:space="preserve">2170563209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3.35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4.3</v>
      </c>
      <c r="BJ2884" s="2">
        <v>5.7</v>
      </c>
      <c r="BK2884" s="2">
        <v>6</v>
      </c>
      <c r="BL2884" s="2">
        <v>32.6</v>
      </c>
      <c r="BM2884" s="2">
        <v>4.5599999999999996</v>
      </c>
      <c r="BN2884" s="2">
        <v>37.159999999999997</v>
      </c>
      <c r="BO2884" s="2">
        <v>37.159999999999997</v>
      </c>
      <c r="BP2884" s="2"/>
      <c r="BQ2884" s="2"/>
      <c r="BR2884" s="2" t="s">
        <v>84</v>
      </c>
      <c r="BS2884" s="3">
        <v>42849</v>
      </c>
      <c r="BT2884" s="4">
        <v>0.41666666666666669</v>
      </c>
      <c r="BU2884" s="2" t="s">
        <v>2992</v>
      </c>
      <c r="BV2884" s="2" t="s">
        <v>111</v>
      </c>
      <c r="BW2884" s="2"/>
      <c r="BX2884" s="2"/>
      <c r="BY2884" s="2">
        <v>28399.91</v>
      </c>
      <c r="BZ2884" s="2"/>
      <c r="CA2884" s="2" t="s">
        <v>2993</v>
      </c>
      <c r="CB2884" s="2"/>
      <c r="CC2884" s="2" t="s">
        <v>261</v>
      </c>
      <c r="CD2884" s="2">
        <v>1451</v>
      </c>
      <c r="CE2884" s="2" t="s">
        <v>172</v>
      </c>
      <c r="CF2884" s="5">
        <v>42849</v>
      </c>
      <c r="CG2884" s="2"/>
      <c r="CH2884" s="2"/>
      <c r="CI2884" s="2">
        <v>1</v>
      </c>
      <c r="CJ2884" s="2">
        <v>1</v>
      </c>
      <c r="CK2884" s="2">
        <v>22</v>
      </c>
      <c r="CL2884" s="2" t="s">
        <v>86</v>
      </c>
      <c r="CM2884" s="2"/>
    </row>
    <row r="2885" spans="1:91">
      <c r="A2885" s="2" t="s">
        <v>71</v>
      </c>
      <c r="B2885" s="2" t="s">
        <v>72</v>
      </c>
      <c r="C2885" s="2" t="s">
        <v>73</v>
      </c>
      <c r="D2885" s="2"/>
      <c r="E2885" s="2" t="str">
        <f>"FES1162544880"</f>
        <v>FES1162544880</v>
      </c>
      <c r="F2885" s="3">
        <v>42846</v>
      </c>
      <c r="G2885" s="2">
        <v>201710</v>
      </c>
      <c r="H2885" s="2" t="s">
        <v>74</v>
      </c>
      <c r="I2885" s="2" t="s">
        <v>75</v>
      </c>
      <c r="J2885" s="2" t="s">
        <v>200</v>
      </c>
      <c r="K2885" s="2" t="s">
        <v>77</v>
      </c>
      <c r="L2885" s="2" t="s">
        <v>474</v>
      </c>
      <c r="M2885" s="2" t="s">
        <v>475</v>
      </c>
      <c r="N2885" s="2" t="s">
        <v>2734</v>
      </c>
      <c r="O2885" s="2" t="s">
        <v>255</v>
      </c>
      <c r="P2885" s="2" t="str">
        <f>"2170563395                    "</f>
        <v xml:space="preserve">2170563395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351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44.48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1</v>
      </c>
      <c r="BJ2885" s="2">
        <v>0.2</v>
      </c>
      <c r="BK2885" s="2">
        <v>1</v>
      </c>
      <c r="BL2885" s="2">
        <v>432.92</v>
      </c>
      <c r="BM2885" s="2">
        <v>60.61</v>
      </c>
      <c r="BN2885" s="2">
        <v>493.53</v>
      </c>
      <c r="BO2885" s="2">
        <v>493.53</v>
      </c>
      <c r="BP2885" s="2"/>
      <c r="BQ2885" s="2" t="s">
        <v>3107</v>
      </c>
      <c r="BR2885" s="2" t="s">
        <v>2287</v>
      </c>
      <c r="BS2885" s="3">
        <v>42846</v>
      </c>
      <c r="BT2885" s="4">
        <v>0.77083333333333337</v>
      </c>
      <c r="BU2885" s="2" t="s">
        <v>435</v>
      </c>
      <c r="BV2885" s="2" t="s">
        <v>111</v>
      </c>
      <c r="BW2885" s="2"/>
      <c r="BX2885" s="2"/>
      <c r="BY2885" s="2">
        <v>1200</v>
      </c>
      <c r="BZ2885" s="2" t="s">
        <v>259</v>
      </c>
      <c r="CA2885" s="2"/>
      <c r="CB2885" s="2"/>
      <c r="CC2885" s="2" t="s">
        <v>475</v>
      </c>
      <c r="CD2885" s="2">
        <v>3290</v>
      </c>
      <c r="CE2885" s="2" t="s">
        <v>118</v>
      </c>
      <c r="CF2885" s="5">
        <v>42850</v>
      </c>
      <c r="CG2885" s="2"/>
      <c r="CH2885" s="2"/>
      <c r="CI2885" s="2">
        <v>0</v>
      </c>
      <c r="CJ2885" s="2">
        <v>0</v>
      </c>
      <c r="CK2885" s="2">
        <v>21</v>
      </c>
      <c r="CL2885" s="2" t="s">
        <v>86</v>
      </c>
      <c r="CM2885" s="2"/>
    </row>
    <row r="2886" spans="1:91">
      <c r="A2886" s="2" t="s">
        <v>71</v>
      </c>
      <c r="B2886" s="2" t="s">
        <v>72</v>
      </c>
      <c r="C2886" s="2" t="s">
        <v>73</v>
      </c>
      <c r="D2886" s="2"/>
      <c r="E2886" s="2" t="str">
        <f>"FES1162545428"</f>
        <v>FES1162545428</v>
      </c>
      <c r="F2886" s="3">
        <v>42850</v>
      </c>
      <c r="G2886" s="2">
        <v>201710</v>
      </c>
      <c r="H2886" s="2" t="s">
        <v>74</v>
      </c>
      <c r="I2886" s="2" t="s">
        <v>75</v>
      </c>
      <c r="J2886" s="2" t="s">
        <v>76</v>
      </c>
      <c r="K2886" s="2" t="s">
        <v>77</v>
      </c>
      <c r="L2886" s="2" t="s">
        <v>99</v>
      </c>
      <c r="M2886" s="2" t="s">
        <v>100</v>
      </c>
      <c r="N2886" s="2" t="s">
        <v>3108</v>
      </c>
      <c r="O2886" s="2" t="s">
        <v>115</v>
      </c>
      <c r="P2886" s="2" t="str">
        <f>"2170563280                    "</f>
        <v xml:space="preserve">2170563280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4.29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1</v>
      </c>
      <c r="BJ2886" s="2">
        <v>0.2</v>
      </c>
      <c r="BK2886" s="2">
        <v>1</v>
      </c>
      <c r="BL2886" s="2">
        <v>41.73</v>
      </c>
      <c r="BM2886" s="2">
        <v>5.84</v>
      </c>
      <c r="BN2886" s="2">
        <v>47.57</v>
      </c>
      <c r="BO2886" s="2">
        <v>47.57</v>
      </c>
      <c r="BP2886" s="2"/>
      <c r="BQ2886" s="2"/>
      <c r="BR2886" s="2" t="s">
        <v>84</v>
      </c>
      <c r="BS2886" s="3">
        <v>42851</v>
      </c>
      <c r="BT2886" s="4">
        <v>0.33333333333333331</v>
      </c>
      <c r="BU2886" s="2" t="s">
        <v>3109</v>
      </c>
      <c r="BV2886" s="2" t="s">
        <v>111</v>
      </c>
      <c r="BW2886" s="2"/>
      <c r="BX2886" s="2"/>
      <c r="BY2886" s="2">
        <v>1200</v>
      </c>
      <c r="BZ2886" s="2"/>
      <c r="CA2886" s="2" t="s">
        <v>106</v>
      </c>
      <c r="CB2886" s="2"/>
      <c r="CC2886" s="2" t="s">
        <v>100</v>
      </c>
      <c r="CD2886" s="2">
        <v>6001</v>
      </c>
      <c r="CE2886" s="2" t="s">
        <v>118</v>
      </c>
      <c r="CF2886" s="5">
        <v>42851</v>
      </c>
      <c r="CG2886" s="2"/>
      <c r="CH2886" s="2"/>
      <c r="CI2886" s="2">
        <v>1</v>
      </c>
      <c r="CJ2886" s="2">
        <v>1</v>
      </c>
      <c r="CK2886" s="2">
        <v>21</v>
      </c>
      <c r="CL2886" s="2" t="s">
        <v>86</v>
      </c>
      <c r="CM2886" s="2"/>
    </row>
    <row r="2887" spans="1:91">
      <c r="A2887" s="2" t="s">
        <v>71</v>
      </c>
      <c r="B2887" s="2" t="s">
        <v>72</v>
      </c>
      <c r="C2887" s="2" t="s">
        <v>73</v>
      </c>
      <c r="D2887" s="2"/>
      <c r="E2887" s="2" t="str">
        <f>"FES1162545384"</f>
        <v>FES1162545384</v>
      </c>
      <c r="F2887" s="3">
        <v>42850</v>
      </c>
      <c r="G2887" s="2">
        <v>201710</v>
      </c>
      <c r="H2887" s="2" t="s">
        <v>74</v>
      </c>
      <c r="I2887" s="2" t="s">
        <v>75</v>
      </c>
      <c r="J2887" s="2" t="s">
        <v>76</v>
      </c>
      <c r="K2887" s="2" t="s">
        <v>77</v>
      </c>
      <c r="L2887" s="2" t="s">
        <v>112</v>
      </c>
      <c r="M2887" s="2" t="s">
        <v>113</v>
      </c>
      <c r="N2887" s="2" t="s">
        <v>386</v>
      </c>
      <c r="O2887" s="2" t="s">
        <v>115</v>
      </c>
      <c r="P2887" s="2" t="str">
        <f>"2170563894                    "</f>
        <v xml:space="preserve">2170563894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4.29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1</v>
      </c>
      <c r="BJ2887" s="2">
        <v>0.2</v>
      </c>
      <c r="BK2887" s="2">
        <v>1</v>
      </c>
      <c r="BL2887" s="2">
        <v>41.73</v>
      </c>
      <c r="BM2887" s="2">
        <v>5.84</v>
      </c>
      <c r="BN2887" s="2">
        <v>47.57</v>
      </c>
      <c r="BO2887" s="2">
        <v>47.57</v>
      </c>
      <c r="BP2887" s="2"/>
      <c r="BQ2887" s="2" t="s">
        <v>122</v>
      </c>
      <c r="BR2887" s="2" t="s">
        <v>84</v>
      </c>
      <c r="BS2887" s="3">
        <v>42851</v>
      </c>
      <c r="BT2887" s="4">
        <v>0.39583333333333331</v>
      </c>
      <c r="BU2887" s="2" t="s">
        <v>3092</v>
      </c>
      <c r="BV2887" s="2" t="s">
        <v>111</v>
      </c>
      <c r="BW2887" s="2"/>
      <c r="BX2887" s="2"/>
      <c r="BY2887" s="2">
        <v>1200</v>
      </c>
      <c r="BZ2887" s="2"/>
      <c r="CA2887" s="2"/>
      <c r="CB2887" s="2"/>
      <c r="CC2887" s="2" t="s">
        <v>113</v>
      </c>
      <c r="CD2887" s="2">
        <v>3200</v>
      </c>
      <c r="CE2887" s="2" t="s">
        <v>118</v>
      </c>
      <c r="CF2887" s="5">
        <v>42853</v>
      </c>
      <c r="CG2887" s="2"/>
      <c r="CH2887" s="2"/>
      <c r="CI2887" s="2">
        <v>1</v>
      </c>
      <c r="CJ2887" s="2">
        <v>1</v>
      </c>
      <c r="CK2887" s="2">
        <v>21</v>
      </c>
      <c r="CL2887" s="2" t="s">
        <v>86</v>
      </c>
      <c r="CM2887" s="2"/>
    </row>
    <row r="2888" spans="1:91">
      <c r="A2888" s="2" t="s">
        <v>71</v>
      </c>
      <c r="B2888" s="2" t="s">
        <v>72</v>
      </c>
      <c r="C2888" s="2" t="s">
        <v>73</v>
      </c>
      <c r="D2888" s="2"/>
      <c r="E2888" s="2" t="str">
        <f>"FES1162545355"</f>
        <v>FES1162545355</v>
      </c>
      <c r="F2888" s="3">
        <v>42850</v>
      </c>
      <c r="G2888" s="2">
        <v>201710</v>
      </c>
      <c r="H2888" s="2" t="s">
        <v>74</v>
      </c>
      <c r="I2888" s="2" t="s">
        <v>75</v>
      </c>
      <c r="J2888" s="2" t="s">
        <v>76</v>
      </c>
      <c r="K2888" s="2" t="s">
        <v>77</v>
      </c>
      <c r="L2888" s="2" t="s">
        <v>99</v>
      </c>
      <c r="M2888" s="2" t="s">
        <v>100</v>
      </c>
      <c r="N2888" s="2" t="s">
        <v>3110</v>
      </c>
      <c r="O2888" s="2" t="s">
        <v>115</v>
      </c>
      <c r="P2888" s="2" t="str">
        <f>"2170638761                    "</f>
        <v xml:space="preserve">2170638761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4.29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1</v>
      </c>
      <c r="BJ2888" s="2">
        <v>0.2</v>
      </c>
      <c r="BK2888" s="2">
        <v>1</v>
      </c>
      <c r="BL2888" s="2">
        <v>41.73</v>
      </c>
      <c r="BM2888" s="2">
        <v>5.84</v>
      </c>
      <c r="BN2888" s="2">
        <v>47.57</v>
      </c>
      <c r="BO2888" s="2">
        <v>47.57</v>
      </c>
      <c r="BP2888" s="2"/>
      <c r="BQ2888" s="2"/>
      <c r="BR2888" s="2" t="s">
        <v>84</v>
      </c>
      <c r="BS2888" s="3">
        <v>42851</v>
      </c>
      <c r="BT2888" s="4">
        <v>0.30833333333333335</v>
      </c>
      <c r="BU2888" s="2" t="s">
        <v>544</v>
      </c>
      <c r="BV2888" s="2" t="s">
        <v>111</v>
      </c>
      <c r="BW2888" s="2"/>
      <c r="BX2888" s="2"/>
      <c r="BY2888" s="2">
        <v>1200</v>
      </c>
      <c r="BZ2888" s="2"/>
      <c r="CA2888" s="2"/>
      <c r="CB2888" s="2"/>
      <c r="CC2888" s="2" t="s">
        <v>100</v>
      </c>
      <c r="CD2888" s="2">
        <v>6001</v>
      </c>
      <c r="CE2888" s="2" t="s">
        <v>118</v>
      </c>
      <c r="CF2888" s="5">
        <v>42853</v>
      </c>
      <c r="CG2888" s="2"/>
      <c r="CH2888" s="2"/>
      <c r="CI2888" s="2">
        <v>1</v>
      </c>
      <c r="CJ2888" s="2">
        <v>1</v>
      </c>
      <c r="CK2888" s="2">
        <v>21</v>
      </c>
      <c r="CL2888" s="2" t="s">
        <v>86</v>
      </c>
      <c r="CM2888" s="2"/>
    </row>
    <row r="2889" spans="1:91">
      <c r="A2889" s="2" t="s">
        <v>71</v>
      </c>
      <c r="B2889" s="2" t="s">
        <v>72</v>
      </c>
      <c r="C2889" s="2" t="s">
        <v>73</v>
      </c>
      <c r="D2889" s="2"/>
      <c r="E2889" s="2" t="str">
        <f>"FES1162545398"</f>
        <v>FES1162545398</v>
      </c>
      <c r="F2889" s="3">
        <v>42850</v>
      </c>
      <c r="G2889" s="2">
        <v>201710</v>
      </c>
      <c r="H2889" s="2" t="s">
        <v>74</v>
      </c>
      <c r="I2889" s="2" t="s">
        <v>75</v>
      </c>
      <c r="J2889" s="2" t="s">
        <v>76</v>
      </c>
      <c r="K2889" s="2" t="s">
        <v>77</v>
      </c>
      <c r="L2889" s="2" t="s">
        <v>900</v>
      </c>
      <c r="M2889" s="2" t="s">
        <v>901</v>
      </c>
      <c r="N2889" s="2" t="s">
        <v>1428</v>
      </c>
      <c r="O2889" s="2" t="s">
        <v>115</v>
      </c>
      <c r="P2889" s="2" t="str">
        <f>"2170563914                    "</f>
        <v xml:space="preserve">2170563914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4.29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</v>
      </c>
      <c r="BJ2889" s="2">
        <v>0.2</v>
      </c>
      <c r="BK2889" s="2">
        <v>1</v>
      </c>
      <c r="BL2889" s="2">
        <v>41.73</v>
      </c>
      <c r="BM2889" s="2">
        <v>5.84</v>
      </c>
      <c r="BN2889" s="2">
        <v>47.57</v>
      </c>
      <c r="BO2889" s="2">
        <v>47.57</v>
      </c>
      <c r="BP2889" s="2"/>
      <c r="BQ2889" s="2" t="s">
        <v>1429</v>
      </c>
      <c r="BR2889" s="2" t="s">
        <v>84</v>
      </c>
      <c r="BS2889" s="3">
        <v>42851</v>
      </c>
      <c r="BT2889" s="4">
        <v>0.32291666666666669</v>
      </c>
      <c r="BU2889" s="2" t="s">
        <v>2413</v>
      </c>
      <c r="BV2889" s="2" t="s">
        <v>111</v>
      </c>
      <c r="BW2889" s="2"/>
      <c r="BX2889" s="2"/>
      <c r="BY2889" s="2">
        <v>1200</v>
      </c>
      <c r="BZ2889" s="2"/>
      <c r="CA2889" s="2"/>
      <c r="CB2889" s="2"/>
      <c r="CC2889" s="2" t="s">
        <v>901</v>
      </c>
      <c r="CD2889" s="2">
        <v>4026</v>
      </c>
      <c r="CE2889" s="2" t="s">
        <v>118</v>
      </c>
      <c r="CF2889" s="5">
        <v>42853</v>
      </c>
      <c r="CG2889" s="2"/>
      <c r="CH2889" s="2"/>
      <c r="CI2889" s="2">
        <v>1</v>
      </c>
      <c r="CJ2889" s="2">
        <v>1</v>
      </c>
      <c r="CK2889" s="2">
        <v>21</v>
      </c>
      <c r="CL2889" s="2" t="s">
        <v>86</v>
      </c>
      <c r="CM2889" s="2"/>
    </row>
    <row r="2890" spans="1:91">
      <c r="A2890" s="2" t="s">
        <v>71</v>
      </c>
      <c r="B2890" s="2" t="s">
        <v>72</v>
      </c>
      <c r="C2890" s="2" t="s">
        <v>73</v>
      </c>
      <c r="D2890" s="2"/>
      <c r="E2890" s="2" t="str">
        <f>"FES1162545405"</f>
        <v>FES1162545405</v>
      </c>
      <c r="F2890" s="3">
        <v>42850</v>
      </c>
      <c r="G2890" s="2">
        <v>201710</v>
      </c>
      <c r="H2890" s="2" t="s">
        <v>74</v>
      </c>
      <c r="I2890" s="2" t="s">
        <v>75</v>
      </c>
      <c r="J2890" s="2" t="s">
        <v>76</v>
      </c>
      <c r="K2890" s="2" t="s">
        <v>77</v>
      </c>
      <c r="L2890" s="2" t="s">
        <v>131</v>
      </c>
      <c r="M2890" s="2" t="s">
        <v>132</v>
      </c>
      <c r="N2890" s="2" t="s">
        <v>1439</v>
      </c>
      <c r="O2890" s="2" t="s">
        <v>115</v>
      </c>
      <c r="P2890" s="2" t="str">
        <f>"2170560319                    "</f>
        <v xml:space="preserve">2170560319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4.29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</v>
      </c>
      <c r="BJ2890" s="2">
        <v>0.2</v>
      </c>
      <c r="BK2890" s="2">
        <v>1</v>
      </c>
      <c r="BL2890" s="2">
        <v>41.73</v>
      </c>
      <c r="BM2890" s="2">
        <v>5.84</v>
      </c>
      <c r="BN2890" s="2">
        <v>47.57</v>
      </c>
      <c r="BO2890" s="2">
        <v>47.57</v>
      </c>
      <c r="BP2890" s="2"/>
      <c r="BQ2890" s="2" t="s">
        <v>1440</v>
      </c>
      <c r="BR2890" s="2" t="s">
        <v>84</v>
      </c>
      <c r="BS2890" s="3">
        <v>42851</v>
      </c>
      <c r="BT2890" s="4">
        <v>0.4069444444444445</v>
      </c>
      <c r="BU2890" s="2" t="s">
        <v>3111</v>
      </c>
      <c r="BV2890" s="2" t="s">
        <v>111</v>
      </c>
      <c r="BW2890" s="2"/>
      <c r="BX2890" s="2"/>
      <c r="BY2890" s="2">
        <v>1200</v>
      </c>
      <c r="BZ2890" s="2"/>
      <c r="CA2890" s="2" t="s">
        <v>3008</v>
      </c>
      <c r="CB2890" s="2"/>
      <c r="CC2890" s="2" t="s">
        <v>132</v>
      </c>
      <c r="CD2890" s="2">
        <v>7490</v>
      </c>
      <c r="CE2890" s="2" t="s">
        <v>118</v>
      </c>
      <c r="CF2890" s="5">
        <v>42851</v>
      </c>
      <c r="CG2890" s="2"/>
      <c r="CH2890" s="2"/>
      <c r="CI2890" s="2">
        <v>1</v>
      </c>
      <c r="CJ2890" s="2">
        <v>1</v>
      </c>
      <c r="CK2890" s="2">
        <v>21</v>
      </c>
      <c r="CL2890" s="2" t="s">
        <v>86</v>
      </c>
      <c r="CM2890" s="2"/>
    </row>
    <row r="2891" spans="1:91">
      <c r="A2891" s="2" t="s">
        <v>71</v>
      </c>
      <c r="B2891" s="2" t="s">
        <v>72</v>
      </c>
      <c r="C2891" s="2" t="s">
        <v>73</v>
      </c>
      <c r="D2891" s="2"/>
      <c r="E2891" s="2" t="str">
        <f>"FES1162543325"</f>
        <v>FES1162543325</v>
      </c>
      <c r="F2891" s="3">
        <v>42837</v>
      </c>
      <c r="G2891" s="2">
        <v>201710</v>
      </c>
      <c r="H2891" s="2" t="s">
        <v>74</v>
      </c>
      <c r="I2891" s="2" t="s">
        <v>75</v>
      </c>
      <c r="J2891" s="2" t="s">
        <v>200</v>
      </c>
      <c r="K2891" s="2" t="s">
        <v>77</v>
      </c>
      <c r="L2891" s="2" t="s">
        <v>126</v>
      </c>
      <c r="M2891" s="2" t="s">
        <v>127</v>
      </c>
      <c r="N2891" s="2" t="s">
        <v>718</v>
      </c>
      <c r="O2891" s="2" t="s">
        <v>81</v>
      </c>
      <c r="P2891" s="2" t="str">
        <f>"2170558980                    "</f>
        <v xml:space="preserve">2170558980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23.39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2</v>
      </c>
      <c r="BI2891" s="2">
        <v>31.4</v>
      </c>
      <c r="BJ2891" s="2">
        <v>36.1</v>
      </c>
      <c r="BK2891" s="2">
        <v>36</v>
      </c>
      <c r="BL2891" s="2">
        <v>232.63</v>
      </c>
      <c r="BM2891" s="2">
        <v>32.57</v>
      </c>
      <c r="BN2891" s="2">
        <v>265.2</v>
      </c>
      <c r="BO2891" s="2">
        <v>265.2</v>
      </c>
      <c r="BP2891" s="2"/>
      <c r="BQ2891" s="2" t="s">
        <v>2597</v>
      </c>
      <c r="BR2891" s="2" t="s">
        <v>2287</v>
      </c>
      <c r="BS2891" s="3">
        <v>42845</v>
      </c>
      <c r="BT2891" s="4">
        <v>0.41666666666666669</v>
      </c>
      <c r="BU2891" s="2" t="s">
        <v>3112</v>
      </c>
      <c r="BV2891" s="2" t="s">
        <v>86</v>
      </c>
      <c r="BW2891" s="2" t="s">
        <v>87</v>
      </c>
      <c r="BX2891" s="2" t="s">
        <v>860</v>
      </c>
      <c r="BY2891" s="2">
        <v>180262</v>
      </c>
      <c r="BZ2891" s="2"/>
      <c r="CA2891" s="2" t="s">
        <v>159</v>
      </c>
      <c r="CB2891" s="2"/>
      <c r="CC2891" s="2" t="s">
        <v>127</v>
      </c>
      <c r="CD2891" s="2">
        <v>6850</v>
      </c>
      <c r="CE2891" s="2" t="s">
        <v>1232</v>
      </c>
      <c r="CF2891" s="5">
        <v>42844</v>
      </c>
      <c r="CG2891" s="2"/>
      <c r="CH2891" s="2"/>
      <c r="CI2891" s="2">
        <v>0</v>
      </c>
      <c r="CJ2891" s="2">
        <v>0</v>
      </c>
      <c r="CK2891" s="2" t="s">
        <v>90</v>
      </c>
      <c r="CL2891" s="2" t="s">
        <v>86</v>
      </c>
      <c r="CM2891" s="2"/>
    </row>
    <row r="2892" spans="1:91">
      <c r="A2892" s="2" t="s">
        <v>71</v>
      </c>
      <c r="B2892" s="2" t="s">
        <v>72</v>
      </c>
      <c r="C2892" s="2" t="s">
        <v>73</v>
      </c>
      <c r="D2892" s="2"/>
      <c r="E2892" s="2" t="str">
        <f>"FES1162545167"</f>
        <v>FES1162545167</v>
      </c>
      <c r="F2892" s="3">
        <v>42849</v>
      </c>
      <c r="G2892" s="2">
        <v>201710</v>
      </c>
      <c r="H2892" s="2" t="s">
        <v>74</v>
      </c>
      <c r="I2892" s="2" t="s">
        <v>75</v>
      </c>
      <c r="J2892" s="2" t="s">
        <v>76</v>
      </c>
      <c r="K2892" s="2" t="s">
        <v>77</v>
      </c>
      <c r="L2892" s="2" t="s">
        <v>131</v>
      </c>
      <c r="M2892" s="2" t="s">
        <v>132</v>
      </c>
      <c r="N2892" s="2" t="s">
        <v>2222</v>
      </c>
      <c r="O2892" s="2" t="s">
        <v>115</v>
      </c>
      <c r="P2892" s="2" t="str">
        <f>"2170563651                    "</f>
        <v xml:space="preserve">2170563651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4.29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1</v>
      </c>
      <c r="BJ2892" s="2">
        <v>0.2</v>
      </c>
      <c r="BK2892" s="2">
        <v>1</v>
      </c>
      <c r="BL2892" s="2">
        <v>41.73</v>
      </c>
      <c r="BM2892" s="2">
        <v>5.84</v>
      </c>
      <c r="BN2892" s="2">
        <v>47.57</v>
      </c>
      <c r="BO2892" s="2">
        <v>47.57</v>
      </c>
      <c r="BP2892" s="2"/>
      <c r="BQ2892" s="2" t="s">
        <v>2223</v>
      </c>
      <c r="BR2892" s="2" t="s">
        <v>84</v>
      </c>
      <c r="BS2892" s="3">
        <v>42851</v>
      </c>
      <c r="BT2892" s="4">
        <v>0.41319444444444442</v>
      </c>
      <c r="BU2892" s="2" t="s">
        <v>3113</v>
      </c>
      <c r="BV2892" s="2" t="s">
        <v>86</v>
      </c>
      <c r="BW2892" s="2" t="s">
        <v>157</v>
      </c>
      <c r="BX2892" s="2" t="s">
        <v>3114</v>
      </c>
      <c r="BY2892" s="2">
        <v>1200</v>
      </c>
      <c r="BZ2892" s="2"/>
      <c r="CA2892" s="2"/>
      <c r="CB2892" s="2"/>
      <c r="CC2892" s="2" t="s">
        <v>132</v>
      </c>
      <c r="CD2892" s="2">
        <v>7530</v>
      </c>
      <c r="CE2892" s="2" t="s">
        <v>118</v>
      </c>
      <c r="CF2892" s="5">
        <v>42853</v>
      </c>
      <c r="CG2892" s="2"/>
      <c r="CH2892" s="2"/>
      <c r="CI2892" s="2">
        <v>1</v>
      </c>
      <c r="CJ2892" s="2">
        <v>2</v>
      </c>
      <c r="CK2892" s="2">
        <v>21</v>
      </c>
      <c r="CL2892" s="2" t="s">
        <v>86</v>
      </c>
      <c r="CM2892" s="2"/>
    </row>
    <row r="2893" spans="1:91">
      <c r="A2893" s="2" t="s">
        <v>71</v>
      </c>
      <c r="B2893" s="2" t="s">
        <v>72</v>
      </c>
      <c r="C2893" s="2" t="s">
        <v>73</v>
      </c>
      <c r="D2893" s="2"/>
      <c r="E2893" s="2" t="str">
        <f>"FES1162545127"</f>
        <v>FES1162545127</v>
      </c>
      <c r="F2893" s="3">
        <v>42849</v>
      </c>
      <c r="G2893" s="2">
        <v>201710</v>
      </c>
      <c r="H2893" s="2" t="s">
        <v>74</v>
      </c>
      <c r="I2893" s="2" t="s">
        <v>75</v>
      </c>
      <c r="J2893" s="2" t="s">
        <v>76</v>
      </c>
      <c r="K2893" s="2" t="s">
        <v>77</v>
      </c>
      <c r="L2893" s="2" t="s">
        <v>212</v>
      </c>
      <c r="M2893" s="2" t="s">
        <v>213</v>
      </c>
      <c r="N2893" s="2" t="s">
        <v>509</v>
      </c>
      <c r="O2893" s="2" t="s">
        <v>115</v>
      </c>
      <c r="P2893" s="2" t="str">
        <f>"2170563593                    "</f>
        <v xml:space="preserve">2170563593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6.03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1</v>
      </c>
      <c r="BJ2893" s="2">
        <v>0.2</v>
      </c>
      <c r="BK2893" s="2">
        <v>1</v>
      </c>
      <c r="BL2893" s="2">
        <v>58.68</v>
      </c>
      <c r="BM2893" s="2">
        <v>8.2200000000000006</v>
      </c>
      <c r="BN2893" s="2">
        <v>66.900000000000006</v>
      </c>
      <c r="BO2893" s="2">
        <v>66.900000000000006</v>
      </c>
      <c r="BP2893" s="2"/>
      <c r="BQ2893" s="2" t="s">
        <v>510</v>
      </c>
      <c r="BR2893" s="2" t="s">
        <v>84</v>
      </c>
      <c r="BS2893" s="3">
        <v>42850</v>
      </c>
      <c r="BT2893" s="4">
        <v>0.4548611111111111</v>
      </c>
      <c r="BU2893" s="2" t="s">
        <v>3115</v>
      </c>
      <c r="BV2893" s="2" t="s">
        <v>111</v>
      </c>
      <c r="BW2893" s="2"/>
      <c r="BX2893" s="2"/>
      <c r="BY2893" s="2">
        <v>1200</v>
      </c>
      <c r="BZ2893" s="2"/>
      <c r="CA2893" s="2"/>
      <c r="CB2893" s="2"/>
      <c r="CC2893" s="2" t="s">
        <v>213</v>
      </c>
      <c r="CD2893" s="2">
        <v>1001</v>
      </c>
      <c r="CE2893" s="2" t="s">
        <v>118</v>
      </c>
      <c r="CF2893" s="5">
        <v>42853</v>
      </c>
      <c r="CG2893" s="2"/>
      <c r="CH2893" s="2"/>
      <c r="CI2893" s="2">
        <v>0</v>
      </c>
      <c r="CJ2893" s="2">
        <v>0</v>
      </c>
      <c r="CK2893" s="2">
        <v>24</v>
      </c>
      <c r="CL2893" s="2" t="s">
        <v>86</v>
      </c>
      <c r="CM2893" s="2"/>
    </row>
    <row r="2894" spans="1:91">
      <c r="A2894" s="2" t="s">
        <v>71</v>
      </c>
      <c r="B2894" s="2" t="s">
        <v>72</v>
      </c>
      <c r="C2894" s="2" t="s">
        <v>73</v>
      </c>
      <c r="D2894" s="2"/>
      <c r="E2894" s="2" t="str">
        <f>"FES1162543365"</f>
        <v>FES1162543365</v>
      </c>
      <c r="F2894" s="3">
        <v>42837</v>
      </c>
      <c r="G2894" s="2">
        <v>201710</v>
      </c>
      <c r="H2894" s="2" t="s">
        <v>74</v>
      </c>
      <c r="I2894" s="2" t="s">
        <v>75</v>
      </c>
      <c r="J2894" s="2" t="s">
        <v>200</v>
      </c>
      <c r="K2894" s="2" t="s">
        <v>77</v>
      </c>
      <c r="L2894" s="2" t="s">
        <v>187</v>
      </c>
      <c r="M2894" s="2" t="s">
        <v>146</v>
      </c>
      <c r="N2894" s="2" t="s">
        <v>326</v>
      </c>
      <c r="O2894" s="2" t="s">
        <v>255</v>
      </c>
      <c r="P2894" s="2" t="str">
        <f>"2170562024                    "</f>
        <v xml:space="preserve">2170562024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351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46.62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3</v>
      </c>
      <c r="BJ2894" s="2">
        <v>2</v>
      </c>
      <c r="BK2894" s="2">
        <v>3</v>
      </c>
      <c r="BL2894" s="2">
        <v>453.78</v>
      </c>
      <c r="BM2894" s="2">
        <v>63.53</v>
      </c>
      <c r="BN2894" s="2">
        <v>517.30999999999995</v>
      </c>
      <c r="BO2894" s="2">
        <v>517.30999999999995</v>
      </c>
      <c r="BP2894" s="2" t="s">
        <v>1318</v>
      </c>
      <c r="BQ2894" s="2" t="s">
        <v>3116</v>
      </c>
      <c r="BR2894" s="2" t="s">
        <v>2287</v>
      </c>
      <c r="BS2894" s="3">
        <v>42837</v>
      </c>
      <c r="BT2894" s="4">
        <v>0.70833333333333337</v>
      </c>
      <c r="BU2894" s="2" t="s">
        <v>841</v>
      </c>
      <c r="BV2894" s="2" t="s">
        <v>111</v>
      </c>
      <c r="BW2894" s="2"/>
      <c r="BX2894" s="2"/>
      <c r="BY2894" s="2">
        <v>9918</v>
      </c>
      <c r="BZ2894" s="2" t="s">
        <v>3117</v>
      </c>
      <c r="CA2894" s="2"/>
      <c r="CB2894" s="2"/>
      <c r="CC2894" s="2" t="s">
        <v>146</v>
      </c>
      <c r="CD2894" s="2">
        <v>200</v>
      </c>
      <c r="CE2894" s="2" t="s">
        <v>89</v>
      </c>
      <c r="CF2894" s="5">
        <v>42845</v>
      </c>
      <c r="CG2894" s="2"/>
      <c r="CH2894" s="2"/>
      <c r="CI2894" s="2">
        <v>0</v>
      </c>
      <c r="CJ2894" s="2">
        <v>0</v>
      </c>
      <c r="CK2894" s="2">
        <v>21</v>
      </c>
      <c r="CL2894" s="2" t="s">
        <v>86</v>
      </c>
      <c r="CM2894" s="2"/>
    </row>
    <row r="2895" spans="1:91">
      <c r="A2895" s="2" t="s">
        <v>71</v>
      </c>
      <c r="B2895" s="2" t="s">
        <v>72</v>
      </c>
      <c r="C2895" s="2" t="s">
        <v>73</v>
      </c>
      <c r="D2895" s="2"/>
      <c r="E2895" s="2" t="str">
        <f>"FES1162545230"</f>
        <v>FES1162545230</v>
      </c>
      <c r="F2895" s="3">
        <v>42849</v>
      </c>
      <c r="G2895" s="2">
        <v>201710</v>
      </c>
      <c r="H2895" s="2" t="s">
        <v>74</v>
      </c>
      <c r="I2895" s="2" t="s">
        <v>75</v>
      </c>
      <c r="J2895" s="2" t="s">
        <v>76</v>
      </c>
      <c r="K2895" s="2" t="s">
        <v>77</v>
      </c>
      <c r="L2895" s="2" t="s">
        <v>549</v>
      </c>
      <c r="M2895" s="2" t="s">
        <v>550</v>
      </c>
      <c r="N2895" s="2" t="s">
        <v>1195</v>
      </c>
      <c r="O2895" s="2" t="s">
        <v>115</v>
      </c>
      <c r="P2895" s="2" t="str">
        <f>"2170563712                    "</f>
        <v xml:space="preserve">2170563712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4.29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1.2</v>
      </c>
      <c r="BJ2895" s="2">
        <v>0.2</v>
      </c>
      <c r="BK2895" s="2">
        <v>1.5</v>
      </c>
      <c r="BL2895" s="2">
        <v>41.73</v>
      </c>
      <c r="BM2895" s="2">
        <v>5.84</v>
      </c>
      <c r="BN2895" s="2">
        <v>47.57</v>
      </c>
      <c r="BO2895" s="2">
        <v>47.57</v>
      </c>
      <c r="BP2895" s="2"/>
      <c r="BQ2895" s="2" t="s">
        <v>1196</v>
      </c>
      <c r="BR2895" s="2" t="s">
        <v>84</v>
      </c>
      <c r="BS2895" s="3">
        <v>42850</v>
      </c>
      <c r="BT2895" s="4">
        <v>0.42708333333333331</v>
      </c>
      <c r="BU2895" s="2" t="s">
        <v>1478</v>
      </c>
      <c r="BV2895" s="2" t="s">
        <v>111</v>
      </c>
      <c r="BW2895" s="2"/>
      <c r="BX2895" s="2"/>
      <c r="BY2895" s="2">
        <v>1200</v>
      </c>
      <c r="BZ2895" s="2"/>
      <c r="CA2895" s="2"/>
      <c r="CB2895" s="2"/>
      <c r="CC2895" s="2" t="s">
        <v>550</v>
      </c>
      <c r="CD2895" s="2">
        <v>3699</v>
      </c>
      <c r="CE2895" s="2" t="s">
        <v>118</v>
      </c>
      <c r="CF2895" s="5">
        <v>42851</v>
      </c>
      <c r="CG2895" s="2"/>
      <c r="CH2895" s="2"/>
      <c r="CI2895" s="2">
        <v>1</v>
      </c>
      <c r="CJ2895" s="2">
        <v>1</v>
      </c>
      <c r="CK2895" s="2">
        <v>21</v>
      </c>
      <c r="CL2895" s="2" t="s">
        <v>86</v>
      </c>
      <c r="CM2895" s="2"/>
    </row>
    <row r="2896" spans="1:91">
      <c r="A2896" s="2" t="s">
        <v>71</v>
      </c>
      <c r="B2896" s="2" t="s">
        <v>72</v>
      </c>
      <c r="C2896" s="2" t="s">
        <v>73</v>
      </c>
      <c r="D2896" s="2"/>
      <c r="E2896" s="2" t="str">
        <f>"RFES1162544686"</f>
        <v>RFES1162544686</v>
      </c>
      <c r="F2896" s="3">
        <v>42849</v>
      </c>
      <c r="G2896" s="2">
        <v>201710</v>
      </c>
      <c r="H2896" s="2" t="s">
        <v>176</v>
      </c>
      <c r="I2896" s="2" t="s">
        <v>176</v>
      </c>
      <c r="J2896" s="2" t="s">
        <v>339</v>
      </c>
      <c r="K2896" s="2" t="s">
        <v>77</v>
      </c>
      <c r="L2896" s="2" t="s">
        <v>74</v>
      </c>
      <c r="M2896" s="2" t="s">
        <v>75</v>
      </c>
      <c r="N2896" s="2" t="s">
        <v>76</v>
      </c>
      <c r="O2896" s="2" t="s">
        <v>115</v>
      </c>
      <c r="P2896" s="2" t="str">
        <f>"2170563245                    "</f>
        <v xml:space="preserve">2170563245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4.29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1</v>
      </c>
      <c r="BJ2896" s="2">
        <v>0.2</v>
      </c>
      <c r="BK2896" s="2">
        <v>1</v>
      </c>
      <c r="BL2896" s="2">
        <v>41.73</v>
      </c>
      <c r="BM2896" s="2">
        <v>5.84</v>
      </c>
      <c r="BN2896" s="2">
        <v>47.57</v>
      </c>
      <c r="BO2896" s="2">
        <v>47.57</v>
      </c>
      <c r="BP2896" s="2"/>
      <c r="BQ2896" s="2" t="s">
        <v>84</v>
      </c>
      <c r="BR2896" s="2" t="s">
        <v>340</v>
      </c>
      <c r="BS2896" s="3">
        <v>42850</v>
      </c>
      <c r="BT2896" s="4">
        <v>0.37847222222222227</v>
      </c>
      <c r="BU2896" s="2" t="s">
        <v>134</v>
      </c>
      <c r="BV2896" s="2" t="s">
        <v>111</v>
      </c>
      <c r="BW2896" s="2"/>
      <c r="BX2896" s="2"/>
      <c r="BY2896" s="2">
        <v>1200</v>
      </c>
      <c r="BZ2896" s="2"/>
      <c r="CA2896" s="2"/>
      <c r="CB2896" s="2"/>
      <c r="CC2896" s="2" t="s">
        <v>75</v>
      </c>
      <c r="CD2896" s="2">
        <v>1600</v>
      </c>
      <c r="CE2896" s="2" t="s">
        <v>118</v>
      </c>
      <c r="CF2896" s="5">
        <v>42851</v>
      </c>
      <c r="CG2896" s="2"/>
      <c r="CH2896" s="2"/>
      <c r="CI2896" s="2">
        <v>1</v>
      </c>
      <c r="CJ2896" s="2">
        <v>1</v>
      </c>
      <c r="CK2896" s="2">
        <v>21</v>
      </c>
      <c r="CL2896" s="2" t="s">
        <v>86</v>
      </c>
      <c r="CM2896" s="2"/>
    </row>
    <row r="2897" spans="1:91">
      <c r="A2897" s="2" t="s">
        <v>71</v>
      </c>
      <c r="B2897" s="2" t="s">
        <v>72</v>
      </c>
      <c r="C2897" s="2" t="s">
        <v>73</v>
      </c>
      <c r="D2897" s="2"/>
      <c r="E2897" s="2" t="str">
        <f>"FES1162545130"</f>
        <v>FES1162545130</v>
      </c>
      <c r="F2897" s="3">
        <v>42849</v>
      </c>
      <c r="G2897" s="2">
        <v>201710</v>
      </c>
      <c r="H2897" s="2" t="s">
        <v>74</v>
      </c>
      <c r="I2897" s="2" t="s">
        <v>75</v>
      </c>
      <c r="J2897" s="2" t="s">
        <v>76</v>
      </c>
      <c r="K2897" s="2" t="s">
        <v>77</v>
      </c>
      <c r="L2897" s="2" t="s">
        <v>496</v>
      </c>
      <c r="M2897" s="2" t="s">
        <v>497</v>
      </c>
      <c r="N2897" s="2" t="s">
        <v>1357</v>
      </c>
      <c r="O2897" s="2" t="s">
        <v>115</v>
      </c>
      <c r="P2897" s="2" t="str">
        <f>"2170563608                    "</f>
        <v xml:space="preserve">2170563608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3.35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</v>
      </c>
      <c r="BJ2897" s="2">
        <v>0.2</v>
      </c>
      <c r="BK2897" s="2">
        <v>1</v>
      </c>
      <c r="BL2897" s="2">
        <v>32.6</v>
      </c>
      <c r="BM2897" s="2">
        <v>4.5599999999999996</v>
      </c>
      <c r="BN2897" s="2">
        <v>37.159999999999997</v>
      </c>
      <c r="BO2897" s="2">
        <v>37.159999999999997</v>
      </c>
      <c r="BP2897" s="2"/>
      <c r="BQ2897" s="2" t="s">
        <v>1358</v>
      </c>
      <c r="BR2897" s="2" t="s">
        <v>84</v>
      </c>
      <c r="BS2897" s="3">
        <v>42850</v>
      </c>
      <c r="BT2897" s="4">
        <v>0.43402777777777773</v>
      </c>
      <c r="BU2897" s="2" t="s">
        <v>1298</v>
      </c>
      <c r="BV2897" s="2" t="s">
        <v>111</v>
      </c>
      <c r="BW2897" s="2"/>
      <c r="BX2897" s="2"/>
      <c r="BY2897" s="2">
        <v>1200</v>
      </c>
      <c r="BZ2897" s="2"/>
      <c r="CA2897" s="2"/>
      <c r="CB2897" s="2"/>
      <c r="CC2897" s="2" t="s">
        <v>497</v>
      </c>
      <c r="CD2897" s="2">
        <v>1559</v>
      </c>
      <c r="CE2897" s="2" t="s">
        <v>118</v>
      </c>
      <c r="CF2897" s="2"/>
      <c r="CG2897" s="2"/>
      <c r="CH2897" s="2"/>
      <c r="CI2897" s="2">
        <v>1</v>
      </c>
      <c r="CJ2897" s="2">
        <v>1</v>
      </c>
      <c r="CK2897" s="2">
        <v>22</v>
      </c>
      <c r="CL2897" s="2" t="s">
        <v>86</v>
      </c>
      <c r="CM2897" s="2"/>
    </row>
    <row r="2898" spans="1:91">
      <c r="A2898" s="2" t="s">
        <v>71</v>
      </c>
      <c r="B2898" s="2" t="s">
        <v>72</v>
      </c>
      <c r="C2898" s="2" t="s">
        <v>73</v>
      </c>
      <c r="D2898" s="2"/>
      <c r="E2898" s="2" t="str">
        <f>"FES1162545232"</f>
        <v>FES1162545232</v>
      </c>
      <c r="F2898" s="3">
        <v>42849</v>
      </c>
      <c r="G2898" s="2">
        <v>201710</v>
      </c>
      <c r="H2898" s="2" t="s">
        <v>74</v>
      </c>
      <c r="I2898" s="2" t="s">
        <v>75</v>
      </c>
      <c r="J2898" s="2" t="s">
        <v>76</v>
      </c>
      <c r="K2898" s="2" t="s">
        <v>77</v>
      </c>
      <c r="L2898" s="2" t="s">
        <v>131</v>
      </c>
      <c r="M2898" s="2" t="s">
        <v>132</v>
      </c>
      <c r="N2898" s="2" t="s">
        <v>649</v>
      </c>
      <c r="O2898" s="2" t="s">
        <v>115</v>
      </c>
      <c r="P2898" s="2" t="str">
        <f>"2170563718                    "</f>
        <v xml:space="preserve">2170563718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4.29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1</v>
      </c>
      <c r="BJ2898" s="2">
        <v>0.2</v>
      </c>
      <c r="BK2898" s="2">
        <v>1</v>
      </c>
      <c r="BL2898" s="2">
        <v>41.73</v>
      </c>
      <c r="BM2898" s="2">
        <v>5.84</v>
      </c>
      <c r="BN2898" s="2">
        <v>47.57</v>
      </c>
      <c r="BO2898" s="2">
        <v>47.57</v>
      </c>
      <c r="BP2898" s="2"/>
      <c r="BQ2898" s="2" t="s">
        <v>3118</v>
      </c>
      <c r="BR2898" s="2" t="s">
        <v>84</v>
      </c>
      <c r="BS2898" s="3">
        <v>42850</v>
      </c>
      <c r="BT2898" s="4">
        <v>0.41666666666666669</v>
      </c>
      <c r="BU2898" s="2" t="s">
        <v>3119</v>
      </c>
      <c r="BV2898" s="2" t="s">
        <v>111</v>
      </c>
      <c r="BW2898" s="2"/>
      <c r="BX2898" s="2"/>
      <c r="BY2898" s="2">
        <v>1200</v>
      </c>
      <c r="BZ2898" s="2"/>
      <c r="CA2898" s="2"/>
      <c r="CB2898" s="2"/>
      <c r="CC2898" s="2" t="s">
        <v>132</v>
      </c>
      <c r="CD2898" s="2">
        <v>7405</v>
      </c>
      <c r="CE2898" s="2" t="s">
        <v>118</v>
      </c>
      <c r="CF2898" s="5">
        <v>42851</v>
      </c>
      <c r="CG2898" s="2"/>
      <c r="CH2898" s="2"/>
      <c r="CI2898" s="2">
        <v>1</v>
      </c>
      <c r="CJ2898" s="2">
        <v>1</v>
      </c>
      <c r="CK2898" s="2">
        <v>21</v>
      </c>
      <c r="CL2898" s="2" t="s">
        <v>86</v>
      </c>
      <c r="CM2898" s="2"/>
    </row>
    <row r="2899" spans="1:91">
      <c r="A2899" s="2" t="s">
        <v>71</v>
      </c>
      <c r="B2899" s="2" t="s">
        <v>72</v>
      </c>
      <c r="C2899" s="2" t="s">
        <v>73</v>
      </c>
      <c r="D2899" s="2"/>
      <c r="E2899" s="2" t="str">
        <f>"FES1162545118"</f>
        <v>FES1162545118</v>
      </c>
      <c r="F2899" s="3">
        <v>42849</v>
      </c>
      <c r="G2899" s="2">
        <v>201710</v>
      </c>
      <c r="H2899" s="2" t="s">
        <v>74</v>
      </c>
      <c r="I2899" s="2" t="s">
        <v>75</v>
      </c>
      <c r="J2899" s="2" t="s">
        <v>76</v>
      </c>
      <c r="K2899" s="2" t="s">
        <v>77</v>
      </c>
      <c r="L2899" s="2" t="s">
        <v>99</v>
      </c>
      <c r="M2899" s="2" t="s">
        <v>100</v>
      </c>
      <c r="N2899" s="2" t="s">
        <v>390</v>
      </c>
      <c r="O2899" s="2" t="s">
        <v>115</v>
      </c>
      <c r="P2899" s="2" t="str">
        <f>"2170563115                    "</f>
        <v xml:space="preserve">2170563115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4.29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1</v>
      </c>
      <c r="BJ2899" s="2">
        <v>0.2</v>
      </c>
      <c r="BK2899" s="2">
        <v>1</v>
      </c>
      <c r="BL2899" s="2">
        <v>41.73</v>
      </c>
      <c r="BM2899" s="2">
        <v>5.84</v>
      </c>
      <c r="BN2899" s="2">
        <v>47.57</v>
      </c>
      <c r="BO2899" s="2">
        <v>47.57</v>
      </c>
      <c r="BP2899" s="2"/>
      <c r="BQ2899" s="2" t="s">
        <v>1677</v>
      </c>
      <c r="BR2899" s="2" t="s">
        <v>84</v>
      </c>
      <c r="BS2899" s="3">
        <v>42850</v>
      </c>
      <c r="BT2899" s="4">
        <v>0.35902777777777778</v>
      </c>
      <c r="BU2899" s="2" t="s">
        <v>3120</v>
      </c>
      <c r="BV2899" s="2" t="s">
        <v>111</v>
      </c>
      <c r="BW2899" s="2"/>
      <c r="BX2899" s="2"/>
      <c r="BY2899" s="2">
        <v>1200</v>
      </c>
      <c r="BZ2899" s="2"/>
      <c r="CA2899" s="2"/>
      <c r="CB2899" s="2"/>
      <c r="CC2899" s="2" t="s">
        <v>100</v>
      </c>
      <c r="CD2899" s="2">
        <v>6001</v>
      </c>
      <c r="CE2899" s="2" t="s">
        <v>118</v>
      </c>
      <c r="CF2899" s="5">
        <v>42850</v>
      </c>
      <c r="CG2899" s="2"/>
      <c r="CH2899" s="2"/>
      <c r="CI2899" s="2">
        <v>1</v>
      </c>
      <c r="CJ2899" s="2">
        <v>1</v>
      </c>
      <c r="CK2899" s="2">
        <v>21</v>
      </c>
      <c r="CL2899" s="2" t="s">
        <v>86</v>
      </c>
      <c r="CM2899" s="2"/>
    </row>
    <row r="2900" spans="1:91">
      <c r="A2900" s="2" t="s">
        <v>71</v>
      </c>
      <c r="B2900" s="2" t="s">
        <v>72</v>
      </c>
      <c r="C2900" s="2" t="s">
        <v>73</v>
      </c>
      <c r="D2900" s="2"/>
      <c r="E2900" s="2" t="str">
        <f>"FES1162545143"</f>
        <v>FES1162545143</v>
      </c>
      <c r="F2900" s="3">
        <v>42849</v>
      </c>
      <c r="G2900" s="2">
        <v>201710</v>
      </c>
      <c r="H2900" s="2" t="s">
        <v>74</v>
      </c>
      <c r="I2900" s="2" t="s">
        <v>75</v>
      </c>
      <c r="J2900" s="2" t="s">
        <v>76</v>
      </c>
      <c r="K2900" s="2" t="s">
        <v>77</v>
      </c>
      <c r="L2900" s="2" t="s">
        <v>166</v>
      </c>
      <c r="M2900" s="2" t="s">
        <v>167</v>
      </c>
      <c r="N2900" s="2" t="s">
        <v>1507</v>
      </c>
      <c r="O2900" s="2" t="s">
        <v>115</v>
      </c>
      <c r="P2900" s="2" t="str">
        <f>"2170563625                    "</f>
        <v xml:space="preserve">2170563625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3.35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1</v>
      </c>
      <c r="BJ2900" s="2">
        <v>0.2</v>
      </c>
      <c r="BK2900" s="2">
        <v>1</v>
      </c>
      <c r="BL2900" s="2">
        <v>32.6</v>
      </c>
      <c r="BM2900" s="2">
        <v>4.5599999999999996</v>
      </c>
      <c r="BN2900" s="2">
        <v>37.159999999999997</v>
      </c>
      <c r="BO2900" s="2">
        <v>37.159999999999997</v>
      </c>
      <c r="BP2900" s="2"/>
      <c r="BQ2900" s="2" t="s">
        <v>1571</v>
      </c>
      <c r="BR2900" s="2" t="s">
        <v>84</v>
      </c>
      <c r="BS2900" s="3">
        <v>42850</v>
      </c>
      <c r="BT2900" s="4">
        <v>0.41666666666666669</v>
      </c>
      <c r="BU2900" s="2" t="s">
        <v>1337</v>
      </c>
      <c r="BV2900" s="2" t="s">
        <v>111</v>
      </c>
      <c r="BW2900" s="2"/>
      <c r="BX2900" s="2"/>
      <c r="BY2900" s="2">
        <v>1200</v>
      </c>
      <c r="BZ2900" s="2"/>
      <c r="CA2900" s="2" t="s">
        <v>159</v>
      </c>
      <c r="CB2900" s="2"/>
      <c r="CC2900" s="2" t="s">
        <v>167</v>
      </c>
      <c r="CD2900" s="2">
        <v>2091</v>
      </c>
      <c r="CE2900" s="2" t="s">
        <v>118</v>
      </c>
      <c r="CF2900" s="5">
        <v>42851</v>
      </c>
      <c r="CG2900" s="2"/>
      <c r="CH2900" s="2"/>
      <c r="CI2900" s="2">
        <v>1</v>
      </c>
      <c r="CJ2900" s="2">
        <v>1</v>
      </c>
      <c r="CK2900" s="2">
        <v>22</v>
      </c>
      <c r="CL2900" s="2" t="s">
        <v>86</v>
      </c>
      <c r="CM2900" s="2"/>
    </row>
    <row r="2901" spans="1:91">
      <c r="A2901" s="2" t="s">
        <v>71</v>
      </c>
      <c r="B2901" s="2" t="s">
        <v>72</v>
      </c>
      <c r="C2901" s="2" t="s">
        <v>73</v>
      </c>
      <c r="D2901" s="2"/>
      <c r="E2901" s="2" t="str">
        <f>"FES1162545151"</f>
        <v>FES1162545151</v>
      </c>
      <c r="F2901" s="3">
        <v>42849</v>
      </c>
      <c r="G2901" s="2">
        <v>201710</v>
      </c>
      <c r="H2901" s="2" t="s">
        <v>74</v>
      </c>
      <c r="I2901" s="2" t="s">
        <v>75</v>
      </c>
      <c r="J2901" s="2" t="s">
        <v>76</v>
      </c>
      <c r="K2901" s="2" t="s">
        <v>77</v>
      </c>
      <c r="L2901" s="2" t="s">
        <v>516</v>
      </c>
      <c r="M2901" s="2" t="s">
        <v>517</v>
      </c>
      <c r="N2901" s="2" t="s">
        <v>755</v>
      </c>
      <c r="O2901" s="2" t="s">
        <v>115</v>
      </c>
      <c r="P2901" s="2" t="str">
        <f>"2170563637                    "</f>
        <v xml:space="preserve">2170563637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3.35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1</v>
      </c>
      <c r="BJ2901" s="2">
        <v>0.2</v>
      </c>
      <c r="BK2901" s="2">
        <v>1</v>
      </c>
      <c r="BL2901" s="2">
        <v>32.6</v>
      </c>
      <c r="BM2901" s="2">
        <v>4.5599999999999996</v>
      </c>
      <c r="BN2901" s="2">
        <v>37.159999999999997</v>
      </c>
      <c r="BO2901" s="2">
        <v>37.159999999999997</v>
      </c>
      <c r="BP2901" s="2"/>
      <c r="BQ2901" s="2" t="s">
        <v>122</v>
      </c>
      <c r="BR2901" s="2" t="s">
        <v>84</v>
      </c>
      <c r="BS2901" s="3">
        <v>42850</v>
      </c>
      <c r="BT2901" s="4">
        <v>0.4604166666666667</v>
      </c>
      <c r="BU2901" s="2" t="s">
        <v>2152</v>
      </c>
      <c r="BV2901" s="2" t="s">
        <v>86</v>
      </c>
      <c r="BW2901" s="2" t="s">
        <v>96</v>
      </c>
      <c r="BX2901" s="2" t="s">
        <v>2830</v>
      </c>
      <c r="BY2901" s="2">
        <v>1200</v>
      </c>
      <c r="BZ2901" s="2"/>
      <c r="CA2901" s="2"/>
      <c r="CB2901" s="2"/>
      <c r="CC2901" s="2" t="s">
        <v>517</v>
      </c>
      <c r="CD2901" s="2">
        <v>1459</v>
      </c>
      <c r="CE2901" s="2" t="s">
        <v>118</v>
      </c>
      <c r="CF2901" s="5">
        <v>42851</v>
      </c>
      <c r="CG2901" s="2"/>
      <c r="CH2901" s="2"/>
      <c r="CI2901" s="2">
        <v>1</v>
      </c>
      <c r="CJ2901" s="2">
        <v>1</v>
      </c>
      <c r="CK2901" s="2">
        <v>22</v>
      </c>
      <c r="CL2901" s="2" t="s">
        <v>86</v>
      </c>
      <c r="CM2901" s="2"/>
    </row>
    <row r="2902" spans="1:91">
      <c r="A2902" s="2" t="s">
        <v>71</v>
      </c>
      <c r="B2902" s="2" t="s">
        <v>72</v>
      </c>
      <c r="C2902" s="2" t="s">
        <v>73</v>
      </c>
      <c r="D2902" s="2"/>
      <c r="E2902" s="2" t="str">
        <f>"FES1162545174"</f>
        <v>FES1162545174</v>
      </c>
      <c r="F2902" s="3">
        <v>42849</v>
      </c>
      <c r="G2902" s="2">
        <v>201710</v>
      </c>
      <c r="H2902" s="2" t="s">
        <v>74</v>
      </c>
      <c r="I2902" s="2" t="s">
        <v>75</v>
      </c>
      <c r="J2902" s="2" t="s">
        <v>76</v>
      </c>
      <c r="K2902" s="2" t="s">
        <v>77</v>
      </c>
      <c r="L2902" s="2" t="s">
        <v>396</v>
      </c>
      <c r="M2902" s="2" t="s">
        <v>397</v>
      </c>
      <c r="N2902" s="2" t="s">
        <v>500</v>
      </c>
      <c r="O2902" s="2" t="s">
        <v>115</v>
      </c>
      <c r="P2902" s="2" t="str">
        <f>"2170563659                    "</f>
        <v xml:space="preserve">2170563659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4.29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41.73</v>
      </c>
      <c r="BM2902" s="2">
        <v>5.84</v>
      </c>
      <c r="BN2902" s="2">
        <v>47.57</v>
      </c>
      <c r="BO2902" s="2">
        <v>47.57</v>
      </c>
      <c r="BP2902" s="2"/>
      <c r="BQ2902" s="2" t="s">
        <v>501</v>
      </c>
      <c r="BR2902" s="2" t="s">
        <v>84</v>
      </c>
      <c r="BS2902" s="3">
        <v>42850</v>
      </c>
      <c r="BT2902" s="4">
        <v>0.4375</v>
      </c>
      <c r="BU2902" s="2" t="s">
        <v>1128</v>
      </c>
      <c r="BV2902" s="2" t="s">
        <v>111</v>
      </c>
      <c r="BW2902" s="2"/>
      <c r="BX2902" s="2"/>
      <c r="BY2902" s="2">
        <v>1200</v>
      </c>
      <c r="BZ2902" s="2"/>
      <c r="CA2902" s="2"/>
      <c r="CB2902" s="2"/>
      <c r="CC2902" s="2" t="s">
        <v>397</v>
      </c>
      <c r="CD2902" s="2">
        <v>4302</v>
      </c>
      <c r="CE2902" s="2" t="s">
        <v>118</v>
      </c>
      <c r="CF2902" s="5">
        <v>42851</v>
      </c>
      <c r="CG2902" s="2"/>
      <c r="CH2902" s="2"/>
      <c r="CI2902" s="2">
        <v>1</v>
      </c>
      <c r="CJ2902" s="2">
        <v>1</v>
      </c>
      <c r="CK2902" s="2">
        <v>21</v>
      </c>
      <c r="CL2902" s="2" t="s">
        <v>86</v>
      </c>
      <c r="CM2902" s="2"/>
    </row>
    <row r="2903" spans="1:91">
      <c r="A2903" s="2" t="s">
        <v>71</v>
      </c>
      <c r="B2903" s="2" t="s">
        <v>72</v>
      </c>
      <c r="C2903" s="2" t="s">
        <v>73</v>
      </c>
      <c r="D2903" s="2"/>
      <c r="E2903" s="2" t="str">
        <f>"FES1162545111"</f>
        <v>FES1162545111</v>
      </c>
      <c r="F2903" s="3">
        <v>42849</v>
      </c>
      <c r="G2903" s="2">
        <v>201710</v>
      </c>
      <c r="H2903" s="2" t="s">
        <v>74</v>
      </c>
      <c r="I2903" s="2" t="s">
        <v>75</v>
      </c>
      <c r="J2903" s="2" t="s">
        <v>76</v>
      </c>
      <c r="K2903" s="2" t="s">
        <v>77</v>
      </c>
      <c r="L2903" s="2" t="s">
        <v>166</v>
      </c>
      <c r="M2903" s="2" t="s">
        <v>167</v>
      </c>
      <c r="N2903" s="2" t="s">
        <v>168</v>
      </c>
      <c r="O2903" s="2" t="s">
        <v>115</v>
      </c>
      <c r="P2903" s="2" t="str">
        <f>"2170561681                    "</f>
        <v xml:space="preserve">2170561681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3.35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</v>
      </c>
      <c r="BJ2903" s="2">
        <v>0.2</v>
      </c>
      <c r="BK2903" s="2">
        <v>1</v>
      </c>
      <c r="BL2903" s="2">
        <v>32.6</v>
      </c>
      <c r="BM2903" s="2">
        <v>4.5599999999999996</v>
      </c>
      <c r="BN2903" s="2">
        <v>37.159999999999997</v>
      </c>
      <c r="BO2903" s="2">
        <v>37.159999999999997</v>
      </c>
      <c r="BP2903" s="2"/>
      <c r="BQ2903" s="2" t="s">
        <v>169</v>
      </c>
      <c r="BR2903" s="2" t="s">
        <v>84</v>
      </c>
      <c r="BS2903" s="3">
        <v>42850</v>
      </c>
      <c r="BT2903" s="4">
        <v>0.3923611111111111</v>
      </c>
      <c r="BU2903" s="2" t="s">
        <v>170</v>
      </c>
      <c r="BV2903" s="2" t="s">
        <v>111</v>
      </c>
      <c r="BW2903" s="2"/>
      <c r="BX2903" s="2"/>
      <c r="BY2903" s="2">
        <v>1200</v>
      </c>
      <c r="BZ2903" s="2"/>
      <c r="CA2903" s="2" t="s">
        <v>171</v>
      </c>
      <c r="CB2903" s="2"/>
      <c r="CC2903" s="2" t="s">
        <v>167</v>
      </c>
      <c r="CD2903" s="2">
        <v>2094</v>
      </c>
      <c r="CE2903" s="2" t="s">
        <v>118</v>
      </c>
      <c r="CF2903" s="5">
        <v>42850</v>
      </c>
      <c r="CG2903" s="2"/>
      <c r="CH2903" s="2"/>
      <c r="CI2903" s="2">
        <v>1</v>
      </c>
      <c r="CJ2903" s="2">
        <v>1</v>
      </c>
      <c r="CK2903" s="2">
        <v>22</v>
      </c>
      <c r="CL2903" s="2" t="s">
        <v>86</v>
      </c>
      <c r="CM2903" s="2"/>
    </row>
    <row r="2904" spans="1:91">
      <c r="A2904" s="2" t="s">
        <v>71</v>
      </c>
      <c r="B2904" s="2" t="s">
        <v>72</v>
      </c>
      <c r="C2904" s="2" t="s">
        <v>73</v>
      </c>
      <c r="D2904" s="2"/>
      <c r="E2904" s="2" t="str">
        <f>"FES1162545170"</f>
        <v>FES1162545170</v>
      </c>
      <c r="F2904" s="3">
        <v>42849</v>
      </c>
      <c r="G2904" s="2">
        <v>201710</v>
      </c>
      <c r="H2904" s="2" t="s">
        <v>74</v>
      </c>
      <c r="I2904" s="2" t="s">
        <v>75</v>
      </c>
      <c r="J2904" s="2" t="s">
        <v>76</v>
      </c>
      <c r="K2904" s="2" t="s">
        <v>77</v>
      </c>
      <c r="L2904" s="2" t="s">
        <v>267</v>
      </c>
      <c r="M2904" s="2" t="s">
        <v>268</v>
      </c>
      <c r="N2904" s="2" t="s">
        <v>3121</v>
      </c>
      <c r="O2904" s="2" t="s">
        <v>115</v>
      </c>
      <c r="P2904" s="2" t="str">
        <f>"2170563654                    "</f>
        <v xml:space="preserve">2170563654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3.35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1</v>
      </c>
      <c r="BJ2904" s="2">
        <v>0.2</v>
      </c>
      <c r="BK2904" s="2">
        <v>1</v>
      </c>
      <c r="BL2904" s="2">
        <v>32.6</v>
      </c>
      <c r="BM2904" s="2">
        <v>4.5599999999999996</v>
      </c>
      <c r="BN2904" s="2">
        <v>37.159999999999997</v>
      </c>
      <c r="BO2904" s="2">
        <v>37.159999999999997</v>
      </c>
      <c r="BP2904" s="2"/>
      <c r="BQ2904" s="2"/>
      <c r="BR2904" s="2" t="s">
        <v>84</v>
      </c>
      <c r="BS2904" s="3">
        <v>42850</v>
      </c>
      <c r="BT2904" s="4">
        <v>0.41666666666666669</v>
      </c>
      <c r="BU2904" s="2" t="s">
        <v>2921</v>
      </c>
      <c r="BV2904" s="2" t="s">
        <v>111</v>
      </c>
      <c r="BW2904" s="2"/>
      <c r="BX2904" s="2"/>
      <c r="BY2904" s="2">
        <v>1200</v>
      </c>
      <c r="BZ2904" s="2"/>
      <c r="CA2904" s="2"/>
      <c r="CB2904" s="2"/>
      <c r="CC2904" s="2" t="s">
        <v>268</v>
      </c>
      <c r="CD2904" s="2">
        <v>1709</v>
      </c>
      <c r="CE2904" s="2" t="s">
        <v>118</v>
      </c>
      <c r="CF2904" s="5">
        <v>42851</v>
      </c>
      <c r="CG2904" s="2"/>
      <c r="CH2904" s="2"/>
      <c r="CI2904" s="2">
        <v>1</v>
      </c>
      <c r="CJ2904" s="2">
        <v>1</v>
      </c>
      <c r="CK2904" s="2">
        <v>22</v>
      </c>
      <c r="CL2904" s="2" t="s">
        <v>86</v>
      </c>
      <c r="CM2904" s="2"/>
    </row>
    <row r="2905" spans="1:91">
      <c r="A2905" s="2" t="s">
        <v>71</v>
      </c>
      <c r="B2905" s="2" t="s">
        <v>72</v>
      </c>
      <c r="C2905" s="2" t="s">
        <v>73</v>
      </c>
      <c r="D2905" s="2"/>
      <c r="E2905" s="2" t="str">
        <f>"FES1162545065"</f>
        <v>FES1162545065</v>
      </c>
      <c r="F2905" s="3">
        <v>42849</v>
      </c>
      <c r="G2905" s="2">
        <v>201710</v>
      </c>
      <c r="H2905" s="2" t="s">
        <v>74</v>
      </c>
      <c r="I2905" s="2" t="s">
        <v>75</v>
      </c>
      <c r="J2905" s="2" t="s">
        <v>76</v>
      </c>
      <c r="K2905" s="2" t="s">
        <v>77</v>
      </c>
      <c r="L2905" s="2" t="s">
        <v>74</v>
      </c>
      <c r="M2905" s="2" t="s">
        <v>75</v>
      </c>
      <c r="N2905" s="2" t="s">
        <v>1684</v>
      </c>
      <c r="O2905" s="2" t="s">
        <v>115</v>
      </c>
      <c r="P2905" s="2" t="str">
        <f>"2170563586                    "</f>
        <v xml:space="preserve">2170563586 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3.35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1</v>
      </c>
      <c r="BJ2905" s="2">
        <v>0.2</v>
      </c>
      <c r="BK2905" s="2">
        <v>1</v>
      </c>
      <c r="BL2905" s="2">
        <v>32.6</v>
      </c>
      <c r="BM2905" s="2">
        <v>4.5599999999999996</v>
      </c>
      <c r="BN2905" s="2">
        <v>37.159999999999997</v>
      </c>
      <c r="BO2905" s="2">
        <v>37.159999999999997</v>
      </c>
      <c r="BP2905" s="2"/>
      <c r="BQ2905" s="2" t="s">
        <v>1685</v>
      </c>
      <c r="BR2905" s="2" t="s">
        <v>84</v>
      </c>
      <c r="BS2905" s="3">
        <v>42850</v>
      </c>
      <c r="BT2905" s="4">
        <v>0.33124999999999999</v>
      </c>
      <c r="BU2905" s="2" t="s">
        <v>2662</v>
      </c>
      <c r="BV2905" s="2" t="s">
        <v>111</v>
      </c>
      <c r="BW2905" s="2"/>
      <c r="BX2905" s="2"/>
      <c r="BY2905" s="2">
        <v>1200</v>
      </c>
      <c r="BZ2905" s="2"/>
      <c r="CA2905" s="2" t="s">
        <v>1687</v>
      </c>
      <c r="CB2905" s="2"/>
      <c r="CC2905" s="2" t="s">
        <v>75</v>
      </c>
      <c r="CD2905" s="2">
        <v>1609</v>
      </c>
      <c r="CE2905" s="2" t="s">
        <v>118</v>
      </c>
      <c r="CF2905" s="5">
        <v>42850</v>
      </c>
      <c r="CG2905" s="2"/>
      <c r="CH2905" s="2"/>
      <c r="CI2905" s="2">
        <v>1</v>
      </c>
      <c r="CJ2905" s="2">
        <v>1</v>
      </c>
      <c r="CK2905" s="2">
        <v>22</v>
      </c>
      <c r="CL2905" s="2" t="s">
        <v>86</v>
      </c>
      <c r="CM2905" s="2"/>
    </row>
    <row r="2906" spans="1:91">
      <c r="A2906" s="2" t="s">
        <v>71</v>
      </c>
      <c r="B2906" s="2" t="s">
        <v>72</v>
      </c>
      <c r="C2906" s="2" t="s">
        <v>73</v>
      </c>
      <c r="D2906" s="2"/>
      <c r="E2906" s="2" t="str">
        <f>"FES1162545079"</f>
        <v>FES1162545079</v>
      </c>
      <c r="F2906" s="3">
        <v>42849</v>
      </c>
      <c r="G2906" s="2">
        <v>201710</v>
      </c>
      <c r="H2906" s="2" t="s">
        <v>74</v>
      </c>
      <c r="I2906" s="2" t="s">
        <v>75</v>
      </c>
      <c r="J2906" s="2" t="s">
        <v>76</v>
      </c>
      <c r="K2906" s="2" t="s">
        <v>77</v>
      </c>
      <c r="L2906" s="2" t="s">
        <v>516</v>
      </c>
      <c r="M2906" s="2" t="s">
        <v>517</v>
      </c>
      <c r="N2906" s="2" t="s">
        <v>755</v>
      </c>
      <c r="O2906" s="2" t="s">
        <v>115</v>
      </c>
      <c r="P2906" s="2" t="str">
        <f>"2170563600                    "</f>
        <v xml:space="preserve">2170563600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3.35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1</v>
      </c>
      <c r="BJ2906" s="2">
        <v>0.2</v>
      </c>
      <c r="BK2906" s="2">
        <v>1</v>
      </c>
      <c r="BL2906" s="2">
        <v>32.6</v>
      </c>
      <c r="BM2906" s="2">
        <v>4.5599999999999996</v>
      </c>
      <c r="BN2906" s="2">
        <v>37.159999999999997</v>
      </c>
      <c r="BO2906" s="2">
        <v>37.159999999999997</v>
      </c>
      <c r="BP2906" s="2"/>
      <c r="BQ2906" s="2" t="s">
        <v>122</v>
      </c>
      <c r="BR2906" s="2" t="s">
        <v>84</v>
      </c>
      <c r="BS2906" s="3">
        <v>42850</v>
      </c>
      <c r="BT2906" s="4">
        <v>0.4604166666666667</v>
      </c>
      <c r="BU2906" s="2" t="s">
        <v>2152</v>
      </c>
      <c r="BV2906" s="2" t="s">
        <v>86</v>
      </c>
      <c r="BW2906" s="2" t="s">
        <v>96</v>
      </c>
      <c r="BX2906" s="2" t="s">
        <v>2830</v>
      </c>
      <c r="BY2906" s="2">
        <v>1200</v>
      </c>
      <c r="BZ2906" s="2"/>
      <c r="CA2906" s="2"/>
      <c r="CB2906" s="2"/>
      <c r="CC2906" s="2" t="s">
        <v>517</v>
      </c>
      <c r="CD2906" s="2">
        <v>1459</v>
      </c>
      <c r="CE2906" s="2" t="s">
        <v>118</v>
      </c>
      <c r="CF2906" s="5">
        <v>42851</v>
      </c>
      <c r="CG2906" s="2"/>
      <c r="CH2906" s="2"/>
      <c r="CI2906" s="2">
        <v>1</v>
      </c>
      <c r="CJ2906" s="2">
        <v>1</v>
      </c>
      <c r="CK2906" s="2">
        <v>22</v>
      </c>
      <c r="CL2906" s="2" t="s">
        <v>86</v>
      </c>
      <c r="CM2906" s="2"/>
    </row>
    <row r="2907" spans="1:91">
      <c r="A2907" s="2" t="s">
        <v>71</v>
      </c>
      <c r="B2907" s="2" t="s">
        <v>72</v>
      </c>
      <c r="C2907" s="2" t="s">
        <v>73</v>
      </c>
      <c r="D2907" s="2"/>
      <c r="E2907" s="2" t="str">
        <f>"FES1162545137"</f>
        <v>FES1162545137</v>
      </c>
      <c r="F2907" s="3">
        <v>42849</v>
      </c>
      <c r="G2907" s="2">
        <v>201710</v>
      </c>
      <c r="H2907" s="2" t="s">
        <v>74</v>
      </c>
      <c r="I2907" s="2" t="s">
        <v>75</v>
      </c>
      <c r="J2907" s="2" t="s">
        <v>76</v>
      </c>
      <c r="K2907" s="2" t="s">
        <v>77</v>
      </c>
      <c r="L2907" s="2" t="s">
        <v>2196</v>
      </c>
      <c r="M2907" s="2" t="s">
        <v>2196</v>
      </c>
      <c r="N2907" s="2" t="s">
        <v>3122</v>
      </c>
      <c r="O2907" s="2" t="s">
        <v>115</v>
      </c>
      <c r="P2907" s="2" t="str">
        <f>"2170563616                    "</f>
        <v xml:space="preserve">2170563616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6.03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1</v>
      </c>
      <c r="BJ2907" s="2">
        <v>0.2</v>
      </c>
      <c r="BK2907" s="2">
        <v>1</v>
      </c>
      <c r="BL2907" s="2">
        <v>58.68</v>
      </c>
      <c r="BM2907" s="2">
        <v>8.2200000000000006</v>
      </c>
      <c r="BN2907" s="2">
        <v>66.900000000000006</v>
      </c>
      <c r="BO2907" s="2">
        <v>66.900000000000006</v>
      </c>
      <c r="BP2907" s="2"/>
      <c r="BQ2907" s="2"/>
      <c r="BR2907" s="2" t="s">
        <v>84</v>
      </c>
      <c r="BS2907" s="3">
        <v>42850</v>
      </c>
      <c r="BT2907" s="4">
        <v>0.4201388888888889</v>
      </c>
      <c r="BU2907" s="2" t="s">
        <v>928</v>
      </c>
      <c r="BV2907" s="2" t="s">
        <v>111</v>
      </c>
      <c r="BW2907" s="2"/>
      <c r="BX2907" s="2"/>
      <c r="BY2907" s="2">
        <v>1200</v>
      </c>
      <c r="BZ2907" s="2"/>
      <c r="CA2907" s="2"/>
      <c r="CB2907" s="2"/>
      <c r="CC2907" s="2" t="s">
        <v>2196</v>
      </c>
      <c r="CD2907" s="2">
        <v>1491</v>
      </c>
      <c r="CE2907" s="2" t="s">
        <v>118</v>
      </c>
      <c r="CF2907" s="5">
        <v>42850</v>
      </c>
      <c r="CG2907" s="2"/>
      <c r="CH2907" s="2"/>
      <c r="CI2907" s="2">
        <v>1</v>
      </c>
      <c r="CJ2907" s="2">
        <v>1</v>
      </c>
      <c r="CK2907" s="2">
        <v>24</v>
      </c>
      <c r="CL2907" s="2" t="s">
        <v>86</v>
      </c>
      <c r="CM2907" s="2"/>
    </row>
    <row r="2908" spans="1:91">
      <c r="A2908" s="2" t="s">
        <v>71</v>
      </c>
      <c r="B2908" s="2" t="s">
        <v>72</v>
      </c>
      <c r="C2908" s="2" t="s">
        <v>73</v>
      </c>
      <c r="D2908" s="2"/>
      <c r="E2908" s="2" t="str">
        <f>"FES1162545260"</f>
        <v>FES1162545260</v>
      </c>
      <c r="F2908" s="3">
        <v>42849</v>
      </c>
      <c r="G2908" s="2">
        <v>201710</v>
      </c>
      <c r="H2908" s="2" t="s">
        <v>74</v>
      </c>
      <c r="I2908" s="2" t="s">
        <v>75</v>
      </c>
      <c r="J2908" s="2" t="s">
        <v>76</v>
      </c>
      <c r="K2908" s="2" t="s">
        <v>77</v>
      </c>
      <c r="L2908" s="2" t="s">
        <v>160</v>
      </c>
      <c r="M2908" s="2" t="s">
        <v>161</v>
      </c>
      <c r="N2908" s="2" t="s">
        <v>1432</v>
      </c>
      <c r="O2908" s="2" t="s">
        <v>115</v>
      </c>
      <c r="P2908" s="2" t="str">
        <f>"2170563724                    "</f>
        <v xml:space="preserve">2170563724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4.29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1</v>
      </c>
      <c r="BJ2908" s="2">
        <v>0.2</v>
      </c>
      <c r="BK2908" s="2">
        <v>1</v>
      </c>
      <c r="BL2908" s="2">
        <v>41.73</v>
      </c>
      <c r="BM2908" s="2">
        <v>5.84</v>
      </c>
      <c r="BN2908" s="2">
        <v>47.57</v>
      </c>
      <c r="BO2908" s="2">
        <v>47.57</v>
      </c>
      <c r="BP2908" s="2"/>
      <c r="BQ2908" s="2" t="s">
        <v>129</v>
      </c>
      <c r="BR2908" s="2" t="s">
        <v>84</v>
      </c>
      <c r="BS2908" s="3">
        <v>42850</v>
      </c>
      <c r="BT2908" s="4">
        <v>0.41666666666666669</v>
      </c>
      <c r="BU2908" s="2" t="s">
        <v>2852</v>
      </c>
      <c r="BV2908" s="2" t="s">
        <v>111</v>
      </c>
      <c r="BW2908" s="2"/>
      <c r="BX2908" s="2"/>
      <c r="BY2908" s="2">
        <v>1200</v>
      </c>
      <c r="BZ2908" s="2"/>
      <c r="CA2908" s="2"/>
      <c r="CB2908" s="2"/>
      <c r="CC2908" s="2" t="s">
        <v>161</v>
      </c>
      <c r="CD2908" s="2">
        <v>5201</v>
      </c>
      <c r="CE2908" s="2" t="s">
        <v>118</v>
      </c>
      <c r="CF2908" s="5">
        <v>42853</v>
      </c>
      <c r="CG2908" s="2"/>
      <c r="CH2908" s="2"/>
      <c r="CI2908" s="2">
        <v>1</v>
      </c>
      <c r="CJ2908" s="2">
        <v>1</v>
      </c>
      <c r="CK2908" s="2">
        <v>21</v>
      </c>
      <c r="CL2908" s="2" t="s">
        <v>86</v>
      </c>
      <c r="CM2908" s="2"/>
    </row>
    <row r="2909" spans="1:91">
      <c r="A2909" s="2" t="s">
        <v>71</v>
      </c>
      <c r="B2909" s="2" t="s">
        <v>72</v>
      </c>
      <c r="C2909" s="2" t="s">
        <v>73</v>
      </c>
      <c r="D2909" s="2"/>
      <c r="E2909" s="2" t="str">
        <f>"FES1162545209"</f>
        <v>FES1162545209</v>
      </c>
      <c r="F2909" s="3">
        <v>42849</v>
      </c>
      <c r="G2909" s="2">
        <v>201710</v>
      </c>
      <c r="H2909" s="2" t="s">
        <v>74</v>
      </c>
      <c r="I2909" s="2" t="s">
        <v>75</v>
      </c>
      <c r="J2909" s="2" t="s">
        <v>76</v>
      </c>
      <c r="K2909" s="2" t="s">
        <v>77</v>
      </c>
      <c r="L2909" s="2" t="s">
        <v>112</v>
      </c>
      <c r="M2909" s="2" t="s">
        <v>113</v>
      </c>
      <c r="N2909" s="2" t="s">
        <v>386</v>
      </c>
      <c r="O2909" s="2" t="s">
        <v>115</v>
      </c>
      <c r="P2909" s="2" t="str">
        <f>"2170563696                    "</f>
        <v xml:space="preserve">2170563696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4.29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41.73</v>
      </c>
      <c r="BM2909" s="2">
        <v>5.84</v>
      </c>
      <c r="BN2909" s="2">
        <v>47.57</v>
      </c>
      <c r="BO2909" s="2">
        <v>47.57</v>
      </c>
      <c r="BP2909" s="2"/>
      <c r="BQ2909" s="2" t="s">
        <v>122</v>
      </c>
      <c r="BR2909" s="2" t="s">
        <v>84</v>
      </c>
      <c r="BS2909" s="3">
        <v>42850</v>
      </c>
      <c r="BT2909" s="4">
        <v>0.38541666666666669</v>
      </c>
      <c r="BU2909" s="2" t="s">
        <v>3092</v>
      </c>
      <c r="BV2909" s="2" t="s">
        <v>111</v>
      </c>
      <c r="BW2909" s="2"/>
      <c r="BX2909" s="2"/>
      <c r="BY2909" s="2">
        <v>1200</v>
      </c>
      <c r="BZ2909" s="2"/>
      <c r="CA2909" s="2"/>
      <c r="CB2909" s="2"/>
      <c r="CC2909" s="2" t="s">
        <v>113</v>
      </c>
      <c r="CD2909" s="2">
        <v>3200</v>
      </c>
      <c r="CE2909" s="2" t="s">
        <v>118</v>
      </c>
      <c r="CF2909" s="5">
        <v>42851</v>
      </c>
      <c r="CG2909" s="2"/>
      <c r="CH2909" s="2"/>
      <c r="CI2909" s="2">
        <v>1</v>
      </c>
      <c r="CJ2909" s="2">
        <v>1</v>
      </c>
      <c r="CK2909" s="2">
        <v>21</v>
      </c>
      <c r="CL2909" s="2" t="s">
        <v>86</v>
      </c>
      <c r="CM2909" s="2"/>
    </row>
    <row r="2910" spans="1:91">
      <c r="A2910" s="2" t="s">
        <v>71</v>
      </c>
      <c r="B2910" s="2" t="s">
        <v>72</v>
      </c>
      <c r="C2910" s="2" t="s">
        <v>73</v>
      </c>
      <c r="D2910" s="2"/>
      <c r="E2910" s="2" t="str">
        <f>"FES1162545100"</f>
        <v>FES1162545100</v>
      </c>
      <c r="F2910" s="3">
        <v>42849</v>
      </c>
      <c r="G2910" s="2">
        <v>201710</v>
      </c>
      <c r="H2910" s="2" t="s">
        <v>74</v>
      </c>
      <c r="I2910" s="2" t="s">
        <v>75</v>
      </c>
      <c r="J2910" s="2" t="s">
        <v>76</v>
      </c>
      <c r="K2910" s="2" t="s">
        <v>77</v>
      </c>
      <c r="L2910" s="2" t="s">
        <v>166</v>
      </c>
      <c r="M2910" s="2" t="s">
        <v>167</v>
      </c>
      <c r="N2910" s="2" t="s">
        <v>168</v>
      </c>
      <c r="O2910" s="2" t="s">
        <v>115</v>
      </c>
      <c r="P2910" s="2" t="str">
        <f>"2170561488                    "</f>
        <v xml:space="preserve">2170561488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3.35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1</v>
      </c>
      <c r="BJ2910" s="2">
        <v>0.2</v>
      </c>
      <c r="BK2910" s="2">
        <v>1</v>
      </c>
      <c r="BL2910" s="2">
        <v>32.6</v>
      </c>
      <c r="BM2910" s="2">
        <v>4.5599999999999996</v>
      </c>
      <c r="BN2910" s="2">
        <v>37.159999999999997</v>
      </c>
      <c r="BO2910" s="2">
        <v>37.159999999999997</v>
      </c>
      <c r="BP2910" s="2"/>
      <c r="BQ2910" s="2" t="s">
        <v>169</v>
      </c>
      <c r="BR2910" s="2" t="s">
        <v>84</v>
      </c>
      <c r="BS2910" s="3">
        <v>42850</v>
      </c>
      <c r="BT2910" s="4">
        <v>0.3923611111111111</v>
      </c>
      <c r="BU2910" s="2" t="s">
        <v>170</v>
      </c>
      <c r="BV2910" s="2" t="s">
        <v>111</v>
      </c>
      <c r="BW2910" s="2"/>
      <c r="BX2910" s="2"/>
      <c r="BY2910" s="2">
        <v>1200</v>
      </c>
      <c r="BZ2910" s="2"/>
      <c r="CA2910" s="2" t="s">
        <v>171</v>
      </c>
      <c r="CB2910" s="2"/>
      <c r="CC2910" s="2" t="s">
        <v>167</v>
      </c>
      <c r="CD2910" s="2">
        <v>2094</v>
      </c>
      <c r="CE2910" s="2" t="s">
        <v>118</v>
      </c>
      <c r="CF2910" s="5">
        <v>42850</v>
      </c>
      <c r="CG2910" s="2"/>
      <c r="CH2910" s="2"/>
      <c r="CI2910" s="2">
        <v>1</v>
      </c>
      <c r="CJ2910" s="2">
        <v>1</v>
      </c>
      <c r="CK2910" s="2">
        <v>22</v>
      </c>
      <c r="CL2910" s="2" t="s">
        <v>86</v>
      </c>
      <c r="CM2910" s="2"/>
    </row>
    <row r="2911" spans="1:91">
      <c r="A2911" s="2" t="s">
        <v>71</v>
      </c>
      <c r="B2911" s="2" t="s">
        <v>72</v>
      </c>
      <c r="C2911" s="2" t="s">
        <v>73</v>
      </c>
      <c r="D2911" s="2"/>
      <c r="E2911" s="2" t="str">
        <f>"FES1162545246"</f>
        <v>FES1162545246</v>
      </c>
      <c r="F2911" s="3">
        <v>42849</v>
      </c>
      <c r="G2911" s="2">
        <v>201710</v>
      </c>
      <c r="H2911" s="2" t="s">
        <v>74</v>
      </c>
      <c r="I2911" s="2" t="s">
        <v>75</v>
      </c>
      <c r="J2911" s="2" t="s">
        <v>76</v>
      </c>
      <c r="K2911" s="2" t="s">
        <v>77</v>
      </c>
      <c r="L2911" s="2" t="s">
        <v>131</v>
      </c>
      <c r="M2911" s="2" t="s">
        <v>132</v>
      </c>
      <c r="N2911" s="2" t="s">
        <v>1220</v>
      </c>
      <c r="O2911" s="2" t="s">
        <v>115</v>
      </c>
      <c r="P2911" s="2" t="str">
        <f>"21705637393                   "</f>
        <v xml:space="preserve">21705637393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4.29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1</v>
      </c>
      <c r="BJ2911" s="2">
        <v>0.2</v>
      </c>
      <c r="BK2911" s="2">
        <v>1</v>
      </c>
      <c r="BL2911" s="2">
        <v>41.73</v>
      </c>
      <c r="BM2911" s="2">
        <v>5.84</v>
      </c>
      <c r="BN2911" s="2">
        <v>47.57</v>
      </c>
      <c r="BO2911" s="2">
        <v>47.57</v>
      </c>
      <c r="BP2911" s="2"/>
      <c r="BQ2911" s="2" t="s">
        <v>122</v>
      </c>
      <c r="BR2911" s="2" t="s">
        <v>84</v>
      </c>
      <c r="BS2911" s="3">
        <v>42851</v>
      </c>
      <c r="BT2911" s="4">
        <v>0.48958333333333331</v>
      </c>
      <c r="BU2911" s="2" t="s">
        <v>3123</v>
      </c>
      <c r="BV2911" s="2" t="s">
        <v>86</v>
      </c>
      <c r="BW2911" s="2" t="s">
        <v>484</v>
      </c>
      <c r="BX2911" s="2" t="s">
        <v>1370</v>
      </c>
      <c r="BY2911" s="2">
        <v>1200</v>
      </c>
      <c r="BZ2911" s="2"/>
      <c r="CA2911" s="2"/>
      <c r="CB2911" s="2"/>
      <c r="CC2911" s="2" t="s">
        <v>132</v>
      </c>
      <c r="CD2911" s="2">
        <v>7500</v>
      </c>
      <c r="CE2911" s="2" t="s">
        <v>118</v>
      </c>
      <c r="CF2911" s="5">
        <v>42853</v>
      </c>
      <c r="CG2911" s="2"/>
      <c r="CH2911" s="2"/>
      <c r="CI2911" s="2">
        <v>1</v>
      </c>
      <c r="CJ2911" s="2">
        <v>2</v>
      </c>
      <c r="CK2911" s="2">
        <v>21</v>
      </c>
      <c r="CL2911" s="2" t="s">
        <v>86</v>
      </c>
      <c r="CM2911" s="2"/>
    </row>
    <row r="2912" spans="1:91">
      <c r="A2912" s="2" t="s">
        <v>71</v>
      </c>
      <c r="B2912" s="2" t="s">
        <v>72</v>
      </c>
      <c r="C2912" s="2" t="s">
        <v>73</v>
      </c>
      <c r="D2912" s="2"/>
      <c r="E2912" s="2" t="str">
        <f>"FES1162545262"</f>
        <v>FES1162545262</v>
      </c>
      <c r="F2912" s="3">
        <v>42849</v>
      </c>
      <c r="G2912" s="2">
        <v>201710</v>
      </c>
      <c r="H2912" s="2" t="s">
        <v>74</v>
      </c>
      <c r="I2912" s="2" t="s">
        <v>75</v>
      </c>
      <c r="J2912" s="2" t="s">
        <v>76</v>
      </c>
      <c r="K2912" s="2" t="s">
        <v>77</v>
      </c>
      <c r="L2912" s="2" t="s">
        <v>131</v>
      </c>
      <c r="M2912" s="2" t="s">
        <v>132</v>
      </c>
      <c r="N2912" s="2" t="s">
        <v>1826</v>
      </c>
      <c r="O2912" s="2" t="s">
        <v>115</v>
      </c>
      <c r="P2912" s="2" t="str">
        <f>"2170563746                    "</f>
        <v xml:space="preserve">2170563746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4.29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1</v>
      </c>
      <c r="BJ2912" s="2">
        <v>0.2</v>
      </c>
      <c r="BK2912" s="2">
        <v>1</v>
      </c>
      <c r="BL2912" s="2">
        <v>41.73</v>
      </c>
      <c r="BM2912" s="2">
        <v>5.84</v>
      </c>
      <c r="BN2912" s="2">
        <v>47.57</v>
      </c>
      <c r="BO2912" s="2">
        <v>47.57</v>
      </c>
      <c r="BP2912" s="2"/>
      <c r="BQ2912" s="2" t="s">
        <v>3124</v>
      </c>
      <c r="BR2912" s="2" t="s">
        <v>84</v>
      </c>
      <c r="BS2912" s="3">
        <v>42851</v>
      </c>
      <c r="BT2912" s="4">
        <v>0.39861111111111108</v>
      </c>
      <c r="BU2912" s="2" t="s">
        <v>3125</v>
      </c>
      <c r="BV2912" s="2" t="s">
        <v>86</v>
      </c>
      <c r="BW2912" s="2" t="s">
        <v>484</v>
      </c>
      <c r="BX2912" s="2" t="s">
        <v>1370</v>
      </c>
      <c r="BY2912" s="2">
        <v>1200</v>
      </c>
      <c r="BZ2912" s="2"/>
      <c r="CA2912" s="2"/>
      <c r="CB2912" s="2"/>
      <c r="CC2912" s="2" t="s">
        <v>132</v>
      </c>
      <c r="CD2912" s="2">
        <v>7405</v>
      </c>
      <c r="CE2912" s="2" t="s">
        <v>118</v>
      </c>
      <c r="CF2912" s="5">
        <v>42853</v>
      </c>
      <c r="CG2912" s="2"/>
      <c r="CH2912" s="2"/>
      <c r="CI2912" s="2">
        <v>1</v>
      </c>
      <c r="CJ2912" s="2">
        <v>2</v>
      </c>
      <c r="CK2912" s="2">
        <v>21</v>
      </c>
      <c r="CL2912" s="2" t="s">
        <v>86</v>
      </c>
      <c r="CM2912" s="2"/>
    </row>
    <row r="2913" spans="1:91">
      <c r="A2913" s="2" t="s">
        <v>71</v>
      </c>
      <c r="B2913" s="2" t="s">
        <v>72</v>
      </c>
      <c r="C2913" s="2" t="s">
        <v>73</v>
      </c>
      <c r="D2913" s="2"/>
      <c r="E2913" s="2" t="str">
        <f>"FES1162545219"</f>
        <v>FES1162545219</v>
      </c>
      <c r="F2913" s="3">
        <v>42849</v>
      </c>
      <c r="G2913" s="2">
        <v>201710</v>
      </c>
      <c r="H2913" s="2" t="s">
        <v>74</v>
      </c>
      <c r="I2913" s="2" t="s">
        <v>75</v>
      </c>
      <c r="J2913" s="2" t="s">
        <v>76</v>
      </c>
      <c r="K2913" s="2" t="s">
        <v>77</v>
      </c>
      <c r="L2913" s="2" t="s">
        <v>166</v>
      </c>
      <c r="M2913" s="2" t="s">
        <v>167</v>
      </c>
      <c r="N2913" s="2" t="s">
        <v>2492</v>
      </c>
      <c r="O2913" s="2" t="s">
        <v>115</v>
      </c>
      <c r="P2913" s="2" t="str">
        <f>"2170563704                    "</f>
        <v xml:space="preserve">2170563704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3.35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1</v>
      </c>
      <c r="BJ2913" s="2">
        <v>0.2</v>
      </c>
      <c r="BK2913" s="2">
        <v>1</v>
      </c>
      <c r="BL2913" s="2">
        <v>32.6</v>
      </c>
      <c r="BM2913" s="2">
        <v>4.5599999999999996</v>
      </c>
      <c r="BN2913" s="2">
        <v>37.159999999999997</v>
      </c>
      <c r="BO2913" s="2">
        <v>37.159999999999997</v>
      </c>
      <c r="BP2913" s="2"/>
      <c r="BQ2913" s="2" t="s">
        <v>2493</v>
      </c>
      <c r="BR2913" s="2" t="s">
        <v>84</v>
      </c>
      <c r="BS2913" s="3">
        <v>42850</v>
      </c>
      <c r="BT2913" s="4">
        <v>0.41666666666666669</v>
      </c>
      <c r="BU2913" s="2" t="s">
        <v>3126</v>
      </c>
      <c r="BV2913" s="2" t="s">
        <v>111</v>
      </c>
      <c r="BW2913" s="2"/>
      <c r="BX2913" s="2"/>
      <c r="BY2913" s="2">
        <v>1200</v>
      </c>
      <c r="BZ2913" s="2"/>
      <c r="CA2913" s="2" t="s">
        <v>159</v>
      </c>
      <c r="CB2913" s="2"/>
      <c r="CC2913" s="2" t="s">
        <v>167</v>
      </c>
      <c r="CD2913" s="2">
        <v>2013</v>
      </c>
      <c r="CE2913" s="2" t="s">
        <v>118</v>
      </c>
      <c r="CF2913" s="2"/>
      <c r="CG2913" s="2"/>
      <c r="CH2913" s="2"/>
      <c r="CI2913" s="2">
        <v>1</v>
      </c>
      <c r="CJ2913" s="2">
        <v>1</v>
      </c>
      <c r="CK2913" s="2">
        <v>22</v>
      </c>
      <c r="CL2913" s="2" t="s">
        <v>86</v>
      </c>
      <c r="CM2913" s="2"/>
    </row>
    <row r="2914" spans="1:91">
      <c r="A2914" s="2" t="s">
        <v>71</v>
      </c>
      <c r="B2914" s="2" t="s">
        <v>72</v>
      </c>
      <c r="C2914" s="2" t="s">
        <v>73</v>
      </c>
      <c r="D2914" s="2"/>
      <c r="E2914" s="2" t="str">
        <f>"FES1162545108"</f>
        <v>FES1162545108</v>
      </c>
      <c r="F2914" s="3">
        <v>42849</v>
      </c>
      <c r="G2914" s="2">
        <v>201710</v>
      </c>
      <c r="H2914" s="2" t="s">
        <v>74</v>
      </c>
      <c r="I2914" s="2" t="s">
        <v>75</v>
      </c>
      <c r="J2914" s="2" t="s">
        <v>76</v>
      </c>
      <c r="K2914" s="2" t="s">
        <v>77</v>
      </c>
      <c r="L2914" s="2" t="s">
        <v>166</v>
      </c>
      <c r="M2914" s="2" t="s">
        <v>167</v>
      </c>
      <c r="N2914" s="2" t="s">
        <v>168</v>
      </c>
      <c r="O2914" s="2" t="s">
        <v>115</v>
      </c>
      <c r="P2914" s="2" t="str">
        <f>"2170561574                    "</f>
        <v xml:space="preserve">2170561574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3.35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</v>
      </c>
      <c r="BJ2914" s="2">
        <v>0.2</v>
      </c>
      <c r="BK2914" s="2">
        <v>1</v>
      </c>
      <c r="BL2914" s="2">
        <v>32.6</v>
      </c>
      <c r="BM2914" s="2">
        <v>4.5599999999999996</v>
      </c>
      <c r="BN2914" s="2">
        <v>37.159999999999997</v>
      </c>
      <c r="BO2914" s="2">
        <v>37.159999999999997</v>
      </c>
      <c r="BP2914" s="2"/>
      <c r="BQ2914" s="2" t="s">
        <v>169</v>
      </c>
      <c r="BR2914" s="2" t="s">
        <v>84</v>
      </c>
      <c r="BS2914" s="3">
        <v>42850</v>
      </c>
      <c r="BT2914" s="4">
        <v>0.3923611111111111</v>
      </c>
      <c r="BU2914" s="2" t="s">
        <v>170</v>
      </c>
      <c r="BV2914" s="2" t="s">
        <v>111</v>
      </c>
      <c r="BW2914" s="2"/>
      <c r="BX2914" s="2"/>
      <c r="BY2914" s="2">
        <v>1200</v>
      </c>
      <c r="BZ2914" s="2"/>
      <c r="CA2914" s="2" t="s">
        <v>171</v>
      </c>
      <c r="CB2914" s="2"/>
      <c r="CC2914" s="2" t="s">
        <v>167</v>
      </c>
      <c r="CD2914" s="2">
        <v>2094</v>
      </c>
      <c r="CE2914" s="2" t="s">
        <v>118</v>
      </c>
      <c r="CF2914" s="5">
        <v>42850</v>
      </c>
      <c r="CG2914" s="2"/>
      <c r="CH2914" s="2"/>
      <c r="CI2914" s="2">
        <v>1</v>
      </c>
      <c r="CJ2914" s="2">
        <v>1</v>
      </c>
      <c r="CK2914" s="2">
        <v>22</v>
      </c>
      <c r="CL2914" s="2" t="s">
        <v>86</v>
      </c>
      <c r="CM2914" s="2"/>
    </row>
    <row r="2915" spans="1:91">
      <c r="A2915" s="2" t="s">
        <v>71</v>
      </c>
      <c r="B2915" s="2" t="s">
        <v>72</v>
      </c>
      <c r="C2915" s="2" t="s">
        <v>73</v>
      </c>
      <c r="D2915" s="2"/>
      <c r="E2915" s="2" t="str">
        <f>"FES1162545116"</f>
        <v>FES1162545116</v>
      </c>
      <c r="F2915" s="3">
        <v>42849</v>
      </c>
      <c r="G2915" s="2">
        <v>201710</v>
      </c>
      <c r="H2915" s="2" t="s">
        <v>74</v>
      </c>
      <c r="I2915" s="2" t="s">
        <v>75</v>
      </c>
      <c r="J2915" s="2" t="s">
        <v>76</v>
      </c>
      <c r="K2915" s="2" t="s">
        <v>77</v>
      </c>
      <c r="L2915" s="2" t="s">
        <v>74</v>
      </c>
      <c r="M2915" s="2" t="s">
        <v>75</v>
      </c>
      <c r="N2915" s="2" t="s">
        <v>3127</v>
      </c>
      <c r="O2915" s="2" t="s">
        <v>115</v>
      </c>
      <c r="P2915" s="2" t="str">
        <f>"2170562972                    "</f>
        <v xml:space="preserve">2170562972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3.35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1</v>
      </c>
      <c r="BJ2915" s="2">
        <v>0.2</v>
      </c>
      <c r="BK2915" s="2">
        <v>1</v>
      </c>
      <c r="BL2915" s="2">
        <v>32.6</v>
      </c>
      <c r="BM2915" s="2">
        <v>4.5599999999999996</v>
      </c>
      <c r="BN2915" s="2">
        <v>37.159999999999997</v>
      </c>
      <c r="BO2915" s="2">
        <v>37.159999999999997</v>
      </c>
      <c r="BP2915" s="2"/>
      <c r="BQ2915" s="2" t="s">
        <v>3128</v>
      </c>
      <c r="BR2915" s="2" t="s">
        <v>84</v>
      </c>
      <c r="BS2915" s="3">
        <v>42850</v>
      </c>
      <c r="BT2915" s="4">
        <v>0.3444444444444445</v>
      </c>
      <c r="BU2915" s="2" t="s">
        <v>3129</v>
      </c>
      <c r="BV2915" s="2" t="s">
        <v>111</v>
      </c>
      <c r="BW2915" s="2"/>
      <c r="BX2915" s="2"/>
      <c r="BY2915" s="2">
        <v>1200</v>
      </c>
      <c r="BZ2915" s="2"/>
      <c r="CA2915" s="2" t="s">
        <v>3130</v>
      </c>
      <c r="CB2915" s="2"/>
      <c r="CC2915" s="2" t="s">
        <v>75</v>
      </c>
      <c r="CD2915" s="2">
        <v>1609</v>
      </c>
      <c r="CE2915" s="2" t="s">
        <v>118</v>
      </c>
      <c r="CF2915" s="5">
        <v>42850</v>
      </c>
      <c r="CG2915" s="2"/>
      <c r="CH2915" s="2"/>
      <c r="CI2915" s="2">
        <v>1</v>
      </c>
      <c r="CJ2915" s="2">
        <v>1</v>
      </c>
      <c r="CK2915" s="2">
        <v>22</v>
      </c>
      <c r="CL2915" s="2" t="s">
        <v>86</v>
      </c>
      <c r="CM2915" s="2"/>
    </row>
    <row r="2916" spans="1:91">
      <c r="A2916" s="2" t="s">
        <v>71</v>
      </c>
      <c r="B2916" s="2" t="s">
        <v>72</v>
      </c>
      <c r="C2916" s="2" t="s">
        <v>73</v>
      </c>
      <c r="D2916" s="2"/>
      <c r="E2916" s="2" t="str">
        <f>"FES1162545229"</f>
        <v>FES1162545229</v>
      </c>
      <c r="F2916" s="3">
        <v>42849</v>
      </c>
      <c r="G2916" s="2">
        <v>201710</v>
      </c>
      <c r="H2916" s="2" t="s">
        <v>74</v>
      </c>
      <c r="I2916" s="2" t="s">
        <v>75</v>
      </c>
      <c r="J2916" s="2" t="s">
        <v>76</v>
      </c>
      <c r="K2916" s="2" t="s">
        <v>77</v>
      </c>
      <c r="L2916" s="2" t="s">
        <v>294</v>
      </c>
      <c r="M2916" s="2" t="s">
        <v>295</v>
      </c>
      <c r="N2916" s="2" t="s">
        <v>296</v>
      </c>
      <c r="O2916" s="2" t="s">
        <v>115</v>
      </c>
      <c r="P2916" s="2" t="str">
        <f>"2170563711                    "</f>
        <v xml:space="preserve">2170563711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4.29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1</v>
      </c>
      <c r="BJ2916" s="2">
        <v>0.2</v>
      </c>
      <c r="BK2916" s="2">
        <v>1</v>
      </c>
      <c r="BL2916" s="2">
        <v>41.73</v>
      </c>
      <c r="BM2916" s="2">
        <v>5.84</v>
      </c>
      <c r="BN2916" s="2">
        <v>47.57</v>
      </c>
      <c r="BO2916" s="2">
        <v>47.57</v>
      </c>
      <c r="BP2916" s="2"/>
      <c r="BQ2916" s="2" t="s">
        <v>297</v>
      </c>
      <c r="BR2916" s="2" t="s">
        <v>84</v>
      </c>
      <c r="BS2916" s="3">
        <v>42850</v>
      </c>
      <c r="BT2916" s="4">
        <v>0.42569444444444443</v>
      </c>
      <c r="BU2916" s="2" t="s">
        <v>1092</v>
      </c>
      <c r="BV2916" s="2" t="s">
        <v>111</v>
      </c>
      <c r="BW2916" s="2"/>
      <c r="BX2916" s="2"/>
      <c r="BY2916" s="2">
        <v>1200</v>
      </c>
      <c r="BZ2916" s="2"/>
      <c r="CA2916" s="2"/>
      <c r="CB2916" s="2"/>
      <c r="CC2916" s="2" t="s">
        <v>295</v>
      </c>
      <c r="CD2916" s="2">
        <v>3620</v>
      </c>
      <c r="CE2916" s="2" t="s">
        <v>118</v>
      </c>
      <c r="CF2916" s="5">
        <v>42851</v>
      </c>
      <c r="CG2916" s="2"/>
      <c r="CH2916" s="2"/>
      <c r="CI2916" s="2">
        <v>1</v>
      </c>
      <c r="CJ2916" s="2">
        <v>1</v>
      </c>
      <c r="CK2916" s="2">
        <v>21</v>
      </c>
      <c r="CL2916" s="2" t="s">
        <v>86</v>
      </c>
      <c r="CM2916" s="2"/>
    </row>
    <row r="2917" spans="1:91">
      <c r="A2917" s="2" t="s">
        <v>71</v>
      </c>
      <c r="B2917" s="2" t="s">
        <v>72</v>
      </c>
      <c r="C2917" s="2" t="s">
        <v>73</v>
      </c>
      <c r="D2917" s="2"/>
      <c r="E2917" s="2" t="str">
        <f>"FES1162545245"</f>
        <v>FES1162545245</v>
      </c>
      <c r="F2917" s="3">
        <v>42849</v>
      </c>
      <c r="G2917" s="2">
        <v>201710</v>
      </c>
      <c r="H2917" s="2" t="s">
        <v>74</v>
      </c>
      <c r="I2917" s="2" t="s">
        <v>75</v>
      </c>
      <c r="J2917" s="2" t="s">
        <v>76</v>
      </c>
      <c r="K2917" s="2" t="s">
        <v>77</v>
      </c>
      <c r="L2917" s="2" t="s">
        <v>131</v>
      </c>
      <c r="M2917" s="2" t="s">
        <v>132</v>
      </c>
      <c r="N2917" s="2" t="s">
        <v>384</v>
      </c>
      <c r="O2917" s="2" t="s">
        <v>115</v>
      </c>
      <c r="P2917" s="2" t="str">
        <f>"2170563738                    "</f>
        <v xml:space="preserve">2170563738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4.29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1</v>
      </c>
      <c r="BJ2917" s="2">
        <v>0.2</v>
      </c>
      <c r="BK2917" s="2">
        <v>1</v>
      </c>
      <c r="BL2917" s="2">
        <v>41.73</v>
      </c>
      <c r="BM2917" s="2">
        <v>5.84</v>
      </c>
      <c r="BN2917" s="2">
        <v>47.57</v>
      </c>
      <c r="BO2917" s="2">
        <v>47.57</v>
      </c>
      <c r="BP2917" s="2"/>
      <c r="BQ2917" s="2" t="s">
        <v>468</v>
      </c>
      <c r="BR2917" s="2" t="s">
        <v>84</v>
      </c>
      <c r="BS2917" s="3">
        <v>42851</v>
      </c>
      <c r="BT2917" s="4">
        <v>0.41666666666666669</v>
      </c>
      <c r="BU2917" s="2" t="s">
        <v>3131</v>
      </c>
      <c r="BV2917" s="2" t="s">
        <v>86</v>
      </c>
      <c r="BW2917" s="2" t="s">
        <v>484</v>
      </c>
      <c r="BX2917" s="2" t="s">
        <v>1370</v>
      </c>
      <c r="BY2917" s="2">
        <v>1200</v>
      </c>
      <c r="BZ2917" s="2"/>
      <c r="CA2917" s="2" t="s">
        <v>159</v>
      </c>
      <c r="CB2917" s="2"/>
      <c r="CC2917" s="2" t="s">
        <v>132</v>
      </c>
      <c r="CD2917" s="2">
        <v>7405</v>
      </c>
      <c r="CE2917" s="2" t="s">
        <v>118</v>
      </c>
      <c r="CF2917" s="5">
        <v>42853</v>
      </c>
      <c r="CG2917" s="2"/>
      <c r="CH2917" s="2"/>
      <c r="CI2917" s="2">
        <v>1</v>
      </c>
      <c r="CJ2917" s="2">
        <v>2</v>
      </c>
      <c r="CK2917" s="2">
        <v>21</v>
      </c>
      <c r="CL2917" s="2" t="s">
        <v>86</v>
      </c>
      <c r="CM2917" s="2"/>
    </row>
    <row r="2918" spans="1:91">
      <c r="A2918" s="2" t="s">
        <v>71</v>
      </c>
      <c r="B2918" s="2" t="s">
        <v>72</v>
      </c>
      <c r="C2918" s="2" t="s">
        <v>73</v>
      </c>
      <c r="D2918" s="2"/>
      <c r="E2918" s="2" t="str">
        <f>"FES1162545273"</f>
        <v>FES1162545273</v>
      </c>
      <c r="F2918" s="3">
        <v>42849</v>
      </c>
      <c r="G2918" s="2">
        <v>201710</v>
      </c>
      <c r="H2918" s="2" t="s">
        <v>74</v>
      </c>
      <c r="I2918" s="2" t="s">
        <v>75</v>
      </c>
      <c r="J2918" s="2" t="s">
        <v>76</v>
      </c>
      <c r="K2918" s="2" t="s">
        <v>77</v>
      </c>
      <c r="L2918" s="2" t="s">
        <v>234</v>
      </c>
      <c r="M2918" s="2" t="s">
        <v>235</v>
      </c>
      <c r="N2918" s="2" t="s">
        <v>236</v>
      </c>
      <c r="O2918" s="2" t="s">
        <v>115</v>
      </c>
      <c r="P2918" s="2" t="str">
        <f>"2170563762                    "</f>
        <v xml:space="preserve">2170563762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4.29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1</v>
      </c>
      <c r="BJ2918" s="2">
        <v>0.2</v>
      </c>
      <c r="BK2918" s="2">
        <v>1</v>
      </c>
      <c r="BL2918" s="2">
        <v>41.73</v>
      </c>
      <c r="BM2918" s="2">
        <v>5.84</v>
      </c>
      <c r="BN2918" s="2">
        <v>47.57</v>
      </c>
      <c r="BO2918" s="2">
        <v>47.57</v>
      </c>
      <c r="BP2918" s="2"/>
      <c r="BQ2918" s="2" t="s">
        <v>285</v>
      </c>
      <c r="BR2918" s="2" t="s">
        <v>84</v>
      </c>
      <c r="BS2918" s="3">
        <v>42850</v>
      </c>
      <c r="BT2918" s="4">
        <v>0.35069444444444442</v>
      </c>
      <c r="BU2918" s="2" t="s">
        <v>130</v>
      </c>
      <c r="BV2918" s="2" t="s">
        <v>111</v>
      </c>
      <c r="BW2918" s="2"/>
      <c r="BX2918" s="2"/>
      <c r="BY2918" s="2">
        <v>1200</v>
      </c>
      <c r="BZ2918" s="2"/>
      <c r="CA2918" s="2"/>
      <c r="CB2918" s="2"/>
      <c r="CC2918" s="2" t="s">
        <v>235</v>
      </c>
      <c r="CD2918" s="2">
        <v>6220</v>
      </c>
      <c r="CE2918" s="2" t="s">
        <v>118</v>
      </c>
      <c r="CF2918" s="5">
        <v>42851</v>
      </c>
      <c r="CG2918" s="2"/>
      <c r="CH2918" s="2"/>
      <c r="CI2918" s="2">
        <v>1</v>
      </c>
      <c r="CJ2918" s="2">
        <v>1</v>
      </c>
      <c r="CK2918" s="2">
        <v>21</v>
      </c>
      <c r="CL2918" s="2" t="s">
        <v>86</v>
      </c>
      <c r="CM2918" s="2"/>
    </row>
    <row r="2919" spans="1:91">
      <c r="A2919" s="2" t="s">
        <v>71</v>
      </c>
      <c r="B2919" s="2" t="s">
        <v>72</v>
      </c>
      <c r="C2919" s="2" t="s">
        <v>73</v>
      </c>
      <c r="D2919" s="2"/>
      <c r="E2919" s="2" t="str">
        <f>"FES1162545256"</f>
        <v>FES1162545256</v>
      </c>
      <c r="F2919" s="3">
        <v>42849</v>
      </c>
      <c r="G2919" s="2">
        <v>201710</v>
      </c>
      <c r="H2919" s="2" t="s">
        <v>74</v>
      </c>
      <c r="I2919" s="2" t="s">
        <v>75</v>
      </c>
      <c r="J2919" s="2" t="s">
        <v>76</v>
      </c>
      <c r="K2919" s="2" t="s">
        <v>77</v>
      </c>
      <c r="L2919" s="2" t="s">
        <v>131</v>
      </c>
      <c r="M2919" s="2" t="s">
        <v>132</v>
      </c>
      <c r="N2919" s="2" t="s">
        <v>2821</v>
      </c>
      <c r="O2919" s="2" t="s">
        <v>115</v>
      </c>
      <c r="P2919" s="2" t="str">
        <f>"2170563744                    "</f>
        <v xml:space="preserve">2170563744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4.29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1</v>
      </c>
      <c r="BJ2919" s="2">
        <v>0.2</v>
      </c>
      <c r="BK2919" s="2">
        <v>1</v>
      </c>
      <c r="BL2919" s="2">
        <v>41.73</v>
      </c>
      <c r="BM2919" s="2">
        <v>5.84</v>
      </c>
      <c r="BN2919" s="2">
        <v>47.57</v>
      </c>
      <c r="BO2919" s="2">
        <v>47.57</v>
      </c>
      <c r="BP2919" s="2"/>
      <c r="BQ2919" s="2" t="s">
        <v>129</v>
      </c>
      <c r="BR2919" s="2" t="s">
        <v>84</v>
      </c>
      <c r="BS2919" s="3">
        <v>42851</v>
      </c>
      <c r="BT2919" s="4">
        <v>0.46180555555555558</v>
      </c>
      <c r="BU2919" s="2" t="s">
        <v>3132</v>
      </c>
      <c r="BV2919" s="2" t="s">
        <v>86</v>
      </c>
      <c r="BW2919" s="2" t="s">
        <v>157</v>
      </c>
      <c r="BX2919" s="2" t="s">
        <v>3114</v>
      </c>
      <c r="BY2919" s="2">
        <v>1200</v>
      </c>
      <c r="BZ2919" s="2"/>
      <c r="CA2919" s="2"/>
      <c r="CB2919" s="2"/>
      <c r="CC2919" s="2" t="s">
        <v>132</v>
      </c>
      <c r="CD2919" s="2">
        <v>7580</v>
      </c>
      <c r="CE2919" s="2" t="s">
        <v>118</v>
      </c>
      <c r="CF2919" s="5">
        <v>42853</v>
      </c>
      <c r="CG2919" s="2"/>
      <c r="CH2919" s="2"/>
      <c r="CI2919" s="2">
        <v>1</v>
      </c>
      <c r="CJ2919" s="2">
        <v>2</v>
      </c>
      <c r="CK2919" s="2">
        <v>21</v>
      </c>
      <c r="CL2919" s="2" t="s">
        <v>86</v>
      </c>
      <c r="CM2919" s="2"/>
    </row>
    <row r="2920" spans="1:91">
      <c r="A2920" s="2" t="s">
        <v>71</v>
      </c>
      <c r="B2920" s="2" t="s">
        <v>72</v>
      </c>
      <c r="C2920" s="2" t="s">
        <v>73</v>
      </c>
      <c r="D2920" s="2"/>
      <c r="E2920" s="2" t="str">
        <f>"FES1162545083"</f>
        <v>FES1162545083</v>
      </c>
      <c r="F2920" s="3">
        <v>42849</v>
      </c>
      <c r="G2920" s="2">
        <v>201710</v>
      </c>
      <c r="H2920" s="2" t="s">
        <v>74</v>
      </c>
      <c r="I2920" s="2" t="s">
        <v>75</v>
      </c>
      <c r="J2920" s="2" t="s">
        <v>76</v>
      </c>
      <c r="K2920" s="2" t="s">
        <v>77</v>
      </c>
      <c r="L2920" s="2" t="s">
        <v>516</v>
      </c>
      <c r="M2920" s="2" t="s">
        <v>517</v>
      </c>
      <c r="N2920" s="2" t="s">
        <v>1994</v>
      </c>
      <c r="O2920" s="2" t="s">
        <v>115</v>
      </c>
      <c r="P2920" s="2" t="str">
        <f>"2170560180                    "</f>
        <v xml:space="preserve">2170560180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3.35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1</v>
      </c>
      <c r="BJ2920" s="2">
        <v>0.2</v>
      </c>
      <c r="BK2920" s="2">
        <v>1</v>
      </c>
      <c r="BL2920" s="2">
        <v>32.6</v>
      </c>
      <c r="BM2920" s="2">
        <v>4.5599999999999996</v>
      </c>
      <c r="BN2920" s="2">
        <v>37.159999999999997</v>
      </c>
      <c r="BO2920" s="2">
        <v>37.159999999999997</v>
      </c>
      <c r="BP2920" s="2"/>
      <c r="BQ2920" s="2" t="s">
        <v>1995</v>
      </c>
      <c r="BR2920" s="2" t="s">
        <v>84</v>
      </c>
      <c r="BS2920" s="3">
        <v>42850</v>
      </c>
      <c r="BT2920" s="4">
        <v>0.33333333333333331</v>
      </c>
      <c r="BU2920" s="2" t="s">
        <v>2152</v>
      </c>
      <c r="BV2920" s="2" t="s">
        <v>111</v>
      </c>
      <c r="BW2920" s="2"/>
      <c r="BX2920" s="2"/>
      <c r="BY2920" s="2">
        <v>1200</v>
      </c>
      <c r="BZ2920" s="2"/>
      <c r="CA2920" s="2"/>
      <c r="CB2920" s="2"/>
      <c r="CC2920" s="2" t="s">
        <v>517</v>
      </c>
      <c r="CD2920" s="2">
        <v>1459</v>
      </c>
      <c r="CE2920" s="2" t="s">
        <v>118</v>
      </c>
      <c r="CF2920" s="5">
        <v>42851</v>
      </c>
      <c r="CG2920" s="2"/>
      <c r="CH2920" s="2"/>
      <c r="CI2920" s="2">
        <v>1</v>
      </c>
      <c r="CJ2920" s="2">
        <v>1</v>
      </c>
      <c r="CK2920" s="2">
        <v>22</v>
      </c>
      <c r="CL2920" s="2" t="s">
        <v>86</v>
      </c>
      <c r="CM2920" s="2"/>
    </row>
    <row r="2921" spans="1:91">
      <c r="A2921" s="2" t="s">
        <v>71</v>
      </c>
      <c r="B2921" s="2" t="s">
        <v>72</v>
      </c>
      <c r="C2921" s="2" t="s">
        <v>73</v>
      </c>
      <c r="D2921" s="2"/>
      <c r="E2921" s="2" t="str">
        <f>"FES1162545198"</f>
        <v>FES1162545198</v>
      </c>
      <c r="F2921" s="3">
        <v>42849</v>
      </c>
      <c r="G2921" s="2">
        <v>201710</v>
      </c>
      <c r="H2921" s="2" t="s">
        <v>74</v>
      </c>
      <c r="I2921" s="2" t="s">
        <v>75</v>
      </c>
      <c r="J2921" s="2" t="s">
        <v>76</v>
      </c>
      <c r="K2921" s="2" t="s">
        <v>77</v>
      </c>
      <c r="L2921" s="2" t="s">
        <v>131</v>
      </c>
      <c r="M2921" s="2" t="s">
        <v>132</v>
      </c>
      <c r="N2921" s="2" t="s">
        <v>384</v>
      </c>
      <c r="O2921" s="2" t="s">
        <v>115</v>
      </c>
      <c r="P2921" s="2" t="str">
        <f>"2170563686                    "</f>
        <v xml:space="preserve">2170563686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4.29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1</v>
      </c>
      <c r="BJ2921" s="2">
        <v>0.2</v>
      </c>
      <c r="BK2921" s="2">
        <v>1</v>
      </c>
      <c r="BL2921" s="2">
        <v>41.73</v>
      </c>
      <c r="BM2921" s="2">
        <v>5.84</v>
      </c>
      <c r="BN2921" s="2">
        <v>47.57</v>
      </c>
      <c r="BO2921" s="2">
        <v>47.57</v>
      </c>
      <c r="BP2921" s="2"/>
      <c r="BQ2921" s="2" t="s">
        <v>468</v>
      </c>
      <c r="BR2921" s="2" t="s">
        <v>84</v>
      </c>
      <c r="BS2921" s="3">
        <v>42851</v>
      </c>
      <c r="BT2921" s="4">
        <v>0.41666666666666669</v>
      </c>
      <c r="BU2921" s="2" t="s">
        <v>3131</v>
      </c>
      <c r="BV2921" s="2" t="s">
        <v>86</v>
      </c>
      <c r="BW2921" s="2" t="s">
        <v>484</v>
      </c>
      <c r="BX2921" s="2" t="s">
        <v>1370</v>
      </c>
      <c r="BY2921" s="2">
        <v>1200</v>
      </c>
      <c r="BZ2921" s="2"/>
      <c r="CA2921" s="2" t="s">
        <v>159</v>
      </c>
      <c r="CB2921" s="2"/>
      <c r="CC2921" s="2" t="s">
        <v>132</v>
      </c>
      <c r="CD2921" s="2">
        <v>7405</v>
      </c>
      <c r="CE2921" s="2" t="s">
        <v>118</v>
      </c>
      <c r="CF2921" s="5">
        <v>42853</v>
      </c>
      <c r="CG2921" s="2"/>
      <c r="CH2921" s="2"/>
      <c r="CI2921" s="2">
        <v>1</v>
      </c>
      <c r="CJ2921" s="2">
        <v>2</v>
      </c>
      <c r="CK2921" s="2">
        <v>21</v>
      </c>
      <c r="CL2921" s="2" t="s">
        <v>86</v>
      </c>
      <c r="CM2921" s="2"/>
    </row>
    <row r="2922" spans="1:91">
      <c r="A2922" s="2" t="s">
        <v>71</v>
      </c>
      <c r="B2922" s="2" t="s">
        <v>72</v>
      </c>
      <c r="C2922" s="2" t="s">
        <v>73</v>
      </c>
      <c r="D2922" s="2"/>
      <c r="E2922" s="2" t="str">
        <f>"FES1162545104"</f>
        <v>FES1162545104</v>
      </c>
      <c r="F2922" s="3">
        <v>42849</v>
      </c>
      <c r="G2922" s="2">
        <v>201710</v>
      </c>
      <c r="H2922" s="2" t="s">
        <v>74</v>
      </c>
      <c r="I2922" s="2" t="s">
        <v>75</v>
      </c>
      <c r="J2922" s="2" t="s">
        <v>76</v>
      </c>
      <c r="K2922" s="2" t="s">
        <v>77</v>
      </c>
      <c r="L2922" s="2" t="s">
        <v>74</v>
      </c>
      <c r="M2922" s="2" t="s">
        <v>75</v>
      </c>
      <c r="N2922" s="2" t="s">
        <v>2132</v>
      </c>
      <c r="O2922" s="2" t="s">
        <v>115</v>
      </c>
      <c r="P2922" s="2" t="str">
        <f>"2170561537                    "</f>
        <v xml:space="preserve">2170561537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3.35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1</v>
      </c>
      <c r="BJ2922" s="2">
        <v>0.2</v>
      </c>
      <c r="BK2922" s="2">
        <v>1</v>
      </c>
      <c r="BL2922" s="2">
        <v>32.6</v>
      </c>
      <c r="BM2922" s="2">
        <v>4.5599999999999996</v>
      </c>
      <c r="BN2922" s="2">
        <v>37.159999999999997</v>
      </c>
      <c r="BO2922" s="2">
        <v>37.159999999999997</v>
      </c>
      <c r="BP2922" s="2"/>
      <c r="BQ2922" s="2" t="s">
        <v>2133</v>
      </c>
      <c r="BR2922" s="2" t="s">
        <v>84</v>
      </c>
      <c r="BS2922" s="3">
        <v>42850</v>
      </c>
      <c r="BT2922" s="4">
        <v>0.39583333333333331</v>
      </c>
      <c r="BU2922" s="2" t="s">
        <v>290</v>
      </c>
      <c r="BV2922" s="2" t="s">
        <v>111</v>
      </c>
      <c r="BW2922" s="2"/>
      <c r="BX2922" s="2"/>
      <c r="BY2922" s="2">
        <v>1200</v>
      </c>
      <c r="BZ2922" s="2"/>
      <c r="CA2922" s="2"/>
      <c r="CB2922" s="2"/>
      <c r="CC2922" s="2" t="s">
        <v>75</v>
      </c>
      <c r="CD2922" s="2">
        <v>1600</v>
      </c>
      <c r="CE2922" s="2" t="s">
        <v>118</v>
      </c>
      <c r="CF2922" s="5">
        <v>42851</v>
      </c>
      <c r="CG2922" s="2"/>
      <c r="CH2922" s="2"/>
      <c r="CI2922" s="2">
        <v>1</v>
      </c>
      <c r="CJ2922" s="2">
        <v>1</v>
      </c>
      <c r="CK2922" s="2">
        <v>22</v>
      </c>
      <c r="CL2922" s="2" t="s">
        <v>86</v>
      </c>
      <c r="CM2922" s="2"/>
    </row>
    <row r="2923" spans="1:91">
      <c r="A2923" s="2" t="s">
        <v>71</v>
      </c>
      <c r="B2923" s="2" t="s">
        <v>72</v>
      </c>
      <c r="C2923" s="2" t="s">
        <v>73</v>
      </c>
      <c r="D2923" s="2"/>
      <c r="E2923" s="2" t="str">
        <f>"FES1162545187"</f>
        <v>FES1162545187</v>
      </c>
      <c r="F2923" s="3">
        <v>42849</v>
      </c>
      <c r="G2923" s="2">
        <v>201710</v>
      </c>
      <c r="H2923" s="2" t="s">
        <v>74</v>
      </c>
      <c r="I2923" s="2" t="s">
        <v>75</v>
      </c>
      <c r="J2923" s="2" t="s">
        <v>76</v>
      </c>
      <c r="K2923" s="2" t="s">
        <v>77</v>
      </c>
      <c r="L2923" s="2" t="s">
        <v>99</v>
      </c>
      <c r="M2923" s="2" t="s">
        <v>100</v>
      </c>
      <c r="N2923" s="2" t="s">
        <v>151</v>
      </c>
      <c r="O2923" s="2" t="s">
        <v>115</v>
      </c>
      <c r="P2923" s="2" t="str">
        <f>"2170563675                    "</f>
        <v xml:space="preserve">2170563675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4.29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1</v>
      </c>
      <c r="BJ2923" s="2">
        <v>0.2</v>
      </c>
      <c r="BK2923" s="2">
        <v>1</v>
      </c>
      <c r="BL2923" s="2">
        <v>41.73</v>
      </c>
      <c r="BM2923" s="2">
        <v>5.84</v>
      </c>
      <c r="BN2923" s="2">
        <v>47.57</v>
      </c>
      <c r="BO2923" s="2">
        <v>47.57</v>
      </c>
      <c r="BP2923" s="2"/>
      <c r="BQ2923" s="2" t="s">
        <v>152</v>
      </c>
      <c r="BR2923" s="2" t="s">
        <v>84</v>
      </c>
      <c r="BS2923" s="3">
        <v>42850</v>
      </c>
      <c r="BT2923" s="4">
        <v>0.33819444444444446</v>
      </c>
      <c r="BU2923" s="2" t="s">
        <v>153</v>
      </c>
      <c r="BV2923" s="2" t="s">
        <v>111</v>
      </c>
      <c r="BW2923" s="2"/>
      <c r="BX2923" s="2"/>
      <c r="BY2923" s="2">
        <v>1200</v>
      </c>
      <c r="BZ2923" s="2"/>
      <c r="CA2923" s="2" t="s">
        <v>154</v>
      </c>
      <c r="CB2923" s="2"/>
      <c r="CC2923" s="2" t="s">
        <v>100</v>
      </c>
      <c r="CD2923" s="2">
        <v>6001</v>
      </c>
      <c r="CE2923" s="2" t="s">
        <v>118</v>
      </c>
      <c r="CF2923" s="5">
        <v>42850</v>
      </c>
      <c r="CG2923" s="2"/>
      <c r="CH2923" s="2"/>
      <c r="CI2923" s="2">
        <v>1</v>
      </c>
      <c r="CJ2923" s="2">
        <v>1</v>
      </c>
      <c r="CK2923" s="2">
        <v>21</v>
      </c>
      <c r="CL2923" s="2" t="s">
        <v>86</v>
      </c>
      <c r="CM2923" s="2"/>
    </row>
    <row r="2924" spans="1:91">
      <c r="A2924" s="2" t="s">
        <v>71</v>
      </c>
      <c r="B2924" s="2" t="s">
        <v>72</v>
      </c>
      <c r="C2924" s="2" t="s">
        <v>73</v>
      </c>
      <c r="D2924" s="2"/>
      <c r="E2924" s="2" t="str">
        <f>"FES1162545190"</f>
        <v>FES1162545190</v>
      </c>
      <c r="F2924" s="3">
        <v>42849</v>
      </c>
      <c r="G2924" s="2">
        <v>201710</v>
      </c>
      <c r="H2924" s="2" t="s">
        <v>74</v>
      </c>
      <c r="I2924" s="2" t="s">
        <v>75</v>
      </c>
      <c r="J2924" s="2" t="s">
        <v>76</v>
      </c>
      <c r="K2924" s="2" t="s">
        <v>77</v>
      </c>
      <c r="L2924" s="2" t="s">
        <v>99</v>
      </c>
      <c r="M2924" s="2" t="s">
        <v>100</v>
      </c>
      <c r="N2924" s="2" t="s">
        <v>108</v>
      </c>
      <c r="O2924" s="2" t="s">
        <v>115</v>
      </c>
      <c r="P2924" s="2" t="str">
        <f>"2170563052                    "</f>
        <v xml:space="preserve">2170563052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4.29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1</v>
      </c>
      <c r="BJ2924" s="2">
        <v>0.2</v>
      </c>
      <c r="BK2924" s="2">
        <v>1</v>
      </c>
      <c r="BL2924" s="2">
        <v>41.73</v>
      </c>
      <c r="BM2924" s="2">
        <v>5.84</v>
      </c>
      <c r="BN2924" s="2">
        <v>47.57</v>
      </c>
      <c r="BO2924" s="2">
        <v>47.57</v>
      </c>
      <c r="BP2924" s="2"/>
      <c r="BQ2924" s="2" t="s">
        <v>109</v>
      </c>
      <c r="BR2924" s="2" t="s">
        <v>84</v>
      </c>
      <c r="BS2924" s="3">
        <v>42850</v>
      </c>
      <c r="BT2924" s="4">
        <v>0.37152777777777773</v>
      </c>
      <c r="BU2924" s="2" t="s">
        <v>3001</v>
      </c>
      <c r="BV2924" s="2" t="s">
        <v>111</v>
      </c>
      <c r="BW2924" s="2"/>
      <c r="BX2924" s="2"/>
      <c r="BY2924" s="2">
        <v>1200</v>
      </c>
      <c r="BZ2924" s="2"/>
      <c r="CA2924" s="2" t="s">
        <v>106</v>
      </c>
      <c r="CB2924" s="2"/>
      <c r="CC2924" s="2" t="s">
        <v>100</v>
      </c>
      <c r="CD2924" s="2">
        <v>6001</v>
      </c>
      <c r="CE2924" s="2" t="s">
        <v>118</v>
      </c>
      <c r="CF2924" s="5">
        <v>42850</v>
      </c>
      <c r="CG2924" s="2"/>
      <c r="CH2924" s="2"/>
      <c r="CI2924" s="2">
        <v>1</v>
      </c>
      <c r="CJ2924" s="2">
        <v>1</v>
      </c>
      <c r="CK2924" s="2">
        <v>21</v>
      </c>
      <c r="CL2924" s="2" t="s">
        <v>86</v>
      </c>
      <c r="CM2924" s="2"/>
    </row>
    <row r="2925" spans="1:91">
      <c r="A2925" s="2" t="s">
        <v>71</v>
      </c>
      <c r="B2925" s="2" t="s">
        <v>72</v>
      </c>
      <c r="C2925" s="2" t="s">
        <v>73</v>
      </c>
      <c r="D2925" s="2"/>
      <c r="E2925" s="2" t="str">
        <f>"FES1162545121"</f>
        <v>FES1162545121</v>
      </c>
      <c r="F2925" s="3">
        <v>42849</v>
      </c>
      <c r="G2925" s="2">
        <v>201710</v>
      </c>
      <c r="H2925" s="2" t="s">
        <v>74</v>
      </c>
      <c r="I2925" s="2" t="s">
        <v>75</v>
      </c>
      <c r="J2925" s="2" t="s">
        <v>76</v>
      </c>
      <c r="K2925" s="2" t="s">
        <v>77</v>
      </c>
      <c r="L2925" s="2" t="s">
        <v>299</v>
      </c>
      <c r="M2925" s="2" t="s">
        <v>300</v>
      </c>
      <c r="N2925" s="2" t="s">
        <v>1613</v>
      </c>
      <c r="O2925" s="2" t="s">
        <v>115</v>
      </c>
      <c r="P2925" s="2" t="str">
        <f>"2170563361                    "</f>
        <v xml:space="preserve">2170563361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6.03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1</v>
      </c>
      <c r="BJ2925" s="2">
        <v>0.2</v>
      </c>
      <c r="BK2925" s="2">
        <v>1</v>
      </c>
      <c r="BL2925" s="2">
        <v>58.68</v>
      </c>
      <c r="BM2925" s="2">
        <v>8.2200000000000006</v>
      </c>
      <c r="BN2925" s="2">
        <v>66.900000000000006</v>
      </c>
      <c r="BO2925" s="2">
        <v>66.900000000000006</v>
      </c>
      <c r="BP2925" s="2"/>
      <c r="BQ2925" s="2" t="s">
        <v>122</v>
      </c>
      <c r="BR2925" s="2" t="s">
        <v>84</v>
      </c>
      <c r="BS2925" s="3">
        <v>42850</v>
      </c>
      <c r="BT2925" s="4">
        <v>0.51666666666666672</v>
      </c>
      <c r="BU2925" s="2" t="s">
        <v>3133</v>
      </c>
      <c r="BV2925" s="2" t="s">
        <v>111</v>
      </c>
      <c r="BW2925" s="2"/>
      <c r="BX2925" s="2"/>
      <c r="BY2925" s="2">
        <v>1200</v>
      </c>
      <c r="BZ2925" s="2"/>
      <c r="CA2925" s="2"/>
      <c r="CB2925" s="2"/>
      <c r="CC2925" s="2" t="s">
        <v>300</v>
      </c>
      <c r="CD2925" s="2">
        <v>407</v>
      </c>
      <c r="CE2925" s="2" t="s">
        <v>118</v>
      </c>
      <c r="CF2925" s="5">
        <v>42853</v>
      </c>
      <c r="CG2925" s="2"/>
      <c r="CH2925" s="2"/>
      <c r="CI2925" s="2">
        <v>0</v>
      </c>
      <c r="CJ2925" s="2">
        <v>0</v>
      </c>
      <c r="CK2925" s="2">
        <v>24</v>
      </c>
      <c r="CL2925" s="2" t="s">
        <v>86</v>
      </c>
      <c r="CM2925" s="2"/>
    </row>
    <row r="2926" spans="1:91">
      <c r="A2926" s="2" t="s">
        <v>71</v>
      </c>
      <c r="B2926" s="2" t="s">
        <v>72</v>
      </c>
      <c r="C2926" s="2" t="s">
        <v>73</v>
      </c>
      <c r="D2926" s="2"/>
      <c r="E2926" s="2" t="str">
        <f>"FES1162545093"</f>
        <v>FES1162545093</v>
      </c>
      <c r="F2926" s="3">
        <v>42849</v>
      </c>
      <c r="G2926" s="2">
        <v>201710</v>
      </c>
      <c r="H2926" s="2" t="s">
        <v>74</v>
      </c>
      <c r="I2926" s="2" t="s">
        <v>75</v>
      </c>
      <c r="J2926" s="2" t="s">
        <v>76</v>
      </c>
      <c r="K2926" s="2" t="s">
        <v>77</v>
      </c>
      <c r="L2926" s="2" t="s">
        <v>294</v>
      </c>
      <c r="M2926" s="2" t="s">
        <v>295</v>
      </c>
      <c r="N2926" s="2" t="s">
        <v>416</v>
      </c>
      <c r="O2926" s="2" t="s">
        <v>115</v>
      </c>
      <c r="P2926" s="2" t="str">
        <f>"2170561402                    "</f>
        <v xml:space="preserve">2170561402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4.29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1</v>
      </c>
      <c r="BJ2926" s="2">
        <v>0.2</v>
      </c>
      <c r="BK2926" s="2">
        <v>1</v>
      </c>
      <c r="BL2926" s="2">
        <v>41.73</v>
      </c>
      <c r="BM2926" s="2">
        <v>5.84</v>
      </c>
      <c r="BN2926" s="2">
        <v>47.57</v>
      </c>
      <c r="BO2926" s="2">
        <v>47.57</v>
      </c>
      <c r="BP2926" s="2"/>
      <c r="BQ2926" s="2" t="s">
        <v>417</v>
      </c>
      <c r="BR2926" s="2" t="s">
        <v>84</v>
      </c>
      <c r="BS2926" s="3">
        <v>42850</v>
      </c>
      <c r="BT2926" s="4">
        <v>0.30972222222222223</v>
      </c>
      <c r="BU2926" s="2" t="s">
        <v>418</v>
      </c>
      <c r="BV2926" s="2" t="s">
        <v>111</v>
      </c>
      <c r="BW2926" s="2"/>
      <c r="BX2926" s="2"/>
      <c r="BY2926" s="2">
        <v>1200</v>
      </c>
      <c r="BZ2926" s="2"/>
      <c r="CA2926" s="2"/>
      <c r="CB2926" s="2"/>
      <c r="CC2926" s="2" t="s">
        <v>295</v>
      </c>
      <c r="CD2926" s="2">
        <v>3610</v>
      </c>
      <c r="CE2926" s="2" t="s">
        <v>118</v>
      </c>
      <c r="CF2926" s="5">
        <v>42851</v>
      </c>
      <c r="CG2926" s="2"/>
      <c r="CH2926" s="2"/>
      <c r="CI2926" s="2">
        <v>1</v>
      </c>
      <c r="CJ2926" s="2">
        <v>1</v>
      </c>
      <c r="CK2926" s="2">
        <v>21</v>
      </c>
      <c r="CL2926" s="2" t="s">
        <v>86</v>
      </c>
      <c r="CM2926" s="2"/>
    </row>
    <row r="2927" spans="1:91">
      <c r="A2927" s="2" t="s">
        <v>71</v>
      </c>
      <c r="B2927" s="2" t="s">
        <v>72</v>
      </c>
      <c r="C2927" s="2" t="s">
        <v>73</v>
      </c>
      <c r="D2927" s="2"/>
      <c r="E2927" s="2" t="str">
        <f>"FES1162545071"</f>
        <v>FES1162545071</v>
      </c>
      <c r="F2927" s="3">
        <v>42849</v>
      </c>
      <c r="G2927" s="2">
        <v>201710</v>
      </c>
      <c r="H2927" s="2" t="s">
        <v>74</v>
      </c>
      <c r="I2927" s="2" t="s">
        <v>75</v>
      </c>
      <c r="J2927" s="2" t="s">
        <v>76</v>
      </c>
      <c r="K2927" s="2" t="s">
        <v>77</v>
      </c>
      <c r="L2927" s="2" t="s">
        <v>187</v>
      </c>
      <c r="M2927" s="2" t="s">
        <v>146</v>
      </c>
      <c r="N2927" s="2" t="s">
        <v>2093</v>
      </c>
      <c r="O2927" s="2" t="s">
        <v>115</v>
      </c>
      <c r="P2927" s="2" t="str">
        <f>"2170561540                    "</f>
        <v xml:space="preserve">2170561540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4.29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1</v>
      </c>
      <c r="BJ2927" s="2">
        <v>0.2</v>
      </c>
      <c r="BK2927" s="2">
        <v>1</v>
      </c>
      <c r="BL2927" s="2">
        <v>41.73</v>
      </c>
      <c r="BM2927" s="2">
        <v>5.84</v>
      </c>
      <c r="BN2927" s="2">
        <v>47.57</v>
      </c>
      <c r="BO2927" s="2">
        <v>47.57</v>
      </c>
      <c r="BP2927" s="2"/>
      <c r="BQ2927" s="2" t="s">
        <v>2094</v>
      </c>
      <c r="BR2927" s="2" t="s">
        <v>84</v>
      </c>
      <c r="BS2927" s="3">
        <v>42850</v>
      </c>
      <c r="BT2927" s="4">
        <v>0.36458333333333331</v>
      </c>
      <c r="BU2927" s="2" t="s">
        <v>2238</v>
      </c>
      <c r="BV2927" s="2" t="s">
        <v>111</v>
      </c>
      <c r="BW2927" s="2"/>
      <c r="BX2927" s="2"/>
      <c r="BY2927" s="2">
        <v>1200</v>
      </c>
      <c r="BZ2927" s="2"/>
      <c r="CA2927" s="2"/>
      <c r="CB2927" s="2"/>
      <c r="CC2927" s="2" t="s">
        <v>146</v>
      </c>
      <c r="CD2927" s="2">
        <v>200</v>
      </c>
      <c r="CE2927" s="2" t="s">
        <v>118</v>
      </c>
      <c r="CF2927" s="5">
        <v>42853</v>
      </c>
      <c r="CG2927" s="2"/>
      <c r="CH2927" s="2"/>
      <c r="CI2927" s="2">
        <v>0</v>
      </c>
      <c r="CJ2927" s="2">
        <v>0</v>
      </c>
      <c r="CK2927" s="2">
        <v>21</v>
      </c>
      <c r="CL2927" s="2" t="s">
        <v>86</v>
      </c>
      <c r="CM2927" s="2"/>
    </row>
    <row r="2928" spans="1:91">
      <c r="A2928" s="2" t="s">
        <v>71</v>
      </c>
      <c r="B2928" s="2" t="s">
        <v>72</v>
      </c>
      <c r="C2928" s="2" t="s">
        <v>73</v>
      </c>
      <c r="D2928" s="2"/>
      <c r="E2928" s="2" t="str">
        <f>"FES1162544885"</f>
        <v>FES1162544885</v>
      </c>
      <c r="F2928" s="3">
        <v>42849</v>
      </c>
      <c r="G2928" s="2">
        <v>201710</v>
      </c>
      <c r="H2928" s="2" t="s">
        <v>74</v>
      </c>
      <c r="I2928" s="2" t="s">
        <v>75</v>
      </c>
      <c r="J2928" s="2" t="s">
        <v>76</v>
      </c>
      <c r="K2928" s="2" t="s">
        <v>77</v>
      </c>
      <c r="L2928" s="2" t="s">
        <v>74</v>
      </c>
      <c r="M2928" s="2" t="s">
        <v>75</v>
      </c>
      <c r="N2928" s="2" t="s">
        <v>1900</v>
      </c>
      <c r="O2928" s="2" t="s">
        <v>115</v>
      </c>
      <c r="P2928" s="2" t="str">
        <f>"2170559827                    "</f>
        <v xml:space="preserve">2170559827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3.35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1</v>
      </c>
      <c r="BJ2928" s="2">
        <v>0.2</v>
      </c>
      <c r="BK2928" s="2">
        <v>1</v>
      </c>
      <c r="BL2928" s="2">
        <v>32.6</v>
      </c>
      <c r="BM2928" s="2">
        <v>4.5599999999999996</v>
      </c>
      <c r="BN2928" s="2">
        <v>37.159999999999997</v>
      </c>
      <c r="BO2928" s="2">
        <v>37.159999999999997</v>
      </c>
      <c r="BP2928" s="2"/>
      <c r="BQ2928" s="2"/>
      <c r="BR2928" s="2" t="s">
        <v>84</v>
      </c>
      <c r="BS2928" s="3">
        <v>42850</v>
      </c>
      <c r="BT2928" s="4">
        <v>0.33819444444444446</v>
      </c>
      <c r="BU2928" s="2" t="s">
        <v>3134</v>
      </c>
      <c r="BV2928" s="2" t="s">
        <v>111</v>
      </c>
      <c r="BW2928" s="2"/>
      <c r="BX2928" s="2"/>
      <c r="BY2928" s="2">
        <v>1200</v>
      </c>
      <c r="BZ2928" s="2"/>
      <c r="CA2928" s="2" t="s">
        <v>1687</v>
      </c>
      <c r="CB2928" s="2"/>
      <c r="CC2928" s="2" t="s">
        <v>75</v>
      </c>
      <c r="CD2928" s="2">
        <v>1614</v>
      </c>
      <c r="CE2928" s="2" t="s">
        <v>118</v>
      </c>
      <c r="CF2928" s="5">
        <v>42850</v>
      </c>
      <c r="CG2928" s="2"/>
      <c r="CH2928" s="2"/>
      <c r="CI2928" s="2">
        <v>1</v>
      </c>
      <c r="CJ2928" s="2">
        <v>1</v>
      </c>
      <c r="CK2928" s="2">
        <v>22</v>
      </c>
      <c r="CL2928" s="2" t="s">
        <v>86</v>
      </c>
      <c r="CM2928" s="2"/>
    </row>
    <row r="2929" spans="1:91">
      <c r="A2929" s="2" t="s">
        <v>71</v>
      </c>
      <c r="B2929" s="2" t="s">
        <v>72</v>
      </c>
      <c r="C2929" s="2" t="s">
        <v>73</v>
      </c>
      <c r="D2929" s="2"/>
      <c r="E2929" s="2" t="str">
        <f>"FES1162545120"</f>
        <v>FES1162545120</v>
      </c>
      <c r="F2929" s="3">
        <v>42849</v>
      </c>
      <c r="G2929" s="2">
        <v>201710</v>
      </c>
      <c r="H2929" s="2" t="s">
        <v>74</v>
      </c>
      <c r="I2929" s="2" t="s">
        <v>75</v>
      </c>
      <c r="J2929" s="2" t="s">
        <v>76</v>
      </c>
      <c r="K2929" s="2" t="s">
        <v>77</v>
      </c>
      <c r="L2929" s="2" t="s">
        <v>74</v>
      </c>
      <c r="M2929" s="2" t="s">
        <v>75</v>
      </c>
      <c r="N2929" s="2" t="s">
        <v>573</v>
      </c>
      <c r="O2929" s="2" t="s">
        <v>115</v>
      </c>
      <c r="P2929" s="2" t="str">
        <f>"2170563263                    "</f>
        <v xml:space="preserve">2170563263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3.35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1</v>
      </c>
      <c r="BJ2929" s="2">
        <v>0.2</v>
      </c>
      <c r="BK2929" s="2">
        <v>1</v>
      </c>
      <c r="BL2929" s="2">
        <v>32.6</v>
      </c>
      <c r="BM2929" s="2">
        <v>4.5599999999999996</v>
      </c>
      <c r="BN2929" s="2">
        <v>37.159999999999997</v>
      </c>
      <c r="BO2929" s="2">
        <v>37.159999999999997</v>
      </c>
      <c r="BP2929" s="2"/>
      <c r="BQ2929" s="2" t="s">
        <v>574</v>
      </c>
      <c r="BR2929" s="2" t="s">
        <v>84</v>
      </c>
      <c r="BS2929" s="3">
        <v>42850</v>
      </c>
      <c r="BT2929" s="4">
        <v>0.41666666666666669</v>
      </c>
      <c r="BU2929" s="2" t="s">
        <v>3135</v>
      </c>
      <c r="BV2929" s="2" t="s">
        <v>111</v>
      </c>
      <c r="BW2929" s="2"/>
      <c r="BX2929" s="2"/>
      <c r="BY2929" s="2">
        <v>1200</v>
      </c>
      <c r="BZ2929" s="2"/>
      <c r="CA2929" s="2"/>
      <c r="CB2929" s="2"/>
      <c r="CC2929" s="2" t="s">
        <v>75</v>
      </c>
      <c r="CD2929" s="2">
        <v>1665</v>
      </c>
      <c r="CE2929" s="2" t="s">
        <v>118</v>
      </c>
      <c r="CF2929" s="5">
        <v>42851</v>
      </c>
      <c r="CG2929" s="2"/>
      <c r="CH2929" s="2"/>
      <c r="CI2929" s="2">
        <v>1</v>
      </c>
      <c r="CJ2929" s="2">
        <v>1</v>
      </c>
      <c r="CK2929" s="2">
        <v>22</v>
      </c>
      <c r="CL2929" s="2" t="s">
        <v>86</v>
      </c>
      <c r="CM2929" s="2"/>
    </row>
    <row r="2930" spans="1:91">
      <c r="A2930" s="2" t="s">
        <v>71</v>
      </c>
      <c r="B2930" s="2" t="s">
        <v>72</v>
      </c>
      <c r="C2930" s="2" t="s">
        <v>73</v>
      </c>
      <c r="D2930" s="2"/>
      <c r="E2930" s="2" t="str">
        <f>"FES1162545106"</f>
        <v>FES1162545106</v>
      </c>
      <c r="F2930" s="3">
        <v>42849</v>
      </c>
      <c r="G2930" s="2">
        <v>201710</v>
      </c>
      <c r="H2930" s="2" t="s">
        <v>74</v>
      </c>
      <c r="I2930" s="2" t="s">
        <v>75</v>
      </c>
      <c r="J2930" s="2" t="s">
        <v>76</v>
      </c>
      <c r="K2930" s="2" t="s">
        <v>77</v>
      </c>
      <c r="L2930" s="2" t="s">
        <v>190</v>
      </c>
      <c r="M2930" s="2" t="s">
        <v>191</v>
      </c>
      <c r="N2930" s="2" t="s">
        <v>192</v>
      </c>
      <c r="O2930" s="2" t="s">
        <v>115</v>
      </c>
      <c r="P2930" s="2" t="str">
        <f>"2170561542                    "</f>
        <v xml:space="preserve">2170561542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6.03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1</v>
      </c>
      <c r="BJ2930" s="2">
        <v>0.2</v>
      </c>
      <c r="BK2930" s="2">
        <v>1</v>
      </c>
      <c r="BL2930" s="2">
        <v>58.68</v>
      </c>
      <c r="BM2930" s="2">
        <v>8.2200000000000006</v>
      </c>
      <c r="BN2930" s="2">
        <v>66.900000000000006</v>
      </c>
      <c r="BO2930" s="2">
        <v>66.900000000000006</v>
      </c>
      <c r="BP2930" s="2"/>
      <c r="BQ2930" s="2" t="s">
        <v>193</v>
      </c>
      <c r="BR2930" s="2" t="s">
        <v>84</v>
      </c>
      <c r="BS2930" s="3">
        <v>42850</v>
      </c>
      <c r="BT2930" s="4">
        <v>0.4236111111111111</v>
      </c>
      <c r="BU2930" s="2" t="s">
        <v>2085</v>
      </c>
      <c r="BV2930" s="2" t="s">
        <v>111</v>
      </c>
      <c r="BW2930" s="2"/>
      <c r="BX2930" s="2"/>
      <c r="BY2930" s="2">
        <v>1200</v>
      </c>
      <c r="BZ2930" s="2"/>
      <c r="CA2930" s="2"/>
      <c r="CB2930" s="2"/>
      <c r="CC2930" s="2" t="s">
        <v>191</v>
      </c>
      <c r="CD2930" s="2">
        <v>1739</v>
      </c>
      <c r="CE2930" s="2" t="s">
        <v>118</v>
      </c>
      <c r="CF2930" s="5">
        <v>42851</v>
      </c>
      <c r="CG2930" s="2"/>
      <c r="CH2930" s="2"/>
      <c r="CI2930" s="2">
        <v>1</v>
      </c>
      <c r="CJ2930" s="2">
        <v>1</v>
      </c>
      <c r="CK2930" s="2">
        <v>24</v>
      </c>
      <c r="CL2930" s="2" t="s">
        <v>86</v>
      </c>
      <c r="CM2930" s="2"/>
    </row>
    <row r="2931" spans="1:91">
      <c r="A2931" s="2" t="s">
        <v>71</v>
      </c>
      <c r="B2931" s="2" t="s">
        <v>72</v>
      </c>
      <c r="C2931" s="2" t="s">
        <v>73</v>
      </c>
      <c r="D2931" s="2"/>
      <c r="E2931" s="2" t="str">
        <f>"FES1162545064"</f>
        <v>FES1162545064</v>
      </c>
      <c r="F2931" s="3">
        <v>42849</v>
      </c>
      <c r="G2931" s="2">
        <v>201710</v>
      </c>
      <c r="H2931" s="2" t="s">
        <v>74</v>
      </c>
      <c r="I2931" s="2" t="s">
        <v>75</v>
      </c>
      <c r="J2931" s="2" t="s">
        <v>76</v>
      </c>
      <c r="K2931" s="2" t="s">
        <v>77</v>
      </c>
      <c r="L2931" s="2" t="s">
        <v>294</v>
      </c>
      <c r="M2931" s="2" t="s">
        <v>295</v>
      </c>
      <c r="N2931" s="2" t="s">
        <v>873</v>
      </c>
      <c r="O2931" s="2" t="s">
        <v>115</v>
      </c>
      <c r="P2931" s="2" t="str">
        <f>"2170563584                    "</f>
        <v xml:space="preserve">2170563584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8.57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1</v>
      </c>
      <c r="BI2931" s="2">
        <v>4</v>
      </c>
      <c r="BJ2931" s="2">
        <v>3</v>
      </c>
      <c r="BK2931" s="2">
        <v>4</v>
      </c>
      <c r="BL2931" s="2">
        <v>83.45</v>
      </c>
      <c r="BM2931" s="2">
        <v>11.68</v>
      </c>
      <c r="BN2931" s="2">
        <v>95.13</v>
      </c>
      <c r="BO2931" s="2">
        <v>95.13</v>
      </c>
      <c r="BP2931" s="2"/>
      <c r="BQ2931" s="2" t="s">
        <v>874</v>
      </c>
      <c r="BR2931" s="2" t="s">
        <v>84</v>
      </c>
      <c r="BS2931" s="3">
        <v>42850</v>
      </c>
      <c r="BT2931" s="4">
        <v>0.39583333333333331</v>
      </c>
      <c r="BU2931" s="2" t="s">
        <v>2473</v>
      </c>
      <c r="BV2931" s="2" t="s">
        <v>111</v>
      </c>
      <c r="BW2931" s="2"/>
      <c r="BX2931" s="2"/>
      <c r="BY2931" s="2">
        <v>15045</v>
      </c>
      <c r="BZ2931" s="2"/>
      <c r="CA2931" s="2"/>
      <c r="CB2931" s="2"/>
      <c r="CC2931" s="2" t="s">
        <v>295</v>
      </c>
      <c r="CD2931" s="2">
        <v>3600</v>
      </c>
      <c r="CE2931" s="2" t="s">
        <v>172</v>
      </c>
      <c r="CF2931" s="5">
        <v>42851</v>
      </c>
      <c r="CG2931" s="2"/>
      <c r="CH2931" s="2"/>
      <c r="CI2931" s="2">
        <v>1</v>
      </c>
      <c r="CJ2931" s="2">
        <v>1</v>
      </c>
      <c r="CK2931" s="2">
        <v>21</v>
      </c>
      <c r="CL2931" s="2" t="s">
        <v>86</v>
      </c>
      <c r="CM2931" s="2"/>
    </row>
    <row r="2932" spans="1:91">
      <c r="A2932" s="2" t="s">
        <v>71</v>
      </c>
      <c r="B2932" s="2" t="s">
        <v>72</v>
      </c>
      <c r="C2932" s="2" t="s">
        <v>73</v>
      </c>
      <c r="D2932" s="2"/>
      <c r="E2932" s="2" t="str">
        <f>"FES1162545124"</f>
        <v>FES1162545124</v>
      </c>
      <c r="F2932" s="3">
        <v>42849</v>
      </c>
      <c r="G2932" s="2">
        <v>201710</v>
      </c>
      <c r="H2932" s="2" t="s">
        <v>74</v>
      </c>
      <c r="I2932" s="2" t="s">
        <v>75</v>
      </c>
      <c r="J2932" s="2" t="s">
        <v>76</v>
      </c>
      <c r="K2932" s="2" t="s">
        <v>77</v>
      </c>
      <c r="L2932" s="2" t="s">
        <v>187</v>
      </c>
      <c r="M2932" s="2" t="s">
        <v>146</v>
      </c>
      <c r="N2932" s="2" t="s">
        <v>326</v>
      </c>
      <c r="O2932" s="2" t="s">
        <v>115</v>
      </c>
      <c r="P2932" s="2" t="str">
        <f>"2170563588                    "</f>
        <v xml:space="preserve">2170563588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4.29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1</v>
      </c>
      <c r="BJ2932" s="2">
        <v>0.2</v>
      </c>
      <c r="BK2932" s="2">
        <v>1</v>
      </c>
      <c r="BL2932" s="2">
        <v>41.73</v>
      </c>
      <c r="BM2932" s="2">
        <v>5.84</v>
      </c>
      <c r="BN2932" s="2">
        <v>47.57</v>
      </c>
      <c r="BO2932" s="2">
        <v>47.57</v>
      </c>
      <c r="BP2932" s="2"/>
      <c r="BQ2932" s="2" t="s">
        <v>3116</v>
      </c>
      <c r="BR2932" s="2" t="s">
        <v>84</v>
      </c>
      <c r="BS2932" s="3">
        <v>42850</v>
      </c>
      <c r="BT2932" s="4">
        <v>0.375</v>
      </c>
      <c r="BU2932" s="2" t="s">
        <v>328</v>
      </c>
      <c r="BV2932" s="2" t="s">
        <v>111</v>
      </c>
      <c r="BW2932" s="2"/>
      <c r="BX2932" s="2"/>
      <c r="BY2932" s="2">
        <v>1200</v>
      </c>
      <c r="BZ2932" s="2"/>
      <c r="CA2932" s="2"/>
      <c r="CB2932" s="2"/>
      <c r="CC2932" s="2" t="s">
        <v>146</v>
      </c>
      <c r="CD2932" s="2">
        <v>200</v>
      </c>
      <c r="CE2932" s="2" t="s">
        <v>118</v>
      </c>
      <c r="CF2932" s="5">
        <v>42853</v>
      </c>
      <c r="CG2932" s="2"/>
      <c r="CH2932" s="2"/>
      <c r="CI2932" s="2">
        <v>0</v>
      </c>
      <c r="CJ2932" s="2">
        <v>0</v>
      </c>
      <c r="CK2932" s="2">
        <v>21</v>
      </c>
      <c r="CL2932" s="2" t="s">
        <v>86</v>
      </c>
      <c r="CM2932" s="2"/>
    </row>
    <row r="2933" spans="1:91">
      <c r="A2933" s="2" t="s">
        <v>71</v>
      </c>
      <c r="B2933" s="2" t="s">
        <v>72</v>
      </c>
      <c r="C2933" s="2" t="s">
        <v>73</v>
      </c>
      <c r="D2933" s="2"/>
      <c r="E2933" s="2" t="str">
        <f>"FES1162545055"</f>
        <v>FES1162545055</v>
      </c>
      <c r="F2933" s="3">
        <v>42849</v>
      </c>
      <c r="G2933" s="2">
        <v>201710</v>
      </c>
      <c r="H2933" s="2" t="s">
        <v>74</v>
      </c>
      <c r="I2933" s="2" t="s">
        <v>75</v>
      </c>
      <c r="J2933" s="2" t="s">
        <v>76</v>
      </c>
      <c r="K2933" s="2" t="s">
        <v>77</v>
      </c>
      <c r="L2933" s="2" t="s">
        <v>231</v>
      </c>
      <c r="M2933" s="2" t="s">
        <v>232</v>
      </c>
      <c r="N2933" s="2" t="s">
        <v>316</v>
      </c>
      <c r="O2933" s="2" t="s">
        <v>115</v>
      </c>
      <c r="P2933" s="2" t="str">
        <f>"2170563452                    "</f>
        <v xml:space="preserve">2170563452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6.03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1</v>
      </c>
      <c r="BJ2933" s="2">
        <v>0.2</v>
      </c>
      <c r="BK2933" s="2">
        <v>1</v>
      </c>
      <c r="BL2933" s="2">
        <v>58.68</v>
      </c>
      <c r="BM2933" s="2">
        <v>8.2200000000000006</v>
      </c>
      <c r="BN2933" s="2">
        <v>66.900000000000006</v>
      </c>
      <c r="BO2933" s="2">
        <v>66.900000000000006</v>
      </c>
      <c r="BP2933" s="2"/>
      <c r="BQ2933" s="2" t="s">
        <v>317</v>
      </c>
      <c r="BR2933" s="2" t="s">
        <v>84</v>
      </c>
      <c r="BS2933" s="3">
        <v>42850</v>
      </c>
      <c r="BT2933" s="4">
        <v>0.41597222222222219</v>
      </c>
      <c r="BU2933" s="2" t="s">
        <v>318</v>
      </c>
      <c r="BV2933" s="2" t="s">
        <v>111</v>
      </c>
      <c r="BW2933" s="2"/>
      <c r="BX2933" s="2"/>
      <c r="BY2933" s="2">
        <v>1200</v>
      </c>
      <c r="BZ2933" s="2"/>
      <c r="CA2933" s="2"/>
      <c r="CB2933" s="2"/>
      <c r="CC2933" s="2" t="s">
        <v>232</v>
      </c>
      <c r="CD2933" s="2">
        <v>250</v>
      </c>
      <c r="CE2933" s="2" t="s">
        <v>118</v>
      </c>
      <c r="CF2933" s="5">
        <v>42853</v>
      </c>
      <c r="CG2933" s="2"/>
      <c r="CH2933" s="2"/>
      <c r="CI2933" s="2">
        <v>1</v>
      </c>
      <c r="CJ2933" s="2">
        <v>1</v>
      </c>
      <c r="CK2933" s="2">
        <v>24</v>
      </c>
      <c r="CL2933" s="2" t="s">
        <v>86</v>
      </c>
      <c r="CM2933" s="2"/>
    </row>
    <row r="2934" spans="1:91">
      <c r="A2934" s="2" t="s">
        <v>71</v>
      </c>
      <c r="B2934" s="2" t="s">
        <v>72</v>
      </c>
      <c r="C2934" s="2" t="s">
        <v>73</v>
      </c>
      <c r="D2934" s="2"/>
      <c r="E2934" s="2" t="str">
        <f>"FES1162545088"</f>
        <v>FES1162545088</v>
      </c>
      <c r="F2934" s="3">
        <v>42849</v>
      </c>
      <c r="G2934" s="2">
        <v>201710</v>
      </c>
      <c r="H2934" s="2" t="s">
        <v>74</v>
      </c>
      <c r="I2934" s="2" t="s">
        <v>75</v>
      </c>
      <c r="J2934" s="2" t="s">
        <v>76</v>
      </c>
      <c r="K2934" s="2" t="s">
        <v>77</v>
      </c>
      <c r="L2934" s="2" t="s">
        <v>187</v>
      </c>
      <c r="M2934" s="2" t="s">
        <v>146</v>
      </c>
      <c r="N2934" s="2" t="s">
        <v>147</v>
      </c>
      <c r="O2934" s="2" t="s">
        <v>115</v>
      </c>
      <c r="P2934" s="2" t="str">
        <f>"2170561038                    "</f>
        <v xml:space="preserve">2170561038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4.29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1</v>
      </c>
      <c r="BJ2934" s="2">
        <v>0.2</v>
      </c>
      <c r="BK2934" s="2">
        <v>1</v>
      </c>
      <c r="BL2934" s="2">
        <v>41.73</v>
      </c>
      <c r="BM2934" s="2">
        <v>5.84</v>
      </c>
      <c r="BN2934" s="2">
        <v>47.57</v>
      </c>
      <c r="BO2934" s="2">
        <v>47.57</v>
      </c>
      <c r="BP2934" s="2"/>
      <c r="BQ2934" s="2" t="s">
        <v>148</v>
      </c>
      <c r="BR2934" s="2" t="s">
        <v>84</v>
      </c>
      <c r="BS2934" s="3">
        <v>42850</v>
      </c>
      <c r="BT2934" s="4">
        <v>0.40833333333333338</v>
      </c>
      <c r="BU2934" s="2" t="s">
        <v>149</v>
      </c>
      <c r="BV2934" s="2" t="s">
        <v>111</v>
      </c>
      <c r="BW2934" s="2"/>
      <c r="BX2934" s="2"/>
      <c r="BY2934" s="2">
        <v>1200</v>
      </c>
      <c r="BZ2934" s="2"/>
      <c r="CA2934" s="2"/>
      <c r="CB2934" s="2"/>
      <c r="CC2934" s="2" t="s">
        <v>146</v>
      </c>
      <c r="CD2934" s="2">
        <v>1</v>
      </c>
      <c r="CE2934" s="2" t="s">
        <v>118</v>
      </c>
      <c r="CF2934" s="5">
        <v>42853</v>
      </c>
      <c r="CG2934" s="2"/>
      <c r="CH2934" s="2"/>
      <c r="CI2934" s="2">
        <v>0</v>
      </c>
      <c r="CJ2934" s="2">
        <v>0</v>
      </c>
      <c r="CK2934" s="2">
        <v>21</v>
      </c>
      <c r="CL2934" s="2" t="s">
        <v>86</v>
      </c>
      <c r="CM2934" s="2"/>
    </row>
    <row r="2935" spans="1:91">
      <c r="A2935" s="2" t="s">
        <v>71</v>
      </c>
      <c r="B2935" s="2" t="s">
        <v>72</v>
      </c>
      <c r="C2935" s="2" t="s">
        <v>73</v>
      </c>
      <c r="D2935" s="2"/>
      <c r="E2935" s="2" t="str">
        <f>"FES1162545173"</f>
        <v>FES1162545173</v>
      </c>
      <c r="F2935" s="3">
        <v>42849</v>
      </c>
      <c r="G2935" s="2">
        <v>201710</v>
      </c>
      <c r="H2935" s="2" t="s">
        <v>74</v>
      </c>
      <c r="I2935" s="2" t="s">
        <v>75</v>
      </c>
      <c r="J2935" s="2" t="s">
        <v>76</v>
      </c>
      <c r="K2935" s="2" t="s">
        <v>77</v>
      </c>
      <c r="L2935" s="2" t="s">
        <v>220</v>
      </c>
      <c r="M2935" s="2" t="s">
        <v>221</v>
      </c>
      <c r="N2935" s="2" t="s">
        <v>222</v>
      </c>
      <c r="O2935" s="2" t="s">
        <v>115</v>
      </c>
      <c r="P2935" s="2" t="str">
        <f>"2170563658                    "</f>
        <v xml:space="preserve">2170563658 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4.29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1</v>
      </c>
      <c r="BJ2935" s="2">
        <v>0.2</v>
      </c>
      <c r="BK2935" s="2">
        <v>1</v>
      </c>
      <c r="BL2935" s="2">
        <v>41.73</v>
      </c>
      <c r="BM2935" s="2">
        <v>5.84</v>
      </c>
      <c r="BN2935" s="2">
        <v>47.57</v>
      </c>
      <c r="BO2935" s="2">
        <v>47.57</v>
      </c>
      <c r="BP2935" s="2"/>
      <c r="BQ2935" s="2" t="s">
        <v>223</v>
      </c>
      <c r="BR2935" s="2" t="s">
        <v>84</v>
      </c>
      <c r="BS2935" s="3">
        <v>42850</v>
      </c>
      <c r="BT2935" s="4">
        <v>0.43055555555555558</v>
      </c>
      <c r="BU2935" s="2" t="s">
        <v>1968</v>
      </c>
      <c r="BV2935" s="2" t="s">
        <v>111</v>
      </c>
      <c r="BW2935" s="2"/>
      <c r="BX2935" s="2"/>
      <c r="BY2935" s="2">
        <v>1200</v>
      </c>
      <c r="BZ2935" s="2"/>
      <c r="CA2935" s="2"/>
      <c r="CB2935" s="2"/>
      <c r="CC2935" s="2" t="s">
        <v>221</v>
      </c>
      <c r="CD2935" s="2">
        <v>6536</v>
      </c>
      <c r="CE2935" s="2" t="s">
        <v>118</v>
      </c>
      <c r="CF2935" s="5">
        <v>42851</v>
      </c>
      <c r="CG2935" s="2"/>
      <c r="CH2935" s="2"/>
      <c r="CI2935" s="2">
        <v>1</v>
      </c>
      <c r="CJ2935" s="2">
        <v>1</v>
      </c>
      <c r="CK2935" s="2">
        <v>21</v>
      </c>
      <c r="CL2935" s="2" t="s">
        <v>86</v>
      </c>
      <c r="CM2935" s="2"/>
    </row>
    <row r="2936" spans="1:91">
      <c r="A2936" s="2" t="s">
        <v>71</v>
      </c>
      <c r="B2936" s="2" t="s">
        <v>72</v>
      </c>
      <c r="C2936" s="2" t="s">
        <v>73</v>
      </c>
      <c r="D2936" s="2"/>
      <c r="E2936" s="2" t="str">
        <f>"FES1162545087"</f>
        <v>FES1162545087</v>
      </c>
      <c r="F2936" s="3">
        <v>42849</v>
      </c>
      <c r="G2936" s="2">
        <v>201710</v>
      </c>
      <c r="H2936" s="2" t="s">
        <v>74</v>
      </c>
      <c r="I2936" s="2" t="s">
        <v>75</v>
      </c>
      <c r="J2936" s="2" t="s">
        <v>76</v>
      </c>
      <c r="K2936" s="2" t="s">
        <v>77</v>
      </c>
      <c r="L2936" s="2" t="s">
        <v>231</v>
      </c>
      <c r="M2936" s="2" t="s">
        <v>232</v>
      </c>
      <c r="N2936" s="2" t="s">
        <v>3136</v>
      </c>
      <c r="O2936" s="2" t="s">
        <v>115</v>
      </c>
      <c r="P2936" s="2" t="str">
        <f>"2170560708                    "</f>
        <v xml:space="preserve">2170560708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6.03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1</v>
      </c>
      <c r="BJ2936" s="2">
        <v>0.2</v>
      </c>
      <c r="BK2936" s="2">
        <v>1</v>
      </c>
      <c r="BL2936" s="2">
        <v>58.68</v>
      </c>
      <c r="BM2936" s="2">
        <v>8.2200000000000006</v>
      </c>
      <c r="BN2936" s="2">
        <v>66.900000000000006</v>
      </c>
      <c r="BO2936" s="2">
        <v>66.900000000000006</v>
      </c>
      <c r="BP2936" s="2"/>
      <c r="BQ2936" s="2" t="s">
        <v>3137</v>
      </c>
      <c r="BR2936" s="2" t="s">
        <v>84</v>
      </c>
      <c r="BS2936" s="3">
        <v>42850</v>
      </c>
      <c r="BT2936" s="4">
        <v>0.52083333333333337</v>
      </c>
      <c r="BU2936" s="2" t="s">
        <v>3138</v>
      </c>
      <c r="BV2936" s="2" t="s">
        <v>111</v>
      </c>
      <c r="BW2936" s="2"/>
      <c r="BX2936" s="2"/>
      <c r="BY2936" s="2">
        <v>1200</v>
      </c>
      <c r="BZ2936" s="2"/>
      <c r="CA2936" s="2"/>
      <c r="CB2936" s="2"/>
      <c r="CC2936" s="2" t="s">
        <v>232</v>
      </c>
      <c r="CD2936" s="2">
        <v>216</v>
      </c>
      <c r="CE2936" s="2" t="s">
        <v>118</v>
      </c>
      <c r="CF2936" s="5">
        <v>42853</v>
      </c>
      <c r="CG2936" s="2"/>
      <c r="CH2936" s="2"/>
      <c r="CI2936" s="2">
        <v>1</v>
      </c>
      <c r="CJ2936" s="2">
        <v>1</v>
      </c>
      <c r="CK2936" s="2">
        <v>24</v>
      </c>
      <c r="CL2936" s="2" t="s">
        <v>86</v>
      </c>
      <c r="CM2936" s="2"/>
    </row>
    <row r="2937" spans="1:91">
      <c r="A2937" s="2" t="s">
        <v>71</v>
      </c>
      <c r="B2937" s="2" t="s">
        <v>72</v>
      </c>
      <c r="C2937" s="2" t="s">
        <v>73</v>
      </c>
      <c r="D2937" s="2"/>
      <c r="E2937" s="2" t="str">
        <f>"FES1162545162"</f>
        <v>FES1162545162</v>
      </c>
      <c r="F2937" s="3">
        <v>42849</v>
      </c>
      <c r="G2937" s="2">
        <v>201710</v>
      </c>
      <c r="H2937" s="2" t="s">
        <v>74</v>
      </c>
      <c r="I2937" s="2" t="s">
        <v>75</v>
      </c>
      <c r="J2937" s="2" t="s">
        <v>76</v>
      </c>
      <c r="K2937" s="2" t="s">
        <v>77</v>
      </c>
      <c r="L2937" s="2" t="s">
        <v>131</v>
      </c>
      <c r="M2937" s="2" t="s">
        <v>132</v>
      </c>
      <c r="N2937" s="2" t="s">
        <v>411</v>
      </c>
      <c r="O2937" s="2" t="s">
        <v>115</v>
      </c>
      <c r="P2937" s="2" t="str">
        <f>"2170563646                    "</f>
        <v xml:space="preserve">2170563646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4.29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</v>
      </c>
      <c r="BJ2937" s="2">
        <v>0.2</v>
      </c>
      <c r="BK2937" s="2">
        <v>1</v>
      </c>
      <c r="BL2937" s="2">
        <v>41.73</v>
      </c>
      <c r="BM2937" s="2">
        <v>5.84</v>
      </c>
      <c r="BN2937" s="2">
        <v>47.57</v>
      </c>
      <c r="BO2937" s="2">
        <v>47.57</v>
      </c>
      <c r="BP2937" s="2"/>
      <c r="BQ2937" s="2" t="s">
        <v>129</v>
      </c>
      <c r="BR2937" s="2" t="s">
        <v>84</v>
      </c>
      <c r="BS2937" s="3">
        <v>42851</v>
      </c>
      <c r="BT2937" s="4">
        <v>0.41666666666666669</v>
      </c>
      <c r="BU2937" s="2" t="s">
        <v>3139</v>
      </c>
      <c r="BV2937" s="2" t="s">
        <v>86</v>
      </c>
      <c r="BW2937" s="2" t="s">
        <v>484</v>
      </c>
      <c r="BX2937" s="2" t="s">
        <v>1370</v>
      </c>
      <c r="BY2937" s="2">
        <v>1200</v>
      </c>
      <c r="BZ2937" s="2"/>
      <c r="CA2937" s="2" t="s">
        <v>2870</v>
      </c>
      <c r="CB2937" s="2"/>
      <c r="CC2937" s="2" t="s">
        <v>132</v>
      </c>
      <c r="CD2937" s="2">
        <v>7460</v>
      </c>
      <c r="CE2937" s="2" t="s">
        <v>118</v>
      </c>
      <c r="CF2937" s="5">
        <v>42851</v>
      </c>
      <c r="CG2937" s="2"/>
      <c r="CH2937" s="2"/>
      <c r="CI2937" s="2">
        <v>1</v>
      </c>
      <c r="CJ2937" s="2">
        <v>2</v>
      </c>
      <c r="CK2937" s="2">
        <v>21</v>
      </c>
      <c r="CL2937" s="2" t="s">
        <v>86</v>
      </c>
      <c r="CM2937" s="2"/>
    </row>
    <row r="2938" spans="1:91">
      <c r="A2938" s="2" t="s">
        <v>71</v>
      </c>
      <c r="B2938" s="2" t="s">
        <v>72</v>
      </c>
      <c r="C2938" s="2" t="s">
        <v>73</v>
      </c>
      <c r="D2938" s="2"/>
      <c r="E2938" s="2" t="str">
        <f>"FES1162545068"</f>
        <v>FES1162545068</v>
      </c>
      <c r="F2938" s="3">
        <v>42849</v>
      </c>
      <c r="G2938" s="2">
        <v>201710</v>
      </c>
      <c r="H2938" s="2" t="s">
        <v>74</v>
      </c>
      <c r="I2938" s="2" t="s">
        <v>75</v>
      </c>
      <c r="J2938" s="2" t="s">
        <v>76</v>
      </c>
      <c r="K2938" s="2" t="s">
        <v>77</v>
      </c>
      <c r="L2938" s="2" t="s">
        <v>294</v>
      </c>
      <c r="M2938" s="2" t="s">
        <v>295</v>
      </c>
      <c r="N2938" s="2" t="s">
        <v>1282</v>
      </c>
      <c r="O2938" s="2" t="s">
        <v>115</v>
      </c>
      <c r="P2938" s="2" t="str">
        <f>"2170563590                    "</f>
        <v xml:space="preserve">2170563590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4.29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1</v>
      </c>
      <c r="BJ2938" s="2">
        <v>0.2</v>
      </c>
      <c r="BK2938" s="2">
        <v>1</v>
      </c>
      <c r="BL2938" s="2">
        <v>41.73</v>
      </c>
      <c r="BM2938" s="2">
        <v>5.84</v>
      </c>
      <c r="BN2938" s="2">
        <v>47.57</v>
      </c>
      <c r="BO2938" s="2">
        <v>47.57</v>
      </c>
      <c r="BP2938" s="2"/>
      <c r="BQ2938" s="2" t="s">
        <v>116</v>
      </c>
      <c r="BR2938" s="2" t="s">
        <v>84</v>
      </c>
      <c r="BS2938" s="3">
        <v>42850</v>
      </c>
      <c r="BT2938" s="4">
        <v>0.39583333333333331</v>
      </c>
      <c r="BU2938" s="2" t="s">
        <v>245</v>
      </c>
      <c r="BV2938" s="2" t="s">
        <v>111</v>
      </c>
      <c r="BW2938" s="2"/>
      <c r="BX2938" s="2"/>
      <c r="BY2938" s="2">
        <v>1200</v>
      </c>
      <c r="BZ2938" s="2"/>
      <c r="CA2938" s="2"/>
      <c r="CB2938" s="2"/>
      <c r="CC2938" s="2" t="s">
        <v>295</v>
      </c>
      <c r="CD2938" s="2">
        <v>3610</v>
      </c>
      <c r="CE2938" s="2" t="s">
        <v>118</v>
      </c>
      <c r="CF2938" s="5">
        <v>42851</v>
      </c>
      <c r="CG2938" s="2"/>
      <c r="CH2938" s="2"/>
      <c r="CI2938" s="2">
        <v>1</v>
      </c>
      <c r="CJ2938" s="2">
        <v>1</v>
      </c>
      <c r="CK2938" s="2">
        <v>21</v>
      </c>
      <c r="CL2938" s="2" t="s">
        <v>86</v>
      </c>
      <c r="CM2938" s="2"/>
    </row>
    <row r="2939" spans="1:91">
      <c r="A2939" s="2" t="s">
        <v>71</v>
      </c>
      <c r="B2939" s="2" t="s">
        <v>72</v>
      </c>
      <c r="C2939" s="2" t="s">
        <v>73</v>
      </c>
      <c r="D2939" s="2"/>
      <c r="E2939" s="2" t="str">
        <f>"FES1162545110"</f>
        <v>FES1162545110</v>
      </c>
      <c r="F2939" s="3">
        <v>42849</v>
      </c>
      <c r="G2939" s="2">
        <v>201710</v>
      </c>
      <c r="H2939" s="2" t="s">
        <v>74</v>
      </c>
      <c r="I2939" s="2" t="s">
        <v>75</v>
      </c>
      <c r="J2939" s="2" t="s">
        <v>76</v>
      </c>
      <c r="K2939" s="2" t="s">
        <v>77</v>
      </c>
      <c r="L2939" s="2" t="s">
        <v>294</v>
      </c>
      <c r="M2939" s="2" t="s">
        <v>295</v>
      </c>
      <c r="N2939" s="2" t="s">
        <v>2035</v>
      </c>
      <c r="O2939" s="2" t="s">
        <v>115</v>
      </c>
      <c r="P2939" s="2" t="str">
        <f>"2170561623                    "</f>
        <v xml:space="preserve">2170561623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4.29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1</v>
      </c>
      <c r="BJ2939" s="2">
        <v>0.2</v>
      </c>
      <c r="BK2939" s="2">
        <v>1</v>
      </c>
      <c r="BL2939" s="2">
        <v>41.73</v>
      </c>
      <c r="BM2939" s="2">
        <v>5.84</v>
      </c>
      <c r="BN2939" s="2">
        <v>47.57</v>
      </c>
      <c r="BO2939" s="2">
        <v>47.57</v>
      </c>
      <c r="BP2939" s="2"/>
      <c r="BQ2939" s="2" t="s">
        <v>2036</v>
      </c>
      <c r="BR2939" s="2" t="s">
        <v>84</v>
      </c>
      <c r="BS2939" s="3">
        <v>42850</v>
      </c>
      <c r="BT2939" s="4">
        <v>0.39583333333333331</v>
      </c>
      <c r="BU2939" s="2" t="s">
        <v>780</v>
      </c>
      <c r="BV2939" s="2" t="s">
        <v>111</v>
      </c>
      <c r="BW2939" s="2"/>
      <c r="BX2939" s="2"/>
      <c r="BY2939" s="2">
        <v>1200</v>
      </c>
      <c r="BZ2939" s="2"/>
      <c r="CA2939" s="2"/>
      <c r="CB2939" s="2"/>
      <c r="CC2939" s="2" t="s">
        <v>295</v>
      </c>
      <c r="CD2939" s="2">
        <v>3610</v>
      </c>
      <c r="CE2939" s="2" t="s">
        <v>118</v>
      </c>
      <c r="CF2939" s="5">
        <v>42851</v>
      </c>
      <c r="CG2939" s="2"/>
      <c r="CH2939" s="2"/>
      <c r="CI2939" s="2">
        <v>1</v>
      </c>
      <c r="CJ2939" s="2">
        <v>1</v>
      </c>
      <c r="CK2939" s="2">
        <v>21</v>
      </c>
      <c r="CL2939" s="2" t="s">
        <v>86</v>
      </c>
      <c r="CM2939" s="2"/>
    </row>
    <row r="2940" spans="1:91">
      <c r="A2940" s="2" t="s">
        <v>71</v>
      </c>
      <c r="B2940" s="2" t="s">
        <v>72</v>
      </c>
      <c r="C2940" s="2" t="s">
        <v>73</v>
      </c>
      <c r="D2940" s="2"/>
      <c r="E2940" s="2" t="str">
        <f>"FES1162545056"</f>
        <v>FES1162545056</v>
      </c>
      <c r="F2940" s="3">
        <v>42849</v>
      </c>
      <c r="G2940" s="2">
        <v>201710</v>
      </c>
      <c r="H2940" s="2" t="s">
        <v>74</v>
      </c>
      <c r="I2940" s="2" t="s">
        <v>75</v>
      </c>
      <c r="J2940" s="2" t="s">
        <v>76</v>
      </c>
      <c r="K2940" s="2" t="s">
        <v>77</v>
      </c>
      <c r="L2940" s="2" t="s">
        <v>131</v>
      </c>
      <c r="M2940" s="2" t="s">
        <v>132</v>
      </c>
      <c r="N2940" s="2" t="s">
        <v>1069</v>
      </c>
      <c r="O2940" s="2" t="s">
        <v>115</v>
      </c>
      <c r="P2940" s="2" t="str">
        <f>"2170563575                    "</f>
        <v xml:space="preserve">2170563575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4.29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1</v>
      </c>
      <c r="BJ2940" s="2">
        <v>0.2</v>
      </c>
      <c r="BK2940" s="2">
        <v>1</v>
      </c>
      <c r="BL2940" s="2">
        <v>41.73</v>
      </c>
      <c r="BM2940" s="2">
        <v>5.84</v>
      </c>
      <c r="BN2940" s="2">
        <v>47.57</v>
      </c>
      <c r="BO2940" s="2">
        <v>47.57</v>
      </c>
      <c r="BP2940" s="2"/>
      <c r="BQ2940" s="2" t="s">
        <v>1070</v>
      </c>
      <c r="BR2940" s="2" t="s">
        <v>84</v>
      </c>
      <c r="BS2940" s="3">
        <v>42851</v>
      </c>
      <c r="BT2940" s="4">
        <v>0.41666666666666669</v>
      </c>
      <c r="BU2940" s="2" t="s">
        <v>896</v>
      </c>
      <c r="BV2940" s="2" t="s">
        <v>86</v>
      </c>
      <c r="BW2940" s="2" t="s">
        <v>484</v>
      </c>
      <c r="BX2940" s="2" t="s">
        <v>1370</v>
      </c>
      <c r="BY2940" s="2">
        <v>1200</v>
      </c>
      <c r="BZ2940" s="2"/>
      <c r="CA2940" s="2"/>
      <c r="CB2940" s="2"/>
      <c r="CC2940" s="2" t="s">
        <v>132</v>
      </c>
      <c r="CD2940" s="2">
        <v>7800</v>
      </c>
      <c r="CE2940" s="2" t="s">
        <v>118</v>
      </c>
      <c r="CF2940" s="5">
        <v>42853</v>
      </c>
      <c r="CG2940" s="2"/>
      <c r="CH2940" s="2"/>
      <c r="CI2940" s="2">
        <v>1</v>
      </c>
      <c r="CJ2940" s="2">
        <v>2</v>
      </c>
      <c r="CK2940" s="2">
        <v>21</v>
      </c>
      <c r="CL2940" s="2" t="s">
        <v>86</v>
      </c>
      <c r="CM2940" s="2"/>
    </row>
    <row r="2941" spans="1:91">
      <c r="A2941" s="2" t="s">
        <v>71</v>
      </c>
      <c r="B2941" s="2" t="s">
        <v>72</v>
      </c>
      <c r="C2941" s="2" t="s">
        <v>73</v>
      </c>
      <c r="D2941" s="2"/>
      <c r="E2941" s="2" t="str">
        <f>"FES1162545161"</f>
        <v>FES1162545161</v>
      </c>
      <c r="F2941" s="3">
        <v>42849</v>
      </c>
      <c r="G2941" s="2">
        <v>201710</v>
      </c>
      <c r="H2941" s="2" t="s">
        <v>74</v>
      </c>
      <c r="I2941" s="2" t="s">
        <v>75</v>
      </c>
      <c r="J2941" s="2" t="s">
        <v>76</v>
      </c>
      <c r="K2941" s="2" t="s">
        <v>77</v>
      </c>
      <c r="L2941" s="2" t="s">
        <v>176</v>
      </c>
      <c r="M2941" s="2" t="s">
        <v>176</v>
      </c>
      <c r="N2941" s="2" t="s">
        <v>177</v>
      </c>
      <c r="O2941" s="2" t="s">
        <v>115</v>
      </c>
      <c r="P2941" s="2" t="str">
        <f>"2170563644                    "</f>
        <v xml:space="preserve">2170563644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4.29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1</v>
      </c>
      <c r="BJ2941" s="2">
        <v>0.2</v>
      </c>
      <c r="BK2941" s="2">
        <v>1</v>
      </c>
      <c r="BL2941" s="2">
        <v>41.73</v>
      </c>
      <c r="BM2941" s="2">
        <v>5.84</v>
      </c>
      <c r="BN2941" s="2">
        <v>47.57</v>
      </c>
      <c r="BO2941" s="2">
        <v>47.57</v>
      </c>
      <c r="BP2941" s="2"/>
      <c r="BQ2941" s="2" t="s">
        <v>178</v>
      </c>
      <c r="BR2941" s="2" t="s">
        <v>84</v>
      </c>
      <c r="BS2941" s="3">
        <v>42851</v>
      </c>
      <c r="BT2941" s="4">
        <v>0.41666666666666669</v>
      </c>
      <c r="BU2941" s="2" t="s">
        <v>245</v>
      </c>
      <c r="BV2941" s="2" t="s">
        <v>86</v>
      </c>
      <c r="BW2941" s="2" t="s">
        <v>157</v>
      </c>
      <c r="BX2941" s="2" t="s">
        <v>3114</v>
      </c>
      <c r="BY2941" s="2">
        <v>1200</v>
      </c>
      <c r="BZ2941" s="2"/>
      <c r="CA2941" s="2"/>
      <c r="CB2941" s="2"/>
      <c r="CC2941" s="2" t="s">
        <v>176</v>
      </c>
      <c r="CD2941" s="2">
        <v>7646</v>
      </c>
      <c r="CE2941" s="2" t="s">
        <v>118</v>
      </c>
      <c r="CF2941" s="5">
        <v>42853</v>
      </c>
      <c r="CG2941" s="2"/>
      <c r="CH2941" s="2"/>
      <c r="CI2941" s="2">
        <v>1</v>
      </c>
      <c r="CJ2941" s="2">
        <v>2</v>
      </c>
      <c r="CK2941" s="2">
        <v>21</v>
      </c>
      <c r="CL2941" s="2" t="s">
        <v>86</v>
      </c>
      <c r="CM2941" s="2"/>
    </row>
    <row r="2942" spans="1:91">
      <c r="A2942" s="2" t="s">
        <v>71</v>
      </c>
      <c r="B2942" s="2" t="s">
        <v>72</v>
      </c>
      <c r="C2942" s="2" t="s">
        <v>73</v>
      </c>
      <c r="D2942" s="2"/>
      <c r="E2942" s="2" t="str">
        <f>"FES1162545184"</f>
        <v>FES1162545184</v>
      </c>
      <c r="F2942" s="3">
        <v>42849</v>
      </c>
      <c r="G2942" s="2">
        <v>201710</v>
      </c>
      <c r="H2942" s="2" t="s">
        <v>74</v>
      </c>
      <c r="I2942" s="2" t="s">
        <v>75</v>
      </c>
      <c r="J2942" s="2" t="s">
        <v>76</v>
      </c>
      <c r="K2942" s="2" t="s">
        <v>77</v>
      </c>
      <c r="L2942" s="2" t="s">
        <v>1032</v>
      </c>
      <c r="M2942" s="2" t="s">
        <v>1033</v>
      </c>
      <c r="N2942" s="2" t="s">
        <v>1034</v>
      </c>
      <c r="O2942" s="2" t="s">
        <v>115</v>
      </c>
      <c r="P2942" s="2" t="str">
        <f>"2170563672                    "</f>
        <v xml:space="preserve">2170563672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8.31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1</v>
      </c>
      <c r="BJ2942" s="2">
        <v>0.2</v>
      </c>
      <c r="BK2942" s="2">
        <v>1</v>
      </c>
      <c r="BL2942" s="2">
        <v>80.849999999999994</v>
      </c>
      <c r="BM2942" s="2">
        <v>11.32</v>
      </c>
      <c r="BN2942" s="2">
        <v>92.17</v>
      </c>
      <c r="BO2942" s="2">
        <v>92.17</v>
      </c>
      <c r="BP2942" s="2"/>
      <c r="BQ2942" s="2" t="s">
        <v>129</v>
      </c>
      <c r="BR2942" s="2" t="s">
        <v>84</v>
      </c>
      <c r="BS2942" s="3">
        <v>42850</v>
      </c>
      <c r="BT2942" s="4">
        <v>0</v>
      </c>
      <c r="BU2942" s="2" t="s">
        <v>1035</v>
      </c>
      <c r="BV2942" s="2" t="s">
        <v>111</v>
      </c>
      <c r="BW2942" s="2"/>
      <c r="BX2942" s="2"/>
      <c r="BY2942" s="2">
        <v>1200</v>
      </c>
      <c r="BZ2942" s="2"/>
      <c r="CA2942" s="2"/>
      <c r="CB2942" s="2"/>
      <c r="CC2942" s="2" t="s">
        <v>1033</v>
      </c>
      <c r="CD2942" s="2">
        <v>5605</v>
      </c>
      <c r="CE2942" s="2" t="s">
        <v>118</v>
      </c>
      <c r="CF2942" s="5">
        <v>42853</v>
      </c>
      <c r="CG2942" s="2"/>
      <c r="CH2942" s="2"/>
      <c r="CI2942" s="2">
        <v>4</v>
      </c>
      <c r="CJ2942" s="2">
        <v>1</v>
      </c>
      <c r="CK2942" s="2">
        <v>23</v>
      </c>
      <c r="CL2942" s="2" t="s">
        <v>86</v>
      </c>
      <c r="CM2942" s="2"/>
    </row>
    <row r="2943" spans="1:91">
      <c r="A2943" s="2" t="s">
        <v>71</v>
      </c>
      <c r="B2943" s="2" t="s">
        <v>72</v>
      </c>
      <c r="C2943" s="2" t="s">
        <v>73</v>
      </c>
      <c r="D2943" s="2"/>
      <c r="E2943" s="2" t="str">
        <f>"FES1162545114"</f>
        <v>FES1162545114</v>
      </c>
      <c r="F2943" s="3">
        <v>42849</v>
      </c>
      <c r="G2943" s="2">
        <v>201710</v>
      </c>
      <c r="H2943" s="2" t="s">
        <v>74</v>
      </c>
      <c r="I2943" s="2" t="s">
        <v>75</v>
      </c>
      <c r="J2943" s="2" t="s">
        <v>76</v>
      </c>
      <c r="K2943" s="2" t="s">
        <v>77</v>
      </c>
      <c r="L2943" s="2" t="s">
        <v>131</v>
      </c>
      <c r="M2943" s="2" t="s">
        <v>132</v>
      </c>
      <c r="N2943" s="2" t="s">
        <v>384</v>
      </c>
      <c r="O2943" s="2" t="s">
        <v>115</v>
      </c>
      <c r="P2943" s="2" t="str">
        <f>"2170561879                    "</f>
        <v xml:space="preserve">2170561879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4.29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1</v>
      </c>
      <c r="BJ2943" s="2">
        <v>0.2</v>
      </c>
      <c r="BK2943" s="2">
        <v>1</v>
      </c>
      <c r="BL2943" s="2">
        <v>41.73</v>
      </c>
      <c r="BM2943" s="2">
        <v>5.84</v>
      </c>
      <c r="BN2943" s="2">
        <v>47.57</v>
      </c>
      <c r="BO2943" s="2">
        <v>47.57</v>
      </c>
      <c r="BP2943" s="2"/>
      <c r="BQ2943" s="2" t="s">
        <v>468</v>
      </c>
      <c r="BR2943" s="2" t="s">
        <v>84</v>
      </c>
      <c r="BS2943" s="3">
        <v>42851</v>
      </c>
      <c r="BT2943" s="4">
        <v>0.41666666666666669</v>
      </c>
      <c r="BU2943" s="2" t="s">
        <v>3131</v>
      </c>
      <c r="BV2943" s="2" t="s">
        <v>86</v>
      </c>
      <c r="BW2943" s="2" t="s">
        <v>484</v>
      </c>
      <c r="BX2943" s="2" t="s">
        <v>1370</v>
      </c>
      <c r="BY2943" s="2">
        <v>1200</v>
      </c>
      <c r="BZ2943" s="2"/>
      <c r="CA2943" s="2" t="s">
        <v>159</v>
      </c>
      <c r="CB2943" s="2"/>
      <c r="CC2943" s="2" t="s">
        <v>132</v>
      </c>
      <c r="CD2943" s="2">
        <v>7405</v>
      </c>
      <c r="CE2943" s="2" t="s">
        <v>118</v>
      </c>
      <c r="CF2943" s="5">
        <v>42853</v>
      </c>
      <c r="CG2943" s="2"/>
      <c r="CH2943" s="2"/>
      <c r="CI2943" s="2">
        <v>1</v>
      </c>
      <c r="CJ2943" s="2">
        <v>2</v>
      </c>
      <c r="CK2943" s="2">
        <v>21</v>
      </c>
      <c r="CL2943" s="2" t="s">
        <v>86</v>
      </c>
      <c r="CM2943" s="2"/>
    </row>
    <row r="2944" spans="1:91">
      <c r="A2944" s="2" t="s">
        <v>71</v>
      </c>
      <c r="B2944" s="2" t="s">
        <v>72</v>
      </c>
      <c r="C2944" s="2" t="s">
        <v>73</v>
      </c>
      <c r="D2944" s="2"/>
      <c r="E2944" s="2" t="str">
        <f>"FES1162545101"</f>
        <v>FES1162545101</v>
      </c>
      <c r="F2944" s="3">
        <v>42849</v>
      </c>
      <c r="G2944" s="2">
        <v>201710</v>
      </c>
      <c r="H2944" s="2" t="s">
        <v>74</v>
      </c>
      <c r="I2944" s="2" t="s">
        <v>75</v>
      </c>
      <c r="J2944" s="2" t="s">
        <v>76</v>
      </c>
      <c r="K2944" s="2" t="s">
        <v>77</v>
      </c>
      <c r="L2944" s="2" t="s">
        <v>659</v>
      </c>
      <c r="M2944" s="2" t="s">
        <v>660</v>
      </c>
      <c r="N2944" s="2" t="s">
        <v>738</v>
      </c>
      <c r="O2944" s="2" t="s">
        <v>115</v>
      </c>
      <c r="P2944" s="2" t="str">
        <f>"2170561490                    "</f>
        <v xml:space="preserve">2170561490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4.29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1</v>
      </c>
      <c r="BJ2944" s="2">
        <v>0.2</v>
      </c>
      <c r="BK2944" s="2">
        <v>1</v>
      </c>
      <c r="BL2944" s="2">
        <v>41.73</v>
      </c>
      <c r="BM2944" s="2">
        <v>5.84</v>
      </c>
      <c r="BN2944" s="2">
        <v>47.57</v>
      </c>
      <c r="BO2944" s="2">
        <v>47.57</v>
      </c>
      <c r="BP2944" s="2"/>
      <c r="BQ2944" s="2" t="s">
        <v>739</v>
      </c>
      <c r="BR2944" s="2" t="s">
        <v>84</v>
      </c>
      <c r="BS2944" s="3">
        <v>42850</v>
      </c>
      <c r="BT2944" s="4">
        <v>0.39861111111111108</v>
      </c>
      <c r="BU2944" s="2" t="s">
        <v>3140</v>
      </c>
      <c r="BV2944" s="2" t="s">
        <v>111</v>
      </c>
      <c r="BW2944" s="2"/>
      <c r="BX2944" s="2"/>
      <c r="BY2944" s="2">
        <v>1200</v>
      </c>
      <c r="BZ2944" s="2"/>
      <c r="CA2944" s="2"/>
      <c r="CB2944" s="2"/>
      <c r="CC2944" s="2" t="s">
        <v>660</v>
      </c>
      <c r="CD2944" s="2">
        <v>3310</v>
      </c>
      <c r="CE2944" s="2" t="s">
        <v>118</v>
      </c>
      <c r="CF2944" s="5">
        <v>42851</v>
      </c>
      <c r="CG2944" s="2"/>
      <c r="CH2944" s="2"/>
      <c r="CI2944" s="2">
        <v>1</v>
      </c>
      <c r="CJ2944" s="2">
        <v>1</v>
      </c>
      <c r="CK2944" s="2">
        <v>21</v>
      </c>
      <c r="CL2944" s="2" t="s">
        <v>86</v>
      </c>
      <c r="CM2944" s="2"/>
    </row>
    <row r="2945" spans="1:91">
      <c r="A2945" s="2" t="s">
        <v>71</v>
      </c>
      <c r="B2945" s="2" t="s">
        <v>72</v>
      </c>
      <c r="C2945" s="2" t="s">
        <v>73</v>
      </c>
      <c r="D2945" s="2"/>
      <c r="E2945" s="2" t="str">
        <f>"FES1162545123"</f>
        <v>FES1162545123</v>
      </c>
      <c r="F2945" s="3">
        <v>42849</v>
      </c>
      <c r="G2945" s="2">
        <v>201710</v>
      </c>
      <c r="H2945" s="2" t="s">
        <v>74</v>
      </c>
      <c r="I2945" s="2" t="s">
        <v>75</v>
      </c>
      <c r="J2945" s="2" t="s">
        <v>76</v>
      </c>
      <c r="K2945" s="2" t="s">
        <v>77</v>
      </c>
      <c r="L2945" s="2" t="s">
        <v>401</v>
      </c>
      <c r="M2945" s="2" t="s">
        <v>402</v>
      </c>
      <c r="N2945" s="2" t="s">
        <v>326</v>
      </c>
      <c r="O2945" s="2" t="s">
        <v>115</v>
      </c>
      <c r="P2945" s="2" t="str">
        <f>"2170563444                    "</f>
        <v xml:space="preserve">2170563444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4.29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1</v>
      </c>
      <c r="BJ2945" s="2">
        <v>0.2</v>
      </c>
      <c r="BK2945" s="2">
        <v>1</v>
      </c>
      <c r="BL2945" s="2">
        <v>41.73</v>
      </c>
      <c r="BM2945" s="2">
        <v>5.84</v>
      </c>
      <c r="BN2945" s="2">
        <v>47.57</v>
      </c>
      <c r="BO2945" s="2">
        <v>47.57</v>
      </c>
      <c r="BP2945" s="2"/>
      <c r="BQ2945" s="2" t="s">
        <v>1951</v>
      </c>
      <c r="BR2945" s="2" t="s">
        <v>84</v>
      </c>
      <c r="BS2945" s="3">
        <v>42850</v>
      </c>
      <c r="BT2945" s="4">
        <v>0.4375</v>
      </c>
      <c r="BU2945" s="2" t="s">
        <v>2439</v>
      </c>
      <c r="BV2945" s="2" t="s">
        <v>111</v>
      </c>
      <c r="BW2945" s="2"/>
      <c r="BX2945" s="2"/>
      <c r="BY2945" s="2">
        <v>1200</v>
      </c>
      <c r="BZ2945" s="2"/>
      <c r="CA2945" s="2"/>
      <c r="CB2945" s="2"/>
      <c r="CC2945" s="2" t="s">
        <v>402</v>
      </c>
      <c r="CD2945" s="2">
        <v>4133</v>
      </c>
      <c r="CE2945" s="2" t="s">
        <v>118</v>
      </c>
      <c r="CF2945" s="5">
        <v>42851</v>
      </c>
      <c r="CG2945" s="2"/>
      <c r="CH2945" s="2"/>
      <c r="CI2945" s="2">
        <v>1</v>
      </c>
      <c r="CJ2945" s="2">
        <v>1</v>
      </c>
      <c r="CK2945" s="2">
        <v>21</v>
      </c>
      <c r="CL2945" s="2" t="s">
        <v>86</v>
      </c>
      <c r="CM2945" s="2"/>
    </row>
    <row r="2946" spans="1:91">
      <c r="A2946" s="2" t="s">
        <v>71</v>
      </c>
      <c r="B2946" s="2" t="s">
        <v>72</v>
      </c>
      <c r="C2946" s="2" t="s">
        <v>73</v>
      </c>
      <c r="D2946" s="2"/>
      <c r="E2946" s="2" t="str">
        <f>"FES1162545141"</f>
        <v>FES1162545141</v>
      </c>
      <c r="F2946" s="3">
        <v>42849</v>
      </c>
      <c r="G2946" s="2">
        <v>201710</v>
      </c>
      <c r="H2946" s="2" t="s">
        <v>74</v>
      </c>
      <c r="I2946" s="2" t="s">
        <v>75</v>
      </c>
      <c r="J2946" s="2" t="s">
        <v>76</v>
      </c>
      <c r="K2946" s="2" t="s">
        <v>77</v>
      </c>
      <c r="L2946" s="2" t="s">
        <v>131</v>
      </c>
      <c r="M2946" s="2" t="s">
        <v>132</v>
      </c>
      <c r="N2946" s="2" t="s">
        <v>3141</v>
      </c>
      <c r="O2946" s="2" t="s">
        <v>115</v>
      </c>
      <c r="P2946" s="2" t="str">
        <f>"2170563622                    "</f>
        <v xml:space="preserve">2170563622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4.29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1</v>
      </c>
      <c r="BJ2946" s="2">
        <v>0.2</v>
      </c>
      <c r="BK2946" s="2">
        <v>1</v>
      </c>
      <c r="BL2946" s="2">
        <v>41.73</v>
      </c>
      <c r="BM2946" s="2">
        <v>5.84</v>
      </c>
      <c r="BN2946" s="2">
        <v>47.57</v>
      </c>
      <c r="BO2946" s="2">
        <v>47.57</v>
      </c>
      <c r="BP2946" s="2"/>
      <c r="BQ2946" s="2"/>
      <c r="BR2946" s="2" t="s">
        <v>84</v>
      </c>
      <c r="BS2946" s="3">
        <v>42851</v>
      </c>
      <c r="BT2946" s="4">
        <v>0.40069444444444446</v>
      </c>
      <c r="BU2946" s="2" t="s">
        <v>3142</v>
      </c>
      <c r="BV2946" s="2" t="s">
        <v>86</v>
      </c>
      <c r="BW2946" s="2" t="s">
        <v>484</v>
      </c>
      <c r="BX2946" s="2" t="s">
        <v>1370</v>
      </c>
      <c r="BY2946" s="2">
        <v>1200</v>
      </c>
      <c r="BZ2946" s="2"/>
      <c r="CA2946" s="2"/>
      <c r="CB2946" s="2"/>
      <c r="CC2946" s="2" t="s">
        <v>132</v>
      </c>
      <c r="CD2946" s="2">
        <v>7560</v>
      </c>
      <c r="CE2946" s="2" t="s">
        <v>118</v>
      </c>
      <c r="CF2946" s="5">
        <v>42853</v>
      </c>
      <c r="CG2946" s="2"/>
      <c r="CH2946" s="2"/>
      <c r="CI2946" s="2">
        <v>1</v>
      </c>
      <c r="CJ2946" s="2">
        <v>2</v>
      </c>
      <c r="CK2946" s="2">
        <v>21</v>
      </c>
      <c r="CL2946" s="2" t="s">
        <v>86</v>
      </c>
      <c r="CM2946" s="2"/>
    </row>
    <row r="2947" spans="1:91">
      <c r="A2947" s="2" t="s">
        <v>71</v>
      </c>
      <c r="B2947" s="2" t="s">
        <v>72</v>
      </c>
      <c r="C2947" s="2" t="s">
        <v>73</v>
      </c>
      <c r="D2947" s="2"/>
      <c r="E2947" s="2" t="str">
        <f>"FES1162545113"</f>
        <v>FES1162545113</v>
      </c>
      <c r="F2947" s="3">
        <v>42849</v>
      </c>
      <c r="G2947" s="2">
        <v>201710</v>
      </c>
      <c r="H2947" s="2" t="s">
        <v>74</v>
      </c>
      <c r="I2947" s="2" t="s">
        <v>75</v>
      </c>
      <c r="J2947" s="2" t="s">
        <v>76</v>
      </c>
      <c r="K2947" s="2" t="s">
        <v>77</v>
      </c>
      <c r="L2947" s="2" t="s">
        <v>1611</v>
      </c>
      <c r="M2947" s="2" t="s">
        <v>1612</v>
      </c>
      <c r="N2947" s="2" t="s">
        <v>1613</v>
      </c>
      <c r="O2947" s="2" t="s">
        <v>115</v>
      </c>
      <c r="P2947" s="2" t="str">
        <f>"2170561873                    "</f>
        <v xml:space="preserve">2170561873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23.31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3</v>
      </c>
      <c r="BJ2947" s="2">
        <v>6</v>
      </c>
      <c r="BK2947" s="2">
        <v>6</v>
      </c>
      <c r="BL2947" s="2">
        <v>226.89</v>
      </c>
      <c r="BM2947" s="2">
        <v>31.76</v>
      </c>
      <c r="BN2947" s="2">
        <v>258.64999999999998</v>
      </c>
      <c r="BO2947" s="2">
        <v>258.64999999999998</v>
      </c>
      <c r="BP2947" s="2"/>
      <c r="BQ2947" s="2" t="s">
        <v>1614</v>
      </c>
      <c r="BR2947" s="2" t="s">
        <v>84</v>
      </c>
      <c r="BS2947" s="3">
        <v>42850</v>
      </c>
      <c r="BT2947" s="4">
        <v>0.39583333333333331</v>
      </c>
      <c r="BU2947" s="2" t="s">
        <v>434</v>
      </c>
      <c r="BV2947" s="2" t="s">
        <v>111</v>
      </c>
      <c r="BW2947" s="2"/>
      <c r="BX2947" s="2"/>
      <c r="BY2947" s="2">
        <v>30056</v>
      </c>
      <c r="BZ2947" s="2"/>
      <c r="CA2947" s="2"/>
      <c r="CB2947" s="2"/>
      <c r="CC2947" s="2" t="s">
        <v>1612</v>
      </c>
      <c r="CD2947" s="2">
        <v>9880</v>
      </c>
      <c r="CE2947" s="2" t="s">
        <v>775</v>
      </c>
      <c r="CF2947" s="5">
        <v>42853</v>
      </c>
      <c r="CG2947" s="2"/>
      <c r="CH2947" s="2"/>
      <c r="CI2947" s="2">
        <v>1</v>
      </c>
      <c r="CJ2947" s="2">
        <v>1</v>
      </c>
      <c r="CK2947" s="2">
        <v>23</v>
      </c>
      <c r="CL2947" s="2" t="s">
        <v>86</v>
      </c>
      <c r="CM2947" s="2"/>
    </row>
    <row r="2948" spans="1:91">
      <c r="A2948" s="2" t="s">
        <v>71</v>
      </c>
      <c r="B2948" s="2" t="s">
        <v>72</v>
      </c>
      <c r="C2948" s="2" t="s">
        <v>73</v>
      </c>
      <c r="D2948" s="2"/>
      <c r="E2948" s="2" t="str">
        <f>"FES1162545096"</f>
        <v>FES1162545096</v>
      </c>
      <c r="F2948" s="3">
        <v>42849</v>
      </c>
      <c r="G2948" s="2">
        <v>201710</v>
      </c>
      <c r="H2948" s="2" t="s">
        <v>74</v>
      </c>
      <c r="I2948" s="2" t="s">
        <v>75</v>
      </c>
      <c r="J2948" s="2" t="s">
        <v>76</v>
      </c>
      <c r="K2948" s="2" t="s">
        <v>77</v>
      </c>
      <c r="L2948" s="2" t="s">
        <v>99</v>
      </c>
      <c r="M2948" s="2" t="s">
        <v>100</v>
      </c>
      <c r="N2948" s="2" t="s">
        <v>700</v>
      </c>
      <c r="O2948" s="2" t="s">
        <v>115</v>
      </c>
      <c r="P2948" s="2" t="str">
        <f>"2170561428                    "</f>
        <v xml:space="preserve">2170561428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4.29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1</v>
      </c>
      <c r="BJ2948" s="2">
        <v>0.2</v>
      </c>
      <c r="BK2948" s="2">
        <v>1</v>
      </c>
      <c r="BL2948" s="2">
        <v>41.73</v>
      </c>
      <c r="BM2948" s="2">
        <v>5.84</v>
      </c>
      <c r="BN2948" s="2">
        <v>47.57</v>
      </c>
      <c r="BO2948" s="2">
        <v>47.57</v>
      </c>
      <c r="BP2948" s="2"/>
      <c r="BQ2948" s="2" t="s">
        <v>701</v>
      </c>
      <c r="BR2948" s="2" t="s">
        <v>84</v>
      </c>
      <c r="BS2948" s="3">
        <v>42850</v>
      </c>
      <c r="BT2948" s="4">
        <v>0.375</v>
      </c>
      <c r="BU2948" s="2" t="s">
        <v>2829</v>
      </c>
      <c r="BV2948" s="2" t="s">
        <v>111</v>
      </c>
      <c r="BW2948" s="2"/>
      <c r="BX2948" s="2"/>
      <c r="BY2948" s="2">
        <v>1200</v>
      </c>
      <c r="BZ2948" s="2"/>
      <c r="CA2948" s="2" t="s">
        <v>106</v>
      </c>
      <c r="CB2948" s="2"/>
      <c r="CC2948" s="2" t="s">
        <v>100</v>
      </c>
      <c r="CD2948" s="2">
        <v>6001</v>
      </c>
      <c r="CE2948" s="2" t="s">
        <v>118</v>
      </c>
      <c r="CF2948" s="5">
        <v>42850</v>
      </c>
      <c r="CG2948" s="2"/>
      <c r="CH2948" s="2"/>
      <c r="CI2948" s="2">
        <v>1</v>
      </c>
      <c r="CJ2948" s="2">
        <v>1</v>
      </c>
      <c r="CK2948" s="2">
        <v>21</v>
      </c>
      <c r="CL2948" s="2" t="s">
        <v>86</v>
      </c>
      <c r="CM2948" s="2"/>
    </row>
    <row r="2949" spans="1:91">
      <c r="A2949" s="2" t="s">
        <v>71</v>
      </c>
      <c r="B2949" s="2" t="s">
        <v>72</v>
      </c>
      <c r="C2949" s="2" t="s">
        <v>73</v>
      </c>
      <c r="D2949" s="2"/>
      <c r="E2949" s="2" t="str">
        <f>"FES1162545024"</f>
        <v>FES1162545024</v>
      </c>
      <c r="F2949" s="3">
        <v>42849</v>
      </c>
      <c r="G2949" s="2">
        <v>201710</v>
      </c>
      <c r="H2949" s="2" t="s">
        <v>74</v>
      </c>
      <c r="I2949" s="2" t="s">
        <v>75</v>
      </c>
      <c r="J2949" s="2" t="s">
        <v>76</v>
      </c>
      <c r="K2949" s="2" t="s">
        <v>77</v>
      </c>
      <c r="L2949" s="2" t="s">
        <v>231</v>
      </c>
      <c r="M2949" s="2" t="s">
        <v>232</v>
      </c>
      <c r="N2949" s="2" t="s">
        <v>316</v>
      </c>
      <c r="O2949" s="2" t="s">
        <v>115</v>
      </c>
      <c r="P2949" s="2" t="str">
        <f>"2170563347                    "</f>
        <v xml:space="preserve">2170563347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11.9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4</v>
      </c>
      <c r="BJ2949" s="2">
        <v>0.2</v>
      </c>
      <c r="BK2949" s="2">
        <v>4</v>
      </c>
      <c r="BL2949" s="2">
        <v>115.83</v>
      </c>
      <c r="BM2949" s="2">
        <v>16.22</v>
      </c>
      <c r="BN2949" s="2">
        <v>132.05000000000001</v>
      </c>
      <c r="BO2949" s="2">
        <v>132.05000000000001</v>
      </c>
      <c r="BP2949" s="2"/>
      <c r="BQ2949" s="2" t="s">
        <v>317</v>
      </c>
      <c r="BR2949" s="2" t="s">
        <v>84</v>
      </c>
      <c r="BS2949" s="3">
        <v>42850</v>
      </c>
      <c r="BT2949" s="4">
        <v>0.45277777777777778</v>
      </c>
      <c r="BU2949" s="2" t="s">
        <v>318</v>
      </c>
      <c r="BV2949" s="2" t="s">
        <v>111</v>
      </c>
      <c r="BW2949" s="2"/>
      <c r="BX2949" s="2"/>
      <c r="BY2949" s="2">
        <v>1200</v>
      </c>
      <c r="BZ2949" s="2"/>
      <c r="CA2949" s="2"/>
      <c r="CB2949" s="2"/>
      <c r="CC2949" s="2" t="s">
        <v>232</v>
      </c>
      <c r="CD2949" s="2">
        <v>250</v>
      </c>
      <c r="CE2949" s="2" t="s">
        <v>118</v>
      </c>
      <c r="CF2949" s="5">
        <v>42853</v>
      </c>
      <c r="CG2949" s="2"/>
      <c r="CH2949" s="2"/>
      <c r="CI2949" s="2">
        <v>1</v>
      </c>
      <c r="CJ2949" s="2">
        <v>1</v>
      </c>
      <c r="CK2949" s="2">
        <v>24</v>
      </c>
      <c r="CL2949" s="2" t="s">
        <v>86</v>
      </c>
      <c r="CM2949" s="2"/>
    </row>
    <row r="2950" spans="1:91">
      <c r="A2950" s="2" t="s">
        <v>71</v>
      </c>
      <c r="B2950" s="2" t="s">
        <v>72</v>
      </c>
      <c r="C2950" s="2" t="s">
        <v>73</v>
      </c>
      <c r="D2950" s="2"/>
      <c r="E2950" s="2" t="str">
        <f>"FES1162545133"</f>
        <v>FES1162545133</v>
      </c>
      <c r="F2950" s="3">
        <v>42849</v>
      </c>
      <c r="G2950" s="2">
        <v>201710</v>
      </c>
      <c r="H2950" s="2" t="s">
        <v>74</v>
      </c>
      <c r="I2950" s="2" t="s">
        <v>75</v>
      </c>
      <c r="J2950" s="2" t="s">
        <v>76</v>
      </c>
      <c r="K2950" s="2" t="s">
        <v>77</v>
      </c>
      <c r="L2950" s="2" t="s">
        <v>641</v>
      </c>
      <c r="M2950" s="2" t="s">
        <v>642</v>
      </c>
      <c r="N2950" s="2" t="s">
        <v>643</v>
      </c>
      <c r="O2950" s="2" t="s">
        <v>115</v>
      </c>
      <c r="P2950" s="2" t="str">
        <f>"2170563612                    "</f>
        <v xml:space="preserve">2170563612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8.31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1</v>
      </c>
      <c r="BJ2950" s="2">
        <v>0.2</v>
      </c>
      <c r="BK2950" s="2">
        <v>1</v>
      </c>
      <c r="BL2950" s="2">
        <v>80.849999999999994</v>
      </c>
      <c r="BM2950" s="2">
        <v>11.32</v>
      </c>
      <c r="BN2950" s="2">
        <v>92.17</v>
      </c>
      <c r="BO2950" s="2">
        <v>92.17</v>
      </c>
      <c r="BP2950" s="2"/>
      <c r="BQ2950" s="2" t="s">
        <v>83</v>
      </c>
      <c r="BR2950" s="2" t="s">
        <v>84</v>
      </c>
      <c r="BS2950" s="3">
        <v>42850</v>
      </c>
      <c r="BT2950" s="4">
        <v>0.6069444444444444</v>
      </c>
      <c r="BU2950" s="2" t="s">
        <v>1894</v>
      </c>
      <c r="BV2950" s="2" t="s">
        <v>111</v>
      </c>
      <c r="BW2950" s="2"/>
      <c r="BX2950" s="2"/>
      <c r="BY2950" s="2">
        <v>1200</v>
      </c>
      <c r="BZ2950" s="2"/>
      <c r="CA2950" s="2"/>
      <c r="CB2950" s="2"/>
      <c r="CC2950" s="2" t="s">
        <v>642</v>
      </c>
      <c r="CD2950" s="2">
        <v>6300</v>
      </c>
      <c r="CE2950" s="2" t="s">
        <v>118</v>
      </c>
      <c r="CF2950" s="5">
        <v>42851</v>
      </c>
      <c r="CG2950" s="2"/>
      <c r="CH2950" s="2"/>
      <c r="CI2950" s="2">
        <v>3</v>
      </c>
      <c r="CJ2950" s="2">
        <v>1</v>
      </c>
      <c r="CK2950" s="2">
        <v>23</v>
      </c>
      <c r="CL2950" s="2" t="s">
        <v>86</v>
      </c>
      <c r="CM2950" s="2"/>
    </row>
    <row r="2951" spans="1:91">
      <c r="A2951" s="2" t="s">
        <v>71</v>
      </c>
      <c r="B2951" s="2" t="s">
        <v>72</v>
      </c>
      <c r="C2951" s="2" t="s">
        <v>73</v>
      </c>
      <c r="D2951" s="2"/>
      <c r="E2951" s="2" t="str">
        <f>"FES1162545094"</f>
        <v>FES1162545094</v>
      </c>
      <c r="F2951" s="3">
        <v>42849</v>
      </c>
      <c r="G2951" s="2">
        <v>201710</v>
      </c>
      <c r="H2951" s="2" t="s">
        <v>74</v>
      </c>
      <c r="I2951" s="2" t="s">
        <v>75</v>
      </c>
      <c r="J2951" s="2" t="s">
        <v>76</v>
      </c>
      <c r="K2951" s="2" t="s">
        <v>77</v>
      </c>
      <c r="L2951" s="2" t="s">
        <v>160</v>
      </c>
      <c r="M2951" s="2" t="s">
        <v>161</v>
      </c>
      <c r="N2951" s="2" t="s">
        <v>623</v>
      </c>
      <c r="O2951" s="2" t="s">
        <v>115</v>
      </c>
      <c r="P2951" s="2" t="str">
        <f>"2170561406                    "</f>
        <v xml:space="preserve">2170561406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4.29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1</v>
      </c>
      <c r="BJ2951" s="2">
        <v>0.2</v>
      </c>
      <c r="BK2951" s="2">
        <v>1</v>
      </c>
      <c r="BL2951" s="2">
        <v>41.73</v>
      </c>
      <c r="BM2951" s="2">
        <v>5.84</v>
      </c>
      <c r="BN2951" s="2">
        <v>47.57</v>
      </c>
      <c r="BO2951" s="2">
        <v>47.57</v>
      </c>
      <c r="BP2951" s="2"/>
      <c r="BQ2951" s="2" t="s">
        <v>116</v>
      </c>
      <c r="BR2951" s="2" t="s">
        <v>84</v>
      </c>
      <c r="BS2951" s="3">
        <v>42850</v>
      </c>
      <c r="BT2951" s="4">
        <v>0.41666666666666669</v>
      </c>
      <c r="BU2951" s="2" t="s">
        <v>1493</v>
      </c>
      <c r="BV2951" s="2" t="s">
        <v>111</v>
      </c>
      <c r="BW2951" s="2"/>
      <c r="BX2951" s="2"/>
      <c r="BY2951" s="2">
        <v>1200</v>
      </c>
      <c r="BZ2951" s="2"/>
      <c r="CA2951" s="2"/>
      <c r="CB2951" s="2"/>
      <c r="CC2951" s="2" t="s">
        <v>161</v>
      </c>
      <c r="CD2951" s="2">
        <v>5201</v>
      </c>
      <c r="CE2951" s="2" t="s">
        <v>118</v>
      </c>
      <c r="CF2951" s="5">
        <v>42853</v>
      </c>
      <c r="CG2951" s="2"/>
      <c r="CH2951" s="2"/>
      <c r="CI2951" s="2">
        <v>1</v>
      </c>
      <c r="CJ2951" s="2">
        <v>1</v>
      </c>
      <c r="CK2951" s="2">
        <v>21</v>
      </c>
      <c r="CL2951" s="2" t="s">
        <v>86</v>
      </c>
      <c r="CM2951" s="2"/>
    </row>
    <row r="2952" spans="1:91">
      <c r="A2952" s="2" t="s">
        <v>71</v>
      </c>
      <c r="B2952" s="2" t="s">
        <v>72</v>
      </c>
      <c r="C2952" s="2" t="s">
        <v>73</v>
      </c>
      <c r="D2952" s="2"/>
      <c r="E2952" s="2" t="str">
        <f>"FES1162545078"</f>
        <v>FES1162545078</v>
      </c>
      <c r="F2952" s="3">
        <v>42849</v>
      </c>
      <c r="G2952" s="2">
        <v>201710</v>
      </c>
      <c r="H2952" s="2" t="s">
        <v>74</v>
      </c>
      <c r="I2952" s="2" t="s">
        <v>75</v>
      </c>
      <c r="J2952" s="2" t="s">
        <v>76</v>
      </c>
      <c r="K2952" s="2" t="s">
        <v>77</v>
      </c>
      <c r="L2952" s="2" t="s">
        <v>99</v>
      </c>
      <c r="M2952" s="2" t="s">
        <v>100</v>
      </c>
      <c r="N2952" s="2" t="s">
        <v>583</v>
      </c>
      <c r="O2952" s="2" t="s">
        <v>115</v>
      </c>
      <c r="P2952" s="2" t="str">
        <f>"2170563598                    "</f>
        <v xml:space="preserve">2170563598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4.29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1</v>
      </c>
      <c r="BJ2952" s="2">
        <v>0.2</v>
      </c>
      <c r="BK2952" s="2">
        <v>1</v>
      </c>
      <c r="BL2952" s="2">
        <v>41.73</v>
      </c>
      <c r="BM2952" s="2">
        <v>5.84</v>
      </c>
      <c r="BN2952" s="2">
        <v>47.57</v>
      </c>
      <c r="BO2952" s="2">
        <v>47.57</v>
      </c>
      <c r="BP2952" s="2"/>
      <c r="BQ2952" s="2" t="s">
        <v>584</v>
      </c>
      <c r="BR2952" s="2" t="s">
        <v>84</v>
      </c>
      <c r="BS2952" s="3">
        <v>42850</v>
      </c>
      <c r="BT2952" s="4">
        <v>0.33333333333333331</v>
      </c>
      <c r="BU2952" s="2" t="s">
        <v>585</v>
      </c>
      <c r="BV2952" s="2" t="s">
        <v>111</v>
      </c>
      <c r="BW2952" s="2"/>
      <c r="BX2952" s="2"/>
      <c r="BY2952" s="2">
        <v>1200</v>
      </c>
      <c r="BZ2952" s="2"/>
      <c r="CA2952" s="2" t="s">
        <v>154</v>
      </c>
      <c r="CB2952" s="2"/>
      <c r="CC2952" s="2" t="s">
        <v>100</v>
      </c>
      <c r="CD2952" s="2">
        <v>6001</v>
      </c>
      <c r="CE2952" s="2" t="s">
        <v>118</v>
      </c>
      <c r="CF2952" s="5">
        <v>42850</v>
      </c>
      <c r="CG2952" s="2"/>
      <c r="CH2952" s="2"/>
      <c r="CI2952" s="2">
        <v>1</v>
      </c>
      <c r="CJ2952" s="2">
        <v>1</v>
      </c>
      <c r="CK2952" s="2">
        <v>21</v>
      </c>
      <c r="CL2952" s="2" t="s">
        <v>86</v>
      </c>
      <c r="CM2952" s="2"/>
    </row>
    <row r="2953" spans="1:91">
      <c r="A2953" s="2" t="s">
        <v>71</v>
      </c>
      <c r="B2953" s="2" t="s">
        <v>72</v>
      </c>
      <c r="C2953" s="2" t="s">
        <v>73</v>
      </c>
      <c r="D2953" s="2"/>
      <c r="E2953" s="2" t="str">
        <f>"FES1162545149"</f>
        <v>FES1162545149</v>
      </c>
      <c r="F2953" s="3">
        <v>42849</v>
      </c>
      <c r="G2953" s="2">
        <v>201710</v>
      </c>
      <c r="H2953" s="2" t="s">
        <v>74</v>
      </c>
      <c r="I2953" s="2" t="s">
        <v>75</v>
      </c>
      <c r="J2953" s="2" t="s">
        <v>76</v>
      </c>
      <c r="K2953" s="2" t="s">
        <v>77</v>
      </c>
      <c r="L2953" s="2" t="s">
        <v>443</v>
      </c>
      <c r="M2953" s="2" t="s">
        <v>444</v>
      </c>
      <c r="N2953" s="2" t="s">
        <v>445</v>
      </c>
      <c r="O2953" s="2" t="s">
        <v>115</v>
      </c>
      <c r="P2953" s="2" t="str">
        <f>"2170563633                    "</f>
        <v xml:space="preserve">2170563633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4.29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1</v>
      </c>
      <c r="BJ2953" s="2">
        <v>0.2</v>
      </c>
      <c r="BK2953" s="2">
        <v>1</v>
      </c>
      <c r="BL2953" s="2">
        <v>41.73</v>
      </c>
      <c r="BM2953" s="2">
        <v>5.84</v>
      </c>
      <c r="BN2953" s="2">
        <v>47.57</v>
      </c>
      <c r="BO2953" s="2">
        <v>47.57</v>
      </c>
      <c r="BP2953" s="2"/>
      <c r="BQ2953" s="2" t="s">
        <v>129</v>
      </c>
      <c r="BR2953" s="2" t="s">
        <v>84</v>
      </c>
      <c r="BS2953" s="3">
        <v>42851</v>
      </c>
      <c r="BT2953" s="4">
        <v>0.41666666666666669</v>
      </c>
      <c r="BU2953" s="2" t="s">
        <v>3143</v>
      </c>
      <c r="BV2953" s="2" t="s">
        <v>86</v>
      </c>
      <c r="BW2953" s="2" t="s">
        <v>157</v>
      </c>
      <c r="BX2953" s="2" t="s">
        <v>3114</v>
      </c>
      <c r="BY2953" s="2">
        <v>1200</v>
      </c>
      <c r="BZ2953" s="2"/>
      <c r="CA2953" s="2" t="s">
        <v>159</v>
      </c>
      <c r="CB2953" s="2"/>
      <c r="CC2953" s="2" t="s">
        <v>444</v>
      </c>
      <c r="CD2953" s="2">
        <v>7130</v>
      </c>
      <c r="CE2953" s="2" t="s">
        <v>118</v>
      </c>
      <c r="CF2953" s="5">
        <v>42853</v>
      </c>
      <c r="CG2953" s="2"/>
      <c r="CH2953" s="2"/>
      <c r="CI2953" s="2">
        <v>1</v>
      </c>
      <c r="CJ2953" s="2">
        <v>2</v>
      </c>
      <c r="CK2953" s="2">
        <v>21</v>
      </c>
      <c r="CL2953" s="2" t="s">
        <v>86</v>
      </c>
      <c r="CM2953" s="2"/>
    </row>
    <row r="2954" spans="1:91">
      <c r="A2954" s="2" t="s">
        <v>71</v>
      </c>
      <c r="B2954" s="2" t="s">
        <v>72</v>
      </c>
      <c r="C2954" s="2" t="s">
        <v>73</v>
      </c>
      <c r="D2954" s="2"/>
      <c r="E2954" s="2" t="str">
        <f>"FES1162545076"</f>
        <v>FES1162545076</v>
      </c>
      <c r="F2954" s="3">
        <v>42849</v>
      </c>
      <c r="G2954" s="2">
        <v>201710</v>
      </c>
      <c r="H2954" s="2" t="s">
        <v>74</v>
      </c>
      <c r="I2954" s="2" t="s">
        <v>75</v>
      </c>
      <c r="J2954" s="2" t="s">
        <v>76</v>
      </c>
      <c r="K2954" s="2" t="s">
        <v>77</v>
      </c>
      <c r="L2954" s="2" t="s">
        <v>131</v>
      </c>
      <c r="M2954" s="2" t="s">
        <v>132</v>
      </c>
      <c r="N2954" s="2" t="s">
        <v>1097</v>
      </c>
      <c r="O2954" s="2" t="s">
        <v>115</v>
      </c>
      <c r="P2954" s="2" t="str">
        <f>"2170563594                    "</f>
        <v xml:space="preserve">2170563594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4.29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</v>
      </c>
      <c r="BJ2954" s="2">
        <v>0.2</v>
      </c>
      <c r="BK2954" s="2">
        <v>1</v>
      </c>
      <c r="BL2954" s="2">
        <v>41.73</v>
      </c>
      <c r="BM2954" s="2">
        <v>5.84</v>
      </c>
      <c r="BN2954" s="2">
        <v>47.57</v>
      </c>
      <c r="BO2954" s="2">
        <v>47.57</v>
      </c>
      <c r="BP2954" s="2"/>
      <c r="BQ2954" s="2" t="s">
        <v>1098</v>
      </c>
      <c r="BR2954" s="2" t="s">
        <v>84</v>
      </c>
      <c r="BS2954" s="3">
        <v>42851</v>
      </c>
      <c r="BT2954" s="4">
        <v>0.4201388888888889</v>
      </c>
      <c r="BU2954" s="2" t="s">
        <v>2434</v>
      </c>
      <c r="BV2954" s="2" t="s">
        <v>86</v>
      </c>
      <c r="BW2954" s="2" t="s">
        <v>484</v>
      </c>
      <c r="BX2954" s="2" t="s">
        <v>1370</v>
      </c>
      <c r="BY2954" s="2">
        <v>1200</v>
      </c>
      <c r="BZ2954" s="2"/>
      <c r="CA2954" s="2"/>
      <c r="CB2954" s="2"/>
      <c r="CC2954" s="2" t="s">
        <v>132</v>
      </c>
      <c r="CD2954" s="2">
        <v>7925</v>
      </c>
      <c r="CE2954" s="2" t="s">
        <v>118</v>
      </c>
      <c r="CF2954" s="5">
        <v>42853</v>
      </c>
      <c r="CG2954" s="2"/>
      <c r="CH2954" s="2"/>
      <c r="CI2954" s="2">
        <v>1</v>
      </c>
      <c r="CJ2954" s="2">
        <v>2</v>
      </c>
      <c r="CK2954" s="2">
        <v>21</v>
      </c>
      <c r="CL2954" s="2" t="s">
        <v>86</v>
      </c>
      <c r="CM2954" s="2"/>
    </row>
    <row r="2955" spans="1:91">
      <c r="A2955" s="2" t="s">
        <v>71</v>
      </c>
      <c r="B2955" s="2" t="s">
        <v>72</v>
      </c>
      <c r="C2955" s="2" t="s">
        <v>73</v>
      </c>
      <c r="D2955" s="2"/>
      <c r="E2955" s="2" t="str">
        <f>"FES1162545082"</f>
        <v>FES1162545082</v>
      </c>
      <c r="F2955" s="3">
        <v>42849</v>
      </c>
      <c r="G2955" s="2">
        <v>201710</v>
      </c>
      <c r="H2955" s="2" t="s">
        <v>74</v>
      </c>
      <c r="I2955" s="2" t="s">
        <v>75</v>
      </c>
      <c r="J2955" s="2" t="s">
        <v>76</v>
      </c>
      <c r="K2955" s="2" t="s">
        <v>77</v>
      </c>
      <c r="L2955" s="2" t="s">
        <v>99</v>
      </c>
      <c r="M2955" s="2" t="s">
        <v>100</v>
      </c>
      <c r="N2955" s="2" t="s">
        <v>108</v>
      </c>
      <c r="O2955" s="2" t="s">
        <v>115</v>
      </c>
      <c r="P2955" s="2" t="str">
        <f>"2170559697                    "</f>
        <v xml:space="preserve">2170559697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4.29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1</v>
      </c>
      <c r="BJ2955" s="2">
        <v>0.2</v>
      </c>
      <c r="BK2955" s="2">
        <v>1</v>
      </c>
      <c r="BL2955" s="2">
        <v>41.73</v>
      </c>
      <c r="BM2955" s="2">
        <v>5.84</v>
      </c>
      <c r="BN2955" s="2">
        <v>47.57</v>
      </c>
      <c r="BO2955" s="2">
        <v>47.57</v>
      </c>
      <c r="BP2955" s="2"/>
      <c r="BQ2955" s="2" t="s">
        <v>109</v>
      </c>
      <c r="BR2955" s="2" t="s">
        <v>84</v>
      </c>
      <c r="BS2955" s="3">
        <v>42850</v>
      </c>
      <c r="BT2955" s="4">
        <v>0.37152777777777773</v>
      </c>
      <c r="BU2955" s="2" t="s">
        <v>2884</v>
      </c>
      <c r="BV2955" s="2" t="s">
        <v>111</v>
      </c>
      <c r="BW2955" s="2"/>
      <c r="BX2955" s="2"/>
      <c r="BY2955" s="2">
        <v>1200</v>
      </c>
      <c r="BZ2955" s="2"/>
      <c r="CA2955" s="2" t="s">
        <v>106</v>
      </c>
      <c r="CB2955" s="2"/>
      <c r="CC2955" s="2" t="s">
        <v>100</v>
      </c>
      <c r="CD2955" s="2">
        <v>6001</v>
      </c>
      <c r="CE2955" s="2" t="s">
        <v>118</v>
      </c>
      <c r="CF2955" s="5">
        <v>42850</v>
      </c>
      <c r="CG2955" s="2"/>
      <c r="CH2955" s="2"/>
      <c r="CI2955" s="2">
        <v>1</v>
      </c>
      <c r="CJ2955" s="2">
        <v>1</v>
      </c>
      <c r="CK2955" s="2">
        <v>21</v>
      </c>
      <c r="CL2955" s="2" t="s">
        <v>86</v>
      </c>
      <c r="CM2955" s="2"/>
    </row>
    <row r="2956" spans="1:91">
      <c r="A2956" s="2" t="s">
        <v>71</v>
      </c>
      <c r="B2956" s="2" t="s">
        <v>72</v>
      </c>
      <c r="C2956" s="2" t="s">
        <v>73</v>
      </c>
      <c r="D2956" s="2"/>
      <c r="E2956" s="2" t="str">
        <f>"FES1162545148"</f>
        <v>FES1162545148</v>
      </c>
      <c r="F2956" s="3">
        <v>42849</v>
      </c>
      <c r="G2956" s="2">
        <v>201710</v>
      </c>
      <c r="H2956" s="2" t="s">
        <v>74</v>
      </c>
      <c r="I2956" s="2" t="s">
        <v>75</v>
      </c>
      <c r="J2956" s="2" t="s">
        <v>76</v>
      </c>
      <c r="K2956" s="2" t="s">
        <v>77</v>
      </c>
      <c r="L2956" s="2" t="s">
        <v>99</v>
      </c>
      <c r="M2956" s="2" t="s">
        <v>100</v>
      </c>
      <c r="N2956" s="2" t="s">
        <v>1381</v>
      </c>
      <c r="O2956" s="2" t="s">
        <v>115</v>
      </c>
      <c r="P2956" s="2" t="str">
        <f>"2170563631                    "</f>
        <v xml:space="preserve">2170563631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4.29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1</v>
      </c>
      <c r="BJ2956" s="2">
        <v>0.2</v>
      </c>
      <c r="BK2956" s="2">
        <v>1</v>
      </c>
      <c r="BL2956" s="2">
        <v>41.73</v>
      </c>
      <c r="BM2956" s="2">
        <v>5.84</v>
      </c>
      <c r="BN2956" s="2">
        <v>47.57</v>
      </c>
      <c r="BO2956" s="2">
        <v>47.57</v>
      </c>
      <c r="BP2956" s="2"/>
      <c r="BQ2956" s="2" t="s">
        <v>3144</v>
      </c>
      <c r="BR2956" s="2" t="s">
        <v>84</v>
      </c>
      <c r="BS2956" s="3">
        <v>42850</v>
      </c>
      <c r="BT2956" s="4">
        <v>0.27847222222222223</v>
      </c>
      <c r="BU2956" s="2" t="s">
        <v>3145</v>
      </c>
      <c r="BV2956" s="2" t="s">
        <v>111</v>
      </c>
      <c r="BW2956" s="2"/>
      <c r="BX2956" s="2"/>
      <c r="BY2956" s="2">
        <v>1200</v>
      </c>
      <c r="BZ2956" s="2"/>
      <c r="CA2956" s="2" t="s">
        <v>106</v>
      </c>
      <c r="CB2956" s="2"/>
      <c r="CC2956" s="2" t="s">
        <v>100</v>
      </c>
      <c r="CD2956" s="2">
        <v>6012</v>
      </c>
      <c r="CE2956" s="2" t="s">
        <v>118</v>
      </c>
      <c r="CF2956" s="5">
        <v>42851</v>
      </c>
      <c r="CG2956" s="2"/>
      <c r="CH2956" s="2"/>
      <c r="CI2956" s="2">
        <v>1</v>
      </c>
      <c r="CJ2956" s="2">
        <v>1</v>
      </c>
      <c r="CK2956" s="2">
        <v>21</v>
      </c>
      <c r="CL2956" s="2" t="s">
        <v>86</v>
      </c>
      <c r="CM2956" s="2"/>
    </row>
    <row r="2957" spans="1:91">
      <c r="A2957" s="2" t="s">
        <v>71</v>
      </c>
      <c r="B2957" s="2" t="s">
        <v>72</v>
      </c>
      <c r="C2957" s="2" t="s">
        <v>73</v>
      </c>
      <c r="D2957" s="2"/>
      <c r="E2957" s="2" t="str">
        <f>"FES1162545146"</f>
        <v>FES1162545146</v>
      </c>
      <c r="F2957" s="3">
        <v>42849</v>
      </c>
      <c r="G2957" s="2">
        <v>201710</v>
      </c>
      <c r="H2957" s="2" t="s">
        <v>74</v>
      </c>
      <c r="I2957" s="2" t="s">
        <v>75</v>
      </c>
      <c r="J2957" s="2" t="s">
        <v>76</v>
      </c>
      <c r="K2957" s="2" t="s">
        <v>77</v>
      </c>
      <c r="L2957" s="2" t="s">
        <v>99</v>
      </c>
      <c r="M2957" s="2" t="s">
        <v>100</v>
      </c>
      <c r="N2957" s="2" t="s">
        <v>3146</v>
      </c>
      <c r="O2957" s="2" t="s">
        <v>115</v>
      </c>
      <c r="P2957" s="2" t="str">
        <f>"2170563525                    "</f>
        <v xml:space="preserve">2170563525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4.29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1</v>
      </c>
      <c r="BJ2957" s="2">
        <v>0.2</v>
      </c>
      <c r="BK2957" s="2">
        <v>1</v>
      </c>
      <c r="BL2957" s="2">
        <v>41.73</v>
      </c>
      <c r="BM2957" s="2">
        <v>5.84</v>
      </c>
      <c r="BN2957" s="2">
        <v>47.57</v>
      </c>
      <c r="BO2957" s="2">
        <v>47.57</v>
      </c>
      <c r="BP2957" s="2"/>
      <c r="BQ2957" s="2" t="s">
        <v>3147</v>
      </c>
      <c r="BR2957" s="2" t="s">
        <v>84</v>
      </c>
      <c r="BS2957" s="3">
        <v>42850</v>
      </c>
      <c r="BT2957" s="4">
        <v>0.40833333333333338</v>
      </c>
      <c r="BU2957" s="2" t="s">
        <v>3148</v>
      </c>
      <c r="BV2957" s="2" t="s">
        <v>111</v>
      </c>
      <c r="BW2957" s="2"/>
      <c r="BX2957" s="2"/>
      <c r="BY2957" s="2">
        <v>1200</v>
      </c>
      <c r="BZ2957" s="2"/>
      <c r="CA2957" s="2" t="s">
        <v>154</v>
      </c>
      <c r="CB2957" s="2"/>
      <c r="CC2957" s="2" t="s">
        <v>100</v>
      </c>
      <c r="CD2957" s="2">
        <v>6001</v>
      </c>
      <c r="CE2957" s="2" t="s">
        <v>118</v>
      </c>
      <c r="CF2957" s="5">
        <v>42850</v>
      </c>
      <c r="CG2957" s="2"/>
      <c r="CH2957" s="2"/>
      <c r="CI2957" s="2">
        <v>1</v>
      </c>
      <c r="CJ2957" s="2">
        <v>1</v>
      </c>
      <c r="CK2957" s="2">
        <v>21</v>
      </c>
      <c r="CL2957" s="2" t="s">
        <v>86</v>
      </c>
      <c r="CM2957" s="2"/>
    </row>
    <row r="2958" spans="1:91">
      <c r="A2958" s="2" t="s">
        <v>71</v>
      </c>
      <c r="B2958" s="2" t="s">
        <v>72</v>
      </c>
      <c r="C2958" s="2" t="s">
        <v>73</v>
      </c>
      <c r="D2958" s="2"/>
      <c r="E2958" s="2" t="str">
        <f>"FES1162544953"</f>
        <v>FES1162544953</v>
      </c>
      <c r="F2958" s="3">
        <v>42849</v>
      </c>
      <c r="G2958" s="2">
        <v>201710</v>
      </c>
      <c r="H2958" s="2" t="s">
        <v>74</v>
      </c>
      <c r="I2958" s="2" t="s">
        <v>75</v>
      </c>
      <c r="J2958" s="2" t="s">
        <v>76</v>
      </c>
      <c r="K2958" s="2" t="s">
        <v>77</v>
      </c>
      <c r="L2958" s="2" t="s">
        <v>260</v>
      </c>
      <c r="M2958" s="2" t="s">
        <v>261</v>
      </c>
      <c r="N2958" s="2" t="s">
        <v>1371</v>
      </c>
      <c r="O2958" s="2" t="s">
        <v>115</v>
      </c>
      <c r="P2958" s="2" t="str">
        <f>"2170563443                    "</f>
        <v xml:space="preserve">2170563443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3.35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3</v>
      </c>
      <c r="BJ2958" s="2">
        <v>4.5999999999999996</v>
      </c>
      <c r="BK2958" s="2">
        <v>5</v>
      </c>
      <c r="BL2958" s="2">
        <v>32.6</v>
      </c>
      <c r="BM2958" s="2">
        <v>4.5599999999999996</v>
      </c>
      <c r="BN2958" s="2">
        <v>37.159999999999997</v>
      </c>
      <c r="BO2958" s="2">
        <v>37.159999999999997</v>
      </c>
      <c r="BP2958" s="2"/>
      <c r="BQ2958" s="2" t="s">
        <v>1372</v>
      </c>
      <c r="BR2958" s="2" t="s">
        <v>84</v>
      </c>
      <c r="BS2958" s="3">
        <v>42851</v>
      </c>
      <c r="BT2958" s="4">
        <v>0.41666666666666669</v>
      </c>
      <c r="BU2958" s="2" t="s">
        <v>1148</v>
      </c>
      <c r="BV2958" s="2" t="s">
        <v>86</v>
      </c>
      <c r="BW2958" s="2" t="s">
        <v>96</v>
      </c>
      <c r="BX2958" s="2" t="s">
        <v>309</v>
      </c>
      <c r="BY2958" s="2">
        <v>22869</v>
      </c>
      <c r="BZ2958" s="2"/>
      <c r="CA2958" s="2" t="s">
        <v>590</v>
      </c>
      <c r="CB2958" s="2"/>
      <c r="CC2958" s="2" t="s">
        <v>261</v>
      </c>
      <c r="CD2958" s="2">
        <v>1451</v>
      </c>
      <c r="CE2958" s="2" t="s">
        <v>89</v>
      </c>
      <c r="CF2958" s="2"/>
      <c r="CG2958" s="2"/>
      <c r="CH2958" s="2"/>
      <c r="CI2958" s="2">
        <v>1</v>
      </c>
      <c r="CJ2958" s="2">
        <v>2</v>
      </c>
      <c r="CK2958" s="2">
        <v>22</v>
      </c>
      <c r="CL2958" s="2" t="s">
        <v>86</v>
      </c>
      <c r="CM2958" s="2"/>
    </row>
    <row r="2959" spans="1:91">
      <c r="A2959" s="2" t="s">
        <v>71</v>
      </c>
      <c r="B2959" s="2" t="s">
        <v>72</v>
      </c>
      <c r="C2959" s="2" t="s">
        <v>73</v>
      </c>
      <c r="D2959" s="2"/>
      <c r="E2959" s="2" t="str">
        <f>"FES1162544970"</f>
        <v>FES1162544970</v>
      </c>
      <c r="F2959" s="3">
        <v>42849</v>
      </c>
      <c r="G2959" s="2">
        <v>201710</v>
      </c>
      <c r="H2959" s="2" t="s">
        <v>74</v>
      </c>
      <c r="I2959" s="2" t="s">
        <v>75</v>
      </c>
      <c r="J2959" s="2" t="s">
        <v>76</v>
      </c>
      <c r="K2959" s="2" t="s">
        <v>77</v>
      </c>
      <c r="L2959" s="2" t="s">
        <v>74</v>
      </c>
      <c r="M2959" s="2" t="s">
        <v>75</v>
      </c>
      <c r="N2959" s="2" t="s">
        <v>436</v>
      </c>
      <c r="O2959" s="2" t="s">
        <v>115</v>
      </c>
      <c r="P2959" s="2" t="str">
        <f>"2170563096                    "</f>
        <v xml:space="preserve">2170563096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3.35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7</v>
      </c>
      <c r="BJ2959" s="2">
        <v>3.3</v>
      </c>
      <c r="BK2959" s="2">
        <v>7</v>
      </c>
      <c r="BL2959" s="2">
        <v>32.6</v>
      </c>
      <c r="BM2959" s="2">
        <v>4.5599999999999996</v>
      </c>
      <c r="BN2959" s="2">
        <v>37.159999999999997</v>
      </c>
      <c r="BO2959" s="2">
        <v>37.159999999999997</v>
      </c>
      <c r="BP2959" s="2"/>
      <c r="BQ2959" s="2" t="s">
        <v>437</v>
      </c>
      <c r="BR2959" s="2" t="s">
        <v>84</v>
      </c>
      <c r="BS2959" s="3">
        <v>42850</v>
      </c>
      <c r="BT2959" s="4">
        <v>0.3527777777777778</v>
      </c>
      <c r="BU2959" s="2" t="s">
        <v>1254</v>
      </c>
      <c r="BV2959" s="2" t="s">
        <v>111</v>
      </c>
      <c r="BW2959" s="2"/>
      <c r="BX2959" s="2"/>
      <c r="BY2959" s="2">
        <v>16632</v>
      </c>
      <c r="BZ2959" s="2"/>
      <c r="CA2959" s="2" t="s">
        <v>383</v>
      </c>
      <c r="CB2959" s="2"/>
      <c r="CC2959" s="2" t="s">
        <v>75</v>
      </c>
      <c r="CD2959" s="2">
        <v>1600</v>
      </c>
      <c r="CE2959" s="2" t="s">
        <v>118</v>
      </c>
      <c r="CF2959" s="5">
        <v>42850</v>
      </c>
      <c r="CG2959" s="2"/>
      <c r="CH2959" s="2"/>
      <c r="CI2959" s="2">
        <v>1</v>
      </c>
      <c r="CJ2959" s="2">
        <v>1</v>
      </c>
      <c r="CK2959" s="2">
        <v>22</v>
      </c>
      <c r="CL2959" s="2" t="s">
        <v>86</v>
      </c>
      <c r="CM2959" s="2"/>
    </row>
    <row r="2960" spans="1:91">
      <c r="A2960" s="2" t="s">
        <v>71</v>
      </c>
      <c r="B2960" s="2" t="s">
        <v>72</v>
      </c>
      <c r="C2960" s="2" t="s">
        <v>73</v>
      </c>
      <c r="D2960" s="2"/>
      <c r="E2960" s="2" t="str">
        <f>"FES1162544926"</f>
        <v>FES1162544926</v>
      </c>
      <c r="F2960" s="3">
        <v>42849</v>
      </c>
      <c r="G2960" s="2">
        <v>201710</v>
      </c>
      <c r="H2960" s="2" t="s">
        <v>74</v>
      </c>
      <c r="I2960" s="2" t="s">
        <v>75</v>
      </c>
      <c r="J2960" s="2" t="s">
        <v>76</v>
      </c>
      <c r="K2960" s="2" t="s">
        <v>77</v>
      </c>
      <c r="L2960" s="2" t="s">
        <v>74</v>
      </c>
      <c r="M2960" s="2" t="s">
        <v>75</v>
      </c>
      <c r="N2960" s="2" t="s">
        <v>3149</v>
      </c>
      <c r="O2960" s="2" t="s">
        <v>115</v>
      </c>
      <c r="P2960" s="2" t="str">
        <f>"2170547688                    "</f>
        <v xml:space="preserve">2170547688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3.75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9</v>
      </c>
      <c r="BJ2960" s="2">
        <v>2.1</v>
      </c>
      <c r="BK2960" s="2">
        <v>9</v>
      </c>
      <c r="BL2960" s="2">
        <v>36.51</v>
      </c>
      <c r="BM2960" s="2">
        <v>5.1100000000000003</v>
      </c>
      <c r="BN2960" s="2">
        <v>41.62</v>
      </c>
      <c r="BO2960" s="2">
        <v>41.62</v>
      </c>
      <c r="BP2960" s="2"/>
      <c r="BQ2960" s="2" t="s">
        <v>122</v>
      </c>
      <c r="BR2960" s="2" t="s">
        <v>84</v>
      </c>
      <c r="BS2960" s="3">
        <v>42850</v>
      </c>
      <c r="BT2960" s="4">
        <v>0.41666666666666669</v>
      </c>
      <c r="BU2960" s="2" t="s">
        <v>290</v>
      </c>
      <c r="BV2960" s="2" t="s">
        <v>111</v>
      </c>
      <c r="BW2960" s="2"/>
      <c r="BX2960" s="2"/>
      <c r="BY2960" s="2">
        <v>10500</v>
      </c>
      <c r="BZ2960" s="2"/>
      <c r="CA2960" s="2"/>
      <c r="CB2960" s="2"/>
      <c r="CC2960" s="2" t="s">
        <v>75</v>
      </c>
      <c r="CD2960" s="2">
        <v>1665</v>
      </c>
      <c r="CE2960" s="2" t="s">
        <v>89</v>
      </c>
      <c r="CF2960" s="5">
        <v>42851</v>
      </c>
      <c r="CG2960" s="2"/>
      <c r="CH2960" s="2"/>
      <c r="CI2960" s="2">
        <v>1</v>
      </c>
      <c r="CJ2960" s="2">
        <v>1</v>
      </c>
      <c r="CK2960" s="2">
        <v>22</v>
      </c>
      <c r="CL2960" s="2" t="s">
        <v>86</v>
      </c>
      <c r="CM2960" s="2"/>
    </row>
    <row r="2961" spans="1:91">
      <c r="A2961" s="2" t="s">
        <v>71</v>
      </c>
      <c r="B2961" s="2" t="s">
        <v>72</v>
      </c>
      <c r="C2961" s="2" t="s">
        <v>73</v>
      </c>
      <c r="D2961" s="2"/>
      <c r="E2961" s="2" t="str">
        <f>"FES1162545138"</f>
        <v>FES1162545138</v>
      </c>
      <c r="F2961" s="3">
        <v>42849</v>
      </c>
      <c r="G2961" s="2">
        <v>201710</v>
      </c>
      <c r="H2961" s="2" t="s">
        <v>74</v>
      </c>
      <c r="I2961" s="2" t="s">
        <v>75</v>
      </c>
      <c r="J2961" s="2" t="s">
        <v>76</v>
      </c>
      <c r="K2961" s="2" t="s">
        <v>77</v>
      </c>
      <c r="L2961" s="2" t="s">
        <v>99</v>
      </c>
      <c r="M2961" s="2" t="s">
        <v>100</v>
      </c>
      <c r="N2961" s="2" t="s">
        <v>1442</v>
      </c>
      <c r="O2961" s="2" t="s">
        <v>115</v>
      </c>
      <c r="P2961" s="2" t="str">
        <f>"2170563617                    "</f>
        <v xml:space="preserve">2170563617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4.29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1</v>
      </c>
      <c r="BJ2961" s="2">
        <v>0.2</v>
      </c>
      <c r="BK2961" s="2">
        <v>1</v>
      </c>
      <c r="BL2961" s="2">
        <v>41.73</v>
      </c>
      <c r="BM2961" s="2">
        <v>5.84</v>
      </c>
      <c r="BN2961" s="2">
        <v>47.57</v>
      </c>
      <c r="BO2961" s="2">
        <v>47.57</v>
      </c>
      <c r="BP2961" s="2"/>
      <c r="BQ2961" s="2" t="s">
        <v>2064</v>
      </c>
      <c r="BR2961" s="2" t="s">
        <v>84</v>
      </c>
      <c r="BS2961" s="3">
        <v>42850</v>
      </c>
      <c r="BT2961" s="4">
        <v>0.34097222222222223</v>
      </c>
      <c r="BU2961" s="2" t="s">
        <v>130</v>
      </c>
      <c r="BV2961" s="2" t="s">
        <v>111</v>
      </c>
      <c r="BW2961" s="2"/>
      <c r="BX2961" s="2"/>
      <c r="BY2961" s="2">
        <v>1200</v>
      </c>
      <c r="BZ2961" s="2"/>
      <c r="CA2961" s="2"/>
      <c r="CB2961" s="2"/>
      <c r="CC2961" s="2" t="s">
        <v>100</v>
      </c>
      <c r="CD2961" s="2">
        <v>6045</v>
      </c>
      <c r="CE2961" s="2" t="s">
        <v>118</v>
      </c>
      <c r="CF2961" s="5">
        <v>42851</v>
      </c>
      <c r="CG2961" s="2"/>
      <c r="CH2961" s="2"/>
      <c r="CI2961" s="2">
        <v>1</v>
      </c>
      <c r="CJ2961" s="2">
        <v>1</v>
      </c>
      <c r="CK2961" s="2">
        <v>21</v>
      </c>
      <c r="CL2961" s="2" t="s">
        <v>86</v>
      </c>
      <c r="CM2961" s="2"/>
    </row>
    <row r="2962" spans="1:91">
      <c r="A2962" s="2" t="s">
        <v>71</v>
      </c>
      <c r="B2962" s="2" t="s">
        <v>72</v>
      </c>
      <c r="C2962" s="2" t="s">
        <v>73</v>
      </c>
      <c r="D2962" s="2"/>
      <c r="E2962" s="2" t="str">
        <f>"FES1162545140"</f>
        <v>FES1162545140</v>
      </c>
      <c r="F2962" s="3">
        <v>42849</v>
      </c>
      <c r="G2962" s="2">
        <v>201710</v>
      </c>
      <c r="H2962" s="2" t="s">
        <v>74</v>
      </c>
      <c r="I2962" s="2" t="s">
        <v>75</v>
      </c>
      <c r="J2962" s="2" t="s">
        <v>76</v>
      </c>
      <c r="K2962" s="2" t="s">
        <v>77</v>
      </c>
      <c r="L2962" s="2" t="s">
        <v>160</v>
      </c>
      <c r="M2962" s="2" t="s">
        <v>161</v>
      </c>
      <c r="N2962" s="2" t="s">
        <v>741</v>
      </c>
      <c r="O2962" s="2" t="s">
        <v>115</v>
      </c>
      <c r="P2962" s="2" t="str">
        <f>"21705636621                   "</f>
        <v xml:space="preserve">21705636621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4.29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1</v>
      </c>
      <c r="BJ2962" s="2">
        <v>0.2</v>
      </c>
      <c r="BK2962" s="2">
        <v>1</v>
      </c>
      <c r="BL2962" s="2">
        <v>41.73</v>
      </c>
      <c r="BM2962" s="2">
        <v>5.84</v>
      </c>
      <c r="BN2962" s="2">
        <v>47.57</v>
      </c>
      <c r="BO2962" s="2">
        <v>47.57</v>
      </c>
      <c r="BP2962" s="2"/>
      <c r="BQ2962" s="2" t="s">
        <v>742</v>
      </c>
      <c r="BR2962" s="2" t="s">
        <v>84</v>
      </c>
      <c r="BS2962" s="3">
        <v>42850</v>
      </c>
      <c r="BT2962" s="4">
        <v>0.41666666666666669</v>
      </c>
      <c r="BU2962" s="2" t="s">
        <v>3150</v>
      </c>
      <c r="BV2962" s="2" t="s">
        <v>111</v>
      </c>
      <c r="BW2962" s="2"/>
      <c r="BX2962" s="2"/>
      <c r="BY2962" s="2">
        <v>1200</v>
      </c>
      <c r="BZ2962" s="2"/>
      <c r="CA2962" s="2"/>
      <c r="CB2962" s="2"/>
      <c r="CC2962" s="2" t="s">
        <v>161</v>
      </c>
      <c r="CD2962" s="2">
        <v>5201</v>
      </c>
      <c r="CE2962" s="2" t="s">
        <v>118</v>
      </c>
      <c r="CF2962" s="5">
        <v>42853</v>
      </c>
      <c r="CG2962" s="2"/>
      <c r="CH2962" s="2"/>
      <c r="CI2962" s="2">
        <v>1</v>
      </c>
      <c r="CJ2962" s="2">
        <v>1</v>
      </c>
      <c r="CK2962" s="2">
        <v>21</v>
      </c>
      <c r="CL2962" s="2" t="s">
        <v>86</v>
      </c>
      <c r="CM2962" s="2"/>
    </row>
    <row r="2963" spans="1:91">
      <c r="A2963" s="2" t="s">
        <v>71</v>
      </c>
      <c r="B2963" s="2" t="s">
        <v>72</v>
      </c>
      <c r="C2963" s="2" t="s">
        <v>73</v>
      </c>
      <c r="D2963" s="2"/>
      <c r="E2963" s="2" t="str">
        <f>"FES1162545070"</f>
        <v>FES1162545070</v>
      </c>
      <c r="F2963" s="3">
        <v>42849</v>
      </c>
      <c r="G2963" s="2">
        <v>201710</v>
      </c>
      <c r="H2963" s="2" t="s">
        <v>74</v>
      </c>
      <c r="I2963" s="2" t="s">
        <v>75</v>
      </c>
      <c r="J2963" s="2" t="s">
        <v>76</v>
      </c>
      <c r="K2963" s="2" t="s">
        <v>77</v>
      </c>
      <c r="L2963" s="2" t="s">
        <v>99</v>
      </c>
      <c r="M2963" s="2" t="s">
        <v>100</v>
      </c>
      <c r="N2963" s="2" t="s">
        <v>583</v>
      </c>
      <c r="O2963" s="2" t="s">
        <v>115</v>
      </c>
      <c r="P2963" s="2" t="str">
        <f>"2170563592                    "</f>
        <v xml:space="preserve">2170563592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4.29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1</v>
      </c>
      <c r="BJ2963" s="2">
        <v>0.2</v>
      </c>
      <c r="BK2963" s="2">
        <v>1</v>
      </c>
      <c r="BL2963" s="2">
        <v>41.73</v>
      </c>
      <c r="BM2963" s="2">
        <v>5.84</v>
      </c>
      <c r="BN2963" s="2">
        <v>47.57</v>
      </c>
      <c r="BO2963" s="2">
        <v>47.57</v>
      </c>
      <c r="BP2963" s="2"/>
      <c r="BQ2963" s="2" t="s">
        <v>584</v>
      </c>
      <c r="BR2963" s="2" t="s">
        <v>84</v>
      </c>
      <c r="BS2963" s="3">
        <v>42850</v>
      </c>
      <c r="BT2963" s="4">
        <v>0.33333333333333331</v>
      </c>
      <c r="BU2963" s="2" t="s">
        <v>585</v>
      </c>
      <c r="BV2963" s="2" t="s">
        <v>111</v>
      </c>
      <c r="BW2963" s="2"/>
      <c r="BX2963" s="2"/>
      <c r="BY2963" s="2">
        <v>1200</v>
      </c>
      <c r="BZ2963" s="2"/>
      <c r="CA2963" s="2" t="s">
        <v>154</v>
      </c>
      <c r="CB2963" s="2"/>
      <c r="CC2963" s="2" t="s">
        <v>100</v>
      </c>
      <c r="CD2963" s="2">
        <v>6001</v>
      </c>
      <c r="CE2963" s="2" t="s">
        <v>118</v>
      </c>
      <c r="CF2963" s="5">
        <v>42850</v>
      </c>
      <c r="CG2963" s="2"/>
      <c r="CH2963" s="2"/>
      <c r="CI2963" s="2">
        <v>1</v>
      </c>
      <c r="CJ2963" s="2">
        <v>1</v>
      </c>
      <c r="CK2963" s="2">
        <v>21</v>
      </c>
      <c r="CL2963" s="2" t="s">
        <v>86</v>
      </c>
      <c r="CM2963" s="2"/>
    </row>
    <row r="2964" spans="1:91">
      <c r="A2964" s="2" t="s">
        <v>71</v>
      </c>
      <c r="B2964" s="2" t="s">
        <v>72</v>
      </c>
      <c r="C2964" s="2" t="s">
        <v>73</v>
      </c>
      <c r="D2964" s="2"/>
      <c r="E2964" s="2" t="str">
        <f>"FES1162545091"</f>
        <v>FES1162545091</v>
      </c>
      <c r="F2964" s="3">
        <v>42849</v>
      </c>
      <c r="G2964" s="2">
        <v>201710</v>
      </c>
      <c r="H2964" s="2" t="s">
        <v>74</v>
      </c>
      <c r="I2964" s="2" t="s">
        <v>75</v>
      </c>
      <c r="J2964" s="2" t="s">
        <v>76</v>
      </c>
      <c r="K2964" s="2" t="s">
        <v>77</v>
      </c>
      <c r="L2964" s="2" t="s">
        <v>99</v>
      </c>
      <c r="M2964" s="2" t="s">
        <v>100</v>
      </c>
      <c r="N2964" s="2" t="s">
        <v>108</v>
      </c>
      <c r="O2964" s="2" t="s">
        <v>115</v>
      </c>
      <c r="P2964" s="2" t="str">
        <f>"2170561388                    "</f>
        <v xml:space="preserve">2170561388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4.29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1</v>
      </c>
      <c r="BJ2964" s="2">
        <v>0.2</v>
      </c>
      <c r="BK2964" s="2">
        <v>1</v>
      </c>
      <c r="BL2964" s="2">
        <v>41.73</v>
      </c>
      <c r="BM2964" s="2">
        <v>5.84</v>
      </c>
      <c r="BN2964" s="2">
        <v>47.57</v>
      </c>
      <c r="BO2964" s="2">
        <v>47.57</v>
      </c>
      <c r="BP2964" s="2"/>
      <c r="BQ2964" s="2" t="s">
        <v>109</v>
      </c>
      <c r="BR2964" s="2" t="s">
        <v>84</v>
      </c>
      <c r="BS2964" s="3">
        <v>42850</v>
      </c>
      <c r="BT2964" s="4">
        <v>0.37152777777777773</v>
      </c>
      <c r="BU2964" s="2" t="s">
        <v>3001</v>
      </c>
      <c r="BV2964" s="2" t="s">
        <v>111</v>
      </c>
      <c r="BW2964" s="2"/>
      <c r="BX2964" s="2"/>
      <c r="BY2964" s="2">
        <v>1200</v>
      </c>
      <c r="BZ2964" s="2"/>
      <c r="CA2964" s="2" t="s">
        <v>106</v>
      </c>
      <c r="CB2964" s="2"/>
      <c r="CC2964" s="2" t="s">
        <v>100</v>
      </c>
      <c r="CD2964" s="2">
        <v>6001</v>
      </c>
      <c r="CE2964" s="2" t="s">
        <v>118</v>
      </c>
      <c r="CF2964" s="5">
        <v>42850</v>
      </c>
      <c r="CG2964" s="2"/>
      <c r="CH2964" s="2"/>
      <c r="CI2964" s="2">
        <v>1</v>
      </c>
      <c r="CJ2964" s="2">
        <v>1</v>
      </c>
      <c r="CK2964" s="2">
        <v>21</v>
      </c>
      <c r="CL2964" s="2" t="s">
        <v>86</v>
      </c>
      <c r="CM2964" s="2"/>
    </row>
    <row r="2965" spans="1:91">
      <c r="A2965" s="2" t="s">
        <v>71</v>
      </c>
      <c r="B2965" s="2" t="s">
        <v>72</v>
      </c>
      <c r="C2965" s="2" t="s">
        <v>73</v>
      </c>
      <c r="D2965" s="2"/>
      <c r="E2965" s="2" t="str">
        <f>"FES1162545122"</f>
        <v>FES1162545122</v>
      </c>
      <c r="F2965" s="3">
        <v>42849</v>
      </c>
      <c r="G2965" s="2">
        <v>201710</v>
      </c>
      <c r="H2965" s="2" t="s">
        <v>74</v>
      </c>
      <c r="I2965" s="2" t="s">
        <v>75</v>
      </c>
      <c r="J2965" s="2" t="s">
        <v>76</v>
      </c>
      <c r="K2965" s="2" t="s">
        <v>77</v>
      </c>
      <c r="L2965" s="2" t="s">
        <v>99</v>
      </c>
      <c r="M2965" s="2" t="s">
        <v>100</v>
      </c>
      <c r="N2965" s="2" t="s">
        <v>2120</v>
      </c>
      <c r="O2965" s="2" t="s">
        <v>115</v>
      </c>
      <c r="P2965" s="2" t="str">
        <f>"2170563390                    "</f>
        <v xml:space="preserve">2170563390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4.29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1</v>
      </c>
      <c r="BJ2965" s="2">
        <v>0.2</v>
      </c>
      <c r="BK2965" s="2">
        <v>1</v>
      </c>
      <c r="BL2965" s="2">
        <v>41.73</v>
      </c>
      <c r="BM2965" s="2">
        <v>5.84</v>
      </c>
      <c r="BN2965" s="2">
        <v>47.57</v>
      </c>
      <c r="BO2965" s="2">
        <v>47.57</v>
      </c>
      <c r="BP2965" s="2"/>
      <c r="BQ2965" s="2" t="s">
        <v>2121</v>
      </c>
      <c r="BR2965" s="2" t="s">
        <v>84</v>
      </c>
      <c r="BS2965" s="3">
        <v>42850</v>
      </c>
      <c r="BT2965" s="4">
        <v>0.3125</v>
      </c>
      <c r="BU2965" s="2" t="s">
        <v>130</v>
      </c>
      <c r="BV2965" s="2" t="s">
        <v>111</v>
      </c>
      <c r="BW2965" s="2"/>
      <c r="BX2965" s="2"/>
      <c r="BY2965" s="2">
        <v>1200</v>
      </c>
      <c r="BZ2965" s="2"/>
      <c r="CA2965" s="2"/>
      <c r="CB2965" s="2"/>
      <c r="CC2965" s="2" t="s">
        <v>100</v>
      </c>
      <c r="CD2965" s="2">
        <v>6001</v>
      </c>
      <c r="CE2965" s="2" t="s">
        <v>118</v>
      </c>
      <c r="CF2965" s="5">
        <v>42851</v>
      </c>
      <c r="CG2965" s="2"/>
      <c r="CH2965" s="2"/>
      <c r="CI2965" s="2">
        <v>1</v>
      </c>
      <c r="CJ2965" s="2">
        <v>1</v>
      </c>
      <c r="CK2965" s="2">
        <v>21</v>
      </c>
      <c r="CL2965" s="2" t="s">
        <v>86</v>
      </c>
      <c r="CM2965" s="2"/>
    </row>
    <row r="2966" spans="1:91">
      <c r="A2966" s="2" t="s">
        <v>71</v>
      </c>
      <c r="B2966" s="2" t="s">
        <v>72</v>
      </c>
      <c r="C2966" s="2" t="s">
        <v>73</v>
      </c>
      <c r="D2966" s="2"/>
      <c r="E2966" s="2" t="str">
        <f>"FES1162545090"</f>
        <v>FES1162545090</v>
      </c>
      <c r="F2966" s="3">
        <v>42849</v>
      </c>
      <c r="G2966" s="2">
        <v>201710</v>
      </c>
      <c r="H2966" s="2" t="s">
        <v>74</v>
      </c>
      <c r="I2966" s="2" t="s">
        <v>75</v>
      </c>
      <c r="J2966" s="2" t="s">
        <v>76</v>
      </c>
      <c r="K2966" s="2" t="s">
        <v>77</v>
      </c>
      <c r="L2966" s="2" t="s">
        <v>234</v>
      </c>
      <c r="M2966" s="2" t="s">
        <v>235</v>
      </c>
      <c r="N2966" s="2" t="s">
        <v>236</v>
      </c>
      <c r="O2966" s="2" t="s">
        <v>115</v>
      </c>
      <c r="P2966" s="2" t="str">
        <f>"2170561384                    "</f>
        <v xml:space="preserve">2170561384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4.29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1</v>
      </c>
      <c r="BJ2966" s="2">
        <v>0.2</v>
      </c>
      <c r="BK2966" s="2">
        <v>1</v>
      </c>
      <c r="BL2966" s="2">
        <v>41.73</v>
      </c>
      <c r="BM2966" s="2">
        <v>5.84</v>
      </c>
      <c r="BN2966" s="2">
        <v>47.57</v>
      </c>
      <c r="BO2966" s="2">
        <v>47.57</v>
      </c>
      <c r="BP2966" s="2"/>
      <c r="BQ2966" s="2" t="s">
        <v>285</v>
      </c>
      <c r="BR2966" s="2" t="s">
        <v>84</v>
      </c>
      <c r="BS2966" s="3">
        <v>42850</v>
      </c>
      <c r="BT2966" s="4">
        <v>0.35069444444444442</v>
      </c>
      <c r="BU2966" s="2" t="s">
        <v>130</v>
      </c>
      <c r="BV2966" s="2" t="s">
        <v>111</v>
      </c>
      <c r="BW2966" s="2"/>
      <c r="BX2966" s="2"/>
      <c r="BY2966" s="2">
        <v>1200</v>
      </c>
      <c r="BZ2966" s="2"/>
      <c r="CA2966" s="2"/>
      <c r="CB2966" s="2"/>
      <c r="CC2966" s="2" t="s">
        <v>235</v>
      </c>
      <c r="CD2966" s="2">
        <v>6220</v>
      </c>
      <c r="CE2966" s="2" t="s">
        <v>118</v>
      </c>
      <c r="CF2966" s="5">
        <v>42851</v>
      </c>
      <c r="CG2966" s="2"/>
      <c r="CH2966" s="2"/>
      <c r="CI2966" s="2">
        <v>1</v>
      </c>
      <c r="CJ2966" s="2">
        <v>1</v>
      </c>
      <c r="CK2966" s="2">
        <v>21</v>
      </c>
      <c r="CL2966" s="2" t="s">
        <v>86</v>
      </c>
      <c r="CM2966" s="2"/>
    </row>
    <row r="2967" spans="1:91">
      <c r="A2967" s="2" t="s">
        <v>71</v>
      </c>
      <c r="B2967" s="2" t="s">
        <v>72</v>
      </c>
      <c r="C2967" s="2" t="s">
        <v>73</v>
      </c>
      <c r="D2967" s="2"/>
      <c r="E2967" s="2" t="str">
        <f>"FES1162545102"</f>
        <v>FES1162545102</v>
      </c>
      <c r="F2967" s="3">
        <v>42849</v>
      </c>
      <c r="G2967" s="2">
        <v>201710</v>
      </c>
      <c r="H2967" s="2" t="s">
        <v>74</v>
      </c>
      <c r="I2967" s="2" t="s">
        <v>75</v>
      </c>
      <c r="J2967" s="2" t="s">
        <v>76</v>
      </c>
      <c r="K2967" s="2" t="s">
        <v>77</v>
      </c>
      <c r="L2967" s="2" t="s">
        <v>99</v>
      </c>
      <c r="M2967" s="2" t="s">
        <v>100</v>
      </c>
      <c r="N2967" s="2" t="s">
        <v>1783</v>
      </c>
      <c r="O2967" s="2" t="s">
        <v>115</v>
      </c>
      <c r="P2967" s="2" t="str">
        <f>"2170561513                    "</f>
        <v xml:space="preserve">2170561513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4.29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1</v>
      </c>
      <c r="BJ2967" s="2">
        <v>0.2</v>
      </c>
      <c r="BK2967" s="2">
        <v>1</v>
      </c>
      <c r="BL2967" s="2">
        <v>41.73</v>
      </c>
      <c r="BM2967" s="2">
        <v>5.84</v>
      </c>
      <c r="BN2967" s="2">
        <v>47.57</v>
      </c>
      <c r="BO2967" s="2">
        <v>47.57</v>
      </c>
      <c r="BP2967" s="2"/>
      <c r="BQ2967" s="2" t="s">
        <v>1784</v>
      </c>
      <c r="BR2967" s="2" t="s">
        <v>84</v>
      </c>
      <c r="BS2967" s="3">
        <v>42850</v>
      </c>
      <c r="BT2967" s="4">
        <v>0.39583333333333331</v>
      </c>
      <c r="BU2967" s="2" t="s">
        <v>385</v>
      </c>
      <c r="BV2967" s="2" t="s">
        <v>111</v>
      </c>
      <c r="BW2967" s="2"/>
      <c r="BX2967" s="2"/>
      <c r="BY2967" s="2">
        <v>1200</v>
      </c>
      <c r="BZ2967" s="2"/>
      <c r="CA2967" s="2"/>
      <c r="CB2967" s="2"/>
      <c r="CC2967" s="2" t="s">
        <v>100</v>
      </c>
      <c r="CD2967" s="2">
        <v>6001</v>
      </c>
      <c r="CE2967" s="2" t="s">
        <v>118</v>
      </c>
      <c r="CF2967" s="5">
        <v>42851</v>
      </c>
      <c r="CG2967" s="2"/>
      <c r="CH2967" s="2"/>
      <c r="CI2967" s="2">
        <v>1</v>
      </c>
      <c r="CJ2967" s="2">
        <v>1</v>
      </c>
      <c r="CK2967" s="2">
        <v>21</v>
      </c>
      <c r="CL2967" s="2" t="s">
        <v>86</v>
      </c>
      <c r="CM2967" s="2"/>
    </row>
    <row r="2968" spans="1:91">
      <c r="A2968" s="2" t="s">
        <v>71</v>
      </c>
      <c r="B2968" s="2" t="s">
        <v>72</v>
      </c>
      <c r="C2968" s="2" t="s">
        <v>73</v>
      </c>
      <c r="D2968" s="2"/>
      <c r="E2968" s="2" t="str">
        <f>"FES1162545034"</f>
        <v>FES1162545034</v>
      </c>
      <c r="F2968" s="3">
        <v>42849</v>
      </c>
      <c r="G2968" s="2">
        <v>201710</v>
      </c>
      <c r="H2968" s="2" t="s">
        <v>74</v>
      </c>
      <c r="I2968" s="2" t="s">
        <v>75</v>
      </c>
      <c r="J2968" s="2" t="s">
        <v>76</v>
      </c>
      <c r="K2968" s="2" t="s">
        <v>77</v>
      </c>
      <c r="L2968" s="2" t="s">
        <v>166</v>
      </c>
      <c r="M2968" s="2" t="s">
        <v>167</v>
      </c>
      <c r="N2968" s="2" t="s">
        <v>892</v>
      </c>
      <c r="O2968" s="2" t="s">
        <v>115</v>
      </c>
      <c r="P2968" s="2" t="str">
        <f>"2170563072                    "</f>
        <v xml:space="preserve">2170563072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3.35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1</v>
      </c>
      <c r="BJ2968" s="2">
        <v>0.2</v>
      </c>
      <c r="BK2968" s="2">
        <v>1</v>
      </c>
      <c r="BL2968" s="2">
        <v>32.6</v>
      </c>
      <c r="BM2968" s="2">
        <v>4.5599999999999996</v>
      </c>
      <c r="BN2968" s="2">
        <v>37.159999999999997</v>
      </c>
      <c r="BO2968" s="2">
        <v>37.159999999999997</v>
      </c>
      <c r="BP2968" s="2"/>
      <c r="BQ2968" s="2" t="s">
        <v>893</v>
      </c>
      <c r="BR2968" s="2" t="s">
        <v>84</v>
      </c>
      <c r="BS2968" s="3">
        <v>42850</v>
      </c>
      <c r="BT2968" s="4">
        <v>0.41666666666666669</v>
      </c>
      <c r="BU2968" s="2" t="s">
        <v>1159</v>
      </c>
      <c r="BV2968" s="2" t="s">
        <v>111</v>
      </c>
      <c r="BW2968" s="2"/>
      <c r="BX2968" s="2"/>
      <c r="BY2968" s="2">
        <v>1200</v>
      </c>
      <c r="BZ2968" s="2"/>
      <c r="CA2968" s="2" t="s">
        <v>159</v>
      </c>
      <c r="CB2968" s="2"/>
      <c r="CC2968" s="2" t="s">
        <v>167</v>
      </c>
      <c r="CD2968" s="2">
        <v>2013</v>
      </c>
      <c r="CE2968" s="2" t="s">
        <v>118</v>
      </c>
      <c r="CF2968" s="5">
        <v>42851</v>
      </c>
      <c r="CG2968" s="2"/>
      <c r="CH2968" s="2"/>
      <c r="CI2968" s="2">
        <v>1</v>
      </c>
      <c r="CJ2968" s="2">
        <v>1</v>
      </c>
      <c r="CK2968" s="2">
        <v>22</v>
      </c>
      <c r="CL2968" s="2" t="s">
        <v>86</v>
      </c>
      <c r="CM2968" s="2"/>
    </row>
    <row r="2969" spans="1:91">
      <c r="A2969" s="2" t="s">
        <v>71</v>
      </c>
      <c r="B2969" s="2" t="s">
        <v>72</v>
      </c>
      <c r="C2969" s="2" t="s">
        <v>73</v>
      </c>
      <c r="D2969" s="2"/>
      <c r="E2969" s="2" t="str">
        <f>"FES1162544942"</f>
        <v>FES1162544942</v>
      </c>
      <c r="F2969" s="3">
        <v>42849</v>
      </c>
      <c r="G2969" s="2">
        <v>201710</v>
      </c>
      <c r="H2969" s="2" t="s">
        <v>74</v>
      </c>
      <c r="I2969" s="2" t="s">
        <v>75</v>
      </c>
      <c r="J2969" s="2" t="s">
        <v>76</v>
      </c>
      <c r="K2969" s="2" t="s">
        <v>77</v>
      </c>
      <c r="L2969" s="2" t="s">
        <v>516</v>
      </c>
      <c r="M2969" s="2" t="s">
        <v>517</v>
      </c>
      <c r="N2969" s="2" t="s">
        <v>3072</v>
      </c>
      <c r="O2969" s="2" t="s">
        <v>115</v>
      </c>
      <c r="P2969" s="2" t="str">
        <f>"2170563434                    "</f>
        <v xml:space="preserve">2170563434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3.35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1</v>
      </c>
      <c r="BJ2969" s="2">
        <v>0.2</v>
      </c>
      <c r="BK2969" s="2">
        <v>1</v>
      </c>
      <c r="BL2969" s="2">
        <v>32.6</v>
      </c>
      <c r="BM2969" s="2">
        <v>4.5599999999999996</v>
      </c>
      <c r="BN2969" s="2">
        <v>37.159999999999997</v>
      </c>
      <c r="BO2969" s="2">
        <v>37.159999999999997</v>
      </c>
      <c r="BP2969" s="2"/>
      <c r="BQ2969" s="2" t="s">
        <v>122</v>
      </c>
      <c r="BR2969" s="2" t="s">
        <v>84</v>
      </c>
      <c r="BS2969" s="3">
        <v>42850</v>
      </c>
      <c r="BT2969" s="4">
        <v>0.45</v>
      </c>
      <c r="BU2969" s="2" t="s">
        <v>2152</v>
      </c>
      <c r="BV2969" s="2" t="s">
        <v>111</v>
      </c>
      <c r="BW2969" s="2"/>
      <c r="BX2969" s="2"/>
      <c r="BY2969" s="2">
        <v>1200</v>
      </c>
      <c r="BZ2969" s="2"/>
      <c r="CA2969" s="2"/>
      <c r="CB2969" s="2"/>
      <c r="CC2969" s="2" t="s">
        <v>517</v>
      </c>
      <c r="CD2969" s="2">
        <v>1459</v>
      </c>
      <c r="CE2969" s="2" t="s">
        <v>118</v>
      </c>
      <c r="CF2969" s="5">
        <v>42851</v>
      </c>
      <c r="CG2969" s="2"/>
      <c r="CH2969" s="2"/>
      <c r="CI2969" s="2">
        <v>1</v>
      </c>
      <c r="CJ2969" s="2">
        <v>1</v>
      </c>
      <c r="CK2969" s="2">
        <v>22</v>
      </c>
      <c r="CL2969" s="2" t="s">
        <v>86</v>
      </c>
      <c r="CM2969" s="2"/>
    </row>
    <row r="2970" spans="1:91">
      <c r="A2970" s="2" t="s">
        <v>71</v>
      </c>
      <c r="B2970" s="2" t="s">
        <v>72</v>
      </c>
      <c r="C2970" s="2" t="s">
        <v>73</v>
      </c>
      <c r="D2970" s="2"/>
      <c r="E2970" s="2" t="str">
        <f>"FES1162545107"</f>
        <v>FES1162545107</v>
      </c>
      <c r="F2970" s="3">
        <v>42849</v>
      </c>
      <c r="G2970" s="2">
        <v>201710</v>
      </c>
      <c r="H2970" s="2" t="s">
        <v>74</v>
      </c>
      <c r="I2970" s="2" t="s">
        <v>75</v>
      </c>
      <c r="J2970" s="2" t="s">
        <v>76</v>
      </c>
      <c r="K2970" s="2" t="s">
        <v>77</v>
      </c>
      <c r="L2970" s="2" t="s">
        <v>91</v>
      </c>
      <c r="M2970" s="2" t="s">
        <v>92</v>
      </c>
      <c r="N2970" s="2" t="s">
        <v>2122</v>
      </c>
      <c r="O2970" s="2" t="s">
        <v>115</v>
      </c>
      <c r="P2970" s="2" t="str">
        <f>"2170561545                    "</f>
        <v xml:space="preserve">2170561545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3.35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1</v>
      </c>
      <c r="BJ2970" s="2">
        <v>0.2</v>
      </c>
      <c r="BK2970" s="2">
        <v>1</v>
      </c>
      <c r="BL2970" s="2">
        <v>32.6</v>
      </c>
      <c r="BM2970" s="2">
        <v>4.5599999999999996</v>
      </c>
      <c r="BN2970" s="2">
        <v>37.159999999999997</v>
      </c>
      <c r="BO2970" s="2">
        <v>37.159999999999997</v>
      </c>
      <c r="BP2970" s="2"/>
      <c r="BQ2970" s="2"/>
      <c r="BR2970" s="2" t="s">
        <v>84</v>
      </c>
      <c r="BS2970" s="3">
        <v>42850</v>
      </c>
      <c r="BT2970" s="4">
        <v>0.41666666666666669</v>
      </c>
      <c r="BU2970" s="2" t="s">
        <v>2152</v>
      </c>
      <c r="BV2970" s="2" t="s">
        <v>111</v>
      </c>
      <c r="BW2970" s="2"/>
      <c r="BX2970" s="2"/>
      <c r="BY2970" s="2">
        <v>1200</v>
      </c>
      <c r="BZ2970" s="2"/>
      <c r="CA2970" s="2"/>
      <c r="CB2970" s="2"/>
      <c r="CC2970" s="2" t="s">
        <v>92</v>
      </c>
      <c r="CD2970" s="2">
        <v>1401</v>
      </c>
      <c r="CE2970" s="2" t="s">
        <v>118</v>
      </c>
      <c r="CF2970" s="5">
        <v>42851</v>
      </c>
      <c r="CG2970" s="2"/>
      <c r="CH2970" s="2"/>
      <c r="CI2970" s="2">
        <v>1</v>
      </c>
      <c r="CJ2970" s="2">
        <v>1</v>
      </c>
      <c r="CK2970" s="2">
        <v>22</v>
      </c>
      <c r="CL2970" s="2" t="s">
        <v>86</v>
      </c>
      <c r="CM2970" s="2"/>
    </row>
    <row r="2971" spans="1:91">
      <c r="A2971" s="2" t="s">
        <v>71</v>
      </c>
      <c r="B2971" s="2" t="s">
        <v>72</v>
      </c>
      <c r="C2971" s="2" t="s">
        <v>73</v>
      </c>
      <c r="D2971" s="2"/>
      <c r="E2971" s="2" t="str">
        <f>"FES1162545234"</f>
        <v>FES1162545234</v>
      </c>
      <c r="F2971" s="3">
        <v>42849</v>
      </c>
      <c r="G2971" s="2">
        <v>201710</v>
      </c>
      <c r="H2971" s="2" t="s">
        <v>74</v>
      </c>
      <c r="I2971" s="2" t="s">
        <v>75</v>
      </c>
      <c r="J2971" s="2" t="s">
        <v>76</v>
      </c>
      <c r="K2971" s="2" t="s">
        <v>77</v>
      </c>
      <c r="L2971" s="2" t="s">
        <v>474</v>
      </c>
      <c r="M2971" s="2" t="s">
        <v>475</v>
      </c>
      <c r="N2971" s="2" t="s">
        <v>1001</v>
      </c>
      <c r="O2971" s="2" t="s">
        <v>115</v>
      </c>
      <c r="P2971" s="2" t="str">
        <f>"2170563634                    "</f>
        <v xml:space="preserve">2170563634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4.29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1</v>
      </c>
      <c r="BJ2971" s="2">
        <v>0.2</v>
      </c>
      <c r="BK2971" s="2">
        <v>1</v>
      </c>
      <c r="BL2971" s="2">
        <v>41.73</v>
      </c>
      <c r="BM2971" s="2">
        <v>5.84</v>
      </c>
      <c r="BN2971" s="2">
        <v>47.57</v>
      </c>
      <c r="BO2971" s="2">
        <v>47.57</v>
      </c>
      <c r="BP2971" s="2"/>
      <c r="BQ2971" s="2" t="s">
        <v>472</v>
      </c>
      <c r="BR2971" s="2" t="s">
        <v>84</v>
      </c>
      <c r="BS2971" s="3">
        <v>42850</v>
      </c>
      <c r="BT2971" s="4">
        <v>0.42083333333333334</v>
      </c>
      <c r="BU2971" s="2" t="s">
        <v>3151</v>
      </c>
      <c r="BV2971" s="2" t="s">
        <v>111</v>
      </c>
      <c r="BW2971" s="2"/>
      <c r="BX2971" s="2"/>
      <c r="BY2971" s="2">
        <v>1200</v>
      </c>
      <c r="BZ2971" s="2"/>
      <c r="CA2971" s="2" t="s">
        <v>159</v>
      </c>
      <c r="CB2971" s="2"/>
      <c r="CC2971" s="2" t="s">
        <v>475</v>
      </c>
      <c r="CD2971" s="2">
        <v>3290</v>
      </c>
      <c r="CE2971" s="2" t="s">
        <v>118</v>
      </c>
      <c r="CF2971" s="5">
        <v>42851</v>
      </c>
      <c r="CG2971" s="2"/>
      <c r="CH2971" s="2"/>
      <c r="CI2971" s="2">
        <v>1</v>
      </c>
      <c r="CJ2971" s="2">
        <v>1</v>
      </c>
      <c r="CK2971" s="2">
        <v>21</v>
      </c>
      <c r="CL2971" s="2" t="s">
        <v>86</v>
      </c>
      <c r="CM2971" s="2"/>
    </row>
    <row r="2972" spans="1:91">
      <c r="A2972" s="2" t="s">
        <v>71</v>
      </c>
      <c r="B2972" s="2" t="s">
        <v>72</v>
      </c>
      <c r="C2972" s="2" t="s">
        <v>73</v>
      </c>
      <c r="D2972" s="2"/>
      <c r="E2972" s="2" t="str">
        <f>"FES1162545139"</f>
        <v>FES1162545139</v>
      </c>
      <c r="F2972" s="3">
        <v>42849</v>
      </c>
      <c r="G2972" s="2">
        <v>201710</v>
      </c>
      <c r="H2972" s="2" t="s">
        <v>74</v>
      </c>
      <c r="I2972" s="2" t="s">
        <v>75</v>
      </c>
      <c r="J2972" s="2" t="s">
        <v>76</v>
      </c>
      <c r="K2972" s="2" t="s">
        <v>77</v>
      </c>
      <c r="L2972" s="2" t="s">
        <v>166</v>
      </c>
      <c r="M2972" s="2" t="s">
        <v>167</v>
      </c>
      <c r="N2972" s="2" t="s">
        <v>168</v>
      </c>
      <c r="O2972" s="2" t="s">
        <v>115</v>
      </c>
      <c r="P2972" s="2" t="str">
        <f>"2170563618                    "</f>
        <v xml:space="preserve">2170563618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3.35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1</v>
      </c>
      <c r="BJ2972" s="2">
        <v>0.2</v>
      </c>
      <c r="BK2972" s="2">
        <v>1</v>
      </c>
      <c r="BL2972" s="2">
        <v>32.6</v>
      </c>
      <c r="BM2972" s="2">
        <v>4.5599999999999996</v>
      </c>
      <c r="BN2972" s="2">
        <v>37.159999999999997</v>
      </c>
      <c r="BO2972" s="2">
        <v>37.159999999999997</v>
      </c>
      <c r="BP2972" s="2"/>
      <c r="BQ2972" s="2" t="s">
        <v>169</v>
      </c>
      <c r="BR2972" s="2" t="s">
        <v>84</v>
      </c>
      <c r="BS2972" s="3">
        <v>42850</v>
      </c>
      <c r="BT2972" s="4">
        <v>0.3923611111111111</v>
      </c>
      <c r="BU2972" s="2" t="s">
        <v>170</v>
      </c>
      <c r="BV2972" s="2" t="s">
        <v>111</v>
      </c>
      <c r="BW2972" s="2"/>
      <c r="BX2972" s="2"/>
      <c r="BY2972" s="2">
        <v>1200</v>
      </c>
      <c r="BZ2972" s="2"/>
      <c r="CA2972" s="2" t="s">
        <v>171</v>
      </c>
      <c r="CB2972" s="2"/>
      <c r="CC2972" s="2" t="s">
        <v>167</v>
      </c>
      <c r="CD2972" s="2">
        <v>2094</v>
      </c>
      <c r="CE2972" s="2" t="s">
        <v>118</v>
      </c>
      <c r="CF2972" s="5">
        <v>42850</v>
      </c>
      <c r="CG2972" s="2"/>
      <c r="CH2972" s="2"/>
      <c r="CI2972" s="2">
        <v>1</v>
      </c>
      <c r="CJ2972" s="2">
        <v>1</v>
      </c>
      <c r="CK2972" s="2">
        <v>22</v>
      </c>
      <c r="CL2972" s="2" t="s">
        <v>86</v>
      </c>
      <c r="CM2972" s="2"/>
    </row>
    <row r="2973" spans="1:91">
      <c r="A2973" s="2" t="s">
        <v>71</v>
      </c>
      <c r="B2973" s="2" t="s">
        <v>72</v>
      </c>
      <c r="C2973" s="2" t="s">
        <v>73</v>
      </c>
      <c r="D2973" s="2"/>
      <c r="E2973" s="2" t="str">
        <f>"FES1162545061"</f>
        <v>FES1162545061</v>
      </c>
      <c r="F2973" s="3">
        <v>42849</v>
      </c>
      <c r="G2973" s="2">
        <v>201710</v>
      </c>
      <c r="H2973" s="2" t="s">
        <v>74</v>
      </c>
      <c r="I2973" s="2" t="s">
        <v>75</v>
      </c>
      <c r="J2973" s="2" t="s">
        <v>76</v>
      </c>
      <c r="K2973" s="2" t="s">
        <v>77</v>
      </c>
      <c r="L2973" s="2" t="s">
        <v>260</v>
      </c>
      <c r="M2973" s="2" t="s">
        <v>261</v>
      </c>
      <c r="N2973" s="2" t="s">
        <v>470</v>
      </c>
      <c r="O2973" s="2" t="s">
        <v>115</v>
      </c>
      <c r="P2973" s="2" t="str">
        <f>"2170563558                    "</f>
        <v xml:space="preserve">2170563558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3.35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1</v>
      </c>
      <c r="BJ2973" s="2">
        <v>0.2</v>
      </c>
      <c r="BK2973" s="2">
        <v>1</v>
      </c>
      <c r="BL2973" s="2">
        <v>32.6</v>
      </c>
      <c r="BM2973" s="2">
        <v>4.5599999999999996</v>
      </c>
      <c r="BN2973" s="2">
        <v>37.159999999999997</v>
      </c>
      <c r="BO2973" s="2">
        <v>37.159999999999997</v>
      </c>
      <c r="BP2973" s="2"/>
      <c r="BQ2973" s="2" t="s">
        <v>471</v>
      </c>
      <c r="BR2973" s="2" t="s">
        <v>84</v>
      </c>
      <c r="BS2973" s="3">
        <v>42850</v>
      </c>
      <c r="BT2973" s="4">
        <v>0.40486111111111112</v>
      </c>
      <c r="BU2973" s="2" t="s">
        <v>452</v>
      </c>
      <c r="BV2973" s="2" t="s">
        <v>111</v>
      </c>
      <c r="BW2973" s="2"/>
      <c r="BX2973" s="2"/>
      <c r="BY2973" s="2">
        <v>1200</v>
      </c>
      <c r="BZ2973" s="2"/>
      <c r="CA2973" s="2" t="s">
        <v>473</v>
      </c>
      <c r="CB2973" s="2"/>
      <c r="CC2973" s="2" t="s">
        <v>261</v>
      </c>
      <c r="CD2973" s="2">
        <v>1449</v>
      </c>
      <c r="CE2973" s="2" t="s">
        <v>118</v>
      </c>
      <c r="CF2973" s="5">
        <v>42851</v>
      </c>
      <c r="CG2973" s="2"/>
      <c r="CH2973" s="2"/>
      <c r="CI2973" s="2">
        <v>1</v>
      </c>
      <c r="CJ2973" s="2">
        <v>1</v>
      </c>
      <c r="CK2973" s="2">
        <v>22</v>
      </c>
      <c r="CL2973" s="2" t="s">
        <v>86</v>
      </c>
      <c r="CM2973" s="2"/>
    </row>
    <row r="2974" spans="1:91">
      <c r="A2974" s="2" t="s">
        <v>71</v>
      </c>
      <c r="B2974" s="2" t="s">
        <v>72</v>
      </c>
      <c r="C2974" s="2" t="s">
        <v>73</v>
      </c>
      <c r="D2974" s="2"/>
      <c r="E2974" s="2" t="str">
        <f>"FES1162545095"</f>
        <v>FES1162545095</v>
      </c>
      <c r="F2974" s="3">
        <v>42849</v>
      </c>
      <c r="G2974" s="2">
        <v>201710</v>
      </c>
      <c r="H2974" s="2" t="s">
        <v>74</v>
      </c>
      <c r="I2974" s="2" t="s">
        <v>75</v>
      </c>
      <c r="J2974" s="2" t="s">
        <v>76</v>
      </c>
      <c r="K2974" s="2" t="s">
        <v>77</v>
      </c>
      <c r="L2974" s="2" t="s">
        <v>187</v>
      </c>
      <c r="M2974" s="2" t="s">
        <v>146</v>
      </c>
      <c r="N2974" s="2" t="s">
        <v>427</v>
      </c>
      <c r="O2974" s="2" t="s">
        <v>115</v>
      </c>
      <c r="P2974" s="2" t="str">
        <f>"2170561419                    "</f>
        <v xml:space="preserve">2170561419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4.29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1</v>
      </c>
      <c r="BJ2974" s="2">
        <v>0.2</v>
      </c>
      <c r="BK2974" s="2">
        <v>1</v>
      </c>
      <c r="BL2974" s="2">
        <v>41.73</v>
      </c>
      <c r="BM2974" s="2">
        <v>5.84</v>
      </c>
      <c r="BN2974" s="2">
        <v>47.57</v>
      </c>
      <c r="BO2974" s="2">
        <v>47.57</v>
      </c>
      <c r="BP2974" s="2"/>
      <c r="BQ2974" s="2" t="s">
        <v>428</v>
      </c>
      <c r="BR2974" s="2" t="s">
        <v>84</v>
      </c>
      <c r="BS2974" s="3">
        <v>42850</v>
      </c>
      <c r="BT2974" s="4">
        <v>0.36458333333333331</v>
      </c>
      <c r="BU2974" s="2" t="s">
        <v>1875</v>
      </c>
      <c r="BV2974" s="2" t="s">
        <v>111</v>
      </c>
      <c r="BW2974" s="2"/>
      <c r="BX2974" s="2"/>
      <c r="BY2974" s="2">
        <v>1200</v>
      </c>
      <c r="BZ2974" s="2"/>
      <c r="CA2974" s="2"/>
      <c r="CB2974" s="2"/>
      <c r="CC2974" s="2" t="s">
        <v>146</v>
      </c>
      <c r="CD2974" s="2">
        <v>184</v>
      </c>
      <c r="CE2974" s="2" t="s">
        <v>118</v>
      </c>
      <c r="CF2974" s="5">
        <v>42853</v>
      </c>
      <c r="CG2974" s="2"/>
      <c r="CH2974" s="2"/>
      <c r="CI2974" s="2">
        <v>0</v>
      </c>
      <c r="CJ2974" s="2">
        <v>0</v>
      </c>
      <c r="CK2974" s="2">
        <v>21</v>
      </c>
      <c r="CL2974" s="2" t="s">
        <v>86</v>
      </c>
      <c r="CM2974" s="2"/>
    </row>
    <row r="2975" spans="1:91">
      <c r="A2975" s="2" t="s">
        <v>71</v>
      </c>
      <c r="B2975" s="2" t="s">
        <v>72</v>
      </c>
      <c r="C2975" s="2" t="s">
        <v>73</v>
      </c>
      <c r="D2975" s="2"/>
      <c r="E2975" s="2" t="str">
        <f>"FES1162545136"</f>
        <v>FES1162545136</v>
      </c>
      <c r="F2975" s="3">
        <v>42849</v>
      </c>
      <c r="G2975" s="2">
        <v>201710</v>
      </c>
      <c r="H2975" s="2" t="s">
        <v>74</v>
      </c>
      <c r="I2975" s="2" t="s">
        <v>75</v>
      </c>
      <c r="J2975" s="2" t="s">
        <v>76</v>
      </c>
      <c r="K2975" s="2" t="s">
        <v>77</v>
      </c>
      <c r="L2975" s="2" t="s">
        <v>2259</v>
      </c>
      <c r="M2975" s="2" t="s">
        <v>2260</v>
      </c>
      <c r="N2975" s="2" t="s">
        <v>2261</v>
      </c>
      <c r="O2975" s="2" t="s">
        <v>115</v>
      </c>
      <c r="P2975" s="2" t="str">
        <f>"2170563614                    "</f>
        <v xml:space="preserve">2170563614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14.84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5</v>
      </c>
      <c r="BJ2975" s="2">
        <v>4</v>
      </c>
      <c r="BK2975" s="2">
        <v>5</v>
      </c>
      <c r="BL2975" s="2">
        <v>144.41</v>
      </c>
      <c r="BM2975" s="2">
        <v>20.22</v>
      </c>
      <c r="BN2975" s="2">
        <v>164.63</v>
      </c>
      <c r="BO2975" s="2">
        <v>164.63</v>
      </c>
      <c r="BP2975" s="2"/>
      <c r="BQ2975" s="2" t="s">
        <v>129</v>
      </c>
      <c r="BR2975" s="2" t="s">
        <v>84</v>
      </c>
      <c r="BS2975" s="3">
        <v>42850</v>
      </c>
      <c r="BT2975" s="4">
        <v>0.52083333333333337</v>
      </c>
      <c r="BU2975" s="2" t="s">
        <v>983</v>
      </c>
      <c r="BV2975" s="2" t="s">
        <v>111</v>
      </c>
      <c r="BW2975" s="2"/>
      <c r="BX2975" s="2"/>
      <c r="BY2975" s="2">
        <v>20202</v>
      </c>
      <c r="BZ2975" s="2"/>
      <c r="CA2975" s="2"/>
      <c r="CB2975" s="2"/>
      <c r="CC2975" s="2" t="s">
        <v>2260</v>
      </c>
      <c r="CD2975" s="2">
        <v>2410</v>
      </c>
      <c r="CE2975" s="2" t="s">
        <v>172</v>
      </c>
      <c r="CF2975" s="5">
        <v>42851</v>
      </c>
      <c r="CG2975" s="2"/>
      <c r="CH2975" s="2"/>
      <c r="CI2975" s="2">
        <v>1</v>
      </c>
      <c r="CJ2975" s="2">
        <v>1</v>
      </c>
      <c r="CK2975" s="2">
        <v>24</v>
      </c>
      <c r="CL2975" s="2" t="s">
        <v>86</v>
      </c>
      <c r="CM2975" s="2"/>
    </row>
    <row r="2976" spans="1:91">
      <c r="A2976" s="2" t="s">
        <v>71</v>
      </c>
      <c r="B2976" s="2" t="s">
        <v>72</v>
      </c>
      <c r="C2976" s="2" t="s">
        <v>73</v>
      </c>
      <c r="D2976" s="2"/>
      <c r="E2976" s="2" t="str">
        <f>"FES1162545177"</f>
        <v>FES1162545177</v>
      </c>
      <c r="F2976" s="3">
        <v>42849</v>
      </c>
      <c r="G2976" s="2">
        <v>201710</v>
      </c>
      <c r="H2976" s="2" t="s">
        <v>74</v>
      </c>
      <c r="I2976" s="2" t="s">
        <v>75</v>
      </c>
      <c r="J2976" s="2" t="s">
        <v>76</v>
      </c>
      <c r="K2976" s="2" t="s">
        <v>77</v>
      </c>
      <c r="L2976" s="2" t="s">
        <v>294</v>
      </c>
      <c r="M2976" s="2" t="s">
        <v>295</v>
      </c>
      <c r="N2976" s="2" t="s">
        <v>296</v>
      </c>
      <c r="O2976" s="2" t="s">
        <v>115</v>
      </c>
      <c r="P2976" s="2" t="str">
        <f>"2170563663                    "</f>
        <v xml:space="preserve">2170563663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4.29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1.2</v>
      </c>
      <c r="BJ2976" s="2">
        <v>0.2</v>
      </c>
      <c r="BK2976" s="2">
        <v>1.5</v>
      </c>
      <c r="BL2976" s="2">
        <v>41.73</v>
      </c>
      <c r="BM2976" s="2">
        <v>5.84</v>
      </c>
      <c r="BN2976" s="2">
        <v>47.57</v>
      </c>
      <c r="BO2976" s="2">
        <v>47.57</v>
      </c>
      <c r="BP2976" s="2"/>
      <c r="BQ2976" s="2" t="s">
        <v>297</v>
      </c>
      <c r="BR2976" s="2" t="s">
        <v>84</v>
      </c>
      <c r="BS2976" s="3">
        <v>42850</v>
      </c>
      <c r="BT2976" s="4">
        <v>0.42569444444444443</v>
      </c>
      <c r="BU2976" s="2" t="s">
        <v>1092</v>
      </c>
      <c r="BV2976" s="2" t="s">
        <v>111</v>
      </c>
      <c r="BW2976" s="2"/>
      <c r="BX2976" s="2"/>
      <c r="BY2976" s="2">
        <v>1200</v>
      </c>
      <c r="BZ2976" s="2"/>
      <c r="CA2976" s="2"/>
      <c r="CB2976" s="2"/>
      <c r="CC2976" s="2" t="s">
        <v>295</v>
      </c>
      <c r="CD2976" s="2">
        <v>3620</v>
      </c>
      <c r="CE2976" s="2" t="s">
        <v>118</v>
      </c>
      <c r="CF2976" s="5">
        <v>42851</v>
      </c>
      <c r="CG2976" s="2"/>
      <c r="CH2976" s="2"/>
      <c r="CI2976" s="2">
        <v>1</v>
      </c>
      <c r="CJ2976" s="2">
        <v>1</v>
      </c>
      <c r="CK2976" s="2">
        <v>21</v>
      </c>
      <c r="CL2976" s="2" t="s">
        <v>86</v>
      </c>
      <c r="CM2976" s="2"/>
    </row>
    <row r="2977" spans="1:91">
      <c r="A2977" s="2" t="s">
        <v>71</v>
      </c>
      <c r="B2977" s="2" t="s">
        <v>72</v>
      </c>
      <c r="C2977" s="2" t="s">
        <v>73</v>
      </c>
      <c r="D2977" s="2"/>
      <c r="E2977" s="2" t="str">
        <f>"FES1162545172"</f>
        <v>FES1162545172</v>
      </c>
      <c r="F2977" s="3">
        <v>42849</v>
      </c>
      <c r="G2977" s="2">
        <v>201710</v>
      </c>
      <c r="H2977" s="2" t="s">
        <v>74</v>
      </c>
      <c r="I2977" s="2" t="s">
        <v>75</v>
      </c>
      <c r="J2977" s="2" t="s">
        <v>76</v>
      </c>
      <c r="K2977" s="2" t="s">
        <v>77</v>
      </c>
      <c r="L2977" s="2" t="s">
        <v>74</v>
      </c>
      <c r="M2977" s="2" t="s">
        <v>75</v>
      </c>
      <c r="N2977" s="2" t="s">
        <v>136</v>
      </c>
      <c r="O2977" s="2" t="s">
        <v>115</v>
      </c>
      <c r="P2977" s="2" t="str">
        <f>"2170563656                    "</f>
        <v xml:space="preserve">2170563656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3.35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1</v>
      </c>
      <c r="BJ2977" s="2">
        <v>0.2</v>
      </c>
      <c r="BK2977" s="2">
        <v>1</v>
      </c>
      <c r="BL2977" s="2">
        <v>32.6</v>
      </c>
      <c r="BM2977" s="2">
        <v>4.5599999999999996</v>
      </c>
      <c r="BN2977" s="2">
        <v>37.159999999999997</v>
      </c>
      <c r="BO2977" s="2">
        <v>37.159999999999997</v>
      </c>
      <c r="BP2977" s="2"/>
      <c r="BQ2977" s="2" t="s">
        <v>137</v>
      </c>
      <c r="BR2977" s="2" t="s">
        <v>84</v>
      </c>
      <c r="BS2977" s="3">
        <v>42850</v>
      </c>
      <c r="BT2977" s="4">
        <v>0.31041666666666667</v>
      </c>
      <c r="BU2977" s="2" t="s">
        <v>1293</v>
      </c>
      <c r="BV2977" s="2" t="s">
        <v>111</v>
      </c>
      <c r="BW2977" s="2"/>
      <c r="BX2977" s="2"/>
      <c r="BY2977" s="2">
        <v>1200</v>
      </c>
      <c r="BZ2977" s="2"/>
      <c r="CA2977" s="2" t="s">
        <v>383</v>
      </c>
      <c r="CB2977" s="2"/>
      <c r="CC2977" s="2" t="s">
        <v>75</v>
      </c>
      <c r="CD2977" s="2">
        <v>1624</v>
      </c>
      <c r="CE2977" s="2" t="s">
        <v>118</v>
      </c>
      <c r="CF2977" s="5">
        <v>42850</v>
      </c>
      <c r="CG2977" s="2"/>
      <c r="CH2977" s="2"/>
      <c r="CI2977" s="2">
        <v>1</v>
      </c>
      <c r="CJ2977" s="2">
        <v>1</v>
      </c>
      <c r="CK2977" s="2">
        <v>22</v>
      </c>
      <c r="CL2977" s="2" t="s">
        <v>86</v>
      </c>
      <c r="CM2977" s="2"/>
    </row>
    <row r="2978" spans="1:91">
      <c r="A2978" s="2" t="s">
        <v>71</v>
      </c>
      <c r="B2978" s="2" t="s">
        <v>72</v>
      </c>
      <c r="C2978" s="2" t="s">
        <v>73</v>
      </c>
      <c r="D2978" s="2"/>
      <c r="E2978" s="2" t="str">
        <f>"FES1162545109"</f>
        <v>FES1162545109</v>
      </c>
      <c r="F2978" s="3">
        <v>42849</v>
      </c>
      <c r="G2978" s="2">
        <v>201710</v>
      </c>
      <c r="H2978" s="2" t="s">
        <v>74</v>
      </c>
      <c r="I2978" s="2" t="s">
        <v>75</v>
      </c>
      <c r="J2978" s="2" t="s">
        <v>76</v>
      </c>
      <c r="K2978" s="2" t="s">
        <v>77</v>
      </c>
      <c r="L2978" s="2" t="s">
        <v>190</v>
      </c>
      <c r="M2978" s="2" t="s">
        <v>191</v>
      </c>
      <c r="N2978" s="2" t="s">
        <v>192</v>
      </c>
      <c r="O2978" s="2" t="s">
        <v>115</v>
      </c>
      <c r="P2978" s="2" t="str">
        <f>"2170561619                    "</f>
        <v xml:space="preserve">2170561619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6.03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1</v>
      </c>
      <c r="BJ2978" s="2">
        <v>0.2</v>
      </c>
      <c r="BK2978" s="2">
        <v>1</v>
      </c>
      <c r="BL2978" s="2">
        <v>58.68</v>
      </c>
      <c r="BM2978" s="2">
        <v>8.2200000000000006</v>
      </c>
      <c r="BN2978" s="2">
        <v>66.900000000000006</v>
      </c>
      <c r="BO2978" s="2">
        <v>66.900000000000006</v>
      </c>
      <c r="BP2978" s="2"/>
      <c r="BQ2978" s="2" t="s">
        <v>193</v>
      </c>
      <c r="BR2978" s="2" t="s">
        <v>84</v>
      </c>
      <c r="BS2978" s="3">
        <v>42850</v>
      </c>
      <c r="BT2978" s="4">
        <v>0.4236111111111111</v>
      </c>
      <c r="BU2978" s="2" t="s">
        <v>194</v>
      </c>
      <c r="BV2978" s="2" t="s">
        <v>111</v>
      </c>
      <c r="BW2978" s="2"/>
      <c r="BX2978" s="2"/>
      <c r="BY2978" s="2">
        <v>1200</v>
      </c>
      <c r="BZ2978" s="2"/>
      <c r="CA2978" s="2"/>
      <c r="CB2978" s="2"/>
      <c r="CC2978" s="2" t="s">
        <v>191</v>
      </c>
      <c r="CD2978" s="2">
        <v>1739</v>
      </c>
      <c r="CE2978" s="2" t="s">
        <v>118</v>
      </c>
      <c r="CF2978" s="5">
        <v>42851</v>
      </c>
      <c r="CG2978" s="2"/>
      <c r="CH2978" s="2"/>
      <c r="CI2978" s="2">
        <v>1</v>
      </c>
      <c r="CJ2978" s="2">
        <v>1</v>
      </c>
      <c r="CK2978" s="2">
        <v>24</v>
      </c>
      <c r="CL2978" s="2" t="s">
        <v>86</v>
      </c>
      <c r="CM2978" s="2"/>
    </row>
    <row r="2979" spans="1:91">
      <c r="A2979" s="2" t="s">
        <v>71</v>
      </c>
      <c r="B2979" s="2" t="s">
        <v>72</v>
      </c>
      <c r="C2979" s="2" t="s">
        <v>73</v>
      </c>
      <c r="D2979" s="2"/>
      <c r="E2979" s="2" t="str">
        <f>"FES1162545220"</f>
        <v>FES1162545220</v>
      </c>
      <c r="F2979" s="3">
        <v>42849</v>
      </c>
      <c r="G2979" s="2">
        <v>201710</v>
      </c>
      <c r="H2979" s="2" t="s">
        <v>74</v>
      </c>
      <c r="I2979" s="2" t="s">
        <v>75</v>
      </c>
      <c r="J2979" s="2" t="s">
        <v>76</v>
      </c>
      <c r="K2979" s="2" t="s">
        <v>77</v>
      </c>
      <c r="L2979" s="2" t="s">
        <v>131</v>
      </c>
      <c r="M2979" s="2" t="s">
        <v>132</v>
      </c>
      <c r="N2979" s="2" t="s">
        <v>384</v>
      </c>
      <c r="O2979" s="2" t="s">
        <v>115</v>
      </c>
      <c r="P2979" s="2" t="str">
        <f>"2170563705                    "</f>
        <v xml:space="preserve">2170563705 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4.29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1</v>
      </c>
      <c r="BJ2979" s="2">
        <v>0.2</v>
      </c>
      <c r="BK2979" s="2">
        <v>1</v>
      </c>
      <c r="BL2979" s="2">
        <v>41.73</v>
      </c>
      <c r="BM2979" s="2">
        <v>5.84</v>
      </c>
      <c r="BN2979" s="2">
        <v>47.57</v>
      </c>
      <c r="BO2979" s="2">
        <v>47.57</v>
      </c>
      <c r="BP2979" s="2"/>
      <c r="BQ2979" s="2" t="s">
        <v>468</v>
      </c>
      <c r="BR2979" s="2" t="s">
        <v>84</v>
      </c>
      <c r="BS2979" s="3">
        <v>42851</v>
      </c>
      <c r="BT2979" s="4">
        <v>0.41666666666666669</v>
      </c>
      <c r="BU2979" s="2" t="s">
        <v>3131</v>
      </c>
      <c r="BV2979" s="2" t="s">
        <v>86</v>
      </c>
      <c r="BW2979" s="2" t="s">
        <v>484</v>
      </c>
      <c r="BX2979" s="2" t="s">
        <v>1370</v>
      </c>
      <c r="BY2979" s="2">
        <v>1200</v>
      </c>
      <c r="BZ2979" s="2"/>
      <c r="CA2979" s="2" t="s">
        <v>159</v>
      </c>
      <c r="CB2979" s="2"/>
      <c r="CC2979" s="2" t="s">
        <v>132</v>
      </c>
      <c r="CD2979" s="2">
        <v>7405</v>
      </c>
      <c r="CE2979" s="2" t="s">
        <v>118</v>
      </c>
      <c r="CF2979" s="5">
        <v>42853</v>
      </c>
      <c r="CG2979" s="2"/>
      <c r="CH2979" s="2"/>
      <c r="CI2979" s="2">
        <v>1</v>
      </c>
      <c r="CJ2979" s="2">
        <v>2</v>
      </c>
      <c r="CK2979" s="2">
        <v>21</v>
      </c>
      <c r="CL2979" s="2" t="s">
        <v>86</v>
      </c>
      <c r="CM2979" s="2"/>
    </row>
    <row r="2980" spans="1:91">
      <c r="A2980" s="2" t="s">
        <v>71</v>
      </c>
      <c r="B2980" s="2" t="s">
        <v>72</v>
      </c>
      <c r="C2980" s="2" t="s">
        <v>73</v>
      </c>
      <c r="D2980" s="2"/>
      <c r="E2980" s="2" t="str">
        <f>"FES1162544175"</f>
        <v>FES1162544175</v>
      </c>
      <c r="F2980" s="3">
        <v>42849</v>
      </c>
      <c r="G2980" s="2">
        <v>201710</v>
      </c>
      <c r="H2980" s="2" t="s">
        <v>74</v>
      </c>
      <c r="I2980" s="2" t="s">
        <v>75</v>
      </c>
      <c r="J2980" s="2" t="s">
        <v>76</v>
      </c>
      <c r="K2980" s="2" t="s">
        <v>77</v>
      </c>
      <c r="L2980" s="2" t="s">
        <v>74</v>
      </c>
      <c r="M2980" s="2" t="s">
        <v>75</v>
      </c>
      <c r="N2980" s="2" t="s">
        <v>436</v>
      </c>
      <c r="O2980" s="2" t="s">
        <v>115</v>
      </c>
      <c r="P2980" s="2" t="str">
        <f>"2170562763                    "</f>
        <v xml:space="preserve">2170562763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3.35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1</v>
      </c>
      <c r="BJ2980" s="2">
        <v>0.2</v>
      </c>
      <c r="BK2980" s="2">
        <v>1</v>
      </c>
      <c r="BL2980" s="2">
        <v>32.6</v>
      </c>
      <c r="BM2980" s="2">
        <v>4.5599999999999996</v>
      </c>
      <c r="BN2980" s="2">
        <v>37.159999999999997</v>
      </c>
      <c r="BO2980" s="2">
        <v>37.159999999999997</v>
      </c>
      <c r="BP2980" s="2"/>
      <c r="BQ2980" s="2" t="s">
        <v>437</v>
      </c>
      <c r="BR2980" s="2" t="s">
        <v>84</v>
      </c>
      <c r="BS2980" s="3">
        <v>42850</v>
      </c>
      <c r="BT2980" s="4">
        <v>0.35138888888888892</v>
      </c>
      <c r="BU2980" s="2" t="s">
        <v>1254</v>
      </c>
      <c r="BV2980" s="2" t="s">
        <v>111</v>
      </c>
      <c r="BW2980" s="2"/>
      <c r="BX2980" s="2"/>
      <c r="BY2980" s="2">
        <v>1200</v>
      </c>
      <c r="BZ2980" s="2"/>
      <c r="CA2980" s="2" t="s">
        <v>383</v>
      </c>
      <c r="CB2980" s="2"/>
      <c r="CC2980" s="2" t="s">
        <v>75</v>
      </c>
      <c r="CD2980" s="2">
        <v>1600</v>
      </c>
      <c r="CE2980" s="2" t="s">
        <v>118</v>
      </c>
      <c r="CF2980" s="5">
        <v>42850</v>
      </c>
      <c r="CG2980" s="2"/>
      <c r="CH2980" s="2"/>
      <c r="CI2980" s="2">
        <v>1</v>
      </c>
      <c r="CJ2980" s="2">
        <v>1</v>
      </c>
      <c r="CK2980" s="2">
        <v>22</v>
      </c>
      <c r="CL2980" s="2" t="s">
        <v>86</v>
      </c>
      <c r="CM2980" s="2"/>
    </row>
    <row r="2981" spans="1:91">
      <c r="A2981" s="2" t="s">
        <v>71</v>
      </c>
      <c r="B2981" s="2" t="s">
        <v>72</v>
      </c>
      <c r="C2981" s="2" t="s">
        <v>73</v>
      </c>
      <c r="D2981" s="2"/>
      <c r="E2981" s="2" t="str">
        <f>"FES1162545086"</f>
        <v>FES1162545086</v>
      </c>
      <c r="F2981" s="3">
        <v>42849</v>
      </c>
      <c r="G2981" s="2">
        <v>201710</v>
      </c>
      <c r="H2981" s="2" t="s">
        <v>74</v>
      </c>
      <c r="I2981" s="2" t="s">
        <v>75</v>
      </c>
      <c r="J2981" s="2" t="s">
        <v>76</v>
      </c>
      <c r="K2981" s="2" t="s">
        <v>77</v>
      </c>
      <c r="L2981" s="2" t="s">
        <v>160</v>
      </c>
      <c r="M2981" s="2" t="s">
        <v>161</v>
      </c>
      <c r="N2981" s="2" t="s">
        <v>3152</v>
      </c>
      <c r="O2981" s="2" t="s">
        <v>115</v>
      </c>
      <c r="P2981" s="2" t="str">
        <f>"2170560632                    "</f>
        <v xml:space="preserve">2170560632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4.29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1</v>
      </c>
      <c r="BJ2981" s="2">
        <v>0.2</v>
      </c>
      <c r="BK2981" s="2">
        <v>1</v>
      </c>
      <c r="BL2981" s="2">
        <v>41.73</v>
      </c>
      <c r="BM2981" s="2">
        <v>5.84</v>
      </c>
      <c r="BN2981" s="2">
        <v>47.57</v>
      </c>
      <c r="BO2981" s="2">
        <v>47.57</v>
      </c>
      <c r="BP2981" s="2"/>
      <c r="BQ2981" s="2" t="s">
        <v>3153</v>
      </c>
      <c r="BR2981" s="2" t="s">
        <v>84</v>
      </c>
      <c r="BS2981" s="3">
        <v>42850</v>
      </c>
      <c r="BT2981" s="4">
        <v>0.41666666666666669</v>
      </c>
      <c r="BU2981" s="2" t="s">
        <v>3154</v>
      </c>
      <c r="BV2981" s="2" t="s">
        <v>111</v>
      </c>
      <c r="BW2981" s="2"/>
      <c r="BX2981" s="2"/>
      <c r="BY2981" s="2">
        <v>1200</v>
      </c>
      <c r="BZ2981" s="2"/>
      <c r="CA2981" s="2"/>
      <c r="CB2981" s="2"/>
      <c r="CC2981" s="2" t="s">
        <v>161</v>
      </c>
      <c r="CD2981" s="2">
        <v>5201</v>
      </c>
      <c r="CE2981" s="2" t="s">
        <v>118</v>
      </c>
      <c r="CF2981" s="5">
        <v>42853</v>
      </c>
      <c r="CG2981" s="2"/>
      <c r="CH2981" s="2"/>
      <c r="CI2981" s="2">
        <v>1</v>
      </c>
      <c r="CJ2981" s="2">
        <v>1</v>
      </c>
      <c r="CK2981" s="2">
        <v>21</v>
      </c>
      <c r="CL2981" s="2" t="s">
        <v>86</v>
      </c>
      <c r="CM2981" s="2"/>
    </row>
    <row r="2982" spans="1:91">
      <c r="A2982" s="2" t="s">
        <v>71</v>
      </c>
      <c r="B2982" s="2" t="s">
        <v>72</v>
      </c>
      <c r="C2982" s="2" t="s">
        <v>73</v>
      </c>
      <c r="D2982" s="2"/>
      <c r="E2982" s="2" t="str">
        <f>"FES1162545462"</f>
        <v>FES1162545462</v>
      </c>
      <c r="F2982" s="3">
        <v>42850</v>
      </c>
      <c r="G2982" s="2">
        <v>201710</v>
      </c>
      <c r="H2982" s="2" t="s">
        <v>74</v>
      </c>
      <c r="I2982" s="2" t="s">
        <v>75</v>
      </c>
      <c r="J2982" s="2" t="s">
        <v>76</v>
      </c>
      <c r="K2982" s="2" t="s">
        <v>77</v>
      </c>
      <c r="L2982" s="2" t="s">
        <v>131</v>
      </c>
      <c r="M2982" s="2" t="s">
        <v>132</v>
      </c>
      <c r="N2982" s="2" t="s">
        <v>155</v>
      </c>
      <c r="O2982" s="2" t="s">
        <v>115</v>
      </c>
      <c r="P2982" s="2" t="str">
        <f>"2170563970                    "</f>
        <v xml:space="preserve">2170563970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4.29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1</v>
      </c>
      <c r="BJ2982" s="2">
        <v>0.2</v>
      </c>
      <c r="BK2982" s="2">
        <v>1</v>
      </c>
      <c r="BL2982" s="2">
        <v>41.73</v>
      </c>
      <c r="BM2982" s="2">
        <v>5.84</v>
      </c>
      <c r="BN2982" s="2">
        <v>47.57</v>
      </c>
      <c r="BO2982" s="2">
        <v>47.57</v>
      </c>
      <c r="BP2982" s="2"/>
      <c r="BQ2982" s="2" t="s">
        <v>116</v>
      </c>
      <c r="BR2982" s="2" t="s">
        <v>84</v>
      </c>
      <c r="BS2982" s="3">
        <v>42851</v>
      </c>
      <c r="BT2982" s="4">
        <v>0.55555555555555558</v>
      </c>
      <c r="BU2982" s="2" t="s">
        <v>3155</v>
      </c>
      <c r="BV2982" s="2" t="s">
        <v>86</v>
      </c>
      <c r="BW2982" s="2" t="s">
        <v>484</v>
      </c>
      <c r="BX2982" s="2" t="s">
        <v>1370</v>
      </c>
      <c r="BY2982" s="2">
        <v>1200</v>
      </c>
      <c r="BZ2982" s="2"/>
      <c r="CA2982" s="2"/>
      <c r="CB2982" s="2"/>
      <c r="CC2982" s="2" t="s">
        <v>132</v>
      </c>
      <c r="CD2982" s="2">
        <v>7441</v>
      </c>
      <c r="CE2982" s="2" t="s">
        <v>118</v>
      </c>
      <c r="CF2982" s="5">
        <v>42853</v>
      </c>
      <c r="CG2982" s="2"/>
      <c r="CH2982" s="2"/>
      <c r="CI2982" s="2">
        <v>1</v>
      </c>
      <c r="CJ2982" s="2">
        <v>1</v>
      </c>
      <c r="CK2982" s="2">
        <v>21</v>
      </c>
      <c r="CL2982" s="2" t="s">
        <v>86</v>
      </c>
      <c r="CM2982" s="2"/>
    </row>
    <row r="2983" spans="1:91">
      <c r="A2983" s="2" t="s">
        <v>71</v>
      </c>
      <c r="B2983" s="2" t="s">
        <v>72</v>
      </c>
      <c r="C2983" s="2" t="s">
        <v>73</v>
      </c>
      <c r="D2983" s="2"/>
      <c r="E2983" s="2" t="str">
        <f>"FES1162545364"</f>
        <v>FES1162545364</v>
      </c>
      <c r="F2983" s="3">
        <v>42850</v>
      </c>
      <c r="G2983" s="2">
        <v>201710</v>
      </c>
      <c r="H2983" s="2" t="s">
        <v>74</v>
      </c>
      <c r="I2983" s="2" t="s">
        <v>75</v>
      </c>
      <c r="J2983" s="2" t="s">
        <v>76</v>
      </c>
      <c r="K2983" s="2" t="s">
        <v>77</v>
      </c>
      <c r="L2983" s="2" t="s">
        <v>396</v>
      </c>
      <c r="M2983" s="2" t="s">
        <v>397</v>
      </c>
      <c r="N2983" s="2" t="s">
        <v>500</v>
      </c>
      <c r="O2983" s="2" t="s">
        <v>115</v>
      </c>
      <c r="P2983" s="2" t="str">
        <f>"2170563869                    "</f>
        <v xml:space="preserve">2170563869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4.29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1</v>
      </c>
      <c r="BJ2983" s="2">
        <v>0.2</v>
      </c>
      <c r="BK2983" s="2">
        <v>1</v>
      </c>
      <c r="BL2983" s="2">
        <v>41.73</v>
      </c>
      <c r="BM2983" s="2">
        <v>5.84</v>
      </c>
      <c r="BN2983" s="2">
        <v>47.57</v>
      </c>
      <c r="BO2983" s="2">
        <v>47.57</v>
      </c>
      <c r="BP2983" s="2"/>
      <c r="BQ2983" s="2" t="s">
        <v>501</v>
      </c>
      <c r="BR2983" s="2" t="s">
        <v>84</v>
      </c>
      <c r="BS2983" s="3">
        <v>42851</v>
      </c>
      <c r="BT2983" s="4">
        <v>0.35416666666666669</v>
      </c>
      <c r="BU2983" s="2" t="s">
        <v>835</v>
      </c>
      <c r="BV2983" s="2" t="s">
        <v>111</v>
      </c>
      <c r="BW2983" s="2"/>
      <c r="BX2983" s="2"/>
      <c r="BY2983" s="2">
        <v>1200</v>
      </c>
      <c r="BZ2983" s="2"/>
      <c r="CA2983" s="2"/>
      <c r="CB2983" s="2"/>
      <c r="CC2983" s="2" t="s">
        <v>397</v>
      </c>
      <c r="CD2983" s="2">
        <v>4302</v>
      </c>
      <c r="CE2983" s="2" t="s">
        <v>118</v>
      </c>
      <c r="CF2983" s="5">
        <v>42853</v>
      </c>
      <c r="CG2983" s="2"/>
      <c r="CH2983" s="2"/>
      <c r="CI2983" s="2">
        <v>1</v>
      </c>
      <c r="CJ2983" s="2">
        <v>1</v>
      </c>
      <c r="CK2983" s="2">
        <v>21</v>
      </c>
      <c r="CL2983" s="2" t="s">
        <v>86</v>
      </c>
      <c r="CM2983" s="2"/>
    </row>
    <row r="2984" spans="1:91">
      <c r="A2984" s="2" t="s">
        <v>2231</v>
      </c>
      <c r="B2984" s="2" t="s">
        <v>72</v>
      </c>
      <c r="C2984" s="2" t="s">
        <v>73</v>
      </c>
      <c r="D2984" s="2"/>
      <c r="E2984" s="2" t="str">
        <f>"009935562611"</f>
        <v>009935562611</v>
      </c>
      <c r="F2984" s="3">
        <v>42849</v>
      </c>
      <c r="G2984" s="2">
        <v>201710</v>
      </c>
      <c r="H2984" s="2" t="s">
        <v>598</v>
      </c>
      <c r="I2984" s="2" t="s">
        <v>599</v>
      </c>
      <c r="J2984" s="2" t="s">
        <v>2578</v>
      </c>
      <c r="K2984" s="2" t="s">
        <v>77</v>
      </c>
      <c r="L2984" s="2" t="s">
        <v>74</v>
      </c>
      <c r="M2984" s="2" t="s">
        <v>75</v>
      </c>
      <c r="N2984" s="2" t="s">
        <v>200</v>
      </c>
      <c r="O2984" s="2" t="s">
        <v>115</v>
      </c>
      <c r="P2984" s="2" t="str">
        <f>"                              "</f>
        <v xml:space="preserve">          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8.31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2</v>
      </c>
      <c r="BJ2984" s="2">
        <v>1.7</v>
      </c>
      <c r="BK2984" s="2">
        <v>2</v>
      </c>
      <c r="BL2984" s="2">
        <v>80.849999999999994</v>
      </c>
      <c r="BM2984" s="2">
        <v>11.32</v>
      </c>
      <c r="BN2984" s="2">
        <v>92.17</v>
      </c>
      <c r="BO2984" s="2">
        <v>92.17</v>
      </c>
      <c r="BP2984" s="2"/>
      <c r="BQ2984" s="2"/>
      <c r="BR2984" s="2" t="s">
        <v>602</v>
      </c>
      <c r="BS2984" s="3">
        <v>42850</v>
      </c>
      <c r="BT2984" s="4">
        <v>0.37847222222222227</v>
      </c>
      <c r="BU2984" s="2" t="s">
        <v>134</v>
      </c>
      <c r="BV2984" s="2" t="s">
        <v>111</v>
      </c>
      <c r="BW2984" s="2"/>
      <c r="BX2984" s="2"/>
      <c r="BY2984" s="2">
        <v>8550</v>
      </c>
      <c r="BZ2984" s="2" t="s">
        <v>27</v>
      </c>
      <c r="CA2984" s="2"/>
      <c r="CB2984" s="2"/>
      <c r="CC2984" s="2" t="s">
        <v>75</v>
      </c>
      <c r="CD2984" s="2">
        <v>1600</v>
      </c>
      <c r="CE2984" s="2" t="s">
        <v>89</v>
      </c>
      <c r="CF2984" s="5">
        <v>42851</v>
      </c>
      <c r="CG2984" s="2"/>
      <c r="CH2984" s="2"/>
      <c r="CI2984" s="2">
        <v>1</v>
      </c>
      <c r="CJ2984" s="2">
        <v>1</v>
      </c>
      <c r="CK2984" s="2">
        <v>23</v>
      </c>
      <c r="CL2984" s="2" t="s">
        <v>86</v>
      </c>
      <c r="CM2984" s="2"/>
    </row>
    <row r="2985" spans="1:91">
      <c r="A2985" s="2" t="s">
        <v>71</v>
      </c>
      <c r="B2985" s="2" t="s">
        <v>72</v>
      </c>
      <c r="C2985" s="2" t="s">
        <v>73</v>
      </c>
      <c r="D2985" s="2"/>
      <c r="E2985" s="2" t="str">
        <f>"FES1162545175"</f>
        <v>FES1162545175</v>
      </c>
      <c r="F2985" s="3">
        <v>42849</v>
      </c>
      <c r="G2985" s="2">
        <v>201710</v>
      </c>
      <c r="H2985" s="2" t="s">
        <v>74</v>
      </c>
      <c r="I2985" s="2" t="s">
        <v>75</v>
      </c>
      <c r="J2985" s="2" t="s">
        <v>76</v>
      </c>
      <c r="K2985" s="2" t="s">
        <v>77</v>
      </c>
      <c r="L2985" s="2" t="s">
        <v>166</v>
      </c>
      <c r="M2985" s="2" t="s">
        <v>167</v>
      </c>
      <c r="N2985" s="2" t="s">
        <v>168</v>
      </c>
      <c r="O2985" s="2" t="s">
        <v>115</v>
      </c>
      <c r="P2985" s="2" t="str">
        <f>"2170561638                    "</f>
        <v xml:space="preserve">2170561638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5.36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7.9</v>
      </c>
      <c r="BJ2985" s="2">
        <v>12.2</v>
      </c>
      <c r="BK2985" s="2">
        <v>13</v>
      </c>
      <c r="BL2985" s="2">
        <v>52.16</v>
      </c>
      <c r="BM2985" s="2">
        <v>7.3</v>
      </c>
      <c r="BN2985" s="2">
        <v>59.46</v>
      </c>
      <c r="BO2985" s="2">
        <v>59.46</v>
      </c>
      <c r="BP2985" s="2"/>
      <c r="BQ2985" s="2" t="s">
        <v>169</v>
      </c>
      <c r="BR2985" s="2" t="s">
        <v>84</v>
      </c>
      <c r="BS2985" s="3">
        <v>42850</v>
      </c>
      <c r="BT2985" s="4">
        <v>0.3923611111111111</v>
      </c>
      <c r="BU2985" s="2" t="s">
        <v>170</v>
      </c>
      <c r="BV2985" s="2" t="s">
        <v>111</v>
      </c>
      <c r="BW2985" s="2"/>
      <c r="BX2985" s="2"/>
      <c r="BY2985" s="2">
        <v>61164.06</v>
      </c>
      <c r="BZ2985" s="2"/>
      <c r="CA2985" s="2" t="s">
        <v>171</v>
      </c>
      <c r="CB2985" s="2"/>
      <c r="CC2985" s="2" t="s">
        <v>167</v>
      </c>
      <c r="CD2985" s="2">
        <v>2094</v>
      </c>
      <c r="CE2985" s="2" t="s">
        <v>172</v>
      </c>
      <c r="CF2985" s="5">
        <v>42850</v>
      </c>
      <c r="CG2985" s="2"/>
      <c r="CH2985" s="2"/>
      <c r="CI2985" s="2">
        <v>1</v>
      </c>
      <c r="CJ2985" s="2">
        <v>1</v>
      </c>
      <c r="CK2985" s="2">
        <v>22</v>
      </c>
      <c r="CL2985" s="2" t="s">
        <v>86</v>
      </c>
      <c r="CM2985" s="2"/>
    </row>
    <row r="2986" spans="1:91">
      <c r="A2986" s="2" t="s">
        <v>71</v>
      </c>
      <c r="B2986" s="2" t="s">
        <v>72</v>
      </c>
      <c r="C2986" s="2" t="s">
        <v>73</v>
      </c>
      <c r="D2986" s="2"/>
      <c r="E2986" s="2" t="str">
        <f>"FES1162545132"</f>
        <v>FES1162545132</v>
      </c>
      <c r="F2986" s="3">
        <v>42849</v>
      </c>
      <c r="G2986" s="2">
        <v>201710</v>
      </c>
      <c r="H2986" s="2" t="s">
        <v>74</v>
      </c>
      <c r="I2986" s="2" t="s">
        <v>75</v>
      </c>
      <c r="J2986" s="2" t="s">
        <v>76</v>
      </c>
      <c r="K2986" s="2" t="s">
        <v>77</v>
      </c>
      <c r="L2986" s="2" t="s">
        <v>260</v>
      </c>
      <c r="M2986" s="2" t="s">
        <v>261</v>
      </c>
      <c r="N2986" s="2" t="s">
        <v>326</v>
      </c>
      <c r="O2986" s="2" t="s">
        <v>115</v>
      </c>
      <c r="P2986" s="2" t="str">
        <f>"2170563611                    "</f>
        <v xml:space="preserve">2170563611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3.35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2.8</v>
      </c>
      <c r="BJ2986" s="2">
        <v>2.5</v>
      </c>
      <c r="BK2986" s="2">
        <v>3</v>
      </c>
      <c r="BL2986" s="2">
        <v>32.6</v>
      </c>
      <c r="BM2986" s="2">
        <v>4.5599999999999996</v>
      </c>
      <c r="BN2986" s="2">
        <v>37.159999999999997</v>
      </c>
      <c r="BO2986" s="2">
        <v>37.159999999999997</v>
      </c>
      <c r="BP2986" s="2"/>
      <c r="BQ2986" s="2"/>
      <c r="BR2986" s="2" t="s">
        <v>84</v>
      </c>
      <c r="BS2986" s="3">
        <v>42850</v>
      </c>
      <c r="BT2986" s="4">
        <v>0.375</v>
      </c>
      <c r="BU2986" s="2" t="s">
        <v>290</v>
      </c>
      <c r="BV2986" s="2" t="s">
        <v>111</v>
      </c>
      <c r="BW2986" s="2"/>
      <c r="BX2986" s="2"/>
      <c r="BY2986" s="2">
        <v>12408.41</v>
      </c>
      <c r="BZ2986" s="2"/>
      <c r="CA2986" s="2"/>
      <c r="CB2986" s="2"/>
      <c r="CC2986" s="2" t="s">
        <v>261</v>
      </c>
      <c r="CD2986" s="2">
        <v>1451</v>
      </c>
      <c r="CE2986" s="2" t="s">
        <v>172</v>
      </c>
      <c r="CF2986" s="5">
        <v>42851</v>
      </c>
      <c r="CG2986" s="2"/>
      <c r="CH2986" s="2"/>
      <c r="CI2986" s="2">
        <v>1</v>
      </c>
      <c r="CJ2986" s="2">
        <v>1</v>
      </c>
      <c r="CK2986" s="2">
        <v>22</v>
      </c>
      <c r="CL2986" s="2" t="s">
        <v>86</v>
      </c>
      <c r="CM2986" s="2"/>
    </row>
    <row r="2987" spans="1:91">
      <c r="A2987" s="2" t="s">
        <v>71</v>
      </c>
      <c r="B2987" s="2" t="s">
        <v>72</v>
      </c>
      <c r="C2987" s="2" t="s">
        <v>73</v>
      </c>
      <c r="D2987" s="2"/>
      <c r="E2987" s="2" t="str">
        <f>"FES1162545063"</f>
        <v>FES1162545063</v>
      </c>
      <c r="F2987" s="3">
        <v>42849</v>
      </c>
      <c r="G2987" s="2">
        <v>201710</v>
      </c>
      <c r="H2987" s="2" t="s">
        <v>74</v>
      </c>
      <c r="I2987" s="2" t="s">
        <v>75</v>
      </c>
      <c r="J2987" s="2" t="s">
        <v>76</v>
      </c>
      <c r="K2987" s="2" t="s">
        <v>77</v>
      </c>
      <c r="L2987" s="2" t="s">
        <v>180</v>
      </c>
      <c r="M2987" s="2" t="s">
        <v>181</v>
      </c>
      <c r="N2987" s="2" t="s">
        <v>1858</v>
      </c>
      <c r="O2987" s="2" t="s">
        <v>115</v>
      </c>
      <c r="P2987" s="2" t="str">
        <f>"2170563583                    "</f>
        <v xml:space="preserve">2170563583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5.36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2.4</v>
      </c>
      <c r="BJ2987" s="2">
        <v>1</v>
      </c>
      <c r="BK2987" s="2">
        <v>2.5</v>
      </c>
      <c r="BL2987" s="2">
        <v>52.16</v>
      </c>
      <c r="BM2987" s="2">
        <v>7.3</v>
      </c>
      <c r="BN2987" s="2">
        <v>59.46</v>
      </c>
      <c r="BO2987" s="2">
        <v>59.46</v>
      </c>
      <c r="BP2987" s="2"/>
      <c r="BQ2987" s="2" t="s">
        <v>129</v>
      </c>
      <c r="BR2987" s="2" t="s">
        <v>84</v>
      </c>
      <c r="BS2987" s="3">
        <v>42850</v>
      </c>
      <c r="BT2987" s="4">
        <v>0.34027777777777773</v>
      </c>
      <c r="BU2987" s="2" t="s">
        <v>3156</v>
      </c>
      <c r="BV2987" s="2" t="s">
        <v>111</v>
      </c>
      <c r="BW2987" s="2"/>
      <c r="BX2987" s="2"/>
      <c r="BY2987" s="2">
        <v>5042.13</v>
      </c>
      <c r="BZ2987" s="2"/>
      <c r="CA2987" s="2"/>
      <c r="CB2987" s="2"/>
      <c r="CC2987" s="2" t="s">
        <v>181</v>
      </c>
      <c r="CD2987" s="2">
        <v>4052</v>
      </c>
      <c r="CE2987" s="2" t="s">
        <v>89</v>
      </c>
      <c r="CF2987" s="5">
        <v>42851</v>
      </c>
      <c r="CG2987" s="2"/>
      <c r="CH2987" s="2"/>
      <c r="CI2987" s="2">
        <v>1</v>
      </c>
      <c r="CJ2987" s="2">
        <v>1</v>
      </c>
      <c r="CK2987" s="2">
        <v>21</v>
      </c>
      <c r="CL2987" s="2" t="s">
        <v>86</v>
      </c>
      <c r="CM2987" s="2"/>
    </row>
    <row r="2988" spans="1:91">
      <c r="A2988" s="2" t="s">
        <v>71</v>
      </c>
      <c r="B2988" s="2" t="s">
        <v>72</v>
      </c>
      <c r="C2988" s="2" t="s">
        <v>73</v>
      </c>
      <c r="D2988" s="2"/>
      <c r="E2988" s="2" t="str">
        <f>"FES1162545069"</f>
        <v>FES1162545069</v>
      </c>
      <c r="F2988" s="3">
        <v>42849</v>
      </c>
      <c r="G2988" s="2">
        <v>201710</v>
      </c>
      <c r="H2988" s="2" t="s">
        <v>74</v>
      </c>
      <c r="I2988" s="2" t="s">
        <v>75</v>
      </c>
      <c r="J2988" s="2" t="s">
        <v>76</v>
      </c>
      <c r="K2988" s="2" t="s">
        <v>77</v>
      </c>
      <c r="L2988" s="2" t="s">
        <v>99</v>
      </c>
      <c r="M2988" s="2" t="s">
        <v>100</v>
      </c>
      <c r="N2988" s="2" t="s">
        <v>583</v>
      </c>
      <c r="O2988" s="2" t="s">
        <v>115</v>
      </c>
      <c r="P2988" s="2" t="str">
        <f>"2170563591                    "</f>
        <v xml:space="preserve">2170563591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6.43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2.9</v>
      </c>
      <c r="BJ2988" s="2">
        <v>1.1000000000000001</v>
      </c>
      <c r="BK2988" s="2">
        <v>3</v>
      </c>
      <c r="BL2988" s="2">
        <v>62.59</v>
      </c>
      <c r="BM2988" s="2">
        <v>8.76</v>
      </c>
      <c r="BN2988" s="2">
        <v>71.349999999999994</v>
      </c>
      <c r="BO2988" s="2">
        <v>71.349999999999994</v>
      </c>
      <c r="BP2988" s="2"/>
      <c r="BQ2988" s="2" t="s">
        <v>584</v>
      </c>
      <c r="BR2988" s="2" t="s">
        <v>84</v>
      </c>
      <c r="BS2988" s="3">
        <v>42850</v>
      </c>
      <c r="BT2988" s="4">
        <v>0.30902777777777779</v>
      </c>
      <c r="BU2988" s="2" t="s">
        <v>585</v>
      </c>
      <c r="BV2988" s="2" t="s">
        <v>111</v>
      </c>
      <c r="BW2988" s="2"/>
      <c r="BX2988" s="2"/>
      <c r="BY2988" s="2">
        <v>5381.75</v>
      </c>
      <c r="BZ2988" s="2"/>
      <c r="CA2988" s="2" t="s">
        <v>154</v>
      </c>
      <c r="CB2988" s="2"/>
      <c r="CC2988" s="2" t="s">
        <v>100</v>
      </c>
      <c r="CD2988" s="2">
        <v>6001</v>
      </c>
      <c r="CE2988" s="2" t="s">
        <v>89</v>
      </c>
      <c r="CF2988" s="5">
        <v>42850</v>
      </c>
      <c r="CG2988" s="2"/>
      <c r="CH2988" s="2"/>
      <c r="CI2988" s="2">
        <v>1</v>
      </c>
      <c r="CJ2988" s="2">
        <v>1</v>
      </c>
      <c r="CK2988" s="2">
        <v>21</v>
      </c>
      <c r="CL2988" s="2" t="s">
        <v>86</v>
      </c>
      <c r="CM2988" s="2"/>
    </row>
    <row r="2989" spans="1:91">
      <c r="A2989" s="2" t="s">
        <v>71</v>
      </c>
      <c r="B2989" s="2" t="s">
        <v>72</v>
      </c>
      <c r="C2989" s="2" t="s">
        <v>73</v>
      </c>
      <c r="D2989" s="2"/>
      <c r="E2989" s="2" t="str">
        <f>"FES1162545271"</f>
        <v>FES1162545271</v>
      </c>
      <c r="F2989" s="3">
        <v>42849</v>
      </c>
      <c r="G2989" s="2">
        <v>201710</v>
      </c>
      <c r="H2989" s="2" t="s">
        <v>74</v>
      </c>
      <c r="I2989" s="2" t="s">
        <v>75</v>
      </c>
      <c r="J2989" s="2" t="s">
        <v>76</v>
      </c>
      <c r="K2989" s="2" t="s">
        <v>77</v>
      </c>
      <c r="L2989" s="2" t="s">
        <v>99</v>
      </c>
      <c r="M2989" s="2" t="s">
        <v>100</v>
      </c>
      <c r="N2989" s="2" t="s">
        <v>671</v>
      </c>
      <c r="O2989" s="2" t="s">
        <v>115</v>
      </c>
      <c r="P2989" s="2" t="str">
        <f>"2170563759                    "</f>
        <v xml:space="preserve">2170563759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39.65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9.1999999999999993</v>
      </c>
      <c r="BJ2989" s="2">
        <v>18.100000000000001</v>
      </c>
      <c r="BK2989" s="2">
        <v>18.5</v>
      </c>
      <c r="BL2989" s="2">
        <v>385.97</v>
      </c>
      <c r="BM2989" s="2">
        <v>54.04</v>
      </c>
      <c r="BN2989" s="2">
        <v>440.01</v>
      </c>
      <c r="BO2989" s="2">
        <v>440.01</v>
      </c>
      <c r="BP2989" s="2"/>
      <c r="BQ2989" s="2" t="s">
        <v>672</v>
      </c>
      <c r="BR2989" s="2" t="s">
        <v>84</v>
      </c>
      <c r="BS2989" s="3">
        <v>42850</v>
      </c>
      <c r="BT2989" s="4">
        <v>0.40972222222222227</v>
      </c>
      <c r="BU2989" s="2" t="s">
        <v>2679</v>
      </c>
      <c r="BV2989" s="2" t="s">
        <v>111</v>
      </c>
      <c r="BW2989" s="2"/>
      <c r="BX2989" s="2"/>
      <c r="BY2989" s="2">
        <v>90458.66</v>
      </c>
      <c r="BZ2989" s="2"/>
      <c r="CA2989" s="2" t="s">
        <v>106</v>
      </c>
      <c r="CB2989" s="2"/>
      <c r="CC2989" s="2" t="s">
        <v>100</v>
      </c>
      <c r="CD2989" s="2">
        <v>6001</v>
      </c>
      <c r="CE2989" s="2" t="s">
        <v>89</v>
      </c>
      <c r="CF2989" s="5">
        <v>42850</v>
      </c>
      <c r="CG2989" s="2"/>
      <c r="CH2989" s="2"/>
      <c r="CI2989" s="2">
        <v>1</v>
      </c>
      <c r="CJ2989" s="2">
        <v>1</v>
      </c>
      <c r="CK2989" s="2">
        <v>21</v>
      </c>
      <c r="CL2989" s="2" t="s">
        <v>86</v>
      </c>
      <c r="CM2989" s="2"/>
    </row>
    <row r="2990" spans="1:91">
      <c r="A2990" s="2" t="s">
        <v>71</v>
      </c>
      <c r="B2990" s="2" t="s">
        <v>72</v>
      </c>
      <c r="C2990" s="2" t="s">
        <v>73</v>
      </c>
      <c r="D2990" s="2"/>
      <c r="E2990" s="2" t="str">
        <f>"080001613992"</f>
        <v>080001613992</v>
      </c>
      <c r="F2990" s="3">
        <v>42849</v>
      </c>
      <c r="G2990" s="2">
        <v>201710</v>
      </c>
      <c r="H2990" s="2" t="s">
        <v>166</v>
      </c>
      <c r="I2990" s="2" t="s">
        <v>167</v>
      </c>
      <c r="J2990" s="2" t="s">
        <v>1285</v>
      </c>
      <c r="K2990" s="2" t="s">
        <v>77</v>
      </c>
      <c r="L2990" s="2" t="s">
        <v>74</v>
      </c>
      <c r="M2990" s="2" t="s">
        <v>75</v>
      </c>
      <c r="N2990" s="2" t="s">
        <v>2616</v>
      </c>
      <c r="O2990" s="2" t="s">
        <v>115</v>
      </c>
      <c r="P2990" s="2" t="str">
        <f>"ZA1000637002                  "</f>
        <v xml:space="preserve">ZA1000637002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3.35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0.5</v>
      </c>
      <c r="BJ2990" s="2">
        <v>1.2</v>
      </c>
      <c r="BK2990" s="2">
        <v>2</v>
      </c>
      <c r="BL2990" s="2">
        <v>32.6</v>
      </c>
      <c r="BM2990" s="2">
        <v>4.5599999999999996</v>
      </c>
      <c r="BN2990" s="2">
        <v>37.159999999999997</v>
      </c>
      <c r="BO2990" s="2">
        <v>37.159999999999997</v>
      </c>
      <c r="BP2990" s="2" t="s">
        <v>2617</v>
      </c>
      <c r="BQ2990" s="2" t="s">
        <v>2618</v>
      </c>
      <c r="BR2990" s="2" t="s">
        <v>3157</v>
      </c>
      <c r="BS2990" s="3">
        <v>42850</v>
      </c>
      <c r="BT2990" s="4">
        <v>0.37847222222222227</v>
      </c>
      <c r="BU2990" s="2" t="s">
        <v>134</v>
      </c>
      <c r="BV2990" s="2" t="s">
        <v>111</v>
      </c>
      <c r="BW2990" s="2"/>
      <c r="BX2990" s="2"/>
      <c r="BY2990" s="2">
        <v>6019.28</v>
      </c>
      <c r="BZ2990" s="2"/>
      <c r="CA2990" s="2"/>
      <c r="CB2990" s="2"/>
      <c r="CC2990" s="2" t="s">
        <v>75</v>
      </c>
      <c r="CD2990" s="2">
        <v>1601</v>
      </c>
      <c r="CE2990" s="2" t="s">
        <v>89</v>
      </c>
      <c r="CF2990" s="5">
        <v>42851</v>
      </c>
      <c r="CG2990" s="2"/>
      <c r="CH2990" s="2"/>
      <c r="CI2990" s="2">
        <v>1</v>
      </c>
      <c r="CJ2990" s="2">
        <v>1</v>
      </c>
      <c r="CK2990" s="2">
        <v>22</v>
      </c>
      <c r="CL2990" s="2" t="s">
        <v>86</v>
      </c>
      <c r="CM2990" s="2"/>
    </row>
    <row r="2991" spans="1:91">
      <c r="A2991" s="2" t="s">
        <v>71</v>
      </c>
      <c r="B2991" s="2" t="s">
        <v>72</v>
      </c>
      <c r="C2991" s="2" t="s">
        <v>73</v>
      </c>
      <c r="D2991" s="2"/>
      <c r="E2991" s="2" t="str">
        <f>"080001613999"</f>
        <v>080001613999</v>
      </c>
      <c r="F2991" s="3">
        <v>42849</v>
      </c>
      <c r="G2991" s="2">
        <v>201710</v>
      </c>
      <c r="H2991" s="2" t="s">
        <v>260</v>
      </c>
      <c r="I2991" s="2" t="s">
        <v>261</v>
      </c>
      <c r="J2991" s="2" t="s">
        <v>2182</v>
      </c>
      <c r="K2991" s="2" t="s">
        <v>77</v>
      </c>
      <c r="L2991" s="2" t="s">
        <v>74</v>
      </c>
      <c r="M2991" s="2" t="s">
        <v>75</v>
      </c>
      <c r="N2991" s="2" t="s">
        <v>2616</v>
      </c>
      <c r="O2991" s="2" t="s">
        <v>115</v>
      </c>
      <c r="P2991" s="2" t="str">
        <f>"za1000637144                  "</f>
        <v xml:space="preserve">za1000637144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3.35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1.7</v>
      </c>
      <c r="BJ2991" s="2">
        <v>1</v>
      </c>
      <c r="BK2991" s="2">
        <v>2</v>
      </c>
      <c r="BL2991" s="2">
        <v>32.6</v>
      </c>
      <c r="BM2991" s="2">
        <v>4.5599999999999996</v>
      </c>
      <c r="BN2991" s="2">
        <v>37.159999999999997</v>
      </c>
      <c r="BO2991" s="2">
        <v>37.159999999999997</v>
      </c>
      <c r="BP2991" s="2" t="s">
        <v>2617</v>
      </c>
      <c r="BQ2991" s="2" t="s">
        <v>2618</v>
      </c>
      <c r="BR2991" s="2" t="s">
        <v>3158</v>
      </c>
      <c r="BS2991" s="3">
        <v>42850</v>
      </c>
      <c r="BT2991" s="4">
        <v>0.38541666666666669</v>
      </c>
      <c r="BU2991" s="2" t="s">
        <v>134</v>
      </c>
      <c r="BV2991" s="2" t="s">
        <v>111</v>
      </c>
      <c r="BW2991" s="2"/>
      <c r="BX2991" s="2"/>
      <c r="BY2991" s="2">
        <v>5226.1400000000003</v>
      </c>
      <c r="BZ2991" s="2"/>
      <c r="CA2991" s="2"/>
      <c r="CB2991" s="2"/>
      <c r="CC2991" s="2" t="s">
        <v>75</v>
      </c>
      <c r="CD2991" s="2">
        <v>1601</v>
      </c>
      <c r="CE2991" s="2" t="s">
        <v>89</v>
      </c>
      <c r="CF2991" s="5">
        <v>42851</v>
      </c>
      <c r="CG2991" s="2"/>
      <c r="CH2991" s="2"/>
      <c r="CI2991" s="2">
        <v>1</v>
      </c>
      <c r="CJ2991" s="2">
        <v>1</v>
      </c>
      <c r="CK2991" s="2">
        <v>22</v>
      </c>
      <c r="CL2991" s="2" t="s">
        <v>86</v>
      </c>
      <c r="CM2991" s="2"/>
    </row>
    <row r="2992" spans="1:91">
      <c r="A2992" s="2" t="s">
        <v>71</v>
      </c>
      <c r="B2992" s="2" t="s">
        <v>72</v>
      </c>
      <c r="C2992" s="2" t="s">
        <v>73</v>
      </c>
      <c r="D2992" s="2"/>
      <c r="E2992" s="2" t="str">
        <f>"FES1162544871"</f>
        <v>FES1162544871</v>
      </c>
      <c r="F2992" s="3">
        <v>42849</v>
      </c>
      <c r="G2992" s="2">
        <v>201710</v>
      </c>
      <c r="H2992" s="2" t="s">
        <v>74</v>
      </c>
      <c r="I2992" s="2" t="s">
        <v>75</v>
      </c>
      <c r="J2992" s="2" t="s">
        <v>76</v>
      </c>
      <c r="K2992" s="2" t="s">
        <v>77</v>
      </c>
      <c r="L2992" s="2" t="s">
        <v>139</v>
      </c>
      <c r="M2992" s="2" t="s">
        <v>140</v>
      </c>
      <c r="N2992" s="2" t="s">
        <v>2953</v>
      </c>
      <c r="O2992" s="2" t="s">
        <v>115</v>
      </c>
      <c r="P2992" s="2" t="str">
        <f>"2170562473                    "</f>
        <v xml:space="preserve">2170562473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4.29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1</v>
      </c>
      <c r="BI2992" s="2">
        <v>1.6</v>
      </c>
      <c r="BJ2992" s="2">
        <v>1.6</v>
      </c>
      <c r="BK2992" s="2">
        <v>2</v>
      </c>
      <c r="BL2992" s="2">
        <v>41.73</v>
      </c>
      <c r="BM2992" s="2">
        <v>5.84</v>
      </c>
      <c r="BN2992" s="2">
        <v>47.57</v>
      </c>
      <c r="BO2992" s="2">
        <v>47.57</v>
      </c>
      <c r="BP2992" s="2"/>
      <c r="BQ2992" s="2" t="s">
        <v>2954</v>
      </c>
      <c r="BR2992" s="2" t="s">
        <v>84</v>
      </c>
      <c r="BS2992" s="3">
        <v>42850</v>
      </c>
      <c r="BT2992" s="4">
        <v>0.3756944444444445</v>
      </c>
      <c r="BU2992" s="2" t="s">
        <v>3159</v>
      </c>
      <c r="BV2992" s="2" t="s">
        <v>111</v>
      </c>
      <c r="BW2992" s="2"/>
      <c r="BX2992" s="2"/>
      <c r="BY2992" s="2">
        <v>8154.24</v>
      </c>
      <c r="BZ2992" s="2"/>
      <c r="CA2992" s="2"/>
      <c r="CB2992" s="2"/>
      <c r="CC2992" s="2" t="s">
        <v>140</v>
      </c>
      <c r="CD2992" s="2">
        <v>157</v>
      </c>
      <c r="CE2992" s="2" t="s">
        <v>89</v>
      </c>
      <c r="CF2992" s="5">
        <v>42853</v>
      </c>
      <c r="CG2992" s="2"/>
      <c r="CH2992" s="2"/>
      <c r="CI2992" s="2">
        <v>0</v>
      </c>
      <c r="CJ2992" s="2">
        <v>0</v>
      </c>
      <c r="CK2992" s="2">
        <v>21</v>
      </c>
      <c r="CL2992" s="2" t="s">
        <v>86</v>
      </c>
      <c r="CM2992" s="2"/>
    </row>
    <row r="2993" spans="1:91">
      <c r="A2993" s="2" t="s">
        <v>71</v>
      </c>
      <c r="B2993" s="2" t="s">
        <v>72</v>
      </c>
      <c r="C2993" s="2" t="s">
        <v>73</v>
      </c>
      <c r="D2993" s="2"/>
      <c r="E2993" s="2" t="str">
        <f>"080001614012"</f>
        <v>080001614012</v>
      </c>
      <c r="F2993" s="3">
        <v>42849</v>
      </c>
      <c r="G2993" s="2">
        <v>201710</v>
      </c>
      <c r="H2993" s="2" t="s">
        <v>474</v>
      </c>
      <c r="I2993" s="2" t="s">
        <v>475</v>
      </c>
      <c r="J2993" s="2" t="s">
        <v>3160</v>
      </c>
      <c r="K2993" s="2" t="s">
        <v>77</v>
      </c>
      <c r="L2993" s="2" t="s">
        <v>74</v>
      </c>
      <c r="M2993" s="2" t="s">
        <v>75</v>
      </c>
      <c r="N2993" s="2" t="s">
        <v>2616</v>
      </c>
      <c r="O2993" s="2" t="s">
        <v>115</v>
      </c>
      <c r="P2993" s="2" t="str">
        <f>"za1000637249                  "</f>
        <v xml:space="preserve">za1000637249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4.29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1</v>
      </c>
      <c r="BJ2993" s="2">
        <v>0.2</v>
      </c>
      <c r="BK2993" s="2">
        <v>1</v>
      </c>
      <c r="BL2993" s="2">
        <v>41.73</v>
      </c>
      <c r="BM2993" s="2">
        <v>5.84</v>
      </c>
      <c r="BN2993" s="2">
        <v>47.57</v>
      </c>
      <c r="BO2993" s="2">
        <v>47.57</v>
      </c>
      <c r="BP2993" s="2" t="s">
        <v>2617</v>
      </c>
      <c r="BQ2993" s="2" t="s">
        <v>2618</v>
      </c>
      <c r="BR2993" s="2" t="s">
        <v>3161</v>
      </c>
      <c r="BS2993" s="3">
        <v>42850</v>
      </c>
      <c r="BT2993" s="4">
        <v>0.37847222222222227</v>
      </c>
      <c r="BU2993" s="2" t="s">
        <v>134</v>
      </c>
      <c r="BV2993" s="2" t="s">
        <v>111</v>
      </c>
      <c r="BW2993" s="2"/>
      <c r="BX2993" s="2"/>
      <c r="BY2993" s="2">
        <v>1200</v>
      </c>
      <c r="BZ2993" s="2"/>
      <c r="CA2993" s="2"/>
      <c r="CB2993" s="2"/>
      <c r="CC2993" s="2" t="s">
        <v>75</v>
      </c>
      <c r="CD2993" s="2">
        <v>1601</v>
      </c>
      <c r="CE2993" s="2" t="s">
        <v>89</v>
      </c>
      <c r="CF2993" s="5">
        <v>42851</v>
      </c>
      <c r="CG2993" s="2"/>
      <c r="CH2993" s="2"/>
      <c r="CI2993" s="2">
        <v>1</v>
      </c>
      <c r="CJ2993" s="2">
        <v>1</v>
      </c>
      <c r="CK2993" s="2">
        <v>21</v>
      </c>
      <c r="CL2993" s="2" t="s">
        <v>86</v>
      </c>
      <c r="CM2993" s="2"/>
    </row>
    <row r="2994" spans="1:91">
      <c r="A2994" s="2" t="s">
        <v>71</v>
      </c>
      <c r="B2994" s="2" t="s">
        <v>72</v>
      </c>
      <c r="C2994" s="2" t="s">
        <v>73</v>
      </c>
      <c r="D2994" s="2"/>
      <c r="E2994" s="2" t="str">
        <f>"FES1162545126"</f>
        <v>FES1162545126</v>
      </c>
      <c r="F2994" s="3">
        <v>42849</v>
      </c>
      <c r="G2994" s="2">
        <v>201710</v>
      </c>
      <c r="H2994" s="2" t="s">
        <v>74</v>
      </c>
      <c r="I2994" s="2" t="s">
        <v>75</v>
      </c>
      <c r="J2994" s="2" t="s">
        <v>76</v>
      </c>
      <c r="K2994" s="2" t="s">
        <v>77</v>
      </c>
      <c r="L2994" s="2" t="s">
        <v>991</v>
      </c>
      <c r="M2994" s="2" t="s">
        <v>992</v>
      </c>
      <c r="N2994" s="2" t="s">
        <v>1539</v>
      </c>
      <c r="O2994" s="2" t="s">
        <v>115</v>
      </c>
      <c r="P2994" s="2" t="str">
        <f>"2170563607                    "</f>
        <v xml:space="preserve">2170563607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4.29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0.6</v>
      </c>
      <c r="BJ2994" s="2">
        <v>1</v>
      </c>
      <c r="BK2994" s="2">
        <v>1</v>
      </c>
      <c r="BL2994" s="2">
        <v>41.73</v>
      </c>
      <c r="BM2994" s="2">
        <v>5.84</v>
      </c>
      <c r="BN2994" s="2">
        <v>47.57</v>
      </c>
      <c r="BO2994" s="2">
        <v>47.57</v>
      </c>
      <c r="BP2994" s="2"/>
      <c r="BQ2994" s="2" t="s">
        <v>1540</v>
      </c>
      <c r="BR2994" s="2" t="s">
        <v>84</v>
      </c>
      <c r="BS2994" s="3">
        <v>42850</v>
      </c>
      <c r="BT2994" s="4">
        <v>0.41666666666666669</v>
      </c>
      <c r="BU2994" s="2" t="s">
        <v>3162</v>
      </c>
      <c r="BV2994" s="2" t="s">
        <v>111</v>
      </c>
      <c r="BW2994" s="2"/>
      <c r="BX2994" s="2"/>
      <c r="BY2994" s="2">
        <v>4971.46</v>
      </c>
      <c r="BZ2994" s="2"/>
      <c r="CA2994" s="2"/>
      <c r="CB2994" s="2"/>
      <c r="CC2994" s="2" t="s">
        <v>992</v>
      </c>
      <c r="CD2994" s="2">
        <v>7654</v>
      </c>
      <c r="CE2994" s="2" t="s">
        <v>89</v>
      </c>
      <c r="CF2994" s="5">
        <v>42851</v>
      </c>
      <c r="CG2994" s="2"/>
      <c r="CH2994" s="2"/>
      <c r="CI2994" s="2">
        <v>1</v>
      </c>
      <c r="CJ2994" s="2">
        <v>1</v>
      </c>
      <c r="CK2994" s="2">
        <v>21</v>
      </c>
      <c r="CL2994" s="2" t="s">
        <v>86</v>
      </c>
      <c r="CM2994" s="2"/>
    </row>
    <row r="2995" spans="1:91">
      <c r="A2995" s="2" t="s">
        <v>71</v>
      </c>
      <c r="B2995" s="2" t="s">
        <v>72</v>
      </c>
      <c r="C2995" s="2" t="s">
        <v>73</v>
      </c>
      <c r="D2995" s="2"/>
      <c r="E2995" s="2" t="str">
        <f>"FES1162544826"</f>
        <v>FES1162544826</v>
      </c>
      <c r="F2995" s="3">
        <v>42849</v>
      </c>
      <c r="G2995" s="2">
        <v>201710</v>
      </c>
      <c r="H2995" s="2" t="s">
        <v>74</v>
      </c>
      <c r="I2995" s="2" t="s">
        <v>75</v>
      </c>
      <c r="J2995" s="2" t="s">
        <v>76</v>
      </c>
      <c r="K2995" s="2" t="s">
        <v>77</v>
      </c>
      <c r="L2995" s="2" t="s">
        <v>91</v>
      </c>
      <c r="M2995" s="2" t="s">
        <v>92</v>
      </c>
      <c r="N2995" s="2" t="s">
        <v>3163</v>
      </c>
      <c r="O2995" s="2" t="s">
        <v>115</v>
      </c>
      <c r="P2995" s="2" t="str">
        <f>"2170563353                    "</f>
        <v xml:space="preserve">2170563353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3.35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4.7</v>
      </c>
      <c r="BJ2995" s="2">
        <v>1.6</v>
      </c>
      <c r="BK2995" s="2">
        <v>5</v>
      </c>
      <c r="BL2995" s="2">
        <v>32.6</v>
      </c>
      <c r="BM2995" s="2">
        <v>4.5599999999999996</v>
      </c>
      <c r="BN2995" s="2">
        <v>37.159999999999997</v>
      </c>
      <c r="BO2995" s="2">
        <v>37.159999999999997</v>
      </c>
      <c r="BP2995" s="2"/>
      <c r="BQ2995" s="2" t="s">
        <v>3164</v>
      </c>
      <c r="BR2995" s="2" t="s">
        <v>84</v>
      </c>
      <c r="BS2995" s="3">
        <v>42850</v>
      </c>
      <c r="BT2995" s="4">
        <v>0.41666666666666669</v>
      </c>
      <c r="BU2995" s="2" t="s">
        <v>290</v>
      </c>
      <c r="BV2995" s="2" t="s">
        <v>111</v>
      </c>
      <c r="BW2995" s="2"/>
      <c r="BX2995" s="2"/>
      <c r="BY2995" s="2">
        <v>8144.16</v>
      </c>
      <c r="BZ2995" s="2"/>
      <c r="CA2995" s="2"/>
      <c r="CB2995" s="2"/>
      <c r="CC2995" s="2" t="s">
        <v>92</v>
      </c>
      <c r="CD2995" s="2">
        <v>1422</v>
      </c>
      <c r="CE2995" s="2" t="s">
        <v>89</v>
      </c>
      <c r="CF2995" s="5">
        <v>42851</v>
      </c>
      <c r="CG2995" s="2"/>
      <c r="CH2995" s="2"/>
      <c r="CI2995" s="2">
        <v>1</v>
      </c>
      <c r="CJ2995" s="2">
        <v>1</v>
      </c>
      <c r="CK2995" s="2">
        <v>22</v>
      </c>
      <c r="CL2995" s="2" t="s">
        <v>86</v>
      </c>
      <c r="CM2995" s="2"/>
    </row>
    <row r="2996" spans="1:91">
      <c r="A2996" s="2" t="s">
        <v>71</v>
      </c>
      <c r="B2996" s="2" t="s">
        <v>72</v>
      </c>
      <c r="C2996" s="2" t="s">
        <v>73</v>
      </c>
      <c r="D2996" s="2"/>
      <c r="E2996" s="2" t="str">
        <f>"FES1162545128"</f>
        <v>FES1162545128</v>
      </c>
      <c r="F2996" s="3">
        <v>42849</v>
      </c>
      <c r="G2996" s="2">
        <v>201710</v>
      </c>
      <c r="H2996" s="2" t="s">
        <v>74</v>
      </c>
      <c r="I2996" s="2" t="s">
        <v>75</v>
      </c>
      <c r="J2996" s="2" t="s">
        <v>76</v>
      </c>
      <c r="K2996" s="2" t="s">
        <v>77</v>
      </c>
      <c r="L2996" s="2" t="s">
        <v>91</v>
      </c>
      <c r="M2996" s="2" t="s">
        <v>92</v>
      </c>
      <c r="N2996" s="2" t="s">
        <v>356</v>
      </c>
      <c r="O2996" s="2" t="s">
        <v>115</v>
      </c>
      <c r="P2996" s="2" t="str">
        <f>"2170563601                    "</f>
        <v xml:space="preserve">2170563601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3.35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1.7</v>
      </c>
      <c r="BJ2996" s="2">
        <v>1</v>
      </c>
      <c r="BK2996" s="2">
        <v>2</v>
      </c>
      <c r="BL2996" s="2">
        <v>32.6</v>
      </c>
      <c r="BM2996" s="2">
        <v>4.5599999999999996</v>
      </c>
      <c r="BN2996" s="2">
        <v>37.159999999999997</v>
      </c>
      <c r="BO2996" s="2">
        <v>37.159999999999997</v>
      </c>
      <c r="BP2996" s="2"/>
      <c r="BQ2996" s="2" t="s">
        <v>122</v>
      </c>
      <c r="BR2996" s="2" t="s">
        <v>84</v>
      </c>
      <c r="BS2996" s="3">
        <v>42850</v>
      </c>
      <c r="BT2996" s="4">
        <v>0.41666666666666669</v>
      </c>
      <c r="BU2996" s="2" t="s">
        <v>3165</v>
      </c>
      <c r="BV2996" s="2" t="s">
        <v>111</v>
      </c>
      <c r="BW2996" s="2"/>
      <c r="BX2996" s="2"/>
      <c r="BY2996" s="2">
        <v>4865.8100000000004</v>
      </c>
      <c r="BZ2996" s="2"/>
      <c r="CA2996" s="2"/>
      <c r="CB2996" s="2"/>
      <c r="CC2996" s="2" t="s">
        <v>92</v>
      </c>
      <c r="CD2996" s="2">
        <v>1422</v>
      </c>
      <c r="CE2996" s="2" t="s">
        <v>89</v>
      </c>
      <c r="CF2996" s="5">
        <v>42851</v>
      </c>
      <c r="CG2996" s="2"/>
      <c r="CH2996" s="2"/>
      <c r="CI2996" s="2">
        <v>1</v>
      </c>
      <c r="CJ2996" s="2">
        <v>1</v>
      </c>
      <c r="CK2996" s="2">
        <v>22</v>
      </c>
      <c r="CL2996" s="2" t="s">
        <v>86</v>
      </c>
      <c r="CM2996" s="2"/>
    </row>
    <row r="2997" spans="1:91">
      <c r="A2997" s="2" t="s">
        <v>71</v>
      </c>
      <c r="B2997" s="2" t="s">
        <v>72</v>
      </c>
      <c r="C2997" s="2" t="s">
        <v>73</v>
      </c>
      <c r="D2997" s="2"/>
      <c r="E2997" s="2" t="str">
        <f>"FES1162545092"</f>
        <v>FES1162545092</v>
      </c>
      <c r="F2997" s="3">
        <v>42849</v>
      </c>
      <c r="G2997" s="2">
        <v>201710</v>
      </c>
      <c r="H2997" s="2" t="s">
        <v>74</v>
      </c>
      <c r="I2997" s="2" t="s">
        <v>75</v>
      </c>
      <c r="J2997" s="2" t="s">
        <v>76</v>
      </c>
      <c r="K2997" s="2" t="s">
        <v>77</v>
      </c>
      <c r="L2997" s="2" t="s">
        <v>1322</v>
      </c>
      <c r="M2997" s="2" t="s">
        <v>1323</v>
      </c>
      <c r="N2997" s="2" t="s">
        <v>2055</v>
      </c>
      <c r="O2997" s="2" t="s">
        <v>115</v>
      </c>
      <c r="P2997" s="2" t="str">
        <f>"2170561396                    "</f>
        <v xml:space="preserve">2170561396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8.31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0.7</v>
      </c>
      <c r="BJ2997" s="2">
        <v>1.7</v>
      </c>
      <c r="BK2997" s="2">
        <v>2</v>
      </c>
      <c r="BL2997" s="2">
        <v>80.849999999999994</v>
      </c>
      <c r="BM2997" s="2">
        <v>11.32</v>
      </c>
      <c r="BN2997" s="2">
        <v>92.17</v>
      </c>
      <c r="BO2997" s="2">
        <v>92.17</v>
      </c>
      <c r="BP2997" s="2"/>
      <c r="BQ2997" s="2" t="s">
        <v>116</v>
      </c>
      <c r="BR2997" s="2" t="s">
        <v>84</v>
      </c>
      <c r="BS2997" s="3">
        <v>42850</v>
      </c>
      <c r="BT2997" s="4">
        <v>0.54166666666666663</v>
      </c>
      <c r="BU2997" s="2" t="s">
        <v>3166</v>
      </c>
      <c r="BV2997" s="2" t="s">
        <v>111</v>
      </c>
      <c r="BW2997" s="2"/>
      <c r="BX2997" s="2"/>
      <c r="BY2997" s="2">
        <v>8527.2000000000007</v>
      </c>
      <c r="BZ2997" s="2"/>
      <c r="CA2997" s="2" t="s">
        <v>159</v>
      </c>
      <c r="CB2997" s="2"/>
      <c r="CC2997" s="2" t="s">
        <v>1323</v>
      </c>
      <c r="CD2997" s="2">
        <v>4170</v>
      </c>
      <c r="CE2997" s="2" t="s">
        <v>89</v>
      </c>
      <c r="CF2997" s="2"/>
      <c r="CG2997" s="2"/>
      <c r="CH2997" s="2"/>
      <c r="CI2997" s="2">
        <v>1</v>
      </c>
      <c r="CJ2997" s="2">
        <v>1</v>
      </c>
      <c r="CK2997" s="2">
        <v>23</v>
      </c>
      <c r="CL2997" s="2" t="s">
        <v>86</v>
      </c>
      <c r="CM2997" s="2"/>
    </row>
    <row r="2998" spans="1:91">
      <c r="A2998" s="2" t="s">
        <v>71</v>
      </c>
      <c r="B2998" s="2" t="s">
        <v>72</v>
      </c>
      <c r="C2998" s="2" t="s">
        <v>73</v>
      </c>
      <c r="D2998" s="2"/>
      <c r="E2998" s="2" t="str">
        <f>"FES1162544817"</f>
        <v>FES1162544817</v>
      </c>
      <c r="F2998" s="3">
        <v>42849</v>
      </c>
      <c r="G2998" s="2">
        <v>201710</v>
      </c>
      <c r="H2998" s="2" t="s">
        <v>74</v>
      </c>
      <c r="I2998" s="2" t="s">
        <v>75</v>
      </c>
      <c r="J2998" s="2" t="s">
        <v>76</v>
      </c>
      <c r="K2998" s="2" t="s">
        <v>77</v>
      </c>
      <c r="L2998" s="2" t="s">
        <v>74</v>
      </c>
      <c r="M2998" s="2" t="s">
        <v>75</v>
      </c>
      <c r="N2998" s="2" t="s">
        <v>1684</v>
      </c>
      <c r="O2998" s="2" t="s">
        <v>115</v>
      </c>
      <c r="P2998" s="2" t="str">
        <f>"2170562706                    "</f>
        <v xml:space="preserve">2170562706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3.35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2.4</v>
      </c>
      <c r="BJ2998" s="2">
        <v>6</v>
      </c>
      <c r="BK2998" s="2">
        <v>6</v>
      </c>
      <c r="BL2998" s="2">
        <v>32.6</v>
      </c>
      <c r="BM2998" s="2">
        <v>4.5599999999999996</v>
      </c>
      <c r="BN2998" s="2">
        <v>37.159999999999997</v>
      </c>
      <c r="BO2998" s="2">
        <v>37.159999999999997</v>
      </c>
      <c r="BP2998" s="2"/>
      <c r="BQ2998" s="2" t="s">
        <v>1685</v>
      </c>
      <c r="BR2998" s="2" t="s">
        <v>84</v>
      </c>
      <c r="BS2998" s="3">
        <v>42850</v>
      </c>
      <c r="BT2998" s="4">
        <v>0.33124999999999999</v>
      </c>
      <c r="BU2998" s="2" t="s">
        <v>2662</v>
      </c>
      <c r="BV2998" s="2" t="s">
        <v>111</v>
      </c>
      <c r="BW2998" s="2"/>
      <c r="BX2998" s="2"/>
      <c r="BY2998" s="2">
        <v>29827.5</v>
      </c>
      <c r="BZ2998" s="2"/>
      <c r="CA2998" s="2" t="s">
        <v>1687</v>
      </c>
      <c r="CB2998" s="2"/>
      <c r="CC2998" s="2" t="s">
        <v>75</v>
      </c>
      <c r="CD2998" s="2">
        <v>1609</v>
      </c>
      <c r="CE2998" s="2" t="s">
        <v>89</v>
      </c>
      <c r="CF2998" s="5">
        <v>42850</v>
      </c>
      <c r="CG2998" s="2"/>
      <c r="CH2998" s="2"/>
      <c r="CI2998" s="2">
        <v>1</v>
      </c>
      <c r="CJ2998" s="2">
        <v>1</v>
      </c>
      <c r="CK2998" s="2">
        <v>22</v>
      </c>
      <c r="CL2998" s="2" t="s">
        <v>86</v>
      </c>
      <c r="CM2998" s="2"/>
    </row>
    <row r="2999" spans="1:91">
      <c r="A2999" s="2" t="s">
        <v>71</v>
      </c>
      <c r="B2999" s="2" t="s">
        <v>72</v>
      </c>
      <c r="C2999" s="2" t="s">
        <v>73</v>
      </c>
      <c r="D2999" s="2"/>
      <c r="E2999" s="2" t="str">
        <f>"FES1162545159"</f>
        <v>FES1162545159</v>
      </c>
      <c r="F2999" s="3">
        <v>42849</v>
      </c>
      <c r="G2999" s="2">
        <v>201710</v>
      </c>
      <c r="H2999" s="2" t="s">
        <v>74</v>
      </c>
      <c r="I2999" s="2" t="s">
        <v>75</v>
      </c>
      <c r="J2999" s="2" t="s">
        <v>76</v>
      </c>
      <c r="K2999" s="2" t="s">
        <v>77</v>
      </c>
      <c r="L2999" s="2" t="s">
        <v>112</v>
      </c>
      <c r="M2999" s="2" t="s">
        <v>113</v>
      </c>
      <c r="N2999" s="2" t="s">
        <v>386</v>
      </c>
      <c r="O2999" s="2" t="s">
        <v>115</v>
      </c>
      <c r="P2999" s="2" t="str">
        <f>"2170563642                    "</f>
        <v xml:space="preserve">2170563642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21.43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9.6</v>
      </c>
      <c r="BJ2999" s="2">
        <v>4.5999999999999996</v>
      </c>
      <c r="BK2999" s="2">
        <v>10</v>
      </c>
      <c r="BL2999" s="2">
        <v>208.63</v>
      </c>
      <c r="BM2999" s="2">
        <v>29.21</v>
      </c>
      <c r="BN2999" s="2">
        <v>237.84</v>
      </c>
      <c r="BO2999" s="2">
        <v>237.84</v>
      </c>
      <c r="BP2999" s="2"/>
      <c r="BQ2999" s="2" t="s">
        <v>122</v>
      </c>
      <c r="BR2999" s="2" t="s">
        <v>84</v>
      </c>
      <c r="BS2999" s="3">
        <v>42850</v>
      </c>
      <c r="BT2999" s="4">
        <v>0.38541666666666669</v>
      </c>
      <c r="BU2999" s="2" t="s">
        <v>3092</v>
      </c>
      <c r="BV2999" s="2" t="s">
        <v>111</v>
      </c>
      <c r="BW2999" s="2"/>
      <c r="BX2999" s="2"/>
      <c r="BY2999" s="2">
        <v>23199.46</v>
      </c>
      <c r="BZ2999" s="2"/>
      <c r="CA2999" s="2"/>
      <c r="CB2999" s="2"/>
      <c r="CC2999" s="2" t="s">
        <v>113</v>
      </c>
      <c r="CD2999" s="2">
        <v>3200</v>
      </c>
      <c r="CE2999" s="2" t="s">
        <v>89</v>
      </c>
      <c r="CF2999" s="5">
        <v>42851</v>
      </c>
      <c r="CG2999" s="2"/>
      <c r="CH2999" s="2"/>
      <c r="CI2999" s="2">
        <v>1</v>
      </c>
      <c r="CJ2999" s="2">
        <v>1</v>
      </c>
      <c r="CK2999" s="2">
        <v>21</v>
      </c>
      <c r="CL2999" s="2" t="s">
        <v>86</v>
      </c>
      <c r="CM2999" s="2"/>
    </row>
    <row r="3000" spans="1:91">
      <c r="A3000" s="2" t="s">
        <v>71</v>
      </c>
      <c r="B3000" s="2" t="s">
        <v>72</v>
      </c>
      <c r="C3000" s="2" t="s">
        <v>73</v>
      </c>
      <c r="D3000" s="2"/>
      <c r="E3000" s="2" t="str">
        <f>"FES1162545117"</f>
        <v>FES1162545117</v>
      </c>
      <c r="F3000" s="3">
        <v>42849</v>
      </c>
      <c r="G3000" s="2">
        <v>201710</v>
      </c>
      <c r="H3000" s="2" t="s">
        <v>74</v>
      </c>
      <c r="I3000" s="2" t="s">
        <v>75</v>
      </c>
      <c r="J3000" s="2" t="s">
        <v>76</v>
      </c>
      <c r="K3000" s="2" t="s">
        <v>77</v>
      </c>
      <c r="L3000" s="2" t="s">
        <v>74</v>
      </c>
      <c r="M3000" s="2" t="s">
        <v>75</v>
      </c>
      <c r="N3000" s="2" t="s">
        <v>1684</v>
      </c>
      <c r="O3000" s="2" t="s">
        <v>115</v>
      </c>
      <c r="P3000" s="2" t="str">
        <f>"2170563064                    "</f>
        <v xml:space="preserve">2170563064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4.96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</v>
      </c>
      <c r="BI3000" s="2">
        <v>6.4</v>
      </c>
      <c r="BJ3000" s="2">
        <v>11.3</v>
      </c>
      <c r="BK3000" s="2">
        <v>12</v>
      </c>
      <c r="BL3000" s="2">
        <v>48.25</v>
      </c>
      <c r="BM3000" s="2">
        <v>6.76</v>
      </c>
      <c r="BN3000" s="2">
        <v>55.01</v>
      </c>
      <c r="BO3000" s="2">
        <v>55.01</v>
      </c>
      <c r="BP3000" s="2"/>
      <c r="BQ3000" s="2" t="s">
        <v>1685</v>
      </c>
      <c r="BR3000" s="2" t="s">
        <v>84</v>
      </c>
      <c r="BS3000" s="3">
        <v>42850</v>
      </c>
      <c r="BT3000" s="4">
        <v>0.33124999999999999</v>
      </c>
      <c r="BU3000" s="2" t="s">
        <v>2662</v>
      </c>
      <c r="BV3000" s="2" t="s">
        <v>111</v>
      </c>
      <c r="BW3000" s="2"/>
      <c r="BX3000" s="2"/>
      <c r="BY3000" s="2">
        <v>56712.480000000003</v>
      </c>
      <c r="BZ3000" s="2"/>
      <c r="CA3000" s="2" t="s">
        <v>1687</v>
      </c>
      <c r="CB3000" s="2"/>
      <c r="CC3000" s="2" t="s">
        <v>75</v>
      </c>
      <c r="CD3000" s="2">
        <v>1609</v>
      </c>
      <c r="CE3000" s="2" t="s">
        <v>89</v>
      </c>
      <c r="CF3000" s="5">
        <v>42850</v>
      </c>
      <c r="CG3000" s="2"/>
      <c r="CH3000" s="2"/>
      <c r="CI3000" s="2">
        <v>1</v>
      </c>
      <c r="CJ3000" s="2">
        <v>1</v>
      </c>
      <c r="CK3000" s="2">
        <v>22</v>
      </c>
      <c r="CL3000" s="2" t="s">
        <v>86</v>
      </c>
      <c r="CM3000" s="2"/>
    </row>
    <row r="3001" spans="1:91">
      <c r="A3001" s="2" t="s">
        <v>71</v>
      </c>
      <c r="B3001" s="2" t="s">
        <v>72</v>
      </c>
      <c r="C3001" s="2" t="s">
        <v>73</v>
      </c>
      <c r="D3001" s="2"/>
      <c r="E3001" s="2" t="str">
        <f>"FES1162545142"</f>
        <v>FES1162545142</v>
      </c>
      <c r="F3001" s="3">
        <v>42849</v>
      </c>
      <c r="G3001" s="2">
        <v>201710</v>
      </c>
      <c r="H3001" s="2" t="s">
        <v>74</v>
      </c>
      <c r="I3001" s="2" t="s">
        <v>75</v>
      </c>
      <c r="J3001" s="2" t="s">
        <v>76</v>
      </c>
      <c r="K3001" s="2" t="s">
        <v>77</v>
      </c>
      <c r="L3001" s="2" t="s">
        <v>166</v>
      </c>
      <c r="M3001" s="2" t="s">
        <v>167</v>
      </c>
      <c r="N3001" s="2" t="s">
        <v>168</v>
      </c>
      <c r="O3001" s="2" t="s">
        <v>115</v>
      </c>
      <c r="P3001" s="2" t="str">
        <f>"2170563642                    "</f>
        <v xml:space="preserve">2170563642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3.35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1.8</v>
      </c>
      <c r="BJ3001" s="2">
        <v>2.1</v>
      </c>
      <c r="BK3001" s="2">
        <v>3</v>
      </c>
      <c r="BL3001" s="2">
        <v>32.6</v>
      </c>
      <c r="BM3001" s="2">
        <v>4.5599999999999996</v>
      </c>
      <c r="BN3001" s="2">
        <v>37.159999999999997</v>
      </c>
      <c r="BO3001" s="2">
        <v>37.159999999999997</v>
      </c>
      <c r="BP3001" s="2"/>
      <c r="BQ3001" s="2" t="s">
        <v>169</v>
      </c>
      <c r="BR3001" s="2" t="s">
        <v>84</v>
      </c>
      <c r="BS3001" s="3">
        <v>42850</v>
      </c>
      <c r="BT3001" s="4">
        <v>0.3923611111111111</v>
      </c>
      <c r="BU3001" s="2" t="s">
        <v>170</v>
      </c>
      <c r="BV3001" s="2" t="s">
        <v>111</v>
      </c>
      <c r="BW3001" s="2"/>
      <c r="BX3001" s="2"/>
      <c r="BY3001" s="2">
        <v>10585</v>
      </c>
      <c r="BZ3001" s="2"/>
      <c r="CA3001" s="2" t="s">
        <v>171</v>
      </c>
      <c r="CB3001" s="2"/>
      <c r="CC3001" s="2" t="s">
        <v>167</v>
      </c>
      <c r="CD3001" s="2">
        <v>2094</v>
      </c>
      <c r="CE3001" s="2" t="s">
        <v>172</v>
      </c>
      <c r="CF3001" s="5">
        <v>42850</v>
      </c>
      <c r="CG3001" s="2"/>
      <c r="CH3001" s="2"/>
      <c r="CI3001" s="2">
        <v>1</v>
      </c>
      <c r="CJ3001" s="2">
        <v>1</v>
      </c>
      <c r="CK3001" s="2">
        <v>22</v>
      </c>
      <c r="CL3001" s="2" t="s">
        <v>86</v>
      </c>
      <c r="CM3001" s="2"/>
    </row>
    <row r="3002" spans="1:91">
      <c r="A3002" s="2" t="s">
        <v>71</v>
      </c>
      <c r="B3002" s="2" t="s">
        <v>72</v>
      </c>
      <c r="C3002" s="2" t="s">
        <v>73</v>
      </c>
      <c r="D3002" s="2"/>
      <c r="E3002" s="2" t="str">
        <f>"FES1162545236"</f>
        <v>FES1162545236</v>
      </c>
      <c r="F3002" s="3">
        <v>42849</v>
      </c>
      <c r="G3002" s="2">
        <v>201710</v>
      </c>
      <c r="H3002" s="2" t="s">
        <v>74</v>
      </c>
      <c r="I3002" s="2" t="s">
        <v>75</v>
      </c>
      <c r="J3002" s="2" t="s">
        <v>76</v>
      </c>
      <c r="K3002" s="2" t="s">
        <v>77</v>
      </c>
      <c r="L3002" s="2" t="s">
        <v>131</v>
      </c>
      <c r="M3002" s="2" t="s">
        <v>132</v>
      </c>
      <c r="N3002" s="2" t="s">
        <v>384</v>
      </c>
      <c r="O3002" s="2" t="s">
        <v>115</v>
      </c>
      <c r="P3002" s="2" t="str">
        <f>"2170563719                    "</f>
        <v xml:space="preserve">2170563719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42.87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20</v>
      </c>
      <c r="BJ3002" s="2">
        <v>19.2</v>
      </c>
      <c r="BK3002" s="2">
        <v>20</v>
      </c>
      <c r="BL3002" s="2">
        <v>417.27</v>
      </c>
      <c r="BM3002" s="2">
        <v>58.42</v>
      </c>
      <c r="BN3002" s="2">
        <v>475.69</v>
      </c>
      <c r="BO3002" s="2">
        <v>475.69</v>
      </c>
      <c r="BP3002" s="2"/>
      <c r="BQ3002" s="2" t="s">
        <v>468</v>
      </c>
      <c r="BR3002" s="2" t="s">
        <v>84</v>
      </c>
      <c r="BS3002" s="3">
        <v>42850</v>
      </c>
      <c r="BT3002" s="4">
        <v>0.35069444444444442</v>
      </c>
      <c r="BU3002" s="2" t="s">
        <v>2167</v>
      </c>
      <c r="BV3002" s="2" t="s">
        <v>111</v>
      </c>
      <c r="BW3002" s="2"/>
      <c r="BX3002" s="2"/>
      <c r="BY3002" s="2">
        <v>95907.24</v>
      </c>
      <c r="BZ3002" s="2"/>
      <c r="CA3002" s="2"/>
      <c r="CB3002" s="2"/>
      <c r="CC3002" s="2" t="s">
        <v>132</v>
      </c>
      <c r="CD3002" s="2">
        <v>7405</v>
      </c>
      <c r="CE3002" s="2" t="s">
        <v>89</v>
      </c>
      <c r="CF3002" s="5">
        <v>42851</v>
      </c>
      <c r="CG3002" s="2"/>
      <c r="CH3002" s="2"/>
      <c r="CI3002" s="2">
        <v>1</v>
      </c>
      <c r="CJ3002" s="2">
        <v>1</v>
      </c>
      <c r="CK3002" s="2">
        <v>21</v>
      </c>
      <c r="CL3002" s="2" t="s">
        <v>86</v>
      </c>
      <c r="CM3002" s="2"/>
    </row>
    <row r="3003" spans="1:91">
      <c r="A3003" s="2" t="s">
        <v>71</v>
      </c>
      <c r="B3003" s="2" t="s">
        <v>72</v>
      </c>
      <c r="C3003" s="2" t="s">
        <v>73</v>
      </c>
      <c r="D3003" s="2"/>
      <c r="E3003" s="2" t="str">
        <f>"FES1162544800"</f>
        <v>FES1162544800</v>
      </c>
      <c r="F3003" s="3">
        <v>42849</v>
      </c>
      <c r="G3003" s="2">
        <v>201710</v>
      </c>
      <c r="H3003" s="2" t="s">
        <v>74</v>
      </c>
      <c r="I3003" s="2" t="s">
        <v>75</v>
      </c>
      <c r="J3003" s="2" t="s">
        <v>76</v>
      </c>
      <c r="K3003" s="2" t="s">
        <v>77</v>
      </c>
      <c r="L3003" s="2" t="s">
        <v>74</v>
      </c>
      <c r="M3003" s="2" t="s">
        <v>75</v>
      </c>
      <c r="N3003" s="2" t="s">
        <v>3167</v>
      </c>
      <c r="O3003" s="2" t="s">
        <v>115</v>
      </c>
      <c r="P3003" s="2" t="str">
        <f>"2170559326                    "</f>
        <v xml:space="preserve">2170559326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3.35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2.1</v>
      </c>
      <c r="BJ3003" s="2">
        <v>2.9</v>
      </c>
      <c r="BK3003" s="2">
        <v>3</v>
      </c>
      <c r="BL3003" s="2">
        <v>32.6</v>
      </c>
      <c r="BM3003" s="2">
        <v>4.5599999999999996</v>
      </c>
      <c r="BN3003" s="2">
        <v>37.159999999999997</v>
      </c>
      <c r="BO3003" s="2">
        <v>37.159999999999997</v>
      </c>
      <c r="BP3003" s="2"/>
      <c r="BQ3003" s="2"/>
      <c r="BR3003" s="2" t="s">
        <v>84</v>
      </c>
      <c r="BS3003" s="3">
        <v>42850</v>
      </c>
      <c r="BT3003" s="4">
        <v>0.37361111111111112</v>
      </c>
      <c r="BU3003" s="2" t="s">
        <v>3168</v>
      </c>
      <c r="BV3003" s="2" t="s">
        <v>111</v>
      </c>
      <c r="BW3003" s="2"/>
      <c r="BX3003" s="2"/>
      <c r="BY3003" s="2">
        <v>14549.25</v>
      </c>
      <c r="BZ3003" s="2"/>
      <c r="CA3003" s="2" t="s">
        <v>383</v>
      </c>
      <c r="CB3003" s="2"/>
      <c r="CC3003" s="2" t="s">
        <v>75</v>
      </c>
      <c r="CD3003" s="2">
        <v>1600</v>
      </c>
      <c r="CE3003" s="2" t="s">
        <v>172</v>
      </c>
      <c r="CF3003" s="5">
        <v>42850</v>
      </c>
      <c r="CG3003" s="2"/>
      <c r="CH3003" s="2"/>
      <c r="CI3003" s="2">
        <v>1</v>
      </c>
      <c r="CJ3003" s="2">
        <v>1</v>
      </c>
      <c r="CK3003" s="2">
        <v>22</v>
      </c>
      <c r="CL3003" s="2" t="s">
        <v>86</v>
      </c>
      <c r="CM3003" s="2"/>
    </row>
    <row r="3004" spans="1:91">
      <c r="A3004" s="2" t="s">
        <v>71</v>
      </c>
      <c r="B3004" s="2" t="s">
        <v>72</v>
      </c>
      <c r="C3004" s="2" t="s">
        <v>73</v>
      </c>
      <c r="D3004" s="2"/>
      <c r="E3004" s="2" t="str">
        <f>"FES1162545115"</f>
        <v>FES1162545115</v>
      </c>
      <c r="F3004" s="3">
        <v>42849</v>
      </c>
      <c r="G3004" s="2">
        <v>201710</v>
      </c>
      <c r="H3004" s="2" t="s">
        <v>74</v>
      </c>
      <c r="I3004" s="2" t="s">
        <v>75</v>
      </c>
      <c r="J3004" s="2" t="s">
        <v>76</v>
      </c>
      <c r="K3004" s="2" t="s">
        <v>77</v>
      </c>
      <c r="L3004" s="2" t="s">
        <v>99</v>
      </c>
      <c r="M3004" s="2" t="s">
        <v>100</v>
      </c>
      <c r="N3004" s="2" t="s">
        <v>108</v>
      </c>
      <c r="O3004" s="2" t="s">
        <v>115</v>
      </c>
      <c r="P3004" s="2" t="str">
        <f>"2170562104                    "</f>
        <v xml:space="preserve">2170562104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7.5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3.4</v>
      </c>
      <c r="BJ3004" s="2">
        <v>1.8</v>
      </c>
      <c r="BK3004" s="2">
        <v>3.5</v>
      </c>
      <c r="BL3004" s="2">
        <v>73.02</v>
      </c>
      <c r="BM3004" s="2">
        <v>10.220000000000001</v>
      </c>
      <c r="BN3004" s="2">
        <v>83.24</v>
      </c>
      <c r="BO3004" s="2">
        <v>83.24</v>
      </c>
      <c r="BP3004" s="2"/>
      <c r="BQ3004" s="2" t="s">
        <v>109</v>
      </c>
      <c r="BR3004" s="2" t="s">
        <v>84</v>
      </c>
      <c r="BS3004" s="3">
        <v>42850</v>
      </c>
      <c r="BT3004" s="4">
        <v>0.37152777777777773</v>
      </c>
      <c r="BU3004" s="2" t="s">
        <v>2884</v>
      </c>
      <c r="BV3004" s="2" t="s">
        <v>111</v>
      </c>
      <c r="BW3004" s="2"/>
      <c r="BX3004" s="2"/>
      <c r="BY3004" s="2">
        <v>9045.9699999999993</v>
      </c>
      <c r="BZ3004" s="2"/>
      <c r="CA3004" s="2" t="s">
        <v>106</v>
      </c>
      <c r="CB3004" s="2"/>
      <c r="CC3004" s="2" t="s">
        <v>100</v>
      </c>
      <c r="CD3004" s="2">
        <v>6001</v>
      </c>
      <c r="CE3004" s="2" t="s">
        <v>89</v>
      </c>
      <c r="CF3004" s="5">
        <v>42851</v>
      </c>
      <c r="CG3004" s="2"/>
      <c r="CH3004" s="2"/>
      <c r="CI3004" s="2">
        <v>1</v>
      </c>
      <c r="CJ3004" s="2">
        <v>1</v>
      </c>
      <c r="CK3004" s="2">
        <v>21</v>
      </c>
      <c r="CL3004" s="2" t="s">
        <v>86</v>
      </c>
      <c r="CM3004" s="2"/>
    </row>
    <row r="3005" spans="1:91">
      <c r="A3005" s="2" t="s">
        <v>71</v>
      </c>
      <c r="B3005" s="2" t="s">
        <v>72</v>
      </c>
      <c r="C3005" s="2" t="s">
        <v>73</v>
      </c>
      <c r="D3005" s="2"/>
      <c r="E3005" s="2" t="str">
        <f>"FES1162545085"</f>
        <v>FES1162545085</v>
      </c>
      <c r="F3005" s="3">
        <v>42849</v>
      </c>
      <c r="G3005" s="2">
        <v>201710</v>
      </c>
      <c r="H3005" s="2" t="s">
        <v>74</v>
      </c>
      <c r="I3005" s="2" t="s">
        <v>75</v>
      </c>
      <c r="J3005" s="2" t="s">
        <v>76</v>
      </c>
      <c r="K3005" s="2" t="s">
        <v>77</v>
      </c>
      <c r="L3005" s="2" t="s">
        <v>659</v>
      </c>
      <c r="M3005" s="2" t="s">
        <v>660</v>
      </c>
      <c r="N3005" s="2" t="s">
        <v>738</v>
      </c>
      <c r="O3005" s="2" t="s">
        <v>115</v>
      </c>
      <c r="P3005" s="2" t="str">
        <f>"2170560615                    "</f>
        <v xml:space="preserve">2170560615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11.79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5.4</v>
      </c>
      <c r="BJ3005" s="2">
        <v>3.4</v>
      </c>
      <c r="BK3005" s="2">
        <v>5.5</v>
      </c>
      <c r="BL3005" s="2">
        <v>114.75</v>
      </c>
      <c r="BM3005" s="2">
        <v>16.07</v>
      </c>
      <c r="BN3005" s="2">
        <v>130.82</v>
      </c>
      <c r="BO3005" s="2">
        <v>130.82</v>
      </c>
      <c r="BP3005" s="2"/>
      <c r="BQ3005" s="2" t="s">
        <v>739</v>
      </c>
      <c r="BR3005" s="2" t="s">
        <v>84</v>
      </c>
      <c r="BS3005" s="3">
        <v>42850</v>
      </c>
      <c r="BT3005" s="4">
        <v>0.39861111111111108</v>
      </c>
      <c r="BU3005" s="2" t="s">
        <v>3140</v>
      </c>
      <c r="BV3005" s="2" t="s">
        <v>111</v>
      </c>
      <c r="BW3005" s="2"/>
      <c r="BX3005" s="2"/>
      <c r="BY3005" s="2">
        <v>17057.29</v>
      </c>
      <c r="BZ3005" s="2"/>
      <c r="CA3005" s="2"/>
      <c r="CB3005" s="2"/>
      <c r="CC3005" s="2" t="s">
        <v>660</v>
      </c>
      <c r="CD3005" s="2">
        <v>3310</v>
      </c>
      <c r="CE3005" s="2" t="s">
        <v>89</v>
      </c>
      <c r="CF3005" s="5">
        <v>42851</v>
      </c>
      <c r="CG3005" s="2"/>
      <c r="CH3005" s="2"/>
      <c r="CI3005" s="2">
        <v>1</v>
      </c>
      <c r="CJ3005" s="2">
        <v>1</v>
      </c>
      <c r="CK3005" s="2">
        <v>21</v>
      </c>
      <c r="CL3005" s="2" t="s">
        <v>86</v>
      </c>
      <c r="CM3005" s="2"/>
    </row>
    <row r="3006" spans="1:91">
      <c r="A3006" s="2" t="s">
        <v>71</v>
      </c>
      <c r="B3006" s="2" t="s">
        <v>72</v>
      </c>
      <c r="C3006" s="2" t="s">
        <v>73</v>
      </c>
      <c r="D3006" s="2"/>
      <c r="E3006" s="2" t="str">
        <f>"FES1162545222"</f>
        <v>FES1162545222</v>
      </c>
      <c r="F3006" s="3">
        <v>42849</v>
      </c>
      <c r="G3006" s="2">
        <v>201710</v>
      </c>
      <c r="H3006" s="2" t="s">
        <v>74</v>
      </c>
      <c r="I3006" s="2" t="s">
        <v>75</v>
      </c>
      <c r="J3006" s="2" t="s">
        <v>76</v>
      </c>
      <c r="K3006" s="2" t="s">
        <v>77</v>
      </c>
      <c r="L3006" s="2" t="s">
        <v>294</v>
      </c>
      <c r="M3006" s="2" t="s">
        <v>295</v>
      </c>
      <c r="N3006" s="2" t="s">
        <v>3169</v>
      </c>
      <c r="O3006" s="2" t="s">
        <v>115</v>
      </c>
      <c r="P3006" s="2" t="str">
        <f>"2170563708                    "</f>
        <v xml:space="preserve">2170563708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7.5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3.5</v>
      </c>
      <c r="BJ3006" s="2">
        <v>1.6</v>
      </c>
      <c r="BK3006" s="2">
        <v>3.5</v>
      </c>
      <c r="BL3006" s="2">
        <v>73.02</v>
      </c>
      <c r="BM3006" s="2">
        <v>10.220000000000001</v>
      </c>
      <c r="BN3006" s="2">
        <v>83.24</v>
      </c>
      <c r="BO3006" s="2">
        <v>83.24</v>
      </c>
      <c r="BP3006" s="2"/>
      <c r="BQ3006" s="2" t="s">
        <v>129</v>
      </c>
      <c r="BR3006" s="2" t="s">
        <v>84</v>
      </c>
      <c r="BS3006" s="3">
        <v>42850</v>
      </c>
      <c r="BT3006" s="4">
        <v>0.3659722222222222</v>
      </c>
      <c r="BU3006" s="2" t="s">
        <v>2898</v>
      </c>
      <c r="BV3006" s="2" t="s">
        <v>111</v>
      </c>
      <c r="BW3006" s="2"/>
      <c r="BX3006" s="2"/>
      <c r="BY3006" s="2">
        <v>8100.8</v>
      </c>
      <c r="BZ3006" s="2"/>
      <c r="CA3006" s="2"/>
      <c r="CB3006" s="2"/>
      <c r="CC3006" s="2" t="s">
        <v>295</v>
      </c>
      <c r="CD3006" s="2">
        <v>3610</v>
      </c>
      <c r="CE3006" s="2" t="s">
        <v>89</v>
      </c>
      <c r="CF3006" s="5">
        <v>42851</v>
      </c>
      <c r="CG3006" s="2"/>
      <c r="CH3006" s="2"/>
      <c r="CI3006" s="2">
        <v>1</v>
      </c>
      <c r="CJ3006" s="2">
        <v>1</v>
      </c>
      <c r="CK3006" s="2">
        <v>21</v>
      </c>
      <c r="CL3006" s="2" t="s">
        <v>86</v>
      </c>
      <c r="CM3006" s="2"/>
    </row>
    <row r="3007" spans="1:91">
      <c r="A3007" s="2" t="s">
        <v>71</v>
      </c>
      <c r="B3007" s="2" t="s">
        <v>72</v>
      </c>
      <c r="C3007" s="2" t="s">
        <v>73</v>
      </c>
      <c r="D3007" s="2"/>
      <c r="E3007" s="2" t="str">
        <f>"FES1162545203"</f>
        <v>FES1162545203</v>
      </c>
      <c r="F3007" s="3">
        <v>42849</v>
      </c>
      <c r="G3007" s="2">
        <v>201710</v>
      </c>
      <c r="H3007" s="2" t="s">
        <v>74</v>
      </c>
      <c r="I3007" s="2" t="s">
        <v>75</v>
      </c>
      <c r="J3007" s="2" t="s">
        <v>76</v>
      </c>
      <c r="K3007" s="2" t="s">
        <v>77</v>
      </c>
      <c r="L3007" s="2" t="s">
        <v>112</v>
      </c>
      <c r="M3007" s="2" t="s">
        <v>113</v>
      </c>
      <c r="N3007" s="2" t="s">
        <v>208</v>
      </c>
      <c r="O3007" s="2" t="s">
        <v>115</v>
      </c>
      <c r="P3007" s="2" t="str">
        <f>"2170563695                    "</f>
        <v xml:space="preserve">2170563695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7.5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2.2999999999999998</v>
      </c>
      <c r="BJ3007" s="2">
        <v>3.3</v>
      </c>
      <c r="BK3007" s="2">
        <v>3.5</v>
      </c>
      <c r="BL3007" s="2">
        <v>73.02</v>
      </c>
      <c r="BM3007" s="2">
        <v>10.220000000000001</v>
      </c>
      <c r="BN3007" s="2">
        <v>83.24</v>
      </c>
      <c r="BO3007" s="2">
        <v>83.24</v>
      </c>
      <c r="BP3007" s="2"/>
      <c r="BQ3007" s="2" t="s">
        <v>122</v>
      </c>
      <c r="BR3007" s="2" t="s">
        <v>84</v>
      </c>
      <c r="BS3007" s="3">
        <v>42850</v>
      </c>
      <c r="BT3007" s="4">
        <v>0.39583333333333331</v>
      </c>
      <c r="BU3007" s="2" t="s">
        <v>3170</v>
      </c>
      <c r="BV3007" s="2" t="s">
        <v>111</v>
      </c>
      <c r="BW3007" s="2"/>
      <c r="BX3007" s="2"/>
      <c r="BY3007" s="2">
        <v>16731.16</v>
      </c>
      <c r="BZ3007" s="2"/>
      <c r="CA3007" s="2"/>
      <c r="CB3007" s="2"/>
      <c r="CC3007" s="2" t="s">
        <v>113</v>
      </c>
      <c r="CD3007" s="2">
        <v>3201</v>
      </c>
      <c r="CE3007" s="2" t="s">
        <v>172</v>
      </c>
      <c r="CF3007" s="5">
        <v>42851</v>
      </c>
      <c r="CG3007" s="2"/>
      <c r="CH3007" s="2"/>
      <c r="CI3007" s="2">
        <v>1</v>
      </c>
      <c r="CJ3007" s="2">
        <v>1</v>
      </c>
      <c r="CK3007" s="2">
        <v>21</v>
      </c>
      <c r="CL3007" s="2" t="s">
        <v>86</v>
      </c>
      <c r="CM3007" s="2"/>
    </row>
    <row r="3008" spans="1:91">
      <c r="A3008" s="2" t="s">
        <v>71</v>
      </c>
      <c r="B3008" s="2" t="s">
        <v>72</v>
      </c>
      <c r="C3008" s="2" t="s">
        <v>73</v>
      </c>
      <c r="D3008" s="2"/>
      <c r="E3008" s="2" t="str">
        <f>"FES1162545284"</f>
        <v>FES1162545284</v>
      </c>
      <c r="F3008" s="3">
        <v>42849</v>
      </c>
      <c r="G3008" s="2">
        <v>201710</v>
      </c>
      <c r="H3008" s="2" t="s">
        <v>74</v>
      </c>
      <c r="I3008" s="2" t="s">
        <v>75</v>
      </c>
      <c r="J3008" s="2" t="s">
        <v>76</v>
      </c>
      <c r="K3008" s="2" t="s">
        <v>77</v>
      </c>
      <c r="L3008" s="2" t="s">
        <v>358</v>
      </c>
      <c r="M3008" s="2" t="s">
        <v>359</v>
      </c>
      <c r="N3008" s="2" t="s">
        <v>360</v>
      </c>
      <c r="O3008" s="2" t="s">
        <v>115</v>
      </c>
      <c r="P3008" s="2" t="str">
        <f>"2170557787                    "</f>
        <v xml:space="preserve">2170557787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6.43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2</v>
      </c>
      <c r="BJ3008" s="2">
        <v>2.9</v>
      </c>
      <c r="BK3008" s="2">
        <v>3</v>
      </c>
      <c r="BL3008" s="2">
        <v>62.59</v>
      </c>
      <c r="BM3008" s="2">
        <v>8.76</v>
      </c>
      <c r="BN3008" s="2">
        <v>71.349999999999994</v>
      </c>
      <c r="BO3008" s="2">
        <v>71.349999999999994</v>
      </c>
      <c r="BP3008" s="2"/>
      <c r="BQ3008" s="2" t="s">
        <v>361</v>
      </c>
      <c r="BR3008" s="2" t="s">
        <v>84</v>
      </c>
      <c r="BS3008" s="3">
        <v>42850</v>
      </c>
      <c r="BT3008" s="4">
        <v>0.31597222222222221</v>
      </c>
      <c r="BU3008" s="2" t="s">
        <v>1271</v>
      </c>
      <c r="BV3008" s="2" t="s">
        <v>111</v>
      </c>
      <c r="BW3008" s="2"/>
      <c r="BX3008" s="2"/>
      <c r="BY3008" s="2">
        <v>14679.7</v>
      </c>
      <c r="BZ3008" s="2"/>
      <c r="CA3008" s="2"/>
      <c r="CB3008" s="2"/>
      <c r="CC3008" s="2" t="s">
        <v>359</v>
      </c>
      <c r="CD3008" s="2">
        <v>6229</v>
      </c>
      <c r="CE3008" s="2" t="s">
        <v>89</v>
      </c>
      <c r="CF3008" s="5">
        <v>42851</v>
      </c>
      <c r="CG3008" s="2"/>
      <c r="CH3008" s="2"/>
      <c r="CI3008" s="2">
        <v>1</v>
      </c>
      <c r="CJ3008" s="2">
        <v>1</v>
      </c>
      <c r="CK3008" s="2">
        <v>21</v>
      </c>
      <c r="CL3008" s="2" t="s">
        <v>86</v>
      </c>
      <c r="CM3008" s="2"/>
    </row>
    <row r="3009" spans="1:91">
      <c r="A3009" s="2" t="s">
        <v>71</v>
      </c>
      <c r="B3009" s="2" t="s">
        <v>72</v>
      </c>
      <c r="C3009" s="2" t="s">
        <v>73</v>
      </c>
      <c r="D3009" s="2"/>
      <c r="E3009" s="2" t="str">
        <f>"FES1162545298"</f>
        <v>FES1162545298</v>
      </c>
      <c r="F3009" s="3">
        <v>42849</v>
      </c>
      <c r="G3009" s="2">
        <v>201710</v>
      </c>
      <c r="H3009" s="2" t="s">
        <v>74</v>
      </c>
      <c r="I3009" s="2" t="s">
        <v>75</v>
      </c>
      <c r="J3009" s="2" t="s">
        <v>76</v>
      </c>
      <c r="K3009" s="2" t="s">
        <v>77</v>
      </c>
      <c r="L3009" s="2" t="s">
        <v>99</v>
      </c>
      <c r="M3009" s="2" t="s">
        <v>100</v>
      </c>
      <c r="N3009" s="2" t="s">
        <v>3047</v>
      </c>
      <c r="O3009" s="2" t="s">
        <v>115</v>
      </c>
      <c r="P3009" s="2" t="str">
        <f>"2170561826                    "</f>
        <v xml:space="preserve">2170561826 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16.079999999999998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6.6</v>
      </c>
      <c r="BJ3009" s="2">
        <v>7.5</v>
      </c>
      <c r="BK3009" s="2">
        <v>7.5</v>
      </c>
      <c r="BL3009" s="2">
        <v>156.47999999999999</v>
      </c>
      <c r="BM3009" s="2">
        <v>21.91</v>
      </c>
      <c r="BN3009" s="2">
        <v>178.39</v>
      </c>
      <c r="BO3009" s="2">
        <v>178.39</v>
      </c>
      <c r="BP3009" s="2"/>
      <c r="BQ3009" s="2"/>
      <c r="BR3009" s="2" t="s">
        <v>84</v>
      </c>
      <c r="BS3009" s="3">
        <v>42850</v>
      </c>
      <c r="BT3009" s="4">
        <v>0.41250000000000003</v>
      </c>
      <c r="BU3009" s="2" t="s">
        <v>3171</v>
      </c>
      <c r="BV3009" s="2" t="s">
        <v>111</v>
      </c>
      <c r="BW3009" s="2"/>
      <c r="BX3009" s="2"/>
      <c r="BY3009" s="2">
        <v>37502.19</v>
      </c>
      <c r="BZ3009" s="2"/>
      <c r="CA3009" s="2" t="s">
        <v>154</v>
      </c>
      <c r="CB3009" s="2"/>
      <c r="CC3009" s="2" t="s">
        <v>100</v>
      </c>
      <c r="CD3009" s="2">
        <v>6001</v>
      </c>
      <c r="CE3009" s="2" t="s">
        <v>89</v>
      </c>
      <c r="CF3009" s="5">
        <v>42850</v>
      </c>
      <c r="CG3009" s="2"/>
      <c r="CH3009" s="2"/>
      <c r="CI3009" s="2">
        <v>1</v>
      </c>
      <c r="CJ3009" s="2">
        <v>1</v>
      </c>
      <c r="CK3009" s="2">
        <v>21</v>
      </c>
      <c r="CL3009" s="2" t="s">
        <v>86</v>
      </c>
      <c r="CM3009" s="2"/>
    </row>
    <row r="3010" spans="1:91">
      <c r="A3010" s="2" t="s">
        <v>71</v>
      </c>
      <c r="B3010" s="2" t="s">
        <v>72</v>
      </c>
      <c r="C3010" s="2" t="s">
        <v>73</v>
      </c>
      <c r="D3010" s="2"/>
      <c r="E3010" s="2" t="str">
        <f>"FES1162545147"</f>
        <v>FES1162545147</v>
      </c>
      <c r="F3010" s="3">
        <v>42849</v>
      </c>
      <c r="G3010" s="2">
        <v>201710</v>
      </c>
      <c r="H3010" s="2" t="s">
        <v>74</v>
      </c>
      <c r="I3010" s="2" t="s">
        <v>75</v>
      </c>
      <c r="J3010" s="2" t="s">
        <v>76</v>
      </c>
      <c r="K3010" s="2" t="s">
        <v>77</v>
      </c>
      <c r="L3010" s="2" t="s">
        <v>641</v>
      </c>
      <c r="M3010" s="2" t="s">
        <v>642</v>
      </c>
      <c r="N3010" s="2" t="s">
        <v>643</v>
      </c>
      <c r="O3010" s="2" t="s">
        <v>115</v>
      </c>
      <c r="P3010" s="2" t="str">
        <f>"21700563629                   "</f>
        <v xml:space="preserve">21700563629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34.56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3.9</v>
      </c>
      <c r="BJ3010" s="2">
        <v>9</v>
      </c>
      <c r="BK3010" s="2">
        <v>9</v>
      </c>
      <c r="BL3010" s="2">
        <v>336.42</v>
      </c>
      <c r="BM3010" s="2">
        <v>47.1</v>
      </c>
      <c r="BN3010" s="2">
        <v>383.52</v>
      </c>
      <c r="BO3010" s="2">
        <v>383.52</v>
      </c>
      <c r="BP3010" s="2"/>
      <c r="BQ3010" s="2" t="s">
        <v>83</v>
      </c>
      <c r="BR3010" s="2" t="s">
        <v>84</v>
      </c>
      <c r="BS3010" s="3">
        <v>42850</v>
      </c>
      <c r="BT3010" s="4">
        <v>0.6069444444444444</v>
      </c>
      <c r="BU3010" s="2" t="s">
        <v>1894</v>
      </c>
      <c r="BV3010" s="2" t="s">
        <v>111</v>
      </c>
      <c r="BW3010" s="2"/>
      <c r="BX3010" s="2"/>
      <c r="BY3010" s="2">
        <v>45066.25</v>
      </c>
      <c r="BZ3010" s="2"/>
      <c r="CA3010" s="2"/>
      <c r="CB3010" s="2"/>
      <c r="CC3010" s="2" t="s">
        <v>642</v>
      </c>
      <c r="CD3010" s="2">
        <v>6300</v>
      </c>
      <c r="CE3010" s="2" t="s">
        <v>89</v>
      </c>
      <c r="CF3010" s="5">
        <v>42851</v>
      </c>
      <c r="CG3010" s="2"/>
      <c r="CH3010" s="2"/>
      <c r="CI3010" s="2">
        <v>3</v>
      </c>
      <c r="CJ3010" s="2">
        <v>1</v>
      </c>
      <c r="CK3010" s="2">
        <v>23</v>
      </c>
      <c r="CL3010" s="2" t="s">
        <v>86</v>
      </c>
      <c r="CM3010" s="2"/>
    </row>
    <row r="3011" spans="1:91">
      <c r="A3011" s="2" t="s">
        <v>71</v>
      </c>
      <c r="B3011" s="2" t="s">
        <v>72</v>
      </c>
      <c r="C3011" s="2" t="s">
        <v>73</v>
      </c>
      <c r="D3011" s="2"/>
      <c r="E3011" s="2" t="str">
        <f>"FES1162544894"</f>
        <v>FES1162544894</v>
      </c>
      <c r="F3011" s="3">
        <v>42849</v>
      </c>
      <c r="G3011" s="2">
        <v>201710</v>
      </c>
      <c r="H3011" s="2" t="s">
        <v>74</v>
      </c>
      <c r="I3011" s="2" t="s">
        <v>75</v>
      </c>
      <c r="J3011" s="2" t="s">
        <v>76</v>
      </c>
      <c r="K3011" s="2" t="s">
        <v>77</v>
      </c>
      <c r="L3011" s="2" t="s">
        <v>260</v>
      </c>
      <c r="M3011" s="2" t="s">
        <v>261</v>
      </c>
      <c r="N3011" s="2" t="s">
        <v>3172</v>
      </c>
      <c r="O3011" s="2" t="s">
        <v>115</v>
      </c>
      <c r="P3011" s="2" t="str">
        <f>"2170560938                    "</f>
        <v xml:space="preserve">2170560938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3.35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4.7</v>
      </c>
      <c r="BJ3011" s="2">
        <v>3.2</v>
      </c>
      <c r="BK3011" s="2">
        <v>5</v>
      </c>
      <c r="BL3011" s="2">
        <v>32.6</v>
      </c>
      <c r="BM3011" s="2">
        <v>4.5599999999999996</v>
      </c>
      <c r="BN3011" s="2">
        <v>37.159999999999997</v>
      </c>
      <c r="BO3011" s="2">
        <v>37.159999999999997</v>
      </c>
      <c r="BP3011" s="2"/>
      <c r="BQ3011" s="2" t="s">
        <v>122</v>
      </c>
      <c r="BR3011" s="2" t="s">
        <v>84</v>
      </c>
      <c r="BS3011" s="3">
        <v>42850</v>
      </c>
      <c r="BT3011" s="4">
        <v>0.36388888888888887</v>
      </c>
      <c r="BU3011" s="2" t="s">
        <v>3173</v>
      </c>
      <c r="BV3011" s="2" t="s">
        <v>111</v>
      </c>
      <c r="BW3011" s="2"/>
      <c r="BX3011" s="2"/>
      <c r="BY3011" s="2">
        <v>15839.25</v>
      </c>
      <c r="BZ3011" s="2"/>
      <c r="CA3011" s="2" t="s">
        <v>473</v>
      </c>
      <c r="CB3011" s="2"/>
      <c r="CC3011" s="2" t="s">
        <v>261</v>
      </c>
      <c r="CD3011" s="2">
        <v>1449</v>
      </c>
      <c r="CE3011" s="2" t="s">
        <v>89</v>
      </c>
      <c r="CF3011" s="5">
        <v>42851</v>
      </c>
      <c r="CG3011" s="2"/>
      <c r="CH3011" s="2"/>
      <c r="CI3011" s="2">
        <v>1</v>
      </c>
      <c r="CJ3011" s="2">
        <v>1</v>
      </c>
      <c r="CK3011" s="2">
        <v>22</v>
      </c>
      <c r="CL3011" s="2" t="s">
        <v>86</v>
      </c>
      <c r="CM3011" s="2"/>
    </row>
    <row r="3012" spans="1:91">
      <c r="A3012" s="2" t="s">
        <v>71</v>
      </c>
      <c r="B3012" s="2" t="s">
        <v>72</v>
      </c>
      <c r="C3012" s="2" t="s">
        <v>73</v>
      </c>
      <c r="D3012" s="2"/>
      <c r="E3012" s="2" t="str">
        <f>"FES1162545131"</f>
        <v>FES1162545131</v>
      </c>
      <c r="F3012" s="3">
        <v>42849</v>
      </c>
      <c r="G3012" s="2">
        <v>201710</v>
      </c>
      <c r="H3012" s="2" t="s">
        <v>74</v>
      </c>
      <c r="I3012" s="2" t="s">
        <v>75</v>
      </c>
      <c r="J3012" s="2" t="s">
        <v>76</v>
      </c>
      <c r="K3012" s="2" t="s">
        <v>77</v>
      </c>
      <c r="L3012" s="2" t="s">
        <v>99</v>
      </c>
      <c r="M3012" s="2" t="s">
        <v>100</v>
      </c>
      <c r="N3012" s="2" t="s">
        <v>700</v>
      </c>
      <c r="O3012" s="2" t="s">
        <v>115</v>
      </c>
      <c r="P3012" s="2" t="str">
        <f>"2170563610                    "</f>
        <v xml:space="preserve">2170563610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9.65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3.5</v>
      </c>
      <c r="BJ3012" s="2">
        <v>4.2</v>
      </c>
      <c r="BK3012" s="2">
        <v>4.5</v>
      </c>
      <c r="BL3012" s="2">
        <v>93.89</v>
      </c>
      <c r="BM3012" s="2">
        <v>13.14</v>
      </c>
      <c r="BN3012" s="2">
        <v>107.03</v>
      </c>
      <c r="BO3012" s="2">
        <v>107.03</v>
      </c>
      <c r="BP3012" s="2"/>
      <c r="BQ3012" s="2" t="s">
        <v>701</v>
      </c>
      <c r="BR3012" s="2" t="s">
        <v>84</v>
      </c>
      <c r="BS3012" s="3">
        <v>42850</v>
      </c>
      <c r="BT3012" s="4">
        <v>0.375</v>
      </c>
      <c r="BU3012" s="2" t="s">
        <v>2829</v>
      </c>
      <c r="BV3012" s="2" t="s">
        <v>111</v>
      </c>
      <c r="BW3012" s="2"/>
      <c r="BX3012" s="2"/>
      <c r="BY3012" s="2">
        <v>21005.27</v>
      </c>
      <c r="BZ3012" s="2"/>
      <c r="CA3012" s="2" t="s">
        <v>106</v>
      </c>
      <c r="CB3012" s="2"/>
      <c r="CC3012" s="2" t="s">
        <v>100</v>
      </c>
      <c r="CD3012" s="2">
        <v>6001</v>
      </c>
      <c r="CE3012" s="2" t="s">
        <v>89</v>
      </c>
      <c r="CF3012" s="5">
        <v>42850</v>
      </c>
      <c r="CG3012" s="2"/>
      <c r="CH3012" s="2"/>
      <c r="CI3012" s="2">
        <v>1</v>
      </c>
      <c r="CJ3012" s="2">
        <v>1</v>
      </c>
      <c r="CK3012" s="2">
        <v>21</v>
      </c>
      <c r="CL3012" s="2" t="s">
        <v>86</v>
      </c>
      <c r="CM3012" s="2"/>
    </row>
    <row r="3013" spans="1:91">
      <c r="A3013" s="2" t="s">
        <v>71</v>
      </c>
      <c r="B3013" s="2" t="s">
        <v>72</v>
      </c>
      <c r="C3013" s="2" t="s">
        <v>73</v>
      </c>
      <c r="D3013" s="2"/>
      <c r="E3013" s="2" t="str">
        <f>"FES1162545103"</f>
        <v>FES1162545103</v>
      </c>
      <c r="F3013" s="3">
        <v>42849</v>
      </c>
      <c r="G3013" s="2">
        <v>201710</v>
      </c>
      <c r="H3013" s="2" t="s">
        <v>74</v>
      </c>
      <c r="I3013" s="2" t="s">
        <v>75</v>
      </c>
      <c r="J3013" s="2" t="s">
        <v>76</v>
      </c>
      <c r="K3013" s="2" t="s">
        <v>77</v>
      </c>
      <c r="L3013" s="2" t="s">
        <v>131</v>
      </c>
      <c r="M3013" s="2" t="s">
        <v>132</v>
      </c>
      <c r="N3013" s="2" t="s">
        <v>3174</v>
      </c>
      <c r="O3013" s="2" t="s">
        <v>115</v>
      </c>
      <c r="P3013" s="2" t="str">
        <f>"2170561518                    "</f>
        <v xml:space="preserve">2170561518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5.36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2.4</v>
      </c>
      <c r="BJ3013" s="2">
        <v>1.8</v>
      </c>
      <c r="BK3013" s="2">
        <v>2.5</v>
      </c>
      <c r="BL3013" s="2">
        <v>52.16</v>
      </c>
      <c r="BM3013" s="2">
        <v>7.3</v>
      </c>
      <c r="BN3013" s="2">
        <v>59.46</v>
      </c>
      <c r="BO3013" s="2">
        <v>59.46</v>
      </c>
      <c r="BP3013" s="2"/>
      <c r="BQ3013" s="2" t="s">
        <v>129</v>
      </c>
      <c r="BR3013" s="2" t="s">
        <v>84</v>
      </c>
      <c r="BS3013" s="3">
        <v>42850</v>
      </c>
      <c r="BT3013" s="4">
        <v>0.41666666666666669</v>
      </c>
      <c r="BU3013" s="2" t="s">
        <v>3175</v>
      </c>
      <c r="BV3013" s="2" t="s">
        <v>111</v>
      </c>
      <c r="BW3013" s="2"/>
      <c r="BX3013" s="2"/>
      <c r="BY3013" s="2">
        <v>8939.4</v>
      </c>
      <c r="BZ3013" s="2"/>
      <c r="CA3013" s="2"/>
      <c r="CB3013" s="2"/>
      <c r="CC3013" s="2" t="s">
        <v>132</v>
      </c>
      <c r="CD3013" s="2">
        <v>7441</v>
      </c>
      <c r="CE3013" s="2" t="s">
        <v>89</v>
      </c>
      <c r="CF3013" s="5">
        <v>42851</v>
      </c>
      <c r="CG3013" s="2"/>
      <c r="CH3013" s="2"/>
      <c r="CI3013" s="2">
        <v>1</v>
      </c>
      <c r="CJ3013" s="2">
        <v>1</v>
      </c>
      <c r="CK3013" s="2">
        <v>21</v>
      </c>
      <c r="CL3013" s="2" t="s">
        <v>86</v>
      </c>
      <c r="CM3013" s="2"/>
    </row>
    <row r="3014" spans="1:91">
      <c r="A3014" s="2" t="s">
        <v>71</v>
      </c>
      <c r="B3014" s="2" t="s">
        <v>72</v>
      </c>
      <c r="C3014" s="2" t="s">
        <v>73</v>
      </c>
      <c r="D3014" s="2"/>
      <c r="E3014" s="2" t="str">
        <f>"FES1162545125"</f>
        <v>FES1162545125</v>
      </c>
      <c r="F3014" s="3">
        <v>42849</v>
      </c>
      <c r="G3014" s="2">
        <v>201710</v>
      </c>
      <c r="H3014" s="2" t="s">
        <v>74</v>
      </c>
      <c r="I3014" s="2" t="s">
        <v>75</v>
      </c>
      <c r="J3014" s="2" t="s">
        <v>76</v>
      </c>
      <c r="K3014" s="2" t="s">
        <v>77</v>
      </c>
      <c r="L3014" s="2" t="s">
        <v>139</v>
      </c>
      <c r="M3014" s="2" t="s">
        <v>140</v>
      </c>
      <c r="N3014" s="2" t="s">
        <v>141</v>
      </c>
      <c r="O3014" s="2" t="s">
        <v>115</v>
      </c>
      <c r="P3014" s="2" t="str">
        <f>"2170563605                    "</f>
        <v xml:space="preserve">2170563605                    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7.5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3.1</v>
      </c>
      <c r="BJ3014" s="2">
        <v>1.3</v>
      </c>
      <c r="BK3014" s="2">
        <v>3.5</v>
      </c>
      <c r="BL3014" s="2">
        <v>73.02</v>
      </c>
      <c r="BM3014" s="2">
        <v>10.220000000000001</v>
      </c>
      <c r="BN3014" s="2">
        <v>83.24</v>
      </c>
      <c r="BO3014" s="2">
        <v>83.24</v>
      </c>
      <c r="BP3014" s="2"/>
      <c r="BQ3014" s="2" t="s">
        <v>142</v>
      </c>
      <c r="BR3014" s="2" t="s">
        <v>84</v>
      </c>
      <c r="BS3014" s="3">
        <v>42850</v>
      </c>
      <c r="BT3014" s="4">
        <v>0.36805555555555558</v>
      </c>
      <c r="BU3014" s="2" t="s">
        <v>3176</v>
      </c>
      <c r="BV3014" s="2" t="s">
        <v>111</v>
      </c>
      <c r="BW3014" s="2"/>
      <c r="BX3014" s="2"/>
      <c r="BY3014" s="2">
        <v>6720.98</v>
      </c>
      <c r="BZ3014" s="2"/>
      <c r="CA3014" s="2"/>
      <c r="CB3014" s="2"/>
      <c r="CC3014" s="2" t="s">
        <v>140</v>
      </c>
      <c r="CD3014" s="2">
        <v>157</v>
      </c>
      <c r="CE3014" s="2" t="s">
        <v>172</v>
      </c>
      <c r="CF3014" s="5">
        <v>42853</v>
      </c>
      <c r="CG3014" s="2"/>
      <c r="CH3014" s="2"/>
      <c r="CI3014" s="2">
        <v>0</v>
      </c>
      <c r="CJ3014" s="2">
        <v>0</v>
      </c>
      <c r="CK3014" s="2">
        <v>21</v>
      </c>
      <c r="CL3014" s="2" t="s">
        <v>86</v>
      </c>
      <c r="CM3014" s="2"/>
    </row>
    <row r="3015" spans="1:91">
      <c r="A3015" s="2" t="s">
        <v>71</v>
      </c>
      <c r="B3015" s="2" t="s">
        <v>72</v>
      </c>
      <c r="C3015" s="2" t="s">
        <v>73</v>
      </c>
      <c r="D3015" s="2"/>
      <c r="E3015" s="2" t="str">
        <f>"FES1162545112"</f>
        <v>FES1162545112</v>
      </c>
      <c r="F3015" s="3">
        <v>42849</v>
      </c>
      <c r="G3015" s="2">
        <v>201710</v>
      </c>
      <c r="H3015" s="2" t="s">
        <v>74</v>
      </c>
      <c r="I3015" s="2" t="s">
        <v>75</v>
      </c>
      <c r="J3015" s="2" t="s">
        <v>76</v>
      </c>
      <c r="K3015" s="2" t="s">
        <v>77</v>
      </c>
      <c r="L3015" s="2" t="s">
        <v>139</v>
      </c>
      <c r="M3015" s="2" t="s">
        <v>140</v>
      </c>
      <c r="N3015" s="2" t="s">
        <v>3177</v>
      </c>
      <c r="O3015" s="2" t="s">
        <v>115</v>
      </c>
      <c r="P3015" s="2" t="str">
        <f>"2170561760                    "</f>
        <v xml:space="preserve">2170561760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6.43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1.8</v>
      </c>
      <c r="BJ3015" s="2">
        <v>3</v>
      </c>
      <c r="BK3015" s="2">
        <v>3</v>
      </c>
      <c r="BL3015" s="2">
        <v>62.59</v>
      </c>
      <c r="BM3015" s="2">
        <v>8.76</v>
      </c>
      <c r="BN3015" s="2">
        <v>71.349999999999994</v>
      </c>
      <c r="BO3015" s="2">
        <v>71.349999999999994</v>
      </c>
      <c r="BP3015" s="2"/>
      <c r="BQ3015" s="2"/>
      <c r="BR3015" s="2" t="s">
        <v>84</v>
      </c>
      <c r="BS3015" s="3">
        <v>42850</v>
      </c>
      <c r="BT3015" s="4">
        <v>0.41666666666666669</v>
      </c>
      <c r="BU3015" s="2" t="s">
        <v>3178</v>
      </c>
      <c r="BV3015" s="2" t="s">
        <v>111</v>
      </c>
      <c r="BW3015" s="2"/>
      <c r="BX3015" s="2"/>
      <c r="BY3015" s="2">
        <v>15000.1</v>
      </c>
      <c r="BZ3015" s="2"/>
      <c r="CA3015" s="2"/>
      <c r="CB3015" s="2"/>
      <c r="CC3015" s="2" t="s">
        <v>140</v>
      </c>
      <c r="CD3015" s="2">
        <v>157</v>
      </c>
      <c r="CE3015" s="2" t="s">
        <v>172</v>
      </c>
      <c r="CF3015" s="5">
        <v>42853</v>
      </c>
      <c r="CG3015" s="2"/>
      <c r="CH3015" s="2"/>
      <c r="CI3015" s="2">
        <v>0</v>
      </c>
      <c r="CJ3015" s="2">
        <v>0</v>
      </c>
      <c r="CK3015" s="2">
        <v>21</v>
      </c>
      <c r="CL3015" s="2" t="s">
        <v>86</v>
      </c>
      <c r="CM3015" s="2"/>
    </row>
    <row r="3016" spans="1:91">
      <c r="A3016" s="2" t="s">
        <v>71</v>
      </c>
      <c r="B3016" s="2" t="s">
        <v>72</v>
      </c>
      <c r="C3016" s="2" t="s">
        <v>73</v>
      </c>
      <c r="D3016" s="2"/>
      <c r="E3016" s="2" t="str">
        <f>"FES1162545129"</f>
        <v>FES1162545129</v>
      </c>
      <c r="F3016" s="3">
        <v>42849</v>
      </c>
      <c r="G3016" s="2">
        <v>201710</v>
      </c>
      <c r="H3016" s="2" t="s">
        <v>74</v>
      </c>
      <c r="I3016" s="2" t="s">
        <v>75</v>
      </c>
      <c r="J3016" s="2" t="s">
        <v>76</v>
      </c>
      <c r="K3016" s="2" t="s">
        <v>77</v>
      </c>
      <c r="L3016" s="2" t="s">
        <v>91</v>
      </c>
      <c r="M3016" s="2" t="s">
        <v>92</v>
      </c>
      <c r="N3016" s="2" t="s">
        <v>356</v>
      </c>
      <c r="O3016" s="2" t="s">
        <v>115</v>
      </c>
      <c r="P3016" s="2" t="str">
        <f>"2170563602                    "</f>
        <v xml:space="preserve">2170563602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3.35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5.6</v>
      </c>
      <c r="BJ3016" s="2">
        <v>1.9</v>
      </c>
      <c r="BK3016" s="2">
        <v>6</v>
      </c>
      <c r="BL3016" s="2">
        <v>32.6</v>
      </c>
      <c r="BM3016" s="2">
        <v>4.5599999999999996</v>
      </c>
      <c r="BN3016" s="2">
        <v>37.159999999999997</v>
      </c>
      <c r="BO3016" s="2">
        <v>37.159999999999997</v>
      </c>
      <c r="BP3016" s="2"/>
      <c r="BQ3016" s="2" t="s">
        <v>122</v>
      </c>
      <c r="BR3016" s="2" t="s">
        <v>84</v>
      </c>
      <c r="BS3016" s="3">
        <v>42850</v>
      </c>
      <c r="BT3016" s="4">
        <v>0.41666666666666669</v>
      </c>
      <c r="BU3016" s="2" t="s">
        <v>3165</v>
      </c>
      <c r="BV3016" s="2" t="s">
        <v>111</v>
      </c>
      <c r="BW3016" s="2"/>
      <c r="BX3016" s="2"/>
      <c r="BY3016" s="2">
        <v>9472.86</v>
      </c>
      <c r="BZ3016" s="2"/>
      <c r="CA3016" s="2"/>
      <c r="CB3016" s="2"/>
      <c r="CC3016" s="2" t="s">
        <v>92</v>
      </c>
      <c r="CD3016" s="2">
        <v>1422</v>
      </c>
      <c r="CE3016" s="2" t="s">
        <v>89</v>
      </c>
      <c r="CF3016" s="5">
        <v>42851</v>
      </c>
      <c r="CG3016" s="2"/>
      <c r="CH3016" s="2"/>
      <c r="CI3016" s="2">
        <v>1</v>
      </c>
      <c r="CJ3016" s="2">
        <v>1</v>
      </c>
      <c r="CK3016" s="2">
        <v>22</v>
      </c>
      <c r="CL3016" s="2" t="s">
        <v>86</v>
      </c>
      <c r="CM3016" s="2"/>
    </row>
    <row r="3017" spans="1:91">
      <c r="A3017" s="2" t="s">
        <v>71</v>
      </c>
      <c r="B3017" s="2" t="s">
        <v>72</v>
      </c>
      <c r="C3017" s="2" t="s">
        <v>73</v>
      </c>
      <c r="D3017" s="2"/>
      <c r="E3017" s="2" t="str">
        <f>"FES1162545270"</f>
        <v>FES1162545270</v>
      </c>
      <c r="F3017" s="3">
        <v>42849</v>
      </c>
      <c r="G3017" s="2">
        <v>201710</v>
      </c>
      <c r="H3017" s="2" t="s">
        <v>74</v>
      </c>
      <c r="I3017" s="2" t="s">
        <v>75</v>
      </c>
      <c r="J3017" s="2" t="s">
        <v>76</v>
      </c>
      <c r="K3017" s="2" t="s">
        <v>77</v>
      </c>
      <c r="L3017" s="2" t="s">
        <v>166</v>
      </c>
      <c r="M3017" s="2" t="s">
        <v>167</v>
      </c>
      <c r="N3017" s="2" t="s">
        <v>3179</v>
      </c>
      <c r="O3017" s="2" t="s">
        <v>115</v>
      </c>
      <c r="P3017" s="2" t="str">
        <f>"2170563756                    "</f>
        <v xml:space="preserve">2170563756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3.35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1</v>
      </c>
      <c r="BJ3017" s="2">
        <v>0.2</v>
      </c>
      <c r="BK3017" s="2">
        <v>1</v>
      </c>
      <c r="BL3017" s="2">
        <v>32.6</v>
      </c>
      <c r="BM3017" s="2">
        <v>4.5599999999999996</v>
      </c>
      <c r="BN3017" s="2">
        <v>37.159999999999997</v>
      </c>
      <c r="BO3017" s="2">
        <v>37.159999999999997</v>
      </c>
      <c r="BP3017" s="2"/>
      <c r="BQ3017" s="2"/>
      <c r="BR3017" s="2" t="s">
        <v>84</v>
      </c>
      <c r="BS3017" s="3">
        <v>42850</v>
      </c>
      <c r="BT3017" s="4">
        <v>0.3888888888888889</v>
      </c>
      <c r="BU3017" s="2" t="s">
        <v>290</v>
      </c>
      <c r="BV3017" s="2" t="s">
        <v>111</v>
      </c>
      <c r="BW3017" s="2"/>
      <c r="BX3017" s="2"/>
      <c r="BY3017" s="2">
        <v>1200</v>
      </c>
      <c r="BZ3017" s="2"/>
      <c r="CA3017" s="2"/>
      <c r="CB3017" s="2"/>
      <c r="CC3017" s="2" t="s">
        <v>167</v>
      </c>
      <c r="CD3017" s="2">
        <v>2140</v>
      </c>
      <c r="CE3017" s="2" t="s">
        <v>118</v>
      </c>
      <c r="CF3017" s="5">
        <v>42851</v>
      </c>
      <c r="CG3017" s="2"/>
      <c r="CH3017" s="2"/>
      <c r="CI3017" s="2">
        <v>1</v>
      </c>
      <c r="CJ3017" s="2">
        <v>1</v>
      </c>
      <c r="CK3017" s="2">
        <v>22</v>
      </c>
      <c r="CL3017" s="2" t="s">
        <v>86</v>
      </c>
      <c r="CM3017" s="2"/>
    </row>
    <row r="3018" spans="1:91">
      <c r="A3018" s="2" t="s">
        <v>71</v>
      </c>
      <c r="B3018" s="2" t="s">
        <v>72</v>
      </c>
      <c r="C3018" s="2" t="s">
        <v>73</v>
      </c>
      <c r="D3018" s="2"/>
      <c r="E3018" s="2" t="str">
        <f>"FES1162545303"</f>
        <v>FES1162545303</v>
      </c>
      <c r="F3018" s="3">
        <v>42849</v>
      </c>
      <c r="G3018" s="2">
        <v>201710</v>
      </c>
      <c r="H3018" s="2" t="s">
        <v>74</v>
      </c>
      <c r="I3018" s="2" t="s">
        <v>75</v>
      </c>
      <c r="J3018" s="2" t="s">
        <v>76</v>
      </c>
      <c r="K3018" s="2" t="s">
        <v>77</v>
      </c>
      <c r="L3018" s="2" t="s">
        <v>180</v>
      </c>
      <c r="M3018" s="2" t="s">
        <v>181</v>
      </c>
      <c r="N3018" s="2" t="s">
        <v>1858</v>
      </c>
      <c r="O3018" s="2" t="s">
        <v>115</v>
      </c>
      <c r="P3018" s="2" t="str">
        <f>"2170563777                    "</f>
        <v xml:space="preserve">2170563777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4.29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1</v>
      </c>
      <c r="BJ3018" s="2">
        <v>0.2</v>
      </c>
      <c r="BK3018" s="2">
        <v>1</v>
      </c>
      <c r="BL3018" s="2">
        <v>41.73</v>
      </c>
      <c r="BM3018" s="2">
        <v>5.84</v>
      </c>
      <c r="BN3018" s="2">
        <v>47.57</v>
      </c>
      <c r="BO3018" s="2">
        <v>47.57</v>
      </c>
      <c r="BP3018" s="2"/>
      <c r="BQ3018" s="2" t="s">
        <v>129</v>
      </c>
      <c r="BR3018" s="2" t="s">
        <v>84</v>
      </c>
      <c r="BS3018" s="3">
        <v>42850</v>
      </c>
      <c r="BT3018" s="4">
        <v>0.3298611111111111</v>
      </c>
      <c r="BU3018" s="2" t="s">
        <v>124</v>
      </c>
      <c r="BV3018" s="2" t="s">
        <v>111</v>
      </c>
      <c r="BW3018" s="2"/>
      <c r="BX3018" s="2"/>
      <c r="BY3018" s="2">
        <v>1200</v>
      </c>
      <c r="BZ3018" s="2"/>
      <c r="CA3018" s="2"/>
      <c r="CB3018" s="2"/>
      <c r="CC3018" s="2" t="s">
        <v>181</v>
      </c>
      <c r="CD3018" s="2">
        <v>4052</v>
      </c>
      <c r="CE3018" s="2" t="s">
        <v>118</v>
      </c>
      <c r="CF3018" s="5">
        <v>42851</v>
      </c>
      <c r="CG3018" s="2"/>
      <c r="CH3018" s="2"/>
      <c r="CI3018" s="2">
        <v>1</v>
      </c>
      <c r="CJ3018" s="2">
        <v>1</v>
      </c>
      <c r="CK3018" s="2">
        <v>21</v>
      </c>
      <c r="CL3018" s="2" t="s">
        <v>86</v>
      </c>
      <c r="CM3018" s="2"/>
    </row>
    <row r="3019" spans="1:91">
      <c r="A3019" s="2" t="s">
        <v>71</v>
      </c>
      <c r="B3019" s="2" t="s">
        <v>72</v>
      </c>
      <c r="C3019" s="2" t="s">
        <v>73</v>
      </c>
      <c r="D3019" s="2"/>
      <c r="E3019" s="2" t="str">
        <f>"FES1162545253"</f>
        <v>FES1162545253</v>
      </c>
      <c r="F3019" s="3">
        <v>42849</v>
      </c>
      <c r="G3019" s="2">
        <v>201710</v>
      </c>
      <c r="H3019" s="2" t="s">
        <v>74</v>
      </c>
      <c r="I3019" s="2" t="s">
        <v>75</v>
      </c>
      <c r="J3019" s="2" t="s">
        <v>76</v>
      </c>
      <c r="K3019" s="2" t="s">
        <v>77</v>
      </c>
      <c r="L3019" s="2" t="s">
        <v>641</v>
      </c>
      <c r="M3019" s="2" t="s">
        <v>642</v>
      </c>
      <c r="N3019" s="2" t="s">
        <v>643</v>
      </c>
      <c r="O3019" s="2" t="s">
        <v>115</v>
      </c>
      <c r="P3019" s="2" t="str">
        <f>"2170563365                    "</f>
        <v xml:space="preserve">2170563365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17.68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4.2</v>
      </c>
      <c r="BJ3019" s="2">
        <v>1.8</v>
      </c>
      <c r="BK3019" s="2">
        <v>4.5</v>
      </c>
      <c r="BL3019" s="2">
        <v>172.12</v>
      </c>
      <c r="BM3019" s="2">
        <v>24.1</v>
      </c>
      <c r="BN3019" s="2">
        <v>196.22</v>
      </c>
      <c r="BO3019" s="2">
        <v>196.22</v>
      </c>
      <c r="BP3019" s="2"/>
      <c r="BQ3019" s="2" t="s">
        <v>83</v>
      </c>
      <c r="BR3019" s="2" t="s">
        <v>84</v>
      </c>
      <c r="BS3019" s="3">
        <v>42850</v>
      </c>
      <c r="BT3019" s="4">
        <v>0.6069444444444444</v>
      </c>
      <c r="BU3019" s="2" t="s">
        <v>1894</v>
      </c>
      <c r="BV3019" s="2" t="s">
        <v>111</v>
      </c>
      <c r="BW3019" s="2"/>
      <c r="BX3019" s="2"/>
      <c r="BY3019" s="2">
        <v>8814.82</v>
      </c>
      <c r="BZ3019" s="2"/>
      <c r="CA3019" s="2"/>
      <c r="CB3019" s="2"/>
      <c r="CC3019" s="2" t="s">
        <v>642</v>
      </c>
      <c r="CD3019" s="2">
        <v>6300</v>
      </c>
      <c r="CE3019" s="2" t="s">
        <v>89</v>
      </c>
      <c r="CF3019" s="5">
        <v>42851</v>
      </c>
      <c r="CG3019" s="2"/>
      <c r="CH3019" s="2"/>
      <c r="CI3019" s="2">
        <v>3</v>
      </c>
      <c r="CJ3019" s="2">
        <v>1</v>
      </c>
      <c r="CK3019" s="2">
        <v>23</v>
      </c>
      <c r="CL3019" s="2" t="s">
        <v>86</v>
      </c>
      <c r="CM3019" s="2"/>
    </row>
    <row r="3020" spans="1:91">
      <c r="A3020" s="2" t="s">
        <v>71</v>
      </c>
      <c r="B3020" s="2" t="s">
        <v>72</v>
      </c>
      <c r="C3020" s="2" t="s">
        <v>73</v>
      </c>
      <c r="D3020" s="2"/>
      <c r="E3020" s="2" t="str">
        <f>"FES1162545309"</f>
        <v>FES1162545309</v>
      </c>
      <c r="F3020" s="3">
        <v>42849</v>
      </c>
      <c r="G3020" s="2">
        <v>201710</v>
      </c>
      <c r="H3020" s="2" t="s">
        <v>74</v>
      </c>
      <c r="I3020" s="2" t="s">
        <v>75</v>
      </c>
      <c r="J3020" s="2" t="s">
        <v>76</v>
      </c>
      <c r="K3020" s="2" t="s">
        <v>77</v>
      </c>
      <c r="L3020" s="2" t="s">
        <v>187</v>
      </c>
      <c r="M3020" s="2" t="s">
        <v>146</v>
      </c>
      <c r="N3020" s="2" t="s">
        <v>1810</v>
      </c>
      <c r="O3020" s="2" t="s">
        <v>115</v>
      </c>
      <c r="P3020" s="2" t="str">
        <f>"2170552392                    "</f>
        <v xml:space="preserve">2170552392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4.29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0.7</v>
      </c>
      <c r="BJ3020" s="2">
        <v>1.8</v>
      </c>
      <c r="BK3020" s="2">
        <v>2</v>
      </c>
      <c r="BL3020" s="2">
        <v>41.73</v>
      </c>
      <c r="BM3020" s="2">
        <v>5.84</v>
      </c>
      <c r="BN3020" s="2">
        <v>47.57</v>
      </c>
      <c r="BO3020" s="2">
        <v>47.57</v>
      </c>
      <c r="BP3020" s="2"/>
      <c r="BQ3020" s="2" t="s">
        <v>116</v>
      </c>
      <c r="BR3020" s="2" t="s">
        <v>84</v>
      </c>
      <c r="BS3020" s="3">
        <v>42850</v>
      </c>
      <c r="BT3020" s="4">
        <v>0.35416666666666669</v>
      </c>
      <c r="BU3020" s="2" t="s">
        <v>3063</v>
      </c>
      <c r="BV3020" s="2" t="s">
        <v>111</v>
      </c>
      <c r="BW3020" s="2"/>
      <c r="BX3020" s="2"/>
      <c r="BY3020" s="2">
        <v>9137.56</v>
      </c>
      <c r="BZ3020" s="2"/>
      <c r="CA3020" s="2"/>
      <c r="CB3020" s="2"/>
      <c r="CC3020" s="2" t="s">
        <v>146</v>
      </c>
      <c r="CD3020" s="2">
        <v>159</v>
      </c>
      <c r="CE3020" s="2" t="s">
        <v>118</v>
      </c>
      <c r="CF3020" s="5">
        <v>42853</v>
      </c>
      <c r="CG3020" s="2"/>
      <c r="CH3020" s="2"/>
      <c r="CI3020" s="2">
        <v>0</v>
      </c>
      <c r="CJ3020" s="2">
        <v>0</v>
      </c>
      <c r="CK3020" s="2">
        <v>21</v>
      </c>
      <c r="CL3020" s="2" t="s">
        <v>86</v>
      </c>
      <c r="CM3020" s="2"/>
    </row>
    <row r="3021" spans="1:91">
      <c r="A3021" s="2" t="s">
        <v>71</v>
      </c>
      <c r="B3021" s="2" t="s">
        <v>72</v>
      </c>
      <c r="C3021" s="2" t="s">
        <v>73</v>
      </c>
      <c r="D3021" s="2"/>
      <c r="E3021" s="2" t="str">
        <f>"FES1162545259"</f>
        <v>FES1162545259</v>
      </c>
      <c r="F3021" s="3">
        <v>42849</v>
      </c>
      <c r="G3021" s="2">
        <v>201710</v>
      </c>
      <c r="H3021" s="2" t="s">
        <v>74</v>
      </c>
      <c r="I3021" s="2" t="s">
        <v>75</v>
      </c>
      <c r="J3021" s="2" t="s">
        <v>76</v>
      </c>
      <c r="K3021" s="2" t="s">
        <v>77</v>
      </c>
      <c r="L3021" s="2" t="s">
        <v>139</v>
      </c>
      <c r="M3021" s="2" t="s">
        <v>140</v>
      </c>
      <c r="N3021" s="2" t="s">
        <v>1835</v>
      </c>
      <c r="O3021" s="2" t="s">
        <v>115</v>
      </c>
      <c r="P3021" s="2" t="str">
        <f>"2170563723                    "</f>
        <v xml:space="preserve">2170563723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4.29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0.2</v>
      </c>
      <c r="BK3021" s="2">
        <v>1</v>
      </c>
      <c r="BL3021" s="2">
        <v>41.73</v>
      </c>
      <c r="BM3021" s="2">
        <v>5.84</v>
      </c>
      <c r="BN3021" s="2">
        <v>47.57</v>
      </c>
      <c r="BO3021" s="2">
        <v>47.57</v>
      </c>
      <c r="BP3021" s="2"/>
      <c r="BQ3021" s="2" t="s">
        <v>1836</v>
      </c>
      <c r="BR3021" s="2" t="s">
        <v>84</v>
      </c>
      <c r="BS3021" s="3">
        <v>42850</v>
      </c>
      <c r="BT3021" s="4">
        <v>0.3659722222222222</v>
      </c>
      <c r="BU3021" s="2" t="s">
        <v>3180</v>
      </c>
      <c r="BV3021" s="2" t="s">
        <v>111</v>
      </c>
      <c r="BW3021" s="2"/>
      <c r="BX3021" s="2"/>
      <c r="BY3021" s="2">
        <v>1200</v>
      </c>
      <c r="BZ3021" s="2"/>
      <c r="CA3021" s="2"/>
      <c r="CB3021" s="2"/>
      <c r="CC3021" s="2" t="s">
        <v>140</v>
      </c>
      <c r="CD3021" s="2">
        <v>157</v>
      </c>
      <c r="CE3021" s="2" t="s">
        <v>118</v>
      </c>
      <c r="CF3021" s="5">
        <v>42853</v>
      </c>
      <c r="CG3021" s="2"/>
      <c r="CH3021" s="2"/>
      <c r="CI3021" s="2">
        <v>0</v>
      </c>
      <c r="CJ3021" s="2">
        <v>0</v>
      </c>
      <c r="CK3021" s="2">
        <v>21</v>
      </c>
      <c r="CL3021" s="2" t="s">
        <v>86</v>
      </c>
      <c r="CM3021" s="2"/>
    </row>
    <row r="3022" spans="1:91">
      <c r="A3022" s="2" t="s">
        <v>71</v>
      </c>
      <c r="B3022" s="2" t="s">
        <v>72</v>
      </c>
      <c r="C3022" s="2" t="s">
        <v>73</v>
      </c>
      <c r="D3022" s="2"/>
      <c r="E3022" s="2" t="str">
        <f>"FES1162545293"</f>
        <v>FES1162545293</v>
      </c>
      <c r="F3022" s="3">
        <v>42849</v>
      </c>
      <c r="G3022" s="2">
        <v>201710</v>
      </c>
      <c r="H3022" s="2" t="s">
        <v>74</v>
      </c>
      <c r="I3022" s="2" t="s">
        <v>75</v>
      </c>
      <c r="J3022" s="2" t="s">
        <v>76</v>
      </c>
      <c r="K3022" s="2" t="s">
        <v>77</v>
      </c>
      <c r="L3022" s="2" t="s">
        <v>131</v>
      </c>
      <c r="M3022" s="2" t="s">
        <v>132</v>
      </c>
      <c r="N3022" s="2" t="s">
        <v>388</v>
      </c>
      <c r="O3022" s="2" t="s">
        <v>115</v>
      </c>
      <c r="P3022" s="2" t="str">
        <f>"2170560176                    "</f>
        <v xml:space="preserve">2170560176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4.29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1</v>
      </c>
      <c r="BJ3022" s="2">
        <v>0.2</v>
      </c>
      <c r="BK3022" s="2">
        <v>1</v>
      </c>
      <c r="BL3022" s="2">
        <v>41.73</v>
      </c>
      <c r="BM3022" s="2">
        <v>5.84</v>
      </c>
      <c r="BN3022" s="2">
        <v>47.57</v>
      </c>
      <c r="BO3022" s="2">
        <v>47.57</v>
      </c>
      <c r="BP3022" s="2"/>
      <c r="BQ3022" s="2" t="s">
        <v>129</v>
      </c>
      <c r="BR3022" s="2" t="s">
        <v>84</v>
      </c>
      <c r="BS3022" s="3">
        <v>42850</v>
      </c>
      <c r="BT3022" s="4">
        <v>0.41666666666666669</v>
      </c>
      <c r="BU3022" s="2" t="s">
        <v>3181</v>
      </c>
      <c r="BV3022" s="2" t="s">
        <v>111</v>
      </c>
      <c r="BW3022" s="2"/>
      <c r="BX3022" s="2"/>
      <c r="BY3022" s="2">
        <v>1200</v>
      </c>
      <c r="BZ3022" s="2"/>
      <c r="CA3022" s="2" t="s">
        <v>159</v>
      </c>
      <c r="CB3022" s="2"/>
      <c r="CC3022" s="2" t="s">
        <v>132</v>
      </c>
      <c r="CD3022" s="2">
        <v>7800</v>
      </c>
      <c r="CE3022" s="2" t="s">
        <v>118</v>
      </c>
      <c r="CF3022" s="5">
        <v>42851</v>
      </c>
      <c r="CG3022" s="2"/>
      <c r="CH3022" s="2"/>
      <c r="CI3022" s="2">
        <v>1</v>
      </c>
      <c r="CJ3022" s="2">
        <v>1</v>
      </c>
      <c r="CK3022" s="2">
        <v>21</v>
      </c>
      <c r="CL3022" s="2" t="s">
        <v>86</v>
      </c>
      <c r="CM3022" s="2"/>
    </row>
    <row r="3023" spans="1:91">
      <c r="A3023" s="2" t="s">
        <v>71</v>
      </c>
      <c r="B3023" s="2" t="s">
        <v>72</v>
      </c>
      <c r="C3023" s="2" t="s">
        <v>73</v>
      </c>
      <c r="D3023" s="2"/>
      <c r="E3023" s="2" t="str">
        <f>"FES1162545254"</f>
        <v>FES1162545254</v>
      </c>
      <c r="F3023" s="3">
        <v>42849</v>
      </c>
      <c r="G3023" s="2">
        <v>201710</v>
      </c>
      <c r="H3023" s="2" t="s">
        <v>74</v>
      </c>
      <c r="I3023" s="2" t="s">
        <v>75</v>
      </c>
      <c r="J3023" s="2" t="s">
        <v>76</v>
      </c>
      <c r="K3023" s="2" t="s">
        <v>77</v>
      </c>
      <c r="L3023" s="2" t="s">
        <v>474</v>
      </c>
      <c r="M3023" s="2" t="s">
        <v>475</v>
      </c>
      <c r="N3023" s="2" t="s">
        <v>1001</v>
      </c>
      <c r="O3023" s="2" t="s">
        <v>115</v>
      </c>
      <c r="P3023" s="2" t="str">
        <f>"2170563480                    "</f>
        <v xml:space="preserve">2170563480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12.86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3</v>
      </c>
      <c r="BJ3023" s="2">
        <v>5.8</v>
      </c>
      <c r="BK3023" s="2">
        <v>6</v>
      </c>
      <c r="BL3023" s="2">
        <v>125.18</v>
      </c>
      <c r="BM3023" s="2">
        <v>17.53</v>
      </c>
      <c r="BN3023" s="2">
        <v>142.71</v>
      </c>
      <c r="BO3023" s="2">
        <v>142.71</v>
      </c>
      <c r="BP3023" s="2"/>
      <c r="BQ3023" s="2" t="s">
        <v>472</v>
      </c>
      <c r="BR3023" s="2" t="s">
        <v>84</v>
      </c>
      <c r="BS3023" s="3">
        <v>42850</v>
      </c>
      <c r="BT3023" s="4">
        <v>0.42083333333333334</v>
      </c>
      <c r="BU3023" s="2" t="s">
        <v>1738</v>
      </c>
      <c r="BV3023" s="2" t="s">
        <v>111</v>
      </c>
      <c r="BW3023" s="2"/>
      <c r="BX3023" s="2"/>
      <c r="BY3023" s="2">
        <v>29151.599999999999</v>
      </c>
      <c r="BZ3023" s="2"/>
      <c r="CA3023" s="2"/>
      <c r="CB3023" s="2"/>
      <c r="CC3023" s="2" t="s">
        <v>475</v>
      </c>
      <c r="CD3023" s="2">
        <v>3290</v>
      </c>
      <c r="CE3023" s="2" t="s">
        <v>118</v>
      </c>
      <c r="CF3023" s="5">
        <v>42851</v>
      </c>
      <c r="CG3023" s="2"/>
      <c r="CH3023" s="2"/>
      <c r="CI3023" s="2">
        <v>1</v>
      </c>
      <c r="CJ3023" s="2">
        <v>1</v>
      </c>
      <c r="CK3023" s="2">
        <v>21</v>
      </c>
      <c r="CL3023" s="2" t="s">
        <v>86</v>
      </c>
      <c r="CM3023" s="2"/>
    </row>
    <row r="3024" spans="1:91">
      <c r="A3024" s="2" t="s">
        <v>71</v>
      </c>
      <c r="B3024" s="2" t="s">
        <v>72</v>
      </c>
      <c r="C3024" s="2" t="s">
        <v>73</v>
      </c>
      <c r="D3024" s="2"/>
      <c r="E3024" s="2" t="str">
        <f>"FES1162544920"</f>
        <v>FES1162544920</v>
      </c>
      <c r="F3024" s="3">
        <v>42849</v>
      </c>
      <c r="G3024" s="2">
        <v>201710</v>
      </c>
      <c r="H3024" s="2" t="s">
        <v>74</v>
      </c>
      <c r="I3024" s="2" t="s">
        <v>75</v>
      </c>
      <c r="J3024" s="2" t="s">
        <v>76</v>
      </c>
      <c r="K3024" s="2" t="s">
        <v>77</v>
      </c>
      <c r="L3024" s="2" t="s">
        <v>267</v>
      </c>
      <c r="M3024" s="2" t="s">
        <v>268</v>
      </c>
      <c r="N3024" s="2" t="s">
        <v>3182</v>
      </c>
      <c r="O3024" s="2" t="s">
        <v>115</v>
      </c>
      <c r="P3024" s="2" t="str">
        <f>"2170563409                    "</f>
        <v xml:space="preserve">2170563409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3.35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1</v>
      </c>
      <c r="BJ3024" s="2">
        <v>0.2</v>
      </c>
      <c r="BK3024" s="2">
        <v>1</v>
      </c>
      <c r="BL3024" s="2">
        <v>32.6</v>
      </c>
      <c r="BM3024" s="2">
        <v>4.5599999999999996</v>
      </c>
      <c r="BN3024" s="2">
        <v>37.159999999999997</v>
      </c>
      <c r="BO3024" s="2">
        <v>37.159999999999997</v>
      </c>
      <c r="BP3024" s="2"/>
      <c r="BQ3024" s="2" t="s">
        <v>122</v>
      </c>
      <c r="BR3024" s="2" t="s">
        <v>84</v>
      </c>
      <c r="BS3024" s="3">
        <v>42850</v>
      </c>
      <c r="BT3024" s="4">
        <v>0.41666666666666669</v>
      </c>
      <c r="BU3024" s="2" t="s">
        <v>3183</v>
      </c>
      <c r="BV3024" s="2" t="s">
        <v>111</v>
      </c>
      <c r="BW3024" s="2"/>
      <c r="BX3024" s="2"/>
      <c r="BY3024" s="2">
        <v>1200</v>
      </c>
      <c r="BZ3024" s="2"/>
      <c r="CA3024" s="2" t="s">
        <v>159</v>
      </c>
      <c r="CB3024" s="2"/>
      <c r="CC3024" s="2" t="s">
        <v>268</v>
      </c>
      <c r="CD3024" s="2">
        <v>1725</v>
      </c>
      <c r="CE3024" s="2" t="s">
        <v>118</v>
      </c>
      <c r="CF3024" s="5">
        <v>42851</v>
      </c>
      <c r="CG3024" s="2"/>
      <c r="CH3024" s="2"/>
      <c r="CI3024" s="2">
        <v>1</v>
      </c>
      <c r="CJ3024" s="2">
        <v>1</v>
      </c>
      <c r="CK3024" s="2">
        <v>22</v>
      </c>
      <c r="CL3024" s="2" t="s">
        <v>86</v>
      </c>
      <c r="CM3024" s="2"/>
    </row>
    <row r="3025" spans="1:91">
      <c r="A3025" s="2" t="s">
        <v>71</v>
      </c>
      <c r="B3025" s="2" t="s">
        <v>72</v>
      </c>
      <c r="C3025" s="2" t="s">
        <v>73</v>
      </c>
      <c r="D3025" s="2"/>
      <c r="E3025" s="2" t="str">
        <f>"FES1162545275"</f>
        <v>FES1162545275</v>
      </c>
      <c r="F3025" s="3">
        <v>42849</v>
      </c>
      <c r="G3025" s="2">
        <v>201710</v>
      </c>
      <c r="H3025" s="2" t="s">
        <v>74</v>
      </c>
      <c r="I3025" s="2" t="s">
        <v>75</v>
      </c>
      <c r="J3025" s="2" t="s">
        <v>76</v>
      </c>
      <c r="K3025" s="2" t="s">
        <v>77</v>
      </c>
      <c r="L3025" s="2" t="s">
        <v>74</v>
      </c>
      <c r="M3025" s="2" t="s">
        <v>75</v>
      </c>
      <c r="N3025" s="2" t="s">
        <v>3184</v>
      </c>
      <c r="O3025" s="2" t="s">
        <v>115</v>
      </c>
      <c r="P3025" s="2" t="str">
        <f>"2170563766                    "</f>
        <v xml:space="preserve">2170563766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3.35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2</v>
      </c>
      <c r="BJ3025" s="2">
        <v>0.2</v>
      </c>
      <c r="BK3025" s="2">
        <v>2</v>
      </c>
      <c r="BL3025" s="2">
        <v>32.6</v>
      </c>
      <c r="BM3025" s="2">
        <v>4.5599999999999996</v>
      </c>
      <c r="BN3025" s="2">
        <v>37.159999999999997</v>
      </c>
      <c r="BO3025" s="2">
        <v>37.159999999999997</v>
      </c>
      <c r="BP3025" s="2"/>
      <c r="BQ3025" s="2" t="s">
        <v>3185</v>
      </c>
      <c r="BR3025" s="2" t="s">
        <v>84</v>
      </c>
      <c r="BS3025" s="3">
        <v>42850</v>
      </c>
      <c r="BT3025" s="4">
        <v>0.31875000000000003</v>
      </c>
      <c r="BU3025" s="2" t="s">
        <v>290</v>
      </c>
      <c r="BV3025" s="2" t="s">
        <v>111</v>
      </c>
      <c r="BW3025" s="2"/>
      <c r="BX3025" s="2"/>
      <c r="BY3025" s="2">
        <v>1200</v>
      </c>
      <c r="BZ3025" s="2"/>
      <c r="CA3025" s="2" t="s">
        <v>2027</v>
      </c>
      <c r="CB3025" s="2"/>
      <c r="CC3025" s="2" t="s">
        <v>75</v>
      </c>
      <c r="CD3025" s="2">
        <v>1600</v>
      </c>
      <c r="CE3025" s="2" t="s">
        <v>118</v>
      </c>
      <c r="CF3025" s="5">
        <v>42851</v>
      </c>
      <c r="CG3025" s="2"/>
      <c r="CH3025" s="2"/>
      <c r="CI3025" s="2">
        <v>1</v>
      </c>
      <c r="CJ3025" s="2">
        <v>1</v>
      </c>
      <c r="CK3025" s="2">
        <v>22</v>
      </c>
      <c r="CL3025" s="2" t="s">
        <v>86</v>
      </c>
      <c r="CM3025" s="2"/>
    </row>
    <row r="3026" spans="1:91">
      <c r="A3026" s="2" t="s">
        <v>71</v>
      </c>
      <c r="B3026" s="2" t="s">
        <v>72</v>
      </c>
      <c r="C3026" s="2" t="s">
        <v>73</v>
      </c>
      <c r="D3026" s="2"/>
      <c r="E3026" s="2" t="str">
        <f>"FES1162545288"</f>
        <v>FES1162545288</v>
      </c>
      <c r="F3026" s="3">
        <v>42849</v>
      </c>
      <c r="G3026" s="2">
        <v>201710</v>
      </c>
      <c r="H3026" s="2" t="s">
        <v>74</v>
      </c>
      <c r="I3026" s="2" t="s">
        <v>75</v>
      </c>
      <c r="J3026" s="2" t="s">
        <v>76</v>
      </c>
      <c r="K3026" s="2" t="s">
        <v>77</v>
      </c>
      <c r="L3026" s="2" t="s">
        <v>131</v>
      </c>
      <c r="M3026" s="2" t="s">
        <v>132</v>
      </c>
      <c r="N3026" s="2" t="s">
        <v>1069</v>
      </c>
      <c r="O3026" s="2" t="s">
        <v>115</v>
      </c>
      <c r="P3026" s="2" t="str">
        <f>"2170559650                    "</f>
        <v xml:space="preserve">2170559650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4.29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1.3</v>
      </c>
      <c r="BJ3026" s="2">
        <v>1.3</v>
      </c>
      <c r="BK3026" s="2">
        <v>1.5</v>
      </c>
      <c r="BL3026" s="2">
        <v>41.73</v>
      </c>
      <c r="BM3026" s="2">
        <v>5.84</v>
      </c>
      <c r="BN3026" s="2">
        <v>47.57</v>
      </c>
      <c r="BO3026" s="2">
        <v>47.57</v>
      </c>
      <c r="BP3026" s="2"/>
      <c r="BQ3026" s="2" t="s">
        <v>1070</v>
      </c>
      <c r="BR3026" s="2" t="s">
        <v>84</v>
      </c>
      <c r="BS3026" s="3">
        <v>42850</v>
      </c>
      <c r="BT3026" s="4">
        <v>0.40972222222222227</v>
      </c>
      <c r="BU3026" s="2" t="s">
        <v>896</v>
      </c>
      <c r="BV3026" s="2" t="s">
        <v>111</v>
      </c>
      <c r="BW3026" s="2"/>
      <c r="BX3026" s="2"/>
      <c r="BY3026" s="2">
        <v>6288.81</v>
      </c>
      <c r="BZ3026" s="2"/>
      <c r="CA3026" s="2"/>
      <c r="CB3026" s="2"/>
      <c r="CC3026" s="2" t="s">
        <v>132</v>
      </c>
      <c r="CD3026" s="2">
        <v>7800</v>
      </c>
      <c r="CE3026" s="2" t="s">
        <v>172</v>
      </c>
      <c r="CF3026" s="5">
        <v>42851</v>
      </c>
      <c r="CG3026" s="2"/>
      <c r="CH3026" s="2"/>
      <c r="CI3026" s="2">
        <v>1</v>
      </c>
      <c r="CJ3026" s="2">
        <v>1</v>
      </c>
      <c r="CK3026" s="2">
        <v>21</v>
      </c>
      <c r="CL3026" s="2" t="s">
        <v>86</v>
      </c>
      <c r="CM3026" s="2"/>
    </row>
    <row r="3027" spans="1:91">
      <c r="A3027" s="2" t="s">
        <v>71</v>
      </c>
      <c r="B3027" s="2" t="s">
        <v>72</v>
      </c>
      <c r="C3027" s="2" t="s">
        <v>73</v>
      </c>
      <c r="D3027" s="2"/>
      <c r="E3027" s="2" t="str">
        <f>"FES1162545291"</f>
        <v>FES1162545291</v>
      </c>
      <c r="F3027" s="3">
        <v>42849</v>
      </c>
      <c r="G3027" s="2">
        <v>201710</v>
      </c>
      <c r="H3027" s="2" t="s">
        <v>74</v>
      </c>
      <c r="I3027" s="2" t="s">
        <v>75</v>
      </c>
      <c r="J3027" s="2" t="s">
        <v>76</v>
      </c>
      <c r="K3027" s="2" t="s">
        <v>77</v>
      </c>
      <c r="L3027" s="2" t="s">
        <v>91</v>
      </c>
      <c r="M3027" s="2" t="s">
        <v>92</v>
      </c>
      <c r="N3027" s="2" t="s">
        <v>2777</v>
      </c>
      <c r="O3027" s="2" t="s">
        <v>115</v>
      </c>
      <c r="P3027" s="2" t="str">
        <f>"2170560067                    "</f>
        <v xml:space="preserve">2170560067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3.35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1.9</v>
      </c>
      <c r="BJ3027" s="2">
        <v>2.9</v>
      </c>
      <c r="BK3027" s="2">
        <v>3</v>
      </c>
      <c r="BL3027" s="2">
        <v>32.6</v>
      </c>
      <c r="BM3027" s="2">
        <v>4.5599999999999996</v>
      </c>
      <c r="BN3027" s="2">
        <v>37.159999999999997</v>
      </c>
      <c r="BO3027" s="2">
        <v>37.159999999999997</v>
      </c>
      <c r="BP3027" s="2"/>
      <c r="BQ3027" s="2" t="s">
        <v>2778</v>
      </c>
      <c r="BR3027" s="2" t="s">
        <v>84</v>
      </c>
      <c r="BS3027" s="3">
        <v>42850</v>
      </c>
      <c r="BT3027" s="4">
        <v>0.37847222222222227</v>
      </c>
      <c r="BU3027" s="2" t="s">
        <v>986</v>
      </c>
      <c r="BV3027" s="2" t="s">
        <v>111</v>
      </c>
      <c r="BW3027" s="2"/>
      <c r="BX3027" s="2"/>
      <c r="BY3027" s="2">
        <v>14603.25</v>
      </c>
      <c r="BZ3027" s="2"/>
      <c r="CA3027" s="2"/>
      <c r="CB3027" s="2"/>
      <c r="CC3027" s="2" t="s">
        <v>92</v>
      </c>
      <c r="CD3027" s="2">
        <v>1419</v>
      </c>
      <c r="CE3027" s="2" t="s">
        <v>89</v>
      </c>
      <c r="CF3027" s="5">
        <v>42851</v>
      </c>
      <c r="CG3027" s="2"/>
      <c r="CH3027" s="2"/>
      <c r="CI3027" s="2">
        <v>1</v>
      </c>
      <c r="CJ3027" s="2">
        <v>1</v>
      </c>
      <c r="CK3027" s="2">
        <v>22</v>
      </c>
      <c r="CL3027" s="2" t="s">
        <v>86</v>
      </c>
      <c r="CM3027" s="2"/>
    </row>
    <row r="3028" spans="1:91">
      <c r="A3028" s="2" t="s">
        <v>71</v>
      </c>
      <c r="B3028" s="2" t="s">
        <v>72</v>
      </c>
      <c r="C3028" s="2" t="s">
        <v>73</v>
      </c>
      <c r="D3028" s="2"/>
      <c r="E3028" s="2" t="str">
        <f>"FES1162545314"</f>
        <v>FES1162545314</v>
      </c>
      <c r="F3028" s="3">
        <v>42849</v>
      </c>
      <c r="G3028" s="2">
        <v>201710</v>
      </c>
      <c r="H3028" s="2" t="s">
        <v>74</v>
      </c>
      <c r="I3028" s="2" t="s">
        <v>75</v>
      </c>
      <c r="J3028" s="2" t="s">
        <v>76</v>
      </c>
      <c r="K3028" s="2" t="s">
        <v>77</v>
      </c>
      <c r="L3028" s="2" t="s">
        <v>549</v>
      </c>
      <c r="M3028" s="2" t="s">
        <v>550</v>
      </c>
      <c r="N3028" s="2" t="s">
        <v>2359</v>
      </c>
      <c r="O3028" s="2" t="s">
        <v>115</v>
      </c>
      <c r="P3028" s="2" t="str">
        <f>"2170563795                    "</f>
        <v xml:space="preserve">2170563795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4.29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</v>
      </c>
      <c r="BJ3028" s="2">
        <v>0.2</v>
      </c>
      <c r="BK3028" s="2">
        <v>1</v>
      </c>
      <c r="BL3028" s="2">
        <v>41.73</v>
      </c>
      <c r="BM3028" s="2">
        <v>5.84</v>
      </c>
      <c r="BN3028" s="2">
        <v>47.57</v>
      </c>
      <c r="BO3028" s="2">
        <v>47.57</v>
      </c>
      <c r="BP3028" s="2"/>
      <c r="BQ3028" s="2" t="s">
        <v>116</v>
      </c>
      <c r="BR3028" s="2" t="s">
        <v>84</v>
      </c>
      <c r="BS3028" s="3">
        <v>42850</v>
      </c>
      <c r="BT3028" s="4">
        <v>0.40625</v>
      </c>
      <c r="BU3028" s="2" t="s">
        <v>3186</v>
      </c>
      <c r="BV3028" s="2" t="s">
        <v>111</v>
      </c>
      <c r="BW3028" s="2"/>
      <c r="BX3028" s="2"/>
      <c r="BY3028" s="2">
        <v>1200</v>
      </c>
      <c r="BZ3028" s="2"/>
      <c r="CA3028" s="2"/>
      <c r="CB3028" s="2"/>
      <c r="CC3028" s="2" t="s">
        <v>550</v>
      </c>
      <c r="CD3028" s="2">
        <v>3699</v>
      </c>
      <c r="CE3028" s="2" t="s">
        <v>118</v>
      </c>
      <c r="CF3028" s="5">
        <v>42851</v>
      </c>
      <c r="CG3028" s="2"/>
      <c r="CH3028" s="2"/>
      <c r="CI3028" s="2">
        <v>1</v>
      </c>
      <c r="CJ3028" s="2">
        <v>1</v>
      </c>
      <c r="CK3028" s="2">
        <v>21</v>
      </c>
      <c r="CL3028" s="2" t="s">
        <v>86</v>
      </c>
      <c r="CM3028" s="2"/>
    </row>
    <row r="3029" spans="1:91">
      <c r="A3029" s="2" t="s">
        <v>71</v>
      </c>
      <c r="B3029" s="2" t="s">
        <v>72</v>
      </c>
      <c r="C3029" s="2" t="s">
        <v>73</v>
      </c>
      <c r="D3029" s="2"/>
      <c r="E3029" s="2" t="str">
        <f>"FES1162545321"</f>
        <v>FES1162545321</v>
      </c>
      <c r="F3029" s="3">
        <v>42849</v>
      </c>
      <c r="G3029" s="2">
        <v>201710</v>
      </c>
      <c r="H3029" s="2" t="s">
        <v>74</v>
      </c>
      <c r="I3029" s="2" t="s">
        <v>75</v>
      </c>
      <c r="J3029" s="2" t="s">
        <v>76</v>
      </c>
      <c r="K3029" s="2" t="s">
        <v>77</v>
      </c>
      <c r="L3029" s="2" t="s">
        <v>180</v>
      </c>
      <c r="M3029" s="2" t="s">
        <v>181</v>
      </c>
      <c r="N3029" s="2" t="s">
        <v>1123</v>
      </c>
      <c r="O3029" s="2" t="s">
        <v>115</v>
      </c>
      <c r="P3029" s="2" t="str">
        <f>"2170563814                    "</f>
        <v xml:space="preserve">2170563814            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4.29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1</v>
      </c>
      <c r="BJ3029" s="2">
        <v>0.2</v>
      </c>
      <c r="BK3029" s="2">
        <v>1</v>
      </c>
      <c r="BL3029" s="2">
        <v>41.73</v>
      </c>
      <c r="BM3029" s="2">
        <v>5.84</v>
      </c>
      <c r="BN3029" s="2">
        <v>47.57</v>
      </c>
      <c r="BO3029" s="2">
        <v>47.57</v>
      </c>
      <c r="BP3029" s="2"/>
      <c r="BQ3029" s="2" t="s">
        <v>1124</v>
      </c>
      <c r="BR3029" s="2" t="s">
        <v>84</v>
      </c>
      <c r="BS3029" s="3">
        <v>42850</v>
      </c>
      <c r="BT3029" s="4">
        <v>0.34722222222222227</v>
      </c>
      <c r="BU3029" s="2" t="s">
        <v>2716</v>
      </c>
      <c r="BV3029" s="2" t="s">
        <v>111</v>
      </c>
      <c r="BW3029" s="2"/>
      <c r="BX3029" s="2"/>
      <c r="BY3029" s="2">
        <v>1200</v>
      </c>
      <c r="BZ3029" s="2"/>
      <c r="CA3029" s="2"/>
      <c r="CB3029" s="2"/>
      <c r="CC3029" s="2" t="s">
        <v>181</v>
      </c>
      <c r="CD3029" s="2">
        <v>4001</v>
      </c>
      <c r="CE3029" s="2" t="s">
        <v>118</v>
      </c>
      <c r="CF3029" s="5">
        <v>42851</v>
      </c>
      <c r="CG3029" s="2"/>
      <c r="CH3029" s="2"/>
      <c r="CI3029" s="2">
        <v>1</v>
      </c>
      <c r="CJ3029" s="2">
        <v>1</v>
      </c>
      <c r="CK3029" s="2">
        <v>21</v>
      </c>
      <c r="CL3029" s="2" t="s">
        <v>86</v>
      </c>
      <c r="CM3029" s="2"/>
    </row>
    <row r="3030" spans="1:91">
      <c r="A3030" s="2" t="s">
        <v>71</v>
      </c>
      <c r="B3030" s="2" t="s">
        <v>72</v>
      </c>
      <c r="C3030" s="2" t="s">
        <v>73</v>
      </c>
      <c r="D3030" s="2"/>
      <c r="E3030" s="2" t="str">
        <f>"FES1162545306"</f>
        <v>FES1162545306</v>
      </c>
      <c r="F3030" s="3">
        <v>42849</v>
      </c>
      <c r="G3030" s="2">
        <v>201710</v>
      </c>
      <c r="H3030" s="2" t="s">
        <v>74</v>
      </c>
      <c r="I3030" s="2" t="s">
        <v>75</v>
      </c>
      <c r="J3030" s="2" t="s">
        <v>76</v>
      </c>
      <c r="K3030" s="2" t="s">
        <v>77</v>
      </c>
      <c r="L3030" s="2" t="s">
        <v>260</v>
      </c>
      <c r="M3030" s="2" t="s">
        <v>261</v>
      </c>
      <c r="N3030" s="2" t="s">
        <v>470</v>
      </c>
      <c r="O3030" s="2" t="s">
        <v>115</v>
      </c>
      <c r="P3030" s="2" t="str">
        <f>"2170563782                    "</f>
        <v xml:space="preserve">2170563782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3.35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1</v>
      </c>
      <c r="BI3030" s="2">
        <v>1</v>
      </c>
      <c r="BJ3030" s="2">
        <v>0.2</v>
      </c>
      <c r="BK3030" s="2">
        <v>1</v>
      </c>
      <c r="BL3030" s="2">
        <v>32.6</v>
      </c>
      <c r="BM3030" s="2">
        <v>4.5599999999999996</v>
      </c>
      <c r="BN3030" s="2">
        <v>37.159999999999997</v>
      </c>
      <c r="BO3030" s="2">
        <v>37.159999999999997</v>
      </c>
      <c r="BP3030" s="2"/>
      <c r="BQ3030" s="2" t="s">
        <v>471</v>
      </c>
      <c r="BR3030" s="2" t="s">
        <v>84</v>
      </c>
      <c r="BS3030" s="3">
        <v>42850</v>
      </c>
      <c r="BT3030" s="4">
        <v>0.40486111111111112</v>
      </c>
      <c r="BU3030" s="2" t="s">
        <v>3187</v>
      </c>
      <c r="BV3030" s="2" t="s">
        <v>111</v>
      </c>
      <c r="BW3030" s="2"/>
      <c r="BX3030" s="2"/>
      <c r="BY3030" s="2">
        <v>1200</v>
      </c>
      <c r="BZ3030" s="2"/>
      <c r="CA3030" s="2" t="s">
        <v>473</v>
      </c>
      <c r="CB3030" s="2"/>
      <c r="CC3030" s="2" t="s">
        <v>261</v>
      </c>
      <c r="CD3030" s="2">
        <v>1449</v>
      </c>
      <c r="CE3030" s="2" t="s">
        <v>118</v>
      </c>
      <c r="CF3030" s="5">
        <v>42851</v>
      </c>
      <c r="CG3030" s="2"/>
      <c r="CH3030" s="2"/>
      <c r="CI3030" s="2">
        <v>1</v>
      </c>
      <c r="CJ3030" s="2">
        <v>1</v>
      </c>
      <c r="CK3030" s="2">
        <v>22</v>
      </c>
      <c r="CL3030" s="2" t="s">
        <v>86</v>
      </c>
      <c r="CM3030" s="2"/>
    </row>
    <row r="3031" spans="1:91">
      <c r="A3031" s="2" t="s">
        <v>71</v>
      </c>
      <c r="B3031" s="2" t="s">
        <v>72</v>
      </c>
      <c r="C3031" s="2" t="s">
        <v>73</v>
      </c>
      <c r="D3031" s="2"/>
      <c r="E3031" s="2" t="str">
        <f>"FES1162544892"</f>
        <v>FES1162544892</v>
      </c>
      <c r="F3031" s="3">
        <v>42849</v>
      </c>
      <c r="G3031" s="2">
        <v>201710</v>
      </c>
      <c r="H3031" s="2" t="s">
        <v>74</v>
      </c>
      <c r="I3031" s="2" t="s">
        <v>75</v>
      </c>
      <c r="J3031" s="2" t="s">
        <v>76</v>
      </c>
      <c r="K3031" s="2" t="s">
        <v>77</v>
      </c>
      <c r="L3031" s="2" t="s">
        <v>166</v>
      </c>
      <c r="M3031" s="2" t="s">
        <v>167</v>
      </c>
      <c r="N3031" s="2" t="s">
        <v>168</v>
      </c>
      <c r="O3031" s="2" t="s">
        <v>115</v>
      </c>
      <c r="P3031" s="2" t="str">
        <f>"2170560911                    "</f>
        <v xml:space="preserve">2170560911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3.35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7.1</v>
      </c>
      <c r="BJ3031" s="2">
        <v>1.9</v>
      </c>
      <c r="BK3031" s="2">
        <v>8</v>
      </c>
      <c r="BL3031" s="2">
        <v>32.6</v>
      </c>
      <c r="BM3031" s="2">
        <v>4.5599999999999996</v>
      </c>
      <c r="BN3031" s="2">
        <v>37.159999999999997</v>
      </c>
      <c r="BO3031" s="2">
        <v>37.159999999999997</v>
      </c>
      <c r="BP3031" s="2"/>
      <c r="BQ3031" s="2" t="s">
        <v>169</v>
      </c>
      <c r="BR3031" s="2" t="s">
        <v>84</v>
      </c>
      <c r="BS3031" s="3">
        <v>42850</v>
      </c>
      <c r="BT3031" s="4">
        <v>0.3923611111111111</v>
      </c>
      <c r="BU3031" s="2" t="s">
        <v>170</v>
      </c>
      <c r="BV3031" s="2" t="s">
        <v>111</v>
      </c>
      <c r="BW3031" s="2"/>
      <c r="BX3031" s="2"/>
      <c r="BY3031" s="2">
        <v>9610.56</v>
      </c>
      <c r="BZ3031" s="2"/>
      <c r="CA3031" s="2" t="s">
        <v>171</v>
      </c>
      <c r="CB3031" s="2"/>
      <c r="CC3031" s="2" t="s">
        <v>167</v>
      </c>
      <c r="CD3031" s="2">
        <v>2094</v>
      </c>
      <c r="CE3031" s="2" t="s">
        <v>89</v>
      </c>
      <c r="CF3031" s="5">
        <v>42850</v>
      </c>
      <c r="CG3031" s="2"/>
      <c r="CH3031" s="2"/>
      <c r="CI3031" s="2">
        <v>1</v>
      </c>
      <c r="CJ3031" s="2">
        <v>1</v>
      </c>
      <c r="CK3031" s="2">
        <v>22</v>
      </c>
      <c r="CL3031" s="2" t="s">
        <v>86</v>
      </c>
      <c r="CM3031" s="2"/>
    </row>
    <row r="3032" spans="1:91">
      <c r="A3032" s="2" t="s">
        <v>71</v>
      </c>
      <c r="B3032" s="2" t="s">
        <v>72</v>
      </c>
      <c r="C3032" s="2" t="s">
        <v>73</v>
      </c>
      <c r="D3032" s="2"/>
      <c r="E3032" s="2" t="str">
        <f>"FES1162545322"</f>
        <v>FES1162545322</v>
      </c>
      <c r="F3032" s="3">
        <v>42849</v>
      </c>
      <c r="G3032" s="2">
        <v>201710</v>
      </c>
      <c r="H3032" s="2" t="s">
        <v>74</v>
      </c>
      <c r="I3032" s="2" t="s">
        <v>75</v>
      </c>
      <c r="J3032" s="2" t="s">
        <v>76</v>
      </c>
      <c r="K3032" s="2" t="s">
        <v>77</v>
      </c>
      <c r="L3032" s="2" t="s">
        <v>131</v>
      </c>
      <c r="M3032" s="2" t="s">
        <v>132</v>
      </c>
      <c r="N3032" s="2" t="s">
        <v>744</v>
      </c>
      <c r="O3032" s="2" t="s">
        <v>115</v>
      </c>
      <c r="P3032" s="2" t="str">
        <f>"2170563815                    "</f>
        <v xml:space="preserve">2170563815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4.29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0.9</v>
      </c>
      <c r="BJ3032" s="2">
        <v>1.9</v>
      </c>
      <c r="BK3032" s="2">
        <v>2</v>
      </c>
      <c r="BL3032" s="2">
        <v>41.73</v>
      </c>
      <c r="BM3032" s="2">
        <v>5.84</v>
      </c>
      <c r="BN3032" s="2">
        <v>47.57</v>
      </c>
      <c r="BO3032" s="2">
        <v>47.57</v>
      </c>
      <c r="BP3032" s="2"/>
      <c r="BQ3032" s="2" t="s">
        <v>138</v>
      </c>
      <c r="BR3032" s="2" t="s">
        <v>84</v>
      </c>
      <c r="BS3032" s="3">
        <v>42850</v>
      </c>
      <c r="BT3032" s="4">
        <v>0.3888888888888889</v>
      </c>
      <c r="BU3032" s="2" t="s">
        <v>3188</v>
      </c>
      <c r="BV3032" s="2" t="s">
        <v>111</v>
      </c>
      <c r="BW3032" s="2"/>
      <c r="BX3032" s="2"/>
      <c r="BY3032" s="2">
        <v>9272.41</v>
      </c>
      <c r="BZ3032" s="2"/>
      <c r="CA3032" s="2"/>
      <c r="CB3032" s="2"/>
      <c r="CC3032" s="2" t="s">
        <v>132</v>
      </c>
      <c r="CD3032" s="2">
        <v>7405</v>
      </c>
      <c r="CE3032" s="2" t="s">
        <v>172</v>
      </c>
      <c r="CF3032" s="5">
        <v>42851</v>
      </c>
      <c r="CG3032" s="2"/>
      <c r="CH3032" s="2"/>
      <c r="CI3032" s="2">
        <v>1</v>
      </c>
      <c r="CJ3032" s="2">
        <v>1</v>
      </c>
      <c r="CK3032" s="2">
        <v>21</v>
      </c>
      <c r="CL3032" s="2" t="s">
        <v>86</v>
      </c>
      <c r="CM3032" s="2"/>
    </row>
    <row r="3033" spans="1:91">
      <c r="A3033" s="2" t="s">
        <v>71</v>
      </c>
      <c r="B3033" s="2" t="s">
        <v>72</v>
      </c>
      <c r="C3033" s="2" t="s">
        <v>73</v>
      </c>
      <c r="D3033" s="2"/>
      <c r="E3033" s="2" t="str">
        <f>"FES1162545323"</f>
        <v>FES1162545323</v>
      </c>
      <c r="F3033" s="3">
        <v>42849</v>
      </c>
      <c r="G3033" s="2">
        <v>201710</v>
      </c>
      <c r="H3033" s="2" t="s">
        <v>74</v>
      </c>
      <c r="I3033" s="2" t="s">
        <v>75</v>
      </c>
      <c r="J3033" s="2" t="s">
        <v>76</v>
      </c>
      <c r="K3033" s="2" t="s">
        <v>77</v>
      </c>
      <c r="L3033" s="2" t="s">
        <v>131</v>
      </c>
      <c r="M3033" s="2" t="s">
        <v>132</v>
      </c>
      <c r="N3033" s="2" t="s">
        <v>744</v>
      </c>
      <c r="O3033" s="2" t="s">
        <v>115</v>
      </c>
      <c r="P3033" s="2" t="str">
        <f>"2170563807                    "</f>
        <v xml:space="preserve">2170563807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5.36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2.5</v>
      </c>
      <c r="BJ3033" s="2">
        <v>1.6</v>
      </c>
      <c r="BK3033" s="2">
        <v>2.5</v>
      </c>
      <c r="BL3033" s="2">
        <v>52.16</v>
      </c>
      <c r="BM3033" s="2">
        <v>7.3</v>
      </c>
      <c r="BN3033" s="2">
        <v>59.46</v>
      </c>
      <c r="BO3033" s="2">
        <v>59.46</v>
      </c>
      <c r="BP3033" s="2"/>
      <c r="BQ3033" s="2" t="s">
        <v>138</v>
      </c>
      <c r="BR3033" s="2" t="s">
        <v>84</v>
      </c>
      <c r="BS3033" s="3">
        <v>42850</v>
      </c>
      <c r="BT3033" s="4">
        <v>0.39583333333333331</v>
      </c>
      <c r="BU3033" s="2" t="s">
        <v>3188</v>
      </c>
      <c r="BV3033" s="2" t="s">
        <v>111</v>
      </c>
      <c r="BW3033" s="2"/>
      <c r="BX3033" s="2"/>
      <c r="BY3033" s="2">
        <v>8134.5</v>
      </c>
      <c r="BZ3033" s="2"/>
      <c r="CA3033" s="2"/>
      <c r="CB3033" s="2"/>
      <c r="CC3033" s="2" t="s">
        <v>132</v>
      </c>
      <c r="CD3033" s="2">
        <v>7405</v>
      </c>
      <c r="CE3033" s="2" t="s">
        <v>89</v>
      </c>
      <c r="CF3033" s="5">
        <v>42851</v>
      </c>
      <c r="CG3033" s="2"/>
      <c r="CH3033" s="2"/>
      <c r="CI3033" s="2">
        <v>1</v>
      </c>
      <c r="CJ3033" s="2">
        <v>1</v>
      </c>
      <c r="CK3033" s="2">
        <v>21</v>
      </c>
      <c r="CL3033" s="2" t="s">
        <v>86</v>
      </c>
      <c r="CM3033" s="2"/>
    </row>
    <row r="3034" spans="1:91">
      <c r="A3034" s="2" t="s">
        <v>71</v>
      </c>
      <c r="B3034" s="2" t="s">
        <v>72</v>
      </c>
      <c r="C3034" s="2" t="s">
        <v>73</v>
      </c>
      <c r="D3034" s="2"/>
      <c r="E3034" s="2" t="str">
        <f>"FES1162545318"</f>
        <v>FES1162545318</v>
      </c>
      <c r="F3034" s="3">
        <v>42849</v>
      </c>
      <c r="G3034" s="2">
        <v>201710</v>
      </c>
      <c r="H3034" s="2" t="s">
        <v>74</v>
      </c>
      <c r="I3034" s="2" t="s">
        <v>75</v>
      </c>
      <c r="J3034" s="2" t="s">
        <v>76</v>
      </c>
      <c r="K3034" s="2" t="s">
        <v>77</v>
      </c>
      <c r="L3034" s="2" t="s">
        <v>131</v>
      </c>
      <c r="M3034" s="2" t="s">
        <v>132</v>
      </c>
      <c r="N3034" s="2" t="s">
        <v>744</v>
      </c>
      <c r="O3034" s="2" t="s">
        <v>115</v>
      </c>
      <c r="P3034" s="2" t="str">
        <f>"2170563803                    "</f>
        <v xml:space="preserve">2170563803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4.29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1</v>
      </c>
      <c r="BJ3034" s="2">
        <v>0.2</v>
      </c>
      <c r="BK3034" s="2">
        <v>1</v>
      </c>
      <c r="BL3034" s="2">
        <v>41.73</v>
      </c>
      <c r="BM3034" s="2">
        <v>5.84</v>
      </c>
      <c r="BN3034" s="2">
        <v>47.57</v>
      </c>
      <c r="BO3034" s="2">
        <v>47.57</v>
      </c>
      <c r="BP3034" s="2"/>
      <c r="BQ3034" s="2" t="s">
        <v>138</v>
      </c>
      <c r="BR3034" s="2" t="s">
        <v>84</v>
      </c>
      <c r="BS3034" s="3">
        <v>42850</v>
      </c>
      <c r="BT3034" s="4">
        <v>0.41666666666666669</v>
      </c>
      <c r="BU3034" s="2" t="s">
        <v>245</v>
      </c>
      <c r="BV3034" s="2" t="s">
        <v>111</v>
      </c>
      <c r="BW3034" s="2"/>
      <c r="BX3034" s="2"/>
      <c r="BY3034" s="2">
        <v>1200</v>
      </c>
      <c r="BZ3034" s="2"/>
      <c r="CA3034" s="2"/>
      <c r="CB3034" s="2"/>
      <c r="CC3034" s="2" t="s">
        <v>132</v>
      </c>
      <c r="CD3034" s="2">
        <v>7405</v>
      </c>
      <c r="CE3034" s="2" t="s">
        <v>118</v>
      </c>
      <c r="CF3034" s="5">
        <v>42851</v>
      </c>
      <c r="CG3034" s="2"/>
      <c r="CH3034" s="2"/>
      <c r="CI3034" s="2">
        <v>1</v>
      </c>
      <c r="CJ3034" s="2">
        <v>1</v>
      </c>
      <c r="CK3034" s="2">
        <v>21</v>
      </c>
      <c r="CL3034" s="2" t="s">
        <v>86</v>
      </c>
      <c r="CM3034" s="2"/>
    </row>
    <row r="3035" spans="1:91">
      <c r="A3035" s="2" t="s">
        <v>71</v>
      </c>
      <c r="B3035" s="2" t="s">
        <v>72</v>
      </c>
      <c r="C3035" s="2" t="s">
        <v>73</v>
      </c>
      <c r="D3035" s="2"/>
      <c r="E3035" s="2" t="str">
        <f>"FES1162545283"</f>
        <v>FES1162545283</v>
      </c>
      <c r="F3035" s="3">
        <v>42849</v>
      </c>
      <c r="G3035" s="2">
        <v>201710</v>
      </c>
      <c r="H3035" s="2" t="s">
        <v>74</v>
      </c>
      <c r="I3035" s="2" t="s">
        <v>75</v>
      </c>
      <c r="J3035" s="2" t="s">
        <v>76</v>
      </c>
      <c r="K3035" s="2" t="s">
        <v>77</v>
      </c>
      <c r="L3035" s="2" t="s">
        <v>503</v>
      </c>
      <c r="M3035" s="2" t="s">
        <v>504</v>
      </c>
      <c r="N3035" s="2" t="s">
        <v>3189</v>
      </c>
      <c r="O3035" s="2" t="s">
        <v>115</v>
      </c>
      <c r="P3035" s="2" t="str">
        <f>"2170557662                    "</f>
        <v xml:space="preserve">2170557662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3.35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0.6</v>
      </c>
      <c r="BJ3035" s="2">
        <v>1.3</v>
      </c>
      <c r="BK3035" s="2">
        <v>2</v>
      </c>
      <c r="BL3035" s="2">
        <v>32.6</v>
      </c>
      <c r="BM3035" s="2">
        <v>4.5599999999999996</v>
      </c>
      <c r="BN3035" s="2">
        <v>37.159999999999997</v>
      </c>
      <c r="BO3035" s="2">
        <v>37.159999999999997</v>
      </c>
      <c r="BP3035" s="2"/>
      <c r="BQ3035" s="2" t="s">
        <v>3190</v>
      </c>
      <c r="BR3035" s="2" t="s">
        <v>84</v>
      </c>
      <c r="BS3035" s="3">
        <v>42850</v>
      </c>
      <c r="BT3035" s="4">
        <v>0.30833333333333335</v>
      </c>
      <c r="BU3035" s="2" t="s">
        <v>2152</v>
      </c>
      <c r="BV3035" s="2" t="s">
        <v>111</v>
      </c>
      <c r="BW3035" s="2"/>
      <c r="BX3035" s="2"/>
      <c r="BY3035" s="2">
        <v>6374.59</v>
      </c>
      <c r="BZ3035" s="2"/>
      <c r="CA3035" s="2" t="s">
        <v>2639</v>
      </c>
      <c r="CB3035" s="2"/>
      <c r="CC3035" s="2" t="s">
        <v>504</v>
      </c>
      <c r="CD3035" s="2">
        <v>1501</v>
      </c>
      <c r="CE3035" s="2" t="s">
        <v>172</v>
      </c>
      <c r="CF3035" s="5">
        <v>42850</v>
      </c>
      <c r="CG3035" s="2"/>
      <c r="CH3035" s="2"/>
      <c r="CI3035" s="2">
        <v>1</v>
      </c>
      <c r="CJ3035" s="2">
        <v>1</v>
      </c>
      <c r="CK3035" s="2">
        <v>22</v>
      </c>
      <c r="CL3035" s="2" t="s">
        <v>86</v>
      </c>
      <c r="CM3035" s="2"/>
    </row>
    <row r="3036" spans="1:91">
      <c r="A3036" s="2" t="s">
        <v>71</v>
      </c>
      <c r="B3036" s="2" t="s">
        <v>72</v>
      </c>
      <c r="C3036" s="2" t="s">
        <v>73</v>
      </c>
      <c r="D3036" s="2"/>
      <c r="E3036" s="2" t="str">
        <f>"FES1162545285"</f>
        <v>FES1162545285</v>
      </c>
      <c r="F3036" s="3">
        <v>42849</v>
      </c>
      <c r="G3036" s="2">
        <v>201710</v>
      </c>
      <c r="H3036" s="2" t="s">
        <v>74</v>
      </c>
      <c r="I3036" s="2" t="s">
        <v>75</v>
      </c>
      <c r="J3036" s="2" t="s">
        <v>76</v>
      </c>
      <c r="K3036" s="2" t="s">
        <v>77</v>
      </c>
      <c r="L3036" s="2" t="s">
        <v>187</v>
      </c>
      <c r="M3036" s="2" t="s">
        <v>146</v>
      </c>
      <c r="N3036" s="2" t="s">
        <v>427</v>
      </c>
      <c r="O3036" s="2" t="s">
        <v>115</v>
      </c>
      <c r="P3036" s="2" t="str">
        <f>"2170558570                    "</f>
        <v xml:space="preserve">2170558570 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6.43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0.7</v>
      </c>
      <c r="BJ3036" s="2">
        <v>2.8</v>
      </c>
      <c r="BK3036" s="2">
        <v>3</v>
      </c>
      <c r="BL3036" s="2">
        <v>62.59</v>
      </c>
      <c r="BM3036" s="2">
        <v>8.76</v>
      </c>
      <c r="BN3036" s="2">
        <v>71.349999999999994</v>
      </c>
      <c r="BO3036" s="2">
        <v>71.349999999999994</v>
      </c>
      <c r="BP3036" s="2"/>
      <c r="BQ3036" s="2" t="s">
        <v>428</v>
      </c>
      <c r="BR3036" s="2" t="s">
        <v>84</v>
      </c>
      <c r="BS3036" s="3">
        <v>42850</v>
      </c>
      <c r="BT3036" s="4">
        <v>0.36458333333333331</v>
      </c>
      <c r="BU3036" s="2" t="s">
        <v>1875</v>
      </c>
      <c r="BV3036" s="2" t="s">
        <v>111</v>
      </c>
      <c r="BW3036" s="2"/>
      <c r="BX3036" s="2"/>
      <c r="BY3036" s="2">
        <v>14065.8</v>
      </c>
      <c r="BZ3036" s="2"/>
      <c r="CA3036" s="2"/>
      <c r="CB3036" s="2"/>
      <c r="CC3036" s="2" t="s">
        <v>146</v>
      </c>
      <c r="CD3036" s="2">
        <v>184</v>
      </c>
      <c r="CE3036" s="2" t="s">
        <v>172</v>
      </c>
      <c r="CF3036" s="5">
        <v>42853</v>
      </c>
      <c r="CG3036" s="2"/>
      <c r="CH3036" s="2"/>
      <c r="CI3036" s="2">
        <v>0</v>
      </c>
      <c r="CJ3036" s="2">
        <v>0</v>
      </c>
      <c r="CK3036" s="2">
        <v>21</v>
      </c>
      <c r="CL3036" s="2" t="s">
        <v>86</v>
      </c>
      <c r="CM3036" s="2"/>
    </row>
    <row r="3037" spans="1:91">
      <c r="A3037" s="2" t="s">
        <v>71</v>
      </c>
      <c r="B3037" s="2" t="s">
        <v>72</v>
      </c>
      <c r="C3037" s="2" t="s">
        <v>73</v>
      </c>
      <c r="D3037" s="2"/>
      <c r="E3037" s="2" t="str">
        <f>"FES1162545277"</f>
        <v>FES1162545277</v>
      </c>
      <c r="F3037" s="3">
        <v>42849</v>
      </c>
      <c r="G3037" s="2">
        <v>201710</v>
      </c>
      <c r="H3037" s="2" t="s">
        <v>74</v>
      </c>
      <c r="I3037" s="2" t="s">
        <v>75</v>
      </c>
      <c r="J3037" s="2" t="s">
        <v>76</v>
      </c>
      <c r="K3037" s="2" t="s">
        <v>77</v>
      </c>
      <c r="L3037" s="2" t="s">
        <v>131</v>
      </c>
      <c r="M3037" s="2" t="s">
        <v>132</v>
      </c>
      <c r="N3037" s="2" t="s">
        <v>384</v>
      </c>
      <c r="O3037" s="2" t="s">
        <v>115</v>
      </c>
      <c r="P3037" s="2" t="str">
        <f>"2170563770                    "</f>
        <v xml:space="preserve">2170563770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17.149999999999999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7.9</v>
      </c>
      <c r="BJ3037" s="2">
        <v>6.4</v>
      </c>
      <c r="BK3037" s="2">
        <v>8</v>
      </c>
      <c r="BL3037" s="2">
        <v>166.91</v>
      </c>
      <c r="BM3037" s="2">
        <v>23.37</v>
      </c>
      <c r="BN3037" s="2">
        <v>190.28</v>
      </c>
      <c r="BO3037" s="2">
        <v>190.28</v>
      </c>
      <c r="BP3037" s="2"/>
      <c r="BQ3037" s="2" t="s">
        <v>1272</v>
      </c>
      <c r="BR3037" s="2" t="s">
        <v>84</v>
      </c>
      <c r="BS3037" s="3">
        <v>42850</v>
      </c>
      <c r="BT3037" s="4">
        <v>0.41666666666666669</v>
      </c>
      <c r="BU3037" s="2" t="s">
        <v>1516</v>
      </c>
      <c r="BV3037" s="2" t="s">
        <v>111</v>
      </c>
      <c r="BW3037" s="2"/>
      <c r="BX3037" s="2"/>
      <c r="BY3037" s="2">
        <v>32163</v>
      </c>
      <c r="BZ3037" s="2"/>
      <c r="CA3037" s="2"/>
      <c r="CB3037" s="2"/>
      <c r="CC3037" s="2" t="s">
        <v>132</v>
      </c>
      <c r="CD3037" s="2">
        <v>7530</v>
      </c>
      <c r="CE3037" s="2" t="s">
        <v>172</v>
      </c>
      <c r="CF3037" s="5">
        <v>42851</v>
      </c>
      <c r="CG3037" s="2"/>
      <c r="CH3037" s="2"/>
      <c r="CI3037" s="2">
        <v>1</v>
      </c>
      <c r="CJ3037" s="2">
        <v>1</v>
      </c>
      <c r="CK3037" s="2">
        <v>21</v>
      </c>
      <c r="CL3037" s="2" t="s">
        <v>86</v>
      </c>
      <c r="CM3037" s="2"/>
    </row>
    <row r="3038" spans="1:91">
      <c r="A3038" s="2" t="s">
        <v>71</v>
      </c>
      <c r="B3038" s="2" t="s">
        <v>72</v>
      </c>
      <c r="C3038" s="2" t="s">
        <v>73</v>
      </c>
      <c r="D3038" s="2"/>
      <c r="E3038" s="2" t="str">
        <f>"FES1162545272"</f>
        <v>FES1162545272</v>
      </c>
      <c r="F3038" s="3">
        <v>42849</v>
      </c>
      <c r="G3038" s="2">
        <v>201710</v>
      </c>
      <c r="H3038" s="2" t="s">
        <v>74</v>
      </c>
      <c r="I3038" s="2" t="s">
        <v>75</v>
      </c>
      <c r="J3038" s="2" t="s">
        <v>76</v>
      </c>
      <c r="K3038" s="2" t="s">
        <v>77</v>
      </c>
      <c r="L3038" s="2" t="s">
        <v>187</v>
      </c>
      <c r="M3038" s="2" t="s">
        <v>146</v>
      </c>
      <c r="N3038" s="2" t="s">
        <v>1999</v>
      </c>
      <c r="O3038" s="2" t="s">
        <v>115</v>
      </c>
      <c r="P3038" s="2" t="str">
        <f>"2170563760                    "</f>
        <v xml:space="preserve">2170563760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4.29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2</v>
      </c>
      <c r="BJ3038" s="2">
        <v>2</v>
      </c>
      <c r="BK3038" s="2">
        <v>2</v>
      </c>
      <c r="BL3038" s="2">
        <v>41.73</v>
      </c>
      <c r="BM3038" s="2">
        <v>5.84</v>
      </c>
      <c r="BN3038" s="2">
        <v>47.57</v>
      </c>
      <c r="BO3038" s="2">
        <v>47.57</v>
      </c>
      <c r="BP3038" s="2"/>
      <c r="BQ3038" s="2" t="s">
        <v>2000</v>
      </c>
      <c r="BR3038" s="2" t="s">
        <v>84</v>
      </c>
      <c r="BS3038" s="3">
        <v>42850</v>
      </c>
      <c r="BT3038" s="4">
        <v>0.4201388888888889</v>
      </c>
      <c r="BU3038" s="2" t="s">
        <v>130</v>
      </c>
      <c r="BV3038" s="2" t="s">
        <v>111</v>
      </c>
      <c r="BW3038" s="2"/>
      <c r="BX3038" s="2"/>
      <c r="BY3038" s="2">
        <v>9900</v>
      </c>
      <c r="BZ3038" s="2"/>
      <c r="CA3038" s="2"/>
      <c r="CB3038" s="2"/>
      <c r="CC3038" s="2" t="s">
        <v>146</v>
      </c>
      <c r="CD3038" s="2">
        <v>200</v>
      </c>
      <c r="CE3038" s="2" t="s">
        <v>89</v>
      </c>
      <c r="CF3038" s="5">
        <v>42853</v>
      </c>
      <c r="CG3038" s="2"/>
      <c r="CH3038" s="2"/>
      <c r="CI3038" s="2">
        <v>0</v>
      </c>
      <c r="CJ3038" s="2">
        <v>0</v>
      </c>
      <c r="CK3038" s="2">
        <v>21</v>
      </c>
      <c r="CL3038" s="2" t="s">
        <v>86</v>
      </c>
      <c r="CM3038" s="2"/>
    </row>
    <row r="3039" spans="1:91">
      <c r="A3039" s="2" t="s">
        <v>71</v>
      </c>
      <c r="B3039" s="2" t="s">
        <v>72</v>
      </c>
      <c r="C3039" s="2" t="s">
        <v>73</v>
      </c>
      <c r="D3039" s="2"/>
      <c r="E3039" s="2" t="str">
        <f>"FES1162545290"</f>
        <v>FES1162545290</v>
      </c>
      <c r="F3039" s="3">
        <v>42849</v>
      </c>
      <c r="G3039" s="2">
        <v>201710</v>
      </c>
      <c r="H3039" s="2" t="s">
        <v>74</v>
      </c>
      <c r="I3039" s="2" t="s">
        <v>75</v>
      </c>
      <c r="J3039" s="2" t="s">
        <v>76</v>
      </c>
      <c r="K3039" s="2" t="s">
        <v>77</v>
      </c>
      <c r="L3039" s="2" t="s">
        <v>131</v>
      </c>
      <c r="M3039" s="2" t="s">
        <v>132</v>
      </c>
      <c r="N3039" s="2" t="s">
        <v>731</v>
      </c>
      <c r="O3039" s="2" t="s">
        <v>115</v>
      </c>
      <c r="P3039" s="2" t="str">
        <f>"2170559936                    "</f>
        <v xml:space="preserve">2170559936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4.29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0.3</v>
      </c>
      <c r="BJ3039" s="2">
        <v>1.3</v>
      </c>
      <c r="BK3039" s="2">
        <v>1.5</v>
      </c>
      <c r="BL3039" s="2">
        <v>41.73</v>
      </c>
      <c r="BM3039" s="2">
        <v>5.84</v>
      </c>
      <c r="BN3039" s="2">
        <v>47.57</v>
      </c>
      <c r="BO3039" s="2">
        <v>47.57</v>
      </c>
      <c r="BP3039" s="2"/>
      <c r="BQ3039" s="2" t="s">
        <v>732</v>
      </c>
      <c r="BR3039" s="2" t="s">
        <v>84</v>
      </c>
      <c r="BS3039" s="3">
        <v>42850</v>
      </c>
      <c r="BT3039" s="4">
        <v>0.45833333333333331</v>
      </c>
      <c r="BU3039" s="2" t="s">
        <v>1418</v>
      </c>
      <c r="BV3039" s="2" t="s">
        <v>111</v>
      </c>
      <c r="BW3039" s="2"/>
      <c r="BX3039" s="2"/>
      <c r="BY3039" s="2">
        <v>6605.12</v>
      </c>
      <c r="BZ3039" s="2"/>
      <c r="CA3039" s="2"/>
      <c r="CB3039" s="2"/>
      <c r="CC3039" s="2" t="s">
        <v>132</v>
      </c>
      <c r="CD3039" s="2">
        <v>7945</v>
      </c>
      <c r="CE3039" s="2" t="s">
        <v>172</v>
      </c>
      <c r="CF3039" s="5">
        <v>42851</v>
      </c>
      <c r="CG3039" s="2"/>
      <c r="CH3039" s="2"/>
      <c r="CI3039" s="2">
        <v>1</v>
      </c>
      <c r="CJ3039" s="2">
        <v>1</v>
      </c>
      <c r="CK3039" s="2">
        <v>21</v>
      </c>
      <c r="CL3039" s="2" t="s">
        <v>86</v>
      </c>
      <c r="CM3039" s="2"/>
    </row>
    <row r="3040" spans="1:91">
      <c r="A3040" s="2" t="s">
        <v>71</v>
      </c>
      <c r="B3040" s="2" t="s">
        <v>72</v>
      </c>
      <c r="C3040" s="2" t="s">
        <v>73</v>
      </c>
      <c r="D3040" s="2"/>
      <c r="E3040" s="2" t="str">
        <f>"FES1162545282"</f>
        <v>FES1162545282</v>
      </c>
      <c r="F3040" s="3">
        <v>42849</v>
      </c>
      <c r="G3040" s="2">
        <v>201710</v>
      </c>
      <c r="H3040" s="2" t="s">
        <v>74</v>
      </c>
      <c r="I3040" s="2" t="s">
        <v>75</v>
      </c>
      <c r="J3040" s="2" t="s">
        <v>76</v>
      </c>
      <c r="K3040" s="2" t="s">
        <v>77</v>
      </c>
      <c r="L3040" s="2" t="s">
        <v>131</v>
      </c>
      <c r="M3040" s="2" t="s">
        <v>132</v>
      </c>
      <c r="N3040" s="2" t="s">
        <v>1439</v>
      </c>
      <c r="O3040" s="2" t="s">
        <v>115</v>
      </c>
      <c r="P3040" s="2" t="str">
        <f>"2170550336                    "</f>
        <v xml:space="preserve">2170550336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4.29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1</v>
      </c>
      <c r="BI3040" s="2">
        <v>1.3</v>
      </c>
      <c r="BJ3040" s="2">
        <v>1.3</v>
      </c>
      <c r="BK3040" s="2">
        <v>1.5</v>
      </c>
      <c r="BL3040" s="2">
        <v>41.73</v>
      </c>
      <c r="BM3040" s="2">
        <v>5.84</v>
      </c>
      <c r="BN3040" s="2">
        <v>47.57</v>
      </c>
      <c r="BO3040" s="2">
        <v>47.57</v>
      </c>
      <c r="BP3040" s="2"/>
      <c r="BQ3040" s="2" t="s">
        <v>1440</v>
      </c>
      <c r="BR3040" s="2" t="s">
        <v>84</v>
      </c>
      <c r="BS3040" s="3">
        <v>42850</v>
      </c>
      <c r="BT3040" s="4">
        <v>0.42222222222222222</v>
      </c>
      <c r="BU3040" s="2" t="s">
        <v>3111</v>
      </c>
      <c r="BV3040" s="2" t="s">
        <v>111</v>
      </c>
      <c r="BW3040" s="2"/>
      <c r="BX3040" s="2"/>
      <c r="BY3040" s="2">
        <v>6411.65</v>
      </c>
      <c r="BZ3040" s="2"/>
      <c r="CA3040" s="2" t="s">
        <v>3008</v>
      </c>
      <c r="CB3040" s="2"/>
      <c r="CC3040" s="2" t="s">
        <v>132</v>
      </c>
      <c r="CD3040" s="2">
        <v>7490</v>
      </c>
      <c r="CE3040" s="2" t="s">
        <v>172</v>
      </c>
      <c r="CF3040" s="5">
        <v>42850</v>
      </c>
      <c r="CG3040" s="2"/>
      <c r="CH3040" s="2"/>
      <c r="CI3040" s="2">
        <v>1</v>
      </c>
      <c r="CJ3040" s="2">
        <v>1</v>
      </c>
      <c r="CK3040" s="2">
        <v>21</v>
      </c>
      <c r="CL3040" s="2" t="s">
        <v>86</v>
      </c>
      <c r="CM3040" s="2"/>
    </row>
    <row r="3041" spans="1:91">
      <c r="A3041" s="2" t="s">
        <v>71</v>
      </c>
      <c r="B3041" s="2" t="s">
        <v>72</v>
      </c>
      <c r="C3041" s="2" t="s">
        <v>73</v>
      </c>
      <c r="D3041" s="2"/>
      <c r="E3041" s="2" t="str">
        <f>"FES1162545297"</f>
        <v>FES1162545297</v>
      </c>
      <c r="F3041" s="3">
        <v>42849</v>
      </c>
      <c r="G3041" s="2">
        <v>201710</v>
      </c>
      <c r="H3041" s="2" t="s">
        <v>74</v>
      </c>
      <c r="I3041" s="2" t="s">
        <v>75</v>
      </c>
      <c r="J3041" s="2" t="s">
        <v>76</v>
      </c>
      <c r="K3041" s="2" t="s">
        <v>77</v>
      </c>
      <c r="L3041" s="2" t="s">
        <v>131</v>
      </c>
      <c r="M3041" s="2" t="s">
        <v>132</v>
      </c>
      <c r="N3041" s="2" t="s">
        <v>731</v>
      </c>
      <c r="O3041" s="2" t="s">
        <v>115</v>
      </c>
      <c r="P3041" s="2" t="str">
        <f>"2170561494                    "</f>
        <v xml:space="preserve">2170561494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4.29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0.4</v>
      </c>
      <c r="BJ3041" s="2">
        <v>1.3</v>
      </c>
      <c r="BK3041" s="2">
        <v>1.5</v>
      </c>
      <c r="BL3041" s="2">
        <v>41.73</v>
      </c>
      <c r="BM3041" s="2">
        <v>5.84</v>
      </c>
      <c r="BN3041" s="2">
        <v>47.57</v>
      </c>
      <c r="BO3041" s="2">
        <v>47.57</v>
      </c>
      <c r="BP3041" s="2"/>
      <c r="BQ3041" s="2" t="s">
        <v>732</v>
      </c>
      <c r="BR3041" s="2" t="s">
        <v>84</v>
      </c>
      <c r="BS3041" s="3">
        <v>42850</v>
      </c>
      <c r="BT3041" s="4">
        <v>0.45833333333333331</v>
      </c>
      <c r="BU3041" s="2" t="s">
        <v>1418</v>
      </c>
      <c r="BV3041" s="2" t="s">
        <v>111</v>
      </c>
      <c r="BW3041" s="2"/>
      <c r="BX3041" s="2"/>
      <c r="BY3041" s="2">
        <v>6468.93</v>
      </c>
      <c r="BZ3041" s="2"/>
      <c r="CA3041" s="2"/>
      <c r="CB3041" s="2"/>
      <c r="CC3041" s="2" t="s">
        <v>132</v>
      </c>
      <c r="CD3041" s="2">
        <v>7945</v>
      </c>
      <c r="CE3041" s="2" t="s">
        <v>172</v>
      </c>
      <c r="CF3041" s="5">
        <v>42851</v>
      </c>
      <c r="CG3041" s="2"/>
      <c r="CH3041" s="2"/>
      <c r="CI3041" s="2">
        <v>1</v>
      </c>
      <c r="CJ3041" s="2">
        <v>1</v>
      </c>
      <c r="CK3041" s="2">
        <v>21</v>
      </c>
      <c r="CL3041" s="2" t="s">
        <v>86</v>
      </c>
      <c r="CM3041" s="2"/>
    </row>
    <row r="3042" spans="1:91">
      <c r="A3042" s="2" t="s">
        <v>71</v>
      </c>
      <c r="B3042" s="2" t="s">
        <v>72</v>
      </c>
      <c r="C3042" s="2" t="s">
        <v>73</v>
      </c>
      <c r="D3042" s="2"/>
      <c r="E3042" s="2" t="str">
        <f>"FES1162545269"</f>
        <v>FES1162545269</v>
      </c>
      <c r="F3042" s="3">
        <v>42849</v>
      </c>
      <c r="G3042" s="2">
        <v>201710</v>
      </c>
      <c r="H3042" s="2" t="s">
        <v>74</v>
      </c>
      <c r="I3042" s="2" t="s">
        <v>75</v>
      </c>
      <c r="J3042" s="2" t="s">
        <v>76</v>
      </c>
      <c r="K3042" s="2" t="s">
        <v>77</v>
      </c>
      <c r="L3042" s="2" t="s">
        <v>187</v>
      </c>
      <c r="M3042" s="2" t="s">
        <v>146</v>
      </c>
      <c r="N3042" s="2" t="s">
        <v>3068</v>
      </c>
      <c r="O3042" s="2" t="s">
        <v>115</v>
      </c>
      <c r="P3042" s="2" t="str">
        <f>"2170563753                    "</f>
        <v xml:space="preserve">2170563753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4.29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1.8</v>
      </c>
      <c r="BJ3042" s="2">
        <v>1.6</v>
      </c>
      <c r="BK3042" s="2">
        <v>2</v>
      </c>
      <c r="BL3042" s="2">
        <v>41.73</v>
      </c>
      <c r="BM3042" s="2">
        <v>5.84</v>
      </c>
      <c r="BN3042" s="2">
        <v>47.57</v>
      </c>
      <c r="BO3042" s="2">
        <v>47.57</v>
      </c>
      <c r="BP3042" s="2"/>
      <c r="BQ3042" s="2" t="s">
        <v>687</v>
      </c>
      <c r="BR3042" s="2" t="s">
        <v>84</v>
      </c>
      <c r="BS3042" s="3">
        <v>42850</v>
      </c>
      <c r="BT3042" s="4">
        <v>0.40972222222222227</v>
      </c>
      <c r="BU3042" s="2" t="s">
        <v>1701</v>
      </c>
      <c r="BV3042" s="2" t="s">
        <v>111</v>
      </c>
      <c r="BW3042" s="2"/>
      <c r="BX3042" s="2"/>
      <c r="BY3042" s="2">
        <v>8154.09</v>
      </c>
      <c r="BZ3042" s="2"/>
      <c r="CA3042" s="2"/>
      <c r="CB3042" s="2"/>
      <c r="CC3042" s="2" t="s">
        <v>146</v>
      </c>
      <c r="CD3042" s="2">
        <v>200</v>
      </c>
      <c r="CE3042" s="2" t="s">
        <v>89</v>
      </c>
      <c r="CF3042" s="5">
        <v>42853</v>
      </c>
      <c r="CG3042" s="2"/>
      <c r="CH3042" s="2"/>
      <c r="CI3042" s="2">
        <v>0</v>
      </c>
      <c r="CJ3042" s="2">
        <v>0</v>
      </c>
      <c r="CK3042" s="2">
        <v>21</v>
      </c>
      <c r="CL3042" s="2" t="s">
        <v>86</v>
      </c>
      <c r="CM3042" s="2"/>
    </row>
    <row r="3043" spans="1:91">
      <c r="A3043" s="2" t="s">
        <v>71</v>
      </c>
      <c r="B3043" s="2" t="s">
        <v>72</v>
      </c>
      <c r="C3043" s="2" t="s">
        <v>73</v>
      </c>
      <c r="D3043" s="2"/>
      <c r="E3043" s="2" t="str">
        <f>"FES1162545286"</f>
        <v>FES1162545286</v>
      </c>
      <c r="F3043" s="3">
        <v>42849</v>
      </c>
      <c r="G3043" s="2">
        <v>201710</v>
      </c>
      <c r="H3043" s="2" t="s">
        <v>74</v>
      </c>
      <c r="I3043" s="2" t="s">
        <v>75</v>
      </c>
      <c r="J3043" s="2" t="s">
        <v>76</v>
      </c>
      <c r="K3043" s="2" t="s">
        <v>77</v>
      </c>
      <c r="L3043" s="2" t="s">
        <v>516</v>
      </c>
      <c r="M3043" s="2" t="s">
        <v>517</v>
      </c>
      <c r="N3043" s="2" t="s">
        <v>3022</v>
      </c>
      <c r="O3043" s="2" t="s">
        <v>115</v>
      </c>
      <c r="P3043" s="2" t="str">
        <f>"2170559408                    "</f>
        <v xml:space="preserve">2170559408 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3.35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7.7</v>
      </c>
      <c r="BJ3043" s="2">
        <v>3.8</v>
      </c>
      <c r="BK3043" s="2">
        <v>8</v>
      </c>
      <c r="BL3043" s="2">
        <v>32.6</v>
      </c>
      <c r="BM3043" s="2">
        <v>4.5599999999999996</v>
      </c>
      <c r="BN3043" s="2">
        <v>37.159999999999997</v>
      </c>
      <c r="BO3043" s="2">
        <v>37.159999999999997</v>
      </c>
      <c r="BP3043" s="2"/>
      <c r="BQ3043" s="2"/>
      <c r="BR3043" s="2" t="s">
        <v>84</v>
      </c>
      <c r="BS3043" s="3">
        <v>42850</v>
      </c>
      <c r="BT3043" s="4">
        <v>0.47916666666666669</v>
      </c>
      <c r="BU3043" s="2" t="s">
        <v>2152</v>
      </c>
      <c r="BV3043" s="2" t="s">
        <v>86</v>
      </c>
      <c r="BW3043" s="2" t="s">
        <v>96</v>
      </c>
      <c r="BX3043" s="2" t="s">
        <v>2830</v>
      </c>
      <c r="BY3043" s="2">
        <v>19165.27</v>
      </c>
      <c r="BZ3043" s="2"/>
      <c r="CA3043" s="2"/>
      <c r="CB3043" s="2"/>
      <c r="CC3043" s="2" t="s">
        <v>517</v>
      </c>
      <c r="CD3043" s="2">
        <v>1459</v>
      </c>
      <c r="CE3043" s="2" t="s">
        <v>89</v>
      </c>
      <c r="CF3043" s="5">
        <v>42851</v>
      </c>
      <c r="CG3043" s="2"/>
      <c r="CH3043" s="2"/>
      <c r="CI3043" s="2">
        <v>1</v>
      </c>
      <c r="CJ3043" s="2">
        <v>1</v>
      </c>
      <c r="CK3043" s="2">
        <v>22</v>
      </c>
      <c r="CL3043" s="2" t="s">
        <v>86</v>
      </c>
      <c r="CM3043" s="2"/>
    </row>
    <row r="3044" spans="1:91">
      <c r="A3044" s="2" t="s">
        <v>71</v>
      </c>
      <c r="B3044" s="2" t="s">
        <v>72</v>
      </c>
      <c r="C3044" s="2" t="s">
        <v>73</v>
      </c>
      <c r="D3044" s="2"/>
      <c r="E3044" s="2" t="str">
        <f>"FES1162545240"</f>
        <v>FES1162545240</v>
      </c>
      <c r="F3044" s="3">
        <v>42849</v>
      </c>
      <c r="G3044" s="2">
        <v>201710</v>
      </c>
      <c r="H3044" s="2" t="s">
        <v>74</v>
      </c>
      <c r="I3044" s="2" t="s">
        <v>75</v>
      </c>
      <c r="J3044" s="2" t="s">
        <v>76</v>
      </c>
      <c r="K3044" s="2" t="s">
        <v>77</v>
      </c>
      <c r="L3044" s="2" t="s">
        <v>112</v>
      </c>
      <c r="M3044" s="2" t="s">
        <v>113</v>
      </c>
      <c r="N3044" s="2" t="s">
        <v>386</v>
      </c>
      <c r="O3044" s="2" t="s">
        <v>115</v>
      </c>
      <c r="P3044" s="2" t="str">
        <f>"2170563696                    "</f>
        <v xml:space="preserve">2170563696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4.29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1</v>
      </c>
      <c r="BJ3044" s="2">
        <v>0.2</v>
      </c>
      <c r="BK3044" s="2">
        <v>1</v>
      </c>
      <c r="BL3044" s="2">
        <v>41.73</v>
      </c>
      <c r="BM3044" s="2">
        <v>5.84</v>
      </c>
      <c r="BN3044" s="2">
        <v>47.57</v>
      </c>
      <c r="BO3044" s="2">
        <v>47.57</v>
      </c>
      <c r="BP3044" s="2"/>
      <c r="BQ3044" s="2" t="s">
        <v>122</v>
      </c>
      <c r="BR3044" s="2" t="s">
        <v>84</v>
      </c>
      <c r="BS3044" s="3">
        <v>42850</v>
      </c>
      <c r="BT3044" s="4">
        <v>0.38541666666666669</v>
      </c>
      <c r="BU3044" s="2" t="s">
        <v>3092</v>
      </c>
      <c r="BV3044" s="2" t="s">
        <v>111</v>
      </c>
      <c r="BW3044" s="2"/>
      <c r="BX3044" s="2"/>
      <c r="BY3044" s="2">
        <v>1200</v>
      </c>
      <c r="BZ3044" s="2"/>
      <c r="CA3044" s="2"/>
      <c r="CB3044" s="2"/>
      <c r="CC3044" s="2" t="s">
        <v>113</v>
      </c>
      <c r="CD3044" s="2">
        <v>3200</v>
      </c>
      <c r="CE3044" s="2" t="s">
        <v>118</v>
      </c>
      <c r="CF3044" s="5">
        <v>42851</v>
      </c>
      <c r="CG3044" s="2"/>
      <c r="CH3044" s="2"/>
      <c r="CI3044" s="2">
        <v>1</v>
      </c>
      <c r="CJ3044" s="2">
        <v>1</v>
      </c>
      <c r="CK3044" s="2">
        <v>21</v>
      </c>
      <c r="CL3044" s="2" t="s">
        <v>86</v>
      </c>
      <c r="CM3044" s="2"/>
    </row>
    <row r="3045" spans="1:91">
      <c r="A3045" s="2" t="s">
        <v>71</v>
      </c>
      <c r="B3045" s="2" t="s">
        <v>72</v>
      </c>
      <c r="C3045" s="2" t="s">
        <v>73</v>
      </c>
      <c r="D3045" s="2"/>
      <c r="E3045" s="2" t="str">
        <f>"FES1162545300"</f>
        <v>FES1162545300</v>
      </c>
      <c r="F3045" s="3">
        <v>42849</v>
      </c>
      <c r="G3045" s="2">
        <v>201710</v>
      </c>
      <c r="H3045" s="2" t="s">
        <v>74</v>
      </c>
      <c r="I3045" s="2" t="s">
        <v>75</v>
      </c>
      <c r="J3045" s="2" t="s">
        <v>76</v>
      </c>
      <c r="K3045" s="2" t="s">
        <v>77</v>
      </c>
      <c r="L3045" s="2" t="s">
        <v>187</v>
      </c>
      <c r="M3045" s="2" t="s">
        <v>146</v>
      </c>
      <c r="N3045" s="2" t="s">
        <v>218</v>
      </c>
      <c r="O3045" s="2" t="s">
        <v>115</v>
      </c>
      <c r="P3045" s="2" t="str">
        <f>"2170563774                    "</f>
        <v xml:space="preserve">2170563774           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4.29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1</v>
      </c>
      <c r="BJ3045" s="2">
        <v>0.2</v>
      </c>
      <c r="BK3045" s="2">
        <v>1</v>
      </c>
      <c r="BL3045" s="2">
        <v>41.73</v>
      </c>
      <c r="BM3045" s="2">
        <v>5.84</v>
      </c>
      <c r="BN3045" s="2">
        <v>47.57</v>
      </c>
      <c r="BO3045" s="2">
        <v>47.57</v>
      </c>
      <c r="BP3045" s="2"/>
      <c r="BQ3045" s="2" t="s">
        <v>219</v>
      </c>
      <c r="BR3045" s="2" t="s">
        <v>84</v>
      </c>
      <c r="BS3045" s="3">
        <v>42850</v>
      </c>
      <c r="BT3045" s="4">
        <v>0.37152777777777773</v>
      </c>
      <c r="BU3045" s="2" t="s">
        <v>3191</v>
      </c>
      <c r="BV3045" s="2" t="s">
        <v>111</v>
      </c>
      <c r="BW3045" s="2"/>
      <c r="BX3045" s="2"/>
      <c r="BY3045" s="2">
        <v>1200</v>
      </c>
      <c r="BZ3045" s="2"/>
      <c r="CA3045" s="2"/>
      <c r="CB3045" s="2"/>
      <c r="CC3045" s="2" t="s">
        <v>146</v>
      </c>
      <c r="CD3045" s="2">
        <v>200</v>
      </c>
      <c r="CE3045" s="2" t="s">
        <v>118</v>
      </c>
      <c r="CF3045" s="5">
        <v>42853</v>
      </c>
      <c r="CG3045" s="2"/>
      <c r="CH3045" s="2"/>
      <c r="CI3045" s="2">
        <v>0</v>
      </c>
      <c r="CJ3045" s="2">
        <v>0</v>
      </c>
      <c r="CK3045" s="2">
        <v>21</v>
      </c>
      <c r="CL3045" s="2" t="s">
        <v>86</v>
      </c>
      <c r="CM3045" s="2"/>
    </row>
    <row r="3046" spans="1:91">
      <c r="A3046" s="2" t="s">
        <v>71</v>
      </c>
      <c r="B3046" s="2" t="s">
        <v>72</v>
      </c>
      <c r="C3046" s="2" t="s">
        <v>73</v>
      </c>
      <c r="D3046" s="2"/>
      <c r="E3046" s="2" t="str">
        <f>"FES1162545165"</f>
        <v>FES1162545165</v>
      </c>
      <c r="F3046" s="3">
        <v>42849</v>
      </c>
      <c r="G3046" s="2">
        <v>201710</v>
      </c>
      <c r="H3046" s="2" t="s">
        <v>74</v>
      </c>
      <c r="I3046" s="2" t="s">
        <v>75</v>
      </c>
      <c r="J3046" s="2" t="s">
        <v>76</v>
      </c>
      <c r="K3046" s="2" t="s">
        <v>77</v>
      </c>
      <c r="L3046" s="2" t="s">
        <v>91</v>
      </c>
      <c r="M3046" s="2" t="s">
        <v>92</v>
      </c>
      <c r="N3046" s="2" t="s">
        <v>1617</v>
      </c>
      <c r="O3046" s="2" t="s">
        <v>115</v>
      </c>
      <c r="P3046" s="2" t="str">
        <f>"2170563648                    "</f>
        <v xml:space="preserve">2170563648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3.35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0.7</v>
      </c>
      <c r="BJ3046" s="2">
        <v>1.9</v>
      </c>
      <c r="BK3046" s="2">
        <v>2</v>
      </c>
      <c r="BL3046" s="2">
        <v>32.6</v>
      </c>
      <c r="BM3046" s="2">
        <v>4.5599999999999996</v>
      </c>
      <c r="BN3046" s="2">
        <v>37.159999999999997</v>
      </c>
      <c r="BO3046" s="2">
        <v>37.159999999999997</v>
      </c>
      <c r="BP3046" s="2"/>
      <c r="BQ3046" s="2" t="s">
        <v>1618</v>
      </c>
      <c r="BR3046" s="2" t="s">
        <v>84</v>
      </c>
      <c r="BS3046" s="3">
        <v>42850</v>
      </c>
      <c r="BT3046" s="4">
        <v>0.41666666666666669</v>
      </c>
      <c r="BU3046" s="2" t="s">
        <v>3192</v>
      </c>
      <c r="BV3046" s="2" t="s">
        <v>111</v>
      </c>
      <c r="BW3046" s="2"/>
      <c r="BX3046" s="2"/>
      <c r="BY3046" s="2">
        <v>9502.68</v>
      </c>
      <c r="BZ3046" s="2"/>
      <c r="CA3046" s="2"/>
      <c r="CB3046" s="2"/>
      <c r="CC3046" s="2" t="s">
        <v>92</v>
      </c>
      <c r="CD3046" s="2">
        <v>1422</v>
      </c>
      <c r="CE3046" s="2" t="s">
        <v>118</v>
      </c>
      <c r="CF3046" s="5">
        <v>42851</v>
      </c>
      <c r="CG3046" s="2"/>
      <c r="CH3046" s="2"/>
      <c r="CI3046" s="2">
        <v>1</v>
      </c>
      <c r="CJ3046" s="2">
        <v>1</v>
      </c>
      <c r="CK3046" s="2">
        <v>22</v>
      </c>
      <c r="CL3046" s="2" t="s">
        <v>86</v>
      </c>
      <c r="CM3046" s="2"/>
    </row>
    <row r="3047" spans="1:91">
      <c r="A3047" s="2" t="s">
        <v>71</v>
      </c>
      <c r="B3047" s="2" t="s">
        <v>72</v>
      </c>
      <c r="C3047" s="2" t="s">
        <v>73</v>
      </c>
      <c r="D3047" s="2"/>
      <c r="E3047" s="2" t="str">
        <f>"FES1162545304"</f>
        <v>FES1162545304</v>
      </c>
      <c r="F3047" s="3">
        <v>42849</v>
      </c>
      <c r="G3047" s="2">
        <v>201710</v>
      </c>
      <c r="H3047" s="2" t="s">
        <v>74</v>
      </c>
      <c r="I3047" s="2" t="s">
        <v>75</v>
      </c>
      <c r="J3047" s="2" t="s">
        <v>76</v>
      </c>
      <c r="K3047" s="2" t="s">
        <v>77</v>
      </c>
      <c r="L3047" s="2" t="s">
        <v>180</v>
      </c>
      <c r="M3047" s="2" t="s">
        <v>181</v>
      </c>
      <c r="N3047" s="2" t="s">
        <v>1858</v>
      </c>
      <c r="O3047" s="2" t="s">
        <v>115</v>
      </c>
      <c r="P3047" s="2" t="str">
        <f>"2170563779                    "</f>
        <v xml:space="preserve">2170563779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4.29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2</v>
      </c>
      <c r="BJ3047" s="2">
        <v>1.9</v>
      </c>
      <c r="BK3047" s="2">
        <v>2</v>
      </c>
      <c r="BL3047" s="2">
        <v>41.73</v>
      </c>
      <c r="BM3047" s="2">
        <v>5.84</v>
      </c>
      <c r="BN3047" s="2">
        <v>47.57</v>
      </c>
      <c r="BO3047" s="2">
        <v>47.57</v>
      </c>
      <c r="BP3047" s="2"/>
      <c r="BQ3047" s="2" t="s">
        <v>129</v>
      </c>
      <c r="BR3047" s="2" t="s">
        <v>84</v>
      </c>
      <c r="BS3047" s="3">
        <v>42850</v>
      </c>
      <c r="BT3047" s="4">
        <v>0.3298611111111111</v>
      </c>
      <c r="BU3047" s="2" t="s">
        <v>245</v>
      </c>
      <c r="BV3047" s="2" t="s">
        <v>111</v>
      </c>
      <c r="BW3047" s="2"/>
      <c r="BX3047" s="2"/>
      <c r="BY3047" s="2">
        <v>9652.61</v>
      </c>
      <c r="BZ3047" s="2"/>
      <c r="CA3047" s="2"/>
      <c r="CB3047" s="2"/>
      <c r="CC3047" s="2" t="s">
        <v>181</v>
      </c>
      <c r="CD3047" s="2">
        <v>4052</v>
      </c>
      <c r="CE3047" s="2" t="s">
        <v>89</v>
      </c>
      <c r="CF3047" s="5">
        <v>42851</v>
      </c>
      <c r="CG3047" s="2"/>
      <c r="CH3047" s="2"/>
      <c r="CI3047" s="2">
        <v>1</v>
      </c>
      <c r="CJ3047" s="2">
        <v>1</v>
      </c>
      <c r="CK3047" s="2">
        <v>21</v>
      </c>
      <c r="CL3047" s="2" t="s">
        <v>86</v>
      </c>
      <c r="CM3047" s="2"/>
    </row>
    <row r="3048" spans="1:91">
      <c r="A3048" s="2" t="s">
        <v>71</v>
      </c>
      <c r="B3048" s="2" t="s">
        <v>72</v>
      </c>
      <c r="C3048" s="2" t="s">
        <v>73</v>
      </c>
      <c r="D3048" s="2"/>
      <c r="E3048" s="2" t="str">
        <f>"FES1162545255"</f>
        <v>FES1162545255</v>
      </c>
      <c r="F3048" s="3">
        <v>42849</v>
      </c>
      <c r="G3048" s="2">
        <v>201710</v>
      </c>
      <c r="H3048" s="2" t="s">
        <v>74</v>
      </c>
      <c r="I3048" s="2" t="s">
        <v>75</v>
      </c>
      <c r="J3048" s="2" t="s">
        <v>76</v>
      </c>
      <c r="K3048" s="2" t="s">
        <v>77</v>
      </c>
      <c r="L3048" s="2" t="s">
        <v>651</v>
      </c>
      <c r="M3048" s="2" t="s">
        <v>652</v>
      </c>
      <c r="N3048" s="2" t="s">
        <v>283</v>
      </c>
      <c r="O3048" s="2" t="s">
        <v>115</v>
      </c>
      <c r="P3048" s="2" t="str">
        <f>"2170563483                    "</f>
        <v xml:space="preserve">2170563483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4.29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0.7</v>
      </c>
      <c r="BJ3048" s="2">
        <v>1.2</v>
      </c>
      <c r="BK3048" s="2">
        <v>1.5</v>
      </c>
      <c r="BL3048" s="2">
        <v>41.73</v>
      </c>
      <c r="BM3048" s="2">
        <v>5.84</v>
      </c>
      <c r="BN3048" s="2">
        <v>47.57</v>
      </c>
      <c r="BO3048" s="2">
        <v>47.57</v>
      </c>
      <c r="BP3048" s="2"/>
      <c r="BQ3048" s="2" t="s">
        <v>653</v>
      </c>
      <c r="BR3048" s="2" t="s">
        <v>84</v>
      </c>
      <c r="BS3048" s="3">
        <v>42850</v>
      </c>
      <c r="BT3048" s="4">
        <v>0.3888888888888889</v>
      </c>
      <c r="BU3048" s="2" t="s">
        <v>130</v>
      </c>
      <c r="BV3048" s="2" t="s">
        <v>111</v>
      </c>
      <c r="BW3048" s="2"/>
      <c r="BX3048" s="2"/>
      <c r="BY3048" s="2">
        <v>6226.88</v>
      </c>
      <c r="BZ3048" s="2"/>
      <c r="CA3048" s="2"/>
      <c r="CB3048" s="2"/>
      <c r="CC3048" s="2" t="s">
        <v>652</v>
      </c>
      <c r="CD3048" s="2">
        <v>9300</v>
      </c>
      <c r="CE3048" s="2" t="s">
        <v>118</v>
      </c>
      <c r="CF3048" s="5">
        <v>42851</v>
      </c>
      <c r="CG3048" s="2"/>
      <c r="CH3048" s="2"/>
      <c r="CI3048" s="2">
        <v>1</v>
      </c>
      <c r="CJ3048" s="2">
        <v>1</v>
      </c>
      <c r="CK3048" s="2">
        <v>21</v>
      </c>
      <c r="CL3048" s="2" t="s">
        <v>86</v>
      </c>
      <c r="CM3048" s="2"/>
    </row>
    <row r="3049" spans="1:91">
      <c r="A3049" s="2" t="s">
        <v>71</v>
      </c>
      <c r="B3049" s="2" t="s">
        <v>72</v>
      </c>
      <c r="C3049" s="2" t="s">
        <v>73</v>
      </c>
      <c r="D3049" s="2"/>
      <c r="E3049" s="2" t="str">
        <f>"FES1162545349"</f>
        <v>FES1162545349</v>
      </c>
      <c r="F3049" s="3">
        <v>42849</v>
      </c>
      <c r="G3049" s="2">
        <v>201710</v>
      </c>
      <c r="H3049" s="2" t="s">
        <v>74</v>
      </c>
      <c r="I3049" s="2" t="s">
        <v>75</v>
      </c>
      <c r="J3049" s="2" t="s">
        <v>76</v>
      </c>
      <c r="K3049" s="2" t="s">
        <v>77</v>
      </c>
      <c r="L3049" s="2" t="s">
        <v>3193</v>
      </c>
      <c r="M3049" s="2" t="s">
        <v>3194</v>
      </c>
      <c r="N3049" s="2" t="s">
        <v>3195</v>
      </c>
      <c r="O3049" s="2" t="s">
        <v>115</v>
      </c>
      <c r="P3049" s="2" t="str">
        <f>"2170563844                    "</f>
        <v xml:space="preserve">2170563844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48.23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22.5</v>
      </c>
      <c r="BJ3049" s="2">
        <v>9.5</v>
      </c>
      <c r="BK3049" s="2">
        <v>22.5</v>
      </c>
      <c r="BL3049" s="2">
        <v>469.43</v>
      </c>
      <c r="BM3049" s="2">
        <v>65.72</v>
      </c>
      <c r="BN3049" s="2">
        <v>535.15</v>
      </c>
      <c r="BO3049" s="2">
        <v>535.15</v>
      </c>
      <c r="BP3049" s="2"/>
      <c r="BQ3049" s="2" t="s">
        <v>129</v>
      </c>
      <c r="BR3049" s="2" t="s">
        <v>84</v>
      </c>
      <c r="BS3049" s="3">
        <v>42853</v>
      </c>
      <c r="BT3049" s="4">
        <v>0.58333333333333337</v>
      </c>
      <c r="BU3049" s="2" t="s">
        <v>3196</v>
      </c>
      <c r="BV3049" s="2" t="s">
        <v>111</v>
      </c>
      <c r="BW3049" s="2"/>
      <c r="BX3049" s="2"/>
      <c r="BY3049" s="2">
        <v>47602.36</v>
      </c>
      <c r="BZ3049" s="2"/>
      <c r="CA3049" s="2"/>
      <c r="CB3049" s="2"/>
      <c r="CC3049" s="2" t="s">
        <v>3194</v>
      </c>
      <c r="CD3049" s="2">
        <v>7160</v>
      </c>
      <c r="CE3049" s="2" t="s">
        <v>89</v>
      </c>
      <c r="CF3049" s="2"/>
      <c r="CG3049" s="2"/>
      <c r="CH3049" s="2"/>
      <c r="CI3049" s="2">
        <v>3</v>
      </c>
      <c r="CJ3049" s="2">
        <v>4</v>
      </c>
      <c r="CK3049" s="2">
        <v>21</v>
      </c>
      <c r="CL3049" s="2" t="s">
        <v>86</v>
      </c>
      <c r="CM3049" s="2"/>
    </row>
    <row r="3050" spans="1:91">
      <c r="A3050" s="2" t="s">
        <v>71</v>
      </c>
      <c r="B3050" s="2" t="s">
        <v>72</v>
      </c>
      <c r="C3050" s="2" t="s">
        <v>73</v>
      </c>
      <c r="D3050" s="2"/>
      <c r="E3050" s="2" t="str">
        <f>"FES1162545305"</f>
        <v>FES1162545305</v>
      </c>
      <c r="F3050" s="3">
        <v>42849</v>
      </c>
      <c r="G3050" s="2">
        <v>201710</v>
      </c>
      <c r="H3050" s="2" t="s">
        <v>74</v>
      </c>
      <c r="I3050" s="2" t="s">
        <v>75</v>
      </c>
      <c r="J3050" s="2" t="s">
        <v>76</v>
      </c>
      <c r="K3050" s="2" t="s">
        <v>77</v>
      </c>
      <c r="L3050" s="2" t="s">
        <v>180</v>
      </c>
      <c r="M3050" s="2" t="s">
        <v>181</v>
      </c>
      <c r="N3050" s="2" t="s">
        <v>320</v>
      </c>
      <c r="O3050" s="2" t="s">
        <v>115</v>
      </c>
      <c r="P3050" s="2" t="str">
        <f>"2170563780                    "</f>
        <v xml:space="preserve">2170563780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36.44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16.600000000000001</v>
      </c>
      <c r="BJ3050" s="2">
        <v>4.5</v>
      </c>
      <c r="BK3050" s="2">
        <v>17</v>
      </c>
      <c r="BL3050" s="2">
        <v>354.68</v>
      </c>
      <c r="BM3050" s="2">
        <v>49.66</v>
      </c>
      <c r="BN3050" s="2">
        <v>404.34</v>
      </c>
      <c r="BO3050" s="2">
        <v>404.34</v>
      </c>
      <c r="BP3050" s="2"/>
      <c r="BQ3050" s="2" t="s">
        <v>129</v>
      </c>
      <c r="BR3050" s="2" t="s">
        <v>84</v>
      </c>
      <c r="BS3050" s="3">
        <v>42850</v>
      </c>
      <c r="BT3050" s="4">
        <v>0.43472222222222223</v>
      </c>
      <c r="BU3050" s="2" t="s">
        <v>3197</v>
      </c>
      <c r="BV3050" s="2" t="s">
        <v>111</v>
      </c>
      <c r="BW3050" s="2"/>
      <c r="BX3050" s="2"/>
      <c r="BY3050" s="2">
        <v>22298.400000000001</v>
      </c>
      <c r="BZ3050" s="2"/>
      <c r="CA3050" s="2"/>
      <c r="CB3050" s="2"/>
      <c r="CC3050" s="2" t="s">
        <v>181</v>
      </c>
      <c r="CD3050" s="2">
        <v>4051</v>
      </c>
      <c r="CE3050" s="2" t="s">
        <v>89</v>
      </c>
      <c r="CF3050" s="5">
        <v>42851</v>
      </c>
      <c r="CG3050" s="2"/>
      <c r="CH3050" s="2"/>
      <c r="CI3050" s="2">
        <v>1</v>
      </c>
      <c r="CJ3050" s="2">
        <v>1</v>
      </c>
      <c r="CK3050" s="2">
        <v>21</v>
      </c>
      <c r="CL3050" s="2" t="s">
        <v>86</v>
      </c>
      <c r="CM3050" s="2"/>
    </row>
    <row r="3051" spans="1:91">
      <c r="A3051" s="2" t="s">
        <v>71</v>
      </c>
      <c r="B3051" s="2" t="s">
        <v>72</v>
      </c>
      <c r="C3051" s="2" t="s">
        <v>73</v>
      </c>
      <c r="D3051" s="2"/>
      <c r="E3051" s="2" t="str">
        <f>"FES1162545216"</f>
        <v>FES1162545216</v>
      </c>
      <c r="F3051" s="3">
        <v>42849</v>
      </c>
      <c r="G3051" s="2">
        <v>201710</v>
      </c>
      <c r="H3051" s="2" t="s">
        <v>74</v>
      </c>
      <c r="I3051" s="2" t="s">
        <v>75</v>
      </c>
      <c r="J3051" s="2" t="s">
        <v>76</v>
      </c>
      <c r="K3051" s="2" t="s">
        <v>77</v>
      </c>
      <c r="L3051" s="2" t="s">
        <v>294</v>
      </c>
      <c r="M3051" s="2" t="s">
        <v>295</v>
      </c>
      <c r="N3051" s="2" t="s">
        <v>1789</v>
      </c>
      <c r="O3051" s="2" t="s">
        <v>115</v>
      </c>
      <c r="P3051" s="2" t="str">
        <f>"2170562920                    "</f>
        <v xml:space="preserve">2170562920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4.29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1</v>
      </c>
      <c r="BJ3051" s="2">
        <v>0.2</v>
      </c>
      <c r="BK3051" s="2">
        <v>1</v>
      </c>
      <c r="BL3051" s="2">
        <v>41.73</v>
      </c>
      <c r="BM3051" s="2">
        <v>5.84</v>
      </c>
      <c r="BN3051" s="2">
        <v>47.57</v>
      </c>
      <c r="BO3051" s="2">
        <v>47.57</v>
      </c>
      <c r="BP3051" s="2"/>
      <c r="BQ3051" s="2" t="s">
        <v>932</v>
      </c>
      <c r="BR3051" s="2" t="s">
        <v>84</v>
      </c>
      <c r="BS3051" s="3">
        <v>42850</v>
      </c>
      <c r="BT3051" s="4">
        <v>0.32569444444444445</v>
      </c>
      <c r="BU3051" s="2" t="s">
        <v>3198</v>
      </c>
      <c r="BV3051" s="2" t="s">
        <v>111</v>
      </c>
      <c r="BW3051" s="2"/>
      <c r="BX3051" s="2"/>
      <c r="BY3051" s="2">
        <v>1200</v>
      </c>
      <c r="BZ3051" s="2"/>
      <c r="CA3051" s="2"/>
      <c r="CB3051" s="2"/>
      <c r="CC3051" s="2" t="s">
        <v>295</v>
      </c>
      <c r="CD3051" s="2">
        <v>3610</v>
      </c>
      <c r="CE3051" s="2" t="s">
        <v>118</v>
      </c>
      <c r="CF3051" s="5">
        <v>42851</v>
      </c>
      <c r="CG3051" s="2"/>
      <c r="CH3051" s="2"/>
      <c r="CI3051" s="2">
        <v>1</v>
      </c>
      <c r="CJ3051" s="2">
        <v>1</v>
      </c>
      <c r="CK3051" s="2">
        <v>21</v>
      </c>
      <c r="CL3051" s="2" t="s">
        <v>86</v>
      </c>
      <c r="CM3051" s="2"/>
    </row>
    <row r="3052" spans="1:91">
      <c r="A3052" s="2" t="s">
        <v>71</v>
      </c>
      <c r="B3052" s="2" t="s">
        <v>72</v>
      </c>
      <c r="C3052" s="2" t="s">
        <v>73</v>
      </c>
      <c r="D3052" s="2"/>
      <c r="E3052" s="2" t="str">
        <f>"FES1162545312"</f>
        <v>FES1162545312</v>
      </c>
      <c r="F3052" s="3">
        <v>42849</v>
      </c>
      <c r="G3052" s="2">
        <v>201710</v>
      </c>
      <c r="H3052" s="2" t="s">
        <v>74</v>
      </c>
      <c r="I3052" s="2" t="s">
        <v>75</v>
      </c>
      <c r="J3052" s="2" t="s">
        <v>76</v>
      </c>
      <c r="K3052" s="2" t="s">
        <v>77</v>
      </c>
      <c r="L3052" s="2" t="s">
        <v>99</v>
      </c>
      <c r="M3052" s="2" t="s">
        <v>100</v>
      </c>
      <c r="N3052" s="2" t="s">
        <v>583</v>
      </c>
      <c r="O3052" s="2" t="s">
        <v>115</v>
      </c>
      <c r="P3052" s="2" t="str">
        <f>"2170563787                    "</f>
        <v xml:space="preserve">2170563787 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4.29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1</v>
      </c>
      <c r="BJ3052" s="2">
        <v>0.2</v>
      </c>
      <c r="BK3052" s="2">
        <v>1</v>
      </c>
      <c r="BL3052" s="2">
        <v>41.73</v>
      </c>
      <c r="BM3052" s="2">
        <v>5.84</v>
      </c>
      <c r="BN3052" s="2">
        <v>47.57</v>
      </c>
      <c r="BO3052" s="2">
        <v>47.57</v>
      </c>
      <c r="BP3052" s="2"/>
      <c r="BQ3052" s="2" t="s">
        <v>584</v>
      </c>
      <c r="BR3052" s="2" t="s">
        <v>84</v>
      </c>
      <c r="BS3052" s="3">
        <v>42850</v>
      </c>
      <c r="BT3052" s="4">
        <v>0.34097222222222223</v>
      </c>
      <c r="BU3052" s="2" t="s">
        <v>585</v>
      </c>
      <c r="BV3052" s="2" t="s">
        <v>111</v>
      </c>
      <c r="BW3052" s="2"/>
      <c r="BX3052" s="2"/>
      <c r="BY3052" s="2">
        <v>1200</v>
      </c>
      <c r="BZ3052" s="2"/>
      <c r="CA3052" s="2" t="s">
        <v>154</v>
      </c>
      <c r="CB3052" s="2"/>
      <c r="CC3052" s="2" t="s">
        <v>100</v>
      </c>
      <c r="CD3052" s="2">
        <v>6001</v>
      </c>
      <c r="CE3052" s="2" t="s">
        <v>118</v>
      </c>
      <c r="CF3052" s="5">
        <v>42850</v>
      </c>
      <c r="CG3052" s="2"/>
      <c r="CH3052" s="2"/>
      <c r="CI3052" s="2">
        <v>1</v>
      </c>
      <c r="CJ3052" s="2">
        <v>1</v>
      </c>
      <c r="CK3052" s="2">
        <v>21</v>
      </c>
      <c r="CL3052" s="2" t="s">
        <v>86</v>
      </c>
      <c r="CM3052" s="2"/>
    </row>
    <row r="3053" spans="1:91">
      <c r="A3053" s="2" t="s">
        <v>71</v>
      </c>
      <c r="B3053" s="2" t="s">
        <v>72</v>
      </c>
      <c r="C3053" s="2" t="s">
        <v>73</v>
      </c>
      <c r="D3053" s="2"/>
      <c r="E3053" s="2" t="str">
        <f>"FES1162545320"</f>
        <v>FES1162545320</v>
      </c>
      <c r="F3053" s="3">
        <v>42849</v>
      </c>
      <c r="G3053" s="2">
        <v>201710</v>
      </c>
      <c r="H3053" s="2" t="s">
        <v>74</v>
      </c>
      <c r="I3053" s="2" t="s">
        <v>75</v>
      </c>
      <c r="J3053" s="2" t="s">
        <v>76</v>
      </c>
      <c r="K3053" s="2" t="s">
        <v>77</v>
      </c>
      <c r="L3053" s="2" t="s">
        <v>99</v>
      </c>
      <c r="M3053" s="2" t="s">
        <v>100</v>
      </c>
      <c r="N3053" s="2" t="s">
        <v>671</v>
      </c>
      <c r="O3053" s="2" t="s">
        <v>115</v>
      </c>
      <c r="P3053" s="2" t="str">
        <f>"2170563805                    "</f>
        <v xml:space="preserve">2170563805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4.29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1</v>
      </c>
      <c r="BJ3053" s="2">
        <v>0.2</v>
      </c>
      <c r="BK3053" s="2">
        <v>1</v>
      </c>
      <c r="BL3053" s="2">
        <v>41.73</v>
      </c>
      <c r="BM3053" s="2">
        <v>5.84</v>
      </c>
      <c r="BN3053" s="2">
        <v>47.57</v>
      </c>
      <c r="BO3053" s="2">
        <v>47.57</v>
      </c>
      <c r="BP3053" s="2"/>
      <c r="BQ3053" s="2" t="s">
        <v>672</v>
      </c>
      <c r="BR3053" s="2" t="s">
        <v>84</v>
      </c>
      <c r="BS3053" s="3">
        <v>42850</v>
      </c>
      <c r="BT3053" s="4">
        <v>0.40972222222222227</v>
      </c>
      <c r="BU3053" s="2" t="s">
        <v>672</v>
      </c>
      <c r="BV3053" s="2" t="s">
        <v>111</v>
      </c>
      <c r="BW3053" s="2"/>
      <c r="BX3053" s="2"/>
      <c r="BY3053" s="2">
        <v>1200</v>
      </c>
      <c r="BZ3053" s="2"/>
      <c r="CA3053" s="2" t="s">
        <v>106</v>
      </c>
      <c r="CB3053" s="2"/>
      <c r="CC3053" s="2" t="s">
        <v>100</v>
      </c>
      <c r="CD3053" s="2">
        <v>6001</v>
      </c>
      <c r="CE3053" s="2" t="s">
        <v>118</v>
      </c>
      <c r="CF3053" s="5">
        <v>42850</v>
      </c>
      <c r="CG3053" s="2"/>
      <c r="CH3053" s="2"/>
      <c r="CI3053" s="2">
        <v>1</v>
      </c>
      <c r="CJ3053" s="2">
        <v>1</v>
      </c>
      <c r="CK3053" s="2">
        <v>21</v>
      </c>
      <c r="CL3053" s="2" t="s">
        <v>86</v>
      </c>
      <c r="CM3053" s="2"/>
    </row>
    <row r="3054" spans="1:91">
      <c r="A3054" s="2" t="s">
        <v>71</v>
      </c>
      <c r="B3054" s="2" t="s">
        <v>72</v>
      </c>
      <c r="C3054" s="2" t="s">
        <v>73</v>
      </c>
      <c r="D3054" s="2"/>
      <c r="E3054" s="2" t="str">
        <f>"FES1162545325"</f>
        <v>FES1162545325</v>
      </c>
      <c r="F3054" s="3">
        <v>42849</v>
      </c>
      <c r="G3054" s="2">
        <v>201710</v>
      </c>
      <c r="H3054" s="2" t="s">
        <v>74</v>
      </c>
      <c r="I3054" s="2" t="s">
        <v>75</v>
      </c>
      <c r="J3054" s="2" t="s">
        <v>76</v>
      </c>
      <c r="K3054" s="2" t="s">
        <v>77</v>
      </c>
      <c r="L3054" s="2" t="s">
        <v>131</v>
      </c>
      <c r="M3054" s="2" t="s">
        <v>132</v>
      </c>
      <c r="N3054" s="2" t="s">
        <v>744</v>
      </c>
      <c r="O3054" s="2" t="s">
        <v>115</v>
      </c>
      <c r="P3054" s="2" t="str">
        <f>"2170563811                    "</f>
        <v xml:space="preserve">2170563811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4.29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1</v>
      </c>
      <c r="BI3054" s="2">
        <v>1</v>
      </c>
      <c r="BJ3054" s="2">
        <v>0.2</v>
      </c>
      <c r="BK3054" s="2">
        <v>1</v>
      </c>
      <c r="BL3054" s="2">
        <v>41.73</v>
      </c>
      <c r="BM3054" s="2">
        <v>5.84</v>
      </c>
      <c r="BN3054" s="2">
        <v>47.57</v>
      </c>
      <c r="BO3054" s="2">
        <v>47.57</v>
      </c>
      <c r="BP3054" s="2"/>
      <c r="BQ3054" s="2" t="s">
        <v>138</v>
      </c>
      <c r="BR3054" s="2" t="s">
        <v>84</v>
      </c>
      <c r="BS3054" s="3">
        <v>42851</v>
      </c>
      <c r="BT3054" s="4">
        <v>0.41666666666666669</v>
      </c>
      <c r="BU3054" s="2" t="s">
        <v>2987</v>
      </c>
      <c r="BV3054" s="2" t="s">
        <v>86</v>
      </c>
      <c r="BW3054" s="2" t="s">
        <v>484</v>
      </c>
      <c r="BX3054" s="2" t="s">
        <v>1370</v>
      </c>
      <c r="BY3054" s="2">
        <v>1200</v>
      </c>
      <c r="BZ3054" s="2"/>
      <c r="CA3054" s="2" t="s">
        <v>159</v>
      </c>
      <c r="CB3054" s="2"/>
      <c r="CC3054" s="2" t="s">
        <v>132</v>
      </c>
      <c r="CD3054" s="2">
        <v>7405</v>
      </c>
      <c r="CE3054" s="2" t="s">
        <v>118</v>
      </c>
      <c r="CF3054" s="5">
        <v>42853</v>
      </c>
      <c r="CG3054" s="2"/>
      <c r="CH3054" s="2"/>
      <c r="CI3054" s="2">
        <v>1</v>
      </c>
      <c r="CJ3054" s="2">
        <v>2</v>
      </c>
      <c r="CK3054" s="2">
        <v>21</v>
      </c>
      <c r="CL3054" s="2" t="s">
        <v>86</v>
      </c>
      <c r="CM3054" s="2"/>
    </row>
    <row r="3055" spans="1:91">
      <c r="A3055" s="2" t="s">
        <v>71</v>
      </c>
      <c r="B3055" s="2" t="s">
        <v>72</v>
      </c>
      <c r="C3055" s="2" t="s">
        <v>73</v>
      </c>
      <c r="D3055" s="2"/>
      <c r="E3055" s="2" t="str">
        <f>"FES1162545348"</f>
        <v>FES1162545348</v>
      </c>
      <c r="F3055" s="3">
        <v>42849</v>
      </c>
      <c r="G3055" s="2">
        <v>201710</v>
      </c>
      <c r="H3055" s="2" t="s">
        <v>74</v>
      </c>
      <c r="I3055" s="2" t="s">
        <v>75</v>
      </c>
      <c r="J3055" s="2" t="s">
        <v>76</v>
      </c>
      <c r="K3055" s="2" t="s">
        <v>77</v>
      </c>
      <c r="L3055" s="2" t="s">
        <v>187</v>
      </c>
      <c r="M3055" s="2" t="s">
        <v>146</v>
      </c>
      <c r="N3055" s="2" t="s">
        <v>1989</v>
      </c>
      <c r="O3055" s="2" t="s">
        <v>115</v>
      </c>
      <c r="P3055" s="2" t="str">
        <f>"2170563842                    "</f>
        <v xml:space="preserve">2170563842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4.29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1</v>
      </c>
      <c r="BI3055" s="2">
        <v>1</v>
      </c>
      <c r="BJ3055" s="2">
        <v>0.2</v>
      </c>
      <c r="BK3055" s="2">
        <v>1</v>
      </c>
      <c r="BL3055" s="2">
        <v>41.73</v>
      </c>
      <c r="BM3055" s="2">
        <v>5.84</v>
      </c>
      <c r="BN3055" s="2">
        <v>47.57</v>
      </c>
      <c r="BO3055" s="2">
        <v>47.57</v>
      </c>
      <c r="BP3055" s="2"/>
      <c r="BQ3055" s="2" t="s">
        <v>1990</v>
      </c>
      <c r="BR3055" s="2" t="s">
        <v>84</v>
      </c>
      <c r="BS3055" s="3">
        <v>42850</v>
      </c>
      <c r="BT3055" s="4">
        <v>0.3888888888888889</v>
      </c>
      <c r="BU3055" s="2" t="s">
        <v>1290</v>
      </c>
      <c r="BV3055" s="2" t="s">
        <v>111</v>
      </c>
      <c r="BW3055" s="2"/>
      <c r="BX3055" s="2"/>
      <c r="BY3055" s="2">
        <v>1200</v>
      </c>
      <c r="BZ3055" s="2"/>
      <c r="CA3055" s="2"/>
      <c r="CB3055" s="2"/>
      <c r="CC3055" s="2" t="s">
        <v>146</v>
      </c>
      <c r="CD3055" s="2">
        <v>184</v>
      </c>
      <c r="CE3055" s="2" t="s">
        <v>118</v>
      </c>
      <c r="CF3055" s="5">
        <v>42853</v>
      </c>
      <c r="CG3055" s="2"/>
      <c r="CH3055" s="2"/>
      <c r="CI3055" s="2">
        <v>0</v>
      </c>
      <c r="CJ3055" s="2">
        <v>0</v>
      </c>
      <c r="CK3055" s="2">
        <v>21</v>
      </c>
      <c r="CL3055" s="2" t="s">
        <v>86</v>
      </c>
      <c r="CM3055" s="2"/>
    </row>
    <row r="3056" spans="1:91">
      <c r="A3056" s="2" t="s">
        <v>71</v>
      </c>
      <c r="B3056" s="2" t="s">
        <v>72</v>
      </c>
      <c r="C3056" s="2" t="s">
        <v>73</v>
      </c>
      <c r="D3056" s="2"/>
      <c r="E3056" s="2" t="str">
        <f>"FES1162545347"</f>
        <v>FES1162545347</v>
      </c>
      <c r="F3056" s="3">
        <v>42849</v>
      </c>
      <c r="G3056" s="2">
        <v>201710</v>
      </c>
      <c r="H3056" s="2" t="s">
        <v>74</v>
      </c>
      <c r="I3056" s="2" t="s">
        <v>75</v>
      </c>
      <c r="J3056" s="2" t="s">
        <v>76</v>
      </c>
      <c r="K3056" s="2" t="s">
        <v>77</v>
      </c>
      <c r="L3056" s="2" t="s">
        <v>180</v>
      </c>
      <c r="M3056" s="2" t="s">
        <v>181</v>
      </c>
      <c r="N3056" s="2" t="s">
        <v>348</v>
      </c>
      <c r="O3056" s="2" t="s">
        <v>115</v>
      </c>
      <c r="P3056" s="2" t="str">
        <f>"2170563837                    "</f>
        <v xml:space="preserve">2170563837           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4.29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0.6</v>
      </c>
      <c r="BJ3056" s="2">
        <v>1.4</v>
      </c>
      <c r="BK3056" s="2">
        <v>1.5</v>
      </c>
      <c r="BL3056" s="2">
        <v>41.73</v>
      </c>
      <c r="BM3056" s="2">
        <v>5.84</v>
      </c>
      <c r="BN3056" s="2">
        <v>47.57</v>
      </c>
      <c r="BO3056" s="2">
        <v>47.57</v>
      </c>
      <c r="BP3056" s="2"/>
      <c r="BQ3056" s="2" t="s">
        <v>349</v>
      </c>
      <c r="BR3056" s="2" t="s">
        <v>84</v>
      </c>
      <c r="BS3056" s="3">
        <v>42850</v>
      </c>
      <c r="BT3056" s="4">
        <v>0.4375</v>
      </c>
      <c r="BU3056" s="2" t="s">
        <v>3199</v>
      </c>
      <c r="BV3056" s="2" t="s">
        <v>111</v>
      </c>
      <c r="BW3056" s="2"/>
      <c r="BX3056" s="2"/>
      <c r="BY3056" s="2">
        <v>6849.61</v>
      </c>
      <c r="BZ3056" s="2"/>
      <c r="CA3056" s="2"/>
      <c r="CB3056" s="2"/>
      <c r="CC3056" s="2" t="s">
        <v>181</v>
      </c>
      <c r="CD3056" s="2">
        <v>4001</v>
      </c>
      <c r="CE3056" s="2" t="s">
        <v>118</v>
      </c>
      <c r="CF3056" s="5">
        <v>42851</v>
      </c>
      <c r="CG3056" s="2"/>
      <c r="CH3056" s="2"/>
      <c r="CI3056" s="2">
        <v>1</v>
      </c>
      <c r="CJ3056" s="2">
        <v>1</v>
      </c>
      <c r="CK3056" s="2">
        <v>21</v>
      </c>
      <c r="CL3056" s="2" t="s">
        <v>86</v>
      </c>
      <c r="CM3056" s="2"/>
    </row>
    <row r="3057" spans="1:91">
      <c r="A3057" s="2" t="s">
        <v>71</v>
      </c>
      <c r="B3057" s="2" t="s">
        <v>72</v>
      </c>
      <c r="C3057" s="2" t="s">
        <v>73</v>
      </c>
      <c r="D3057" s="2"/>
      <c r="E3057" s="2" t="str">
        <f>"FES1162545319"</f>
        <v>FES1162545319</v>
      </c>
      <c r="F3057" s="3">
        <v>42849</v>
      </c>
      <c r="G3057" s="2">
        <v>201710</v>
      </c>
      <c r="H3057" s="2" t="s">
        <v>74</v>
      </c>
      <c r="I3057" s="2" t="s">
        <v>75</v>
      </c>
      <c r="J3057" s="2" t="s">
        <v>76</v>
      </c>
      <c r="K3057" s="2" t="s">
        <v>77</v>
      </c>
      <c r="L3057" s="2" t="s">
        <v>1322</v>
      </c>
      <c r="M3057" s="2" t="s">
        <v>1323</v>
      </c>
      <c r="N3057" s="2" t="s">
        <v>2055</v>
      </c>
      <c r="O3057" s="2" t="s">
        <v>115</v>
      </c>
      <c r="P3057" s="2" t="str">
        <f>"2170563799                    "</f>
        <v xml:space="preserve">2170563799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8.31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1</v>
      </c>
      <c r="BJ3057" s="2">
        <v>0.2</v>
      </c>
      <c r="BK3057" s="2">
        <v>1</v>
      </c>
      <c r="BL3057" s="2">
        <v>80.849999999999994</v>
      </c>
      <c r="BM3057" s="2">
        <v>11.32</v>
      </c>
      <c r="BN3057" s="2">
        <v>92.17</v>
      </c>
      <c r="BO3057" s="2">
        <v>92.17</v>
      </c>
      <c r="BP3057" s="2"/>
      <c r="BQ3057" s="2" t="s">
        <v>116</v>
      </c>
      <c r="BR3057" s="2" t="s">
        <v>84</v>
      </c>
      <c r="BS3057" s="3">
        <v>42850</v>
      </c>
      <c r="BT3057" s="4">
        <v>0.54166666666666663</v>
      </c>
      <c r="BU3057" s="2" t="s">
        <v>3166</v>
      </c>
      <c r="BV3057" s="2" t="s">
        <v>111</v>
      </c>
      <c r="BW3057" s="2"/>
      <c r="BX3057" s="2"/>
      <c r="BY3057" s="2">
        <v>1200</v>
      </c>
      <c r="BZ3057" s="2"/>
      <c r="CA3057" s="2" t="s">
        <v>159</v>
      </c>
      <c r="CB3057" s="2"/>
      <c r="CC3057" s="2" t="s">
        <v>1323</v>
      </c>
      <c r="CD3057" s="2">
        <v>4170</v>
      </c>
      <c r="CE3057" s="2" t="s">
        <v>118</v>
      </c>
      <c r="CF3057" s="5">
        <v>42851</v>
      </c>
      <c r="CG3057" s="2"/>
      <c r="CH3057" s="2"/>
      <c r="CI3057" s="2">
        <v>1</v>
      </c>
      <c r="CJ3057" s="2">
        <v>1</v>
      </c>
      <c r="CK3057" s="2">
        <v>23</v>
      </c>
      <c r="CL3057" s="2" t="s">
        <v>86</v>
      </c>
      <c r="CM3057" s="2"/>
    </row>
    <row r="3058" spans="1:91">
      <c r="A3058" s="2" t="s">
        <v>71</v>
      </c>
      <c r="B3058" s="2" t="s">
        <v>72</v>
      </c>
      <c r="C3058" s="2" t="s">
        <v>73</v>
      </c>
      <c r="D3058" s="2"/>
      <c r="E3058" s="2" t="str">
        <f>"FES1162545342"</f>
        <v>FES1162545342</v>
      </c>
      <c r="F3058" s="3">
        <v>42849</v>
      </c>
      <c r="G3058" s="2">
        <v>201710</v>
      </c>
      <c r="H3058" s="2" t="s">
        <v>74</v>
      </c>
      <c r="I3058" s="2" t="s">
        <v>75</v>
      </c>
      <c r="J3058" s="2" t="s">
        <v>76</v>
      </c>
      <c r="K3058" s="2" t="s">
        <v>77</v>
      </c>
      <c r="L3058" s="2" t="s">
        <v>294</v>
      </c>
      <c r="M3058" s="2" t="s">
        <v>295</v>
      </c>
      <c r="N3058" s="2" t="s">
        <v>3200</v>
      </c>
      <c r="O3058" s="2" t="s">
        <v>115</v>
      </c>
      <c r="P3058" s="2" t="str">
        <f>"2170563836                    "</f>
        <v xml:space="preserve">2170563836   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11.79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3.6</v>
      </c>
      <c r="BJ3058" s="2">
        <v>5.5</v>
      </c>
      <c r="BK3058" s="2">
        <v>5.5</v>
      </c>
      <c r="BL3058" s="2">
        <v>114.75</v>
      </c>
      <c r="BM3058" s="2">
        <v>16.07</v>
      </c>
      <c r="BN3058" s="2">
        <v>130.82</v>
      </c>
      <c r="BO3058" s="2">
        <v>130.82</v>
      </c>
      <c r="BP3058" s="2"/>
      <c r="BQ3058" s="2" t="s">
        <v>122</v>
      </c>
      <c r="BR3058" s="2" t="s">
        <v>84</v>
      </c>
      <c r="BS3058" s="3">
        <v>42850</v>
      </c>
      <c r="BT3058" s="4">
        <v>0.42986111111111108</v>
      </c>
      <c r="BU3058" s="2" t="s">
        <v>293</v>
      </c>
      <c r="BV3058" s="2" t="s">
        <v>111</v>
      </c>
      <c r="BW3058" s="2"/>
      <c r="BX3058" s="2"/>
      <c r="BY3058" s="2">
        <v>27514.43</v>
      </c>
      <c r="BZ3058" s="2"/>
      <c r="CA3058" s="2"/>
      <c r="CB3058" s="2"/>
      <c r="CC3058" s="2" t="s">
        <v>295</v>
      </c>
      <c r="CD3058" s="2">
        <v>3610</v>
      </c>
      <c r="CE3058" s="2" t="s">
        <v>89</v>
      </c>
      <c r="CF3058" s="5">
        <v>42851</v>
      </c>
      <c r="CG3058" s="2"/>
      <c r="CH3058" s="2"/>
      <c r="CI3058" s="2">
        <v>1</v>
      </c>
      <c r="CJ3058" s="2">
        <v>1</v>
      </c>
      <c r="CK3058" s="2">
        <v>21</v>
      </c>
      <c r="CL3058" s="2" t="s">
        <v>86</v>
      </c>
      <c r="CM3058" s="2"/>
    </row>
    <row r="3059" spans="1:91">
      <c r="A3059" s="2" t="s">
        <v>71</v>
      </c>
      <c r="B3059" s="2" t="s">
        <v>72</v>
      </c>
      <c r="C3059" s="2" t="s">
        <v>73</v>
      </c>
      <c r="D3059" s="2"/>
      <c r="E3059" s="2" t="str">
        <f>"FES1162545089"</f>
        <v>FES1162545089</v>
      </c>
      <c r="F3059" s="3">
        <v>42849</v>
      </c>
      <c r="G3059" s="2">
        <v>201710</v>
      </c>
      <c r="H3059" s="2" t="s">
        <v>74</v>
      </c>
      <c r="I3059" s="2" t="s">
        <v>75</v>
      </c>
      <c r="J3059" s="2" t="s">
        <v>76</v>
      </c>
      <c r="K3059" s="2" t="s">
        <v>77</v>
      </c>
      <c r="L3059" s="2" t="s">
        <v>516</v>
      </c>
      <c r="M3059" s="2" t="s">
        <v>517</v>
      </c>
      <c r="N3059" s="2" t="s">
        <v>1911</v>
      </c>
      <c r="O3059" s="2" t="s">
        <v>115</v>
      </c>
      <c r="P3059" s="2" t="str">
        <f>"2170561368                    "</f>
        <v xml:space="preserve">2170561368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3.35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1.5</v>
      </c>
      <c r="BJ3059" s="2">
        <v>3.3</v>
      </c>
      <c r="BK3059" s="2">
        <v>4</v>
      </c>
      <c r="BL3059" s="2">
        <v>32.6</v>
      </c>
      <c r="BM3059" s="2">
        <v>4.5599999999999996</v>
      </c>
      <c r="BN3059" s="2">
        <v>37.159999999999997</v>
      </c>
      <c r="BO3059" s="2">
        <v>37.159999999999997</v>
      </c>
      <c r="BP3059" s="2"/>
      <c r="BQ3059" s="2" t="s">
        <v>1912</v>
      </c>
      <c r="BR3059" s="2" t="s">
        <v>84</v>
      </c>
      <c r="BS3059" s="3">
        <v>42850</v>
      </c>
      <c r="BT3059" s="4">
        <v>0.47569444444444442</v>
      </c>
      <c r="BU3059" s="2" t="s">
        <v>891</v>
      </c>
      <c r="BV3059" s="2" t="s">
        <v>86</v>
      </c>
      <c r="BW3059" s="2" t="s">
        <v>96</v>
      </c>
      <c r="BX3059" s="2" t="s">
        <v>2830</v>
      </c>
      <c r="BY3059" s="2">
        <v>16590.419999999998</v>
      </c>
      <c r="BZ3059" s="2"/>
      <c r="CA3059" s="2"/>
      <c r="CB3059" s="2"/>
      <c r="CC3059" s="2" t="s">
        <v>517</v>
      </c>
      <c r="CD3059" s="2">
        <v>1459</v>
      </c>
      <c r="CE3059" s="2" t="s">
        <v>118</v>
      </c>
      <c r="CF3059" s="5">
        <v>42851</v>
      </c>
      <c r="CG3059" s="2"/>
      <c r="CH3059" s="2"/>
      <c r="CI3059" s="2">
        <v>1</v>
      </c>
      <c r="CJ3059" s="2">
        <v>1</v>
      </c>
      <c r="CK3059" s="2">
        <v>22</v>
      </c>
      <c r="CL3059" s="2" t="s">
        <v>86</v>
      </c>
      <c r="CM3059" s="2"/>
    </row>
    <row r="3060" spans="1:91">
      <c r="A3060" s="2" t="s">
        <v>71</v>
      </c>
      <c r="B3060" s="2" t="s">
        <v>72</v>
      </c>
      <c r="C3060" s="2" t="s">
        <v>73</v>
      </c>
      <c r="D3060" s="2"/>
      <c r="E3060" s="2" t="str">
        <f>"FES1162545263"</f>
        <v>FES1162545263</v>
      </c>
      <c r="F3060" s="3">
        <v>42849</v>
      </c>
      <c r="G3060" s="2">
        <v>201710</v>
      </c>
      <c r="H3060" s="2" t="s">
        <v>74</v>
      </c>
      <c r="I3060" s="2" t="s">
        <v>75</v>
      </c>
      <c r="J3060" s="2" t="s">
        <v>76</v>
      </c>
      <c r="K3060" s="2" t="s">
        <v>77</v>
      </c>
      <c r="L3060" s="2" t="s">
        <v>267</v>
      </c>
      <c r="M3060" s="2" t="s">
        <v>268</v>
      </c>
      <c r="N3060" s="2" t="s">
        <v>2653</v>
      </c>
      <c r="O3060" s="2" t="s">
        <v>115</v>
      </c>
      <c r="P3060" s="2" t="str">
        <f>"2170563747                    "</f>
        <v xml:space="preserve">2170563747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3.35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1</v>
      </c>
      <c r="BJ3060" s="2">
        <v>0.2</v>
      </c>
      <c r="BK3060" s="2">
        <v>1</v>
      </c>
      <c r="BL3060" s="2">
        <v>32.6</v>
      </c>
      <c r="BM3060" s="2">
        <v>4.5599999999999996</v>
      </c>
      <c r="BN3060" s="2">
        <v>37.159999999999997</v>
      </c>
      <c r="BO3060" s="2">
        <v>37.159999999999997</v>
      </c>
      <c r="BP3060" s="2"/>
      <c r="BQ3060" s="2" t="s">
        <v>2654</v>
      </c>
      <c r="BR3060" s="2" t="s">
        <v>84</v>
      </c>
      <c r="BS3060" s="3">
        <v>42850</v>
      </c>
      <c r="BT3060" s="4">
        <v>0.41666666666666669</v>
      </c>
      <c r="BU3060" s="2" t="s">
        <v>2152</v>
      </c>
      <c r="BV3060" s="2" t="s">
        <v>111</v>
      </c>
      <c r="BW3060" s="2"/>
      <c r="BX3060" s="2"/>
      <c r="BY3060" s="2">
        <v>1200</v>
      </c>
      <c r="BZ3060" s="2"/>
      <c r="CA3060" s="2"/>
      <c r="CB3060" s="2"/>
      <c r="CC3060" s="2" t="s">
        <v>268</v>
      </c>
      <c r="CD3060" s="2">
        <v>1700</v>
      </c>
      <c r="CE3060" s="2" t="s">
        <v>118</v>
      </c>
      <c r="CF3060" s="5">
        <v>42851</v>
      </c>
      <c r="CG3060" s="2"/>
      <c r="CH3060" s="2"/>
      <c r="CI3060" s="2">
        <v>1</v>
      </c>
      <c r="CJ3060" s="2">
        <v>1</v>
      </c>
      <c r="CK3060" s="2">
        <v>22</v>
      </c>
      <c r="CL3060" s="2" t="s">
        <v>86</v>
      </c>
      <c r="CM3060" s="2"/>
    </row>
    <row r="3061" spans="1:91">
      <c r="A3061" s="2" t="s">
        <v>71</v>
      </c>
      <c r="B3061" s="2" t="s">
        <v>72</v>
      </c>
      <c r="C3061" s="2" t="s">
        <v>73</v>
      </c>
      <c r="D3061" s="2"/>
      <c r="E3061" s="2" t="str">
        <f>"FES1162544984"</f>
        <v>FES1162544984</v>
      </c>
      <c r="F3061" s="3">
        <v>42849</v>
      </c>
      <c r="G3061" s="2">
        <v>201710</v>
      </c>
      <c r="H3061" s="2" t="s">
        <v>74</v>
      </c>
      <c r="I3061" s="2" t="s">
        <v>75</v>
      </c>
      <c r="J3061" s="2" t="s">
        <v>76</v>
      </c>
      <c r="K3061" s="2" t="s">
        <v>77</v>
      </c>
      <c r="L3061" s="2" t="s">
        <v>74</v>
      </c>
      <c r="M3061" s="2" t="s">
        <v>75</v>
      </c>
      <c r="N3061" s="2" t="s">
        <v>488</v>
      </c>
      <c r="O3061" s="2" t="s">
        <v>115</v>
      </c>
      <c r="P3061" s="2" t="str">
        <f>"2170563470                    "</f>
        <v xml:space="preserve">2170563470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3.35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1</v>
      </c>
      <c r="BJ3061" s="2">
        <v>0.2</v>
      </c>
      <c r="BK3061" s="2">
        <v>1</v>
      </c>
      <c r="BL3061" s="2">
        <v>32.6</v>
      </c>
      <c r="BM3061" s="2">
        <v>4.5599999999999996</v>
      </c>
      <c r="BN3061" s="2">
        <v>37.159999999999997</v>
      </c>
      <c r="BO3061" s="2">
        <v>37.159999999999997</v>
      </c>
      <c r="BP3061" s="2"/>
      <c r="BQ3061" s="2" t="s">
        <v>489</v>
      </c>
      <c r="BR3061" s="2" t="s">
        <v>84</v>
      </c>
      <c r="BS3061" s="3">
        <v>42850</v>
      </c>
      <c r="BT3061" s="4">
        <v>0.31180555555555556</v>
      </c>
      <c r="BU3061" s="2" t="s">
        <v>2152</v>
      </c>
      <c r="BV3061" s="2" t="s">
        <v>111</v>
      </c>
      <c r="BW3061" s="2"/>
      <c r="BX3061" s="2"/>
      <c r="BY3061" s="2">
        <v>1200</v>
      </c>
      <c r="BZ3061" s="2"/>
      <c r="CA3061" s="2"/>
      <c r="CB3061" s="2"/>
      <c r="CC3061" s="2" t="s">
        <v>75</v>
      </c>
      <c r="CD3061" s="2">
        <v>1645</v>
      </c>
      <c r="CE3061" s="2" t="s">
        <v>118</v>
      </c>
      <c r="CF3061" s="5">
        <v>42851</v>
      </c>
      <c r="CG3061" s="2"/>
      <c r="CH3061" s="2"/>
      <c r="CI3061" s="2">
        <v>1</v>
      </c>
      <c r="CJ3061" s="2">
        <v>1</v>
      </c>
      <c r="CK3061" s="2">
        <v>22</v>
      </c>
      <c r="CL3061" s="2" t="s">
        <v>86</v>
      </c>
      <c r="CM3061" s="2"/>
    </row>
    <row r="3062" spans="1:91">
      <c r="A3062" s="2" t="s">
        <v>71</v>
      </c>
      <c r="B3062" s="2" t="s">
        <v>72</v>
      </c>
      <c r="C3062" s="2" t="s">
        <v>73</v>
      </c>
      <c r="D3062" s="2"/>
      <c r="E3062" s="2" t="str">
        <f>"FES1162545336"</f>
        <v>FES1162545336</v>
      </c>
      <c r="F3062" s="3">
        <v>42849</v>
      </c>
      <c r="G3062" s="2">
        <v>201710</v>
      </c>
      <c r="H3062" s="2" t="s">
        <v>74</v>
      </c>
      <c r="I3062" s="2" t="s">
        <v>75</v>
      </c>
      <c r="J3062" s="2" t="s">
        <v>76</v>
      </c>
      <c r="K3062" s="2" t="s">
        <v>77</v>
      </c>
      <c r="L3062" s="2" t="s">
        <v>180</v>
      </c>
      <c r="M3062" s="2" t="s">
        <v>181</v>
      </c>
      <c r="N3062" s="2" t="s">
        <v>457</v>
      </c>
      <c r="O3062" s="2" t="s">
        <v>115</v>
      </c>
      <c r="P3062" s="2" t="str">
        <f>"2170563636                    "</f>
        <v xml:space="preserve">2170563636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8.57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3.7</v>
      </c>
      <c r="BJ3062" s="2">
        <v>1.3</v>
      </c>
      <c r="BK3062" s="2">
        <v>4</v>
      </c>
      <c r="BL3062" s="2">
        <v>83.45</v>
      </c>
      <c r="BM3062" s="2">
        <v>11.68</v>
      </c>
      <c r="BN3062" s="2">
        <v>95.13</v>
      </c>
      <c r="BO3062" s="2">
        <v>95.13</v>
      </c>
      <c r="BP3062" s="2"/>
      <c r="BQ3062" s="2" t="s">
        <v>458</v>
      </c>
      <c r="BR3062" s="2" t="s">
        <v>84</v>
      </c>
      <c r="BS3062" s="3">
        <v>42850</v>
      </c>
      <c r="BT3062" s="4">
        <v>0.33333333333333331</v>
      </c>
      <c r="BU3062" s="2" t="s">
        <v>266</v>
      </c>
      <c r="BV3062" s="2" t="s">
        <v>111</v>
      </c>
      <c r="BW3062" s="2"/>
      <c r="BX3062" s="2"/>
      <c r="BY3062" s="2">
        <v>6592</v>
      </c>
      <c r="BZ3062" s="2"/>
      <c r="CA3062" s="2"/>
      <c r="CB3062" s="2"/>
      <c r="CC3062" s="2" t="s">
        <v>181</v>
      </c>
      <c r="CD3062" s="2">
        <v>4001</v>
      </c>
      <c r="CE3062" s="2" t="s">
        <v>89</v>
      </c>
      <c r="CF3062" s="5">
        <v>42851</v>
      </c>
      <c r="CG3062" s="2"/>
      <c r="CH3062" s="2"/>
      <c r="CI3062" s="2">
        <v>1</v>
      </c>
      <c r="CJ3062" s="2">
        <v>1</v>
      </c>
      <c r="CK3062" s="2">
        <v>21</v>
      </c>
      <c r="CL3062" s="2" t="s">
        <v>86</v>
      </c>
      <c r="CM3062" s="2"/>
    </row>
    <row r="3063" spans="1:91">
      <c r="A3063" s="2" t="s">
        <v>71</v>
      </c>
      <c r="B3063" s="2" t="s">
        <v>72</v>
      </c>
      <c r="C3063" s="2" t="s">
        <v>73</v>
      </c>
      <c r="D3063" s="2"/>
      <c r="E3063" s="2" t="str">
        <f>"FES1162545335"</f>
        <v>FES1162545335</v>
      </c>
      <c r="F3063" s="3">
        <v>42849</v>
      </c>
      <c r="G3063" s="2">
        <v>201710</v>
      </c>
      <c r="H3063" s="2" t="s">
        <v>74</v>
      </c>
      <c r="I3063" s="2" t="s">
        <v>75</v>
      </c>
      <c r="J3063" s="2" t="s">
        <v>76</v>
      </c>
      <c r="K3063" s="2" t="s">
        <v>77</v>
      </c>
      <c r="L3063" s="2" t="s">
        <v>99</v>
      </c>
      <c r="M3063" s="2" t="s">
        <v>100</v>
      </c>
      <c r="N3063" s="2" t="s">
        <v>583</v>
      </c>
      <c r="O3063" s="2" t="s">
        <v>115</v>
      </c>
      <c r="P3063" s="2" t="str">
        <f>"2170563598                    "</f>
        <v xml:space="preserve">2170563598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10.72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4.9000000000000004</v>
      </c>
      <c r="BJ3063" s="2">
        <v>2.2000000000000002</v>
      </c>
      <c r="BK3063" s="2">
        <v>5</v>
      </c>
      <c r="BL3063" s="2">
        <v>104.32</v>
      </c>
      <c r="BM3063" s="2">
        <v>14.6</v>
      </c>
      <c r="BN3063" s="2">
        <v>118.92</v>
      </c>
      <c r="BO3063" s="2">
        <v>118.92</v>
      </c>
      <c r="BP3063" s="2"/>
      <c r="BQ3063" s="2" t="s">
        <v>584</v>
      </c>
      <c r="BR3063" s="2" t="s">
        <v>84</v>
      </c>
      <c r="BS3063" s="3">
        <v>42850</v>
      </c>
      <c r="BT3063" s="4">
        <v>0.33402777777777781</v>
      </c>
      <c r="BU3063" s="2" t="s">
        <v>585</v>
      </c>
      <c r="BV3063" s="2" t="s">
        <v>111</v>
      </c>
      <c r="BW3063" s="2"/>
      <c r="BX3063" s="2"/>
      <c r="BY3063" s="2">
        <v>11052.72</v>
      </c>
      <c r="BZ3063" s="2"/>
      <c r="CA3063" s="2" t="s">
        <v>154</v>
      </c>
      <c r="CB3063" s="2"/>
      <c r="CC3063" s="2" t="s">
        <v>100</v>
      </c>
      <c r="CD3063" s="2">
        <v>6001</v>
      </c>
      <c r="CE3063" s="2" t="s">
        <v>89</v>
      </c>
      <c r="CF3063" s="5">
        <v>42850</v>
      </c>
      <c r="CG3063" s="2"/>
      <c r="CH3063" s="2"/>
      <c r="CI3063" s="2">
        <v>1</v>
      </c>
      <c r="CJ3063" s="2">
        <v>1</v>
      </c>
      <c r="CK3063" s="2">
        <v>21</v>
      </c>
      <c r="CL3063" s="2" t="s">
        <v>86</v>
      </c>
      <c r="CM3063" s="2"/>
    </row>
    <row r="3064" spans="1:91">
      <c r="A3064" s="2" t="s">
        <v>71</v>
      </c>
      <c r="B3064" s="2" t="s">
        <v>72</v>
      </c>
      <c r="C3064" s="2" t="s">
        <v>73</v>
      </c>
      <c r="D3064" s="2"/>
      <c r="E3064" s="2" t="str">
        <f>"FES1162545332"</f>
        <v>FES1162545332</v>
      </c>
      <c r="F3064" s="3">
        <v>42849</v>
      </c>
      <c r="G3064" s="2">
        <v>201710</v>
      </c>
      <c r="H3064" s="2" t="s">
        <v>74</v>
      </c>
      <c r="I3064" s="2" t="s">
        <v>75</v>
      </c>
      <c r="J3064" s="2" t="s">
        <v>76</v>
      </c>
      <c r="K3064" s="2" t="s">
        <v>77</v>
      </c>
      <c r="L3064" s="2" t="s">
        <v>160</v>
      </c>
      <c r="M3064" s="2" t="s">
        <v>161</v>
      </c>
      <c r="N3064" s="2" t="s">
        <v>3201</v>
      </c>
      <c r="O3064" s="2" t="s">
        <v>115</v>
      </c>
      <c r="P3064" s="2" t="str">
        <f>"2170563822                    "</f>
        <v xml:space="preserve">2170563822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8.57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4</v>
      </c>
      <c r="BJ3064" s="2">
        <v>2</v>
      </c>
      <c r="BK3064" s="2">
        <v>4</v>
      </c>
      <c r="BL3064" s="2">
        <v>83.45</v>
      </c>
      <c r="BM3064" s="2">
        <v>11.68</v>
      </c>
      <c r="BN3064" s="2">
        <v>95.13</v>
      </c>
      <c r="BO3064" s="2">
        <v>95.13</v>
      </c>
      <c r="BP3064" s="2"/>
      <c r="BQ3064" s="2" t="s">
        <v>129</v>
      </c>
      <c r="BR3064" s="2" t="s">
        <v>84</v>
      </c>
      <c r="BS3064" s="3">
        <v>42850</v>
      </c>
      <c r="BT3064" s="4">
        <v>0.41666666666666669</v>
      </c>
      <c r="BU3064" s="2" t="s">
        <v>2696</v>
      </c>
      <c r="BV3064" s="2" t="s">
        <v>111</v>
      </c>
      <c r="BW3064" s="2"/>
      <c r="BX3064" s="2"/>
      <c r="BY3064" s="2">
        <v>9900</v>
      </c>
      <c r="BZ3064" s="2"/>
      <c r="CA3064" s="2"/>
      <c r="CB3064" s="2"/>
      <c r="CC3064" s="2" t="s">
        <v>161</v>
      </c>
      <c r="CD3064" s="2">
        <v>5247</v>
      </c>
      <c r="CE3064" s="2" t="s">
        <v>89</v>
      </c>
      <c r="CF3064" s="5">
        <v>42853</v>
      </c>
      <c r="CG3064" s="2"/>
      <c r="CH3064" s="2"/>
      <c r="CI3064" s="2">
        <v>1</v>
      </c>
      <c r="CJ3064" s="2">
        <v>1</v>
      </c>
      <c r="CK3064" s="2">
        <v>21</v>
      </c>
      <c r="CL3064" s="2" t="s">
        <v>86</v>
      </c>
      <c r="CM3064" s="2"/>
    </row>
    <row r="3065" spans="1:91">
      <c r="A3065" s="2" t="s">
        <v>71</v>
      </c>
      <c r="B3065" s="2" t="s">
        <v>72</v>
      </c>
      <c r="C3065" s="2" t="s">
        <v>73</v>
      </c>
      <c r="D3065" s="2"/>
      <c r="E3065" s="2" t="str">
        <f>"FES1162545343"</f>
        <v>FES1162545343</v>
      </c>
      <c r="F3065" s="3">
        <v>42849</v>
      </c>
      <c r="G3065" s="2">
        <v>201710</v>
      </c>
      <c r="H3065" s="2" t="s">
        <v>74</v>
      </c>
      <c r="I3065" s="2" t="s">
        <v>75</v>
      </c>
      <c r="J3065" s="2" t="s">
        <v>76</v>
      </c>
      <c r="K3065" s="2" t="s">
        <v>77</v>
      </c>
      <c r="L3065" s="2" t="s">
        <v>187</v>
      </c>
      <c r="M3065" s="2" t="s">
        <v>146</v>
      </c>
      <c r="N3065" s="2" t="s">
        <v>768</v>
      </c>
      <c r="O3065" s="2" t="s">
        <v>115</v>
      </c>
      <c r="P3065" s="2" t="str">
        <f>"2170563838                    "</f>
        <v xml:space="preserve">2170563838 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5.36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2.1</v>
      </c>
      <c r="BJ3065" s="2">
        <v>1</v>
      </c>
      <c r="BK3065" s="2">
        <v>2.5</v>
      </c>
      <c r="BL3065" s="2">
        <v>52.16</v>
      </c>
      <c r="BM3065" s="2">
        <v>7.3</v>
      </c>
      <c r="BN3065" s="2">
        <v>59.46</v>
      </c>
      <c r="BO3065" s="2">
        <v>59.46</v>
      </c>
      <c r="BP3065" s="2"/>
      <c r="BQ3065" s="2" t="s">
        <v>769</v>
      </c>
      <c r="BR3065" s="2" t="s">
        <v>84</v>
      </c>
      <c r="BS3065" s="3">
        <v>42850</v>
      </c>
      <c r="BT3065" s="4">
        <v>0.3888888888888889</v>
      </c>
      <c r="BU3065" s="2" t="s">
        <v>130</v>
      </c>
      <c r="BV3065" s="2" t="s">
        <v>111</v>
      </c>
      <c r="BW3065" s="2"/>
      <c r="BX3065" s="2"/>
      <c r="BY3065" s="2">
        <v>5023.79</v>
      </c>
      <c r="BZ3065" s="2"/>
      <c r="CA3065" s="2"/>
      <c r="CB3065" s="2"/>
      <c r="CC3065" s="2" t="s">
        <v>146</v>
      </c>
      <c r="CD3065" s="2">
        <v>182</v>
      </c>
      <c r="CE3065" s="2" t="s">
        <v>89</v>
      </c>
      <c r="CF3065" s="5">
        <v>42853</v>
      </c>
      <c r="CG3065" s="2"/>
      <c r="CH3065" s="2"/>
      <c r="CI3065" s="2">
        <v>0</v>
      </c>
      <c r="CJ3065" s="2">
        <v>0</v>
      </c>
      <c r="CK3065" s="2">
        <v>21</v>
      </c>
      <c r="CL3065" s="2" t="s">
        <v>86</v>
      </c>
      <c r="CM3065" s="2"/>
    </row>
    <row r="3066" spans="1:91">
      <c r="A3066" s="2" t="s">
        <v>71</v>
      </c>
      <c r="B3066" s="2" t="s">
        <v>72</v>
      </c>
      <c r="C3066" s="2" t="s">
        <v>73</v>
      </c>
      <c r="D3066" s="2"/>
      <c r="E3066" s="2" t="str">
        <f>"FES1162545206"</f>
        <v>FES1162545206</v>
      </c>
      <c r="F3066" s="3">
        <v>42849</v>
      </c>
      <c r="G3066" s="2">
        <v>201710</v>
      </c>
      <c r="H3066" s="2" t="s">
        <v>74</v>
      </c>
      <c r="I3066" s="2" t="s">
        <v>75</v>
      </c>
      <c r="J3066" s="2" t="s">
        <v>76</v>
      </c>
      <c r="K3066" s="2" t="s">
        <v>77</v>
      </c>
      <c r="L3066" s="2" t="s">
        <v>516</v>
      </c>
      <c r="M3066" s="2" t="s">
        <v>517</v>
      </c>
      <c r="N3066" s="2" t="s">
        <v>1994</v>
      </c>
      <c r="O3066" s="2" t="s">
        <v>115</v>
      </c>
      <c r="P3066" s="2" t="str">
        <f>"2170562909                    "</f>
        <v xml:space="preserve">2170562909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3.35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1</v>
      </c>
      <c r="BJ3066" s="2">
        <v>0.2</v>
      </c>
      <c r="BK3066" s="2">
        <v>1</v>
      </c>
      <c r="BL3066" s="2">
        <v>32.6</v>
      </c>
      <c r="BM3066" s="2">
        <v>4.5599999999999996</v>
      </c>
      <c r="BN3066" s="2">
        <v>37.159999999999997</v>
      </c>
      <c r="BO3066" s="2">
        <v>37.159999999999997</v>
      </c>
      <c r="BP3066" s="2"/>
      <c r="BQ3066" s="2" t="s">
        <v>1995</v>
      </c>
      <c r="BR3066" s="2" t="s">
        <v>84</v>
      </c>
      <c r="BS3066" s="3">
        <v>42850</v>
      </c>
      <c r="BT3066" s="4">
        <v>0.33333333333333331</v>
      </c>
      <c r="BU3066" s="2" t="s">
        <v>2152</v>
      </c>
      <c r="BV3066" s="2" t="s">
        <v>111</v>
      </c>
      <c r="BW3066" s="2"/>
      <c r="BX3066" s="2"/>
      <c r="BY3066" s="2">
        <v>1200</v>
      </c>
      <c r="BZ3066" s="2"/>
      <c r="CA3066" s="2"/>
      <c r="CB3066" s="2"/>
      <c r="CC3066" s="2" t="s">
        <v>517</v>
      </c>
      <c r="CD3066" s="2">
        <v>1459</v>
      </c>
      <c r="CE3066" s="2" t="s">
        <v>118</v>
      </c>
      <c r="CF3066" s="5">
        <v>42851</v>
      </c>
      <c r="CG3066" s="2"/>
      <c r="CH3066" s="2"/>
      <c r="CI3066" s="2">
        <v>1</v>
      </c>
      <c r="CJ3066" s="2">
        <v>1</v>
      </c>
      <c r="CK3066" s="2">
        <v>22</v>
      </c>
      <c r="CL3066" s="2" t="s">
        <v>86</v>
      </c>
      <c r="CM3066" s="2"/>
    </row>
    <row r="3067" spans="1:91">
      <c r="A3067" s="2" t="s">
        <v>71</v>
      </c>
      <c r="B3067" s="2" t="s">
        <v>72</v>
      </c>
      <c r="C3067" s="2" t="s">
        <v>73</v>
      </c>
      <c r="D3067" s="2"/>
      <c r="E3067" s="2" t="str">
        <f>"FES1162545178"</f>
        <v>FES1162545178</v>
      </c>
      <c r="F3067" s="3">
        <v>42849</v>
      </c>
      <c r="G3067" s="2">
        <v>201710</v>
      </c>
      <c r="H3067" s="2" t="s">
        <v>74</v>
      </c>
      <c r="I3067" s="2" t="s">
        <v>75</v>
      </c>
      <c r="J3067" s="2" t="s">
        <v>76</v>
      </c>
      <c r="K3067" s="2" t="s">
        <v>77</v>
      </c>
      <c r="L3067" s="2" t="s">
        <v>714</v>
      </c>
      <c r="M3067" s="2" t="s">
        <v>715</v>
      </c>
      <c r="N3067" s="2" t="s">
        <v>3202</v>
      </c>
      <c r="O3067" s="2" t="s">
        <v>115</v>
      </c>
      <c r="P3067" s="2" t="str">
        <f>"2170563664                    "</f>
        <v xml:space="preserve">2170563664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3.35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1</v>
      </c>
      <c r="BJ3067" s="2">
        <v>0.2</v>
      </c>
      <c r="BK3067" s="2">
        <v>1</v>
      </c>
      <c r="BL3067" s="2">
        <v>32.6</v>
      </c>
      <c r="BM3067" s="2">
        <v>4.5599999999999996</v>
      </c>
      <c r="BN3067" s="2">
        <v>37.159999999999997</v>
      </c>
      <c r="BO3067" s="2">
        <v>37.159999999999997</v>
      </c>
      <c r="BP3067" s="2"/>
      <c r="BQ3067" s="2" t="s">
        <v>3203</v>
      </c>
      <c r="BR3067" s="2" t="s">
        <v>84</v>
      </c>
      <c r="BS3067" s="3">
        <v>42850</v>
      </c>
      <c r="BT3067" s="4">
        <v>0.41666666666666669</v>
      </c>
      <c r="BU3067" s="2" t="s">
        <v>2152</v>
      </c>
      <c r="BV3067" s="2" t="s">
        <v>111</v>
      </c>
      <c r="BW3067" s="2"/>
      <c r="BX3067" s="2"/>
      <c r="BY3067" s="2">
        <v>1200</v>
      </c>
      <c r="BZ3067" s="2"/>
      <c r="CA3067" s="2"/>
      <c r="CB3067" s="2"/>
      <c r="CC3067" s="2" t="s">
        <v>715</v>
      </c>
      <c r="CD3067" s="2">
        <v>1554</v>
      </c>
      <c r="CE3067" s="2" t="s">
        <v>118</v>
      </c>
      <c r="CF3067" s="5">
        <v>42851</v>
      </c>
      <c r="CG3067" s="2"/>
      <c r="CH3067" s="2"/>
      <c r="CI3067" s="2">
        <v>1</v>
      </c>
      <c r="CJ3067" s="2">
        <v>1</v>
      </c>
      <c r="CK3067" s="2">
        <v>22</v>
      </c>
      <c r="CL3067" s="2" t="s">
        <v>86</v>
      </c>
      <c r="CM3067" s="2"/>
    </row>
    <row r="3068" spans="1:91">
      <c r="A3068" s="2" t="s">
        <v>71</v>
      </c>
      <c r="B3068" s="2" t="s">
        <v>72</v>
      </c>
      <c r="C3068" s="2" t="s">
        <v>73</v>
      </c>
      <c r="D3068" s="2"/>
      <c r="E3068" s="2" t="str">
        <f>"FES1162545196"</f>
        <v>FES1162545196</v>
      </c>
      <c r="F3068" s="3">
        <v>42849</v>
      </c>
      <c r="G3068" s="2">
        <v>201710</v>
      </c>
      <c r="H3068" s="2" t="s">
        <v>74</v>
      </c>
      <c r="I3068" s="2" t="s">
        <v>75</v>
      </c>
      <c r="J3068" s="2" t="s">
        <v>76</v>
      </c>
      <c r="K3068" s="2" t="s">
        <v>77</v>
      </c>
      <c r="L3068" s="2" t="s">
        <v>260</v>
      </c>
      <c r="M3068" s="2" t="s">
        <v>261</v>
      </c>
      <c r="N3068" s="2" t="s">
        <v>2182</v>
      </c>
      <c r="O3068" s="2" t="s">
        <v>115</v>
      </c>
      <c r="P3068" s="2" t="str">
        <f>"2170563682                    "</f>
        <v xml:space="preserve">2170563682 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3.35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</v>
      </c>
      <c r="BJ3068" s="2">
        <v>0.2</v>
      </c>
      <c r="BK3068" s="2">
        <v>1</v>
      </c>
      <c r="BL3068" s="2">
        <v>32.6</v>
      </c>
      <c r="BM3068" s="2">
        <v>4.5599999999999996</v>
      </c>
      <c r="BN3068" s="2">
        <v>37.159999999999997</v>
      </c>
      <c r="BO3068" s="2">
        <v>37.159999999999997</v>
      </c>
      <c r="BP3068" s="2"/>
      <c r="BQ3068" s="2" t="s">
        <v>2100</v>
      </c>
      <c r="BR3068" s="2" t="s">
        <v>84</v>
      </c>
      <c r="BS3068" s="3">
        <v>42850</v>
      </c>
      <c r="BT3068" s="4">
        <v>0.4368055555555555</v>
      </c>
      <c r="BU3068" s="2" t="s">
        <v>2100</v>
      </c>
      <c r="BV3068" s="2" t="s">
        <v>111</v>
      </c>
      <c r="BW3068" s="2"/>
      <c r="BX3068" s="2"/>
      <c r="BY3068" s="2">
        <v>1200</v>
      </c>
      <c r="BZ3068" s="2"/>
      <c r="CA3068" s="2"/>
      <c r="CB3068" s="2"/>
      <c r="CC3068" s="2" t="s">
        <v>261</v>
      </c>
      <c r="CD3068" s="2">
        <v>1451</v>
      </c>
      <c r="CE3068" s="2" t="s">
        <v>118</v>
      </c>
      <c r="CF3068" s="5">
        <v>42851</v>
      </c>
      <c r="CG3068" s="2"/>
      <c r="CH3068" s="2"/>
      <c r="CI3068" s="2">
        <v>1</v>
      </c>
      <c r="CJ3068" s="2">
        <v>1</v>
      </c>
      <c r="CK3068" s="2">
        <v>22</v>
      </c>
      <c r="CL3068" s="2" t="s">
        <v>86</v>
      </c>
      <c r="CM3068" s="2"/>
    </row>
    <row r="3069" spans="1:91">
      <c r="A3069" s="2" t="s">
        <v>71</v>
      </c>
      <c r="B3069" s="2" t="s">
        <v>72</v>
      </c>
      <c r="C3069" s="2" t="s">
        <v>73</v>
      </c>
      <c r="D3069" s="2"/>
      <c r="E3069" s="2" t="str">
        <f>"FES1162545341"</f>
        <v>FES1162545341</v>
      </c>
      <c r="F3069" s="3">
        <v>42849</v>
      </c>
      <c r="G3069" s="2">
        <v>201710</v>
      </c>
      <c r="H3069" s="2" t="s">
        <v>74</v>
      </c>
      <c r="I3069" s="2" t="s">
        <v>75</v>
      </c>
      <c r="J3069" s="2" t="s">
        <v>76</v>
      </c>
      <c r="K3069" s="2" t="s">
        <v>77</v>
      </c>
      <c r="L3069" s="2" t="s">
        <v>99</v>
      </c>
      <c r="M3069" s="2" t="s">
        <v>100</v>
      </c>
      <c r="N3069" s="2" t="s">
        <v>419</v>
      </c>
      <c r="O3069" s="2" t="s">
        <v>115</v>
      </c>
      <c r="P3069" s="2" t="str">
        <f>"2170563835                    "</f>
        <v xml:space="preserve">2170563835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4.29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1</v>
      </c>
      <c r="BJ3069" s="2">
        <v>0.2</v>
      </c>
      <c r="BK3069" s="2">
        <v>1</v>
      </c>
      <c r="BL3069" s="2">
        <v>41.73</v>
      </c>
      <c r="BM3069" s="2">
        <v>5.84</v>
      </c>
      <c r="BN3069" s="2">
        <v>47.57</v>
      </c>
      <c r="BO3069" s="2">
        <v>47.57</v>
      </c>
      <c r="BP3069" s="2"/>
      <c r="BQ3069" s="2" t="s">
        <v>138</v>
      </c>
      <c r="BR3069" s="2" t="s">
        <v>84</v>
      </c>
      <c r="BS3069" s="3">
        <v>42850</v>
      </c>
      <c r="BT3069" s="4">
        <v>0.36041666666666666</v>
      </c>
      <c r="BU3069" s="2" t="s">
        <v>420</v>
      </c>
      <c r="BV3069" s="2" t="s">
        <v>111</v>
      </c>
      <c r="BW3069" s="2"/>
      <c r="BX3069" s="2"/>
      <c r="BY3069" s="2">
        <v>1200</v>
      </c>
      <c r="BZ3069" s="2"/>
      <c r="CA3069" s="2" t="s">
        <v>154</v>
      </c>
      <c r="CB3069" s="2"/>
      <c r="CC3069" s="2" t="s">
        <v>100</v>
      </c>
      <c r="CD3069" s="2">
        <v>6001</v>
      </c>
      <c r="CE3069" s="2" t="s">
        <v>118</v>
      </c>
      <c r="CF3069" s="5">
        <v>42850</v>
      </c>
      <c r="CG3069" s="2"/>
      <c r="CH3069" s="2"/>
      <c r="CI3069" s="2">
        <v>1</v>
      </c>
      <c r="CJ3069" s="2">
        <v>1</v>
      </c>
      <c r="CK3069" s="2">
        <v>21</v>
      </c>
      <c r="CL3069" s="2" t="s">
        <v>86</v>
      </c>
      <c r="CM3069" s="2"/>
    </row>
    <row r="3070" spans="1:91">
      <c r="A3070" s="2" t="s">
        <v>71</v>
      </c>
      <c r="B3070" s="2" t="s">
        <v>72</v>
      </c>
      <c r="C3070" s="2" t="s">
        <v>73</v>
      </c>
      <c r="D3070" s="2"/>
      <c r="E3070" s="2" t="str">
        <f>"FES1162545330"</f>
        <v>FES1162545330</v>
      </c>
      <c r="F3070" s="3">
        <v>42849</v>
      </c>
      <c r="G3070" s="2">
        <v>201710</v>
      </c>
      <c r="H3070" s="2" t="s">
        <v>74</v>
      </c>
      <c r="I3070" s="2" t="s">
        <v>75</v>
      </c>
      <c r="J3070" s="2" t="s">
        <v>76</v>
      </c>
      <c r="K3070" s="2" t="s">
        <v>77</v>
      </c>
      <c r="L3070" s="2" t="s">
        <v>99</v>
      </c>
      <c r="M3070" s="2" t="s">
        <v>100</v>
      </c>
      <c r="N3070" s="2" t="s">
        <v>3204</v>
      </c>
      <c r="O3070" s="2" t="s">
        <v>115</v>
      </c>
      <c r="P3070" s="2" t="str">
        <f>"2170563820                    "</f>
        <v xml:space="preserve">2170563820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4.29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1</v>
      </c>
      <c r="BJ3070" s="2">
        <v>0.2</v>
      </c>
      <c r="BK3070" s="2">
        <v>1</v>
      </c>
      <c r="BL3070" s="2">
        <v>41.73</v>
      </c>
      <c r="BM3070" s="2">
        <v>5.84</v>
      </c>
      <c r="BN3070" s="2">
        <v>47.57</v>
      </c>
      <c r="BO3070" s="2">
        <v>47.57</v>
      </c>
      <c r="BP3070" s="2"/>
      <c r="BQ3070" s="2" t="s">
        <v>3205</v>
      </c>
      <c r="BR3070" s="2" t="s">
        <v>84</v>
      </c>
      <c r="BS3070" s="3">
        <v>42850</v>
      </c>
      <c r="BT3070" s="4">
        <v>0.40277777777777773</v>
      </c>
      <c r="BU3070" s="2" t="s">
        <v>3206</v>
      </c>
      <c r="BV3070" s="2" t="s">
        <v>111</v>
      </c>
      <c r="BW3070" s="2"/>
      <c r="BX3070" s="2"/>
      <c r="BY3070" s="2">
        <v>1200</v>
      </c>
      <c r="BZ3070" s="2"/>
      <c r="CA3070" s="2" t="s">
        <v>106</v>
      </c>
      <c r="CB3070" s="2"/>
      <c r="CC3070" s="2" t="s">
        <v>100</v>
      </c>
      <c r="CD3070" s="2">
        <v>6001</v>
      </c>
      <c r="CE3070" s="2" t="s">
        <v>118</v>
      </c>
      <c r="CF3070" s="5">
        <v>42851</v>
      </c>
      <c r="CG3070" s="2"/>
      <c r="CH3070" s="2"/>
      <c r="CI3070" s="2">
        <v>1</v>
      </c>
      <c r="CJ3070" s="2">
        <v>1</v>
      </c>
      <c r="CK3070" s="2">
        <v>21</v>
      </c>
      <c r="CL3070" s="2" t="s">
        <v>86</v>
      </c>
      <c r="CM3070" s="2"/>
    </row>
    <row r="3071" spans="1:91">
      <c r="A3071" s="2" t="s">
        <v>71</v>
      </c>
      <c r="B3071" s="2" t="s">
        <v>72</v>
      </c>
      <c r="C3071" s="2" t="s">
        <v>73</v>
      </c>
      <c r="D3071" s="2"/>
      <c r="E3071" s="2" t="str">
        <f>"FES1162545249"</f>
        <v>FES1162545249</v>
      </c>
      <c r="F3071" s="3">
        <v>42849</v>
      </c>
      <c r="G3071" s="2">
        <v>201710</v>
      </c>
      <c r="H3071" s="2" t="s">
        <v>74</v>
      </c>
      <c r="I3071" s="2" t="s">
        <v>75</v>
      </c>
      <c r="J3071" s="2" t="s">
        <v>76</v>
      </c>
      <c r="K3071" s="2" t="s">
        <v>77</v>
      </c>
      <c r="L3071" s="2" t="s">
        <v>99</v>
      </c>
      <c r="M3071" s="2" t="s">
        <v>100</v>
      </c>
      <c r="N3071" s="2" t="s">
        <v>513</v>
      </c>
      <c r="O3071" s="2" t="s">
        <v>115</v>
      </c>
      <c r="P3071" s="2" t="str">
        <f>"2170563367                    "</f>
        <v xml:space="preserve">2170563367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4.29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1</v>
      </c>
      <c r="BJ3071" s="2">
        <v>0.2</v>
      </c>
      <c r="BK3071" s="2">
        <v>1</v>
      </c>
      <c r="BL3071" s="2">
        <v>41.73</v>
      </c>
      <c r="BM3071" s="2">
        <v>5.84</v>
      </c>
      <c r="BN3071" s="2">
        <v>47.57</v>
      </c>
      <c r="BO3071" s="2">
        <v>47.57</v>
      </c>
      <c r="BP3071" s="2"/>
      <c r="BQ3071" s="2" t="s">
        <v>3207</v>
      </c>
      <c r="BR3071" s="2" t="s">
        <v>84</v>
      </c>
      <c r="BS3071" s="3">
        <v>42850</v>
      </c>
      <c r="BT3071" s="4">
        <v>0.35972222222222222</v>
      </c>
      <c r="BU3071" s="2" t="s">
        <v>3208</v>
      </c>
      <c r="BV3071" s="2" t="s">
        <v>111</v>
      </c>
      <c r="BW3071" s="2"/>
      <c r="BX3071" s="2"/>
      <c r="BY3071" s="2">
        <v>1200</v>
      </c>
      <c r="BZ3071" s="2"/>
      <c r="CA3071" s="2" t="s">
        <v>3209</v>
      </c>
      <c r="CB3071" s="2"/>
      <c r="CC3071" s="2" t="s">
        <v>100</v>
      </c>
      <c r="CD3071" s="2">
        <v>6045</v>
      </c>
      <c r="CE3071" s="2" t="s">
        <v>118</v>
      </c>
      <c r="CF3071" s="5">
        <v>42850</v>
      </c>
      <c r="CG3071" s="2"/>
      <c r="CH3071" s="2"/>
      <c r="CI3071" s="2">
        <v>1</v>
      </c>
      <c r="CJ3071" s="2">
        <v>1</v>
      </c>
      <c r="CK3071" s="2">
        <v>21</v>
      </c>
      <c r="CL3071" s="2" t="s">
        <v>86</v>
      </c>
      <c r="CM3071" s="2"/>
    </row>
    <row r="3072" spans="1:91">
      <c r="A3072" s="2" t="s">
        <v>71</v>
      </c>
      <c r="B3072" s="2" t="s">
        <v>72</v>
      </c>
      <c r="C3072" s="2" t="s">
        <v>73</v>
      </c>
      <c r="D3072" s="2"/>
      <c r="E3072" s="2" t="str">
        <f>"FES1162545333"</f>
        <v>FES1162545333</v>
      </c>
      <c r="F3072" s="3">
        <v>42849</v>
      </c>
      <c r="G3072" s="2">
        <v>201710</v>
      </c>
      <c r="H3072" s="2" t="s">
        <v>74</v>
      </c>
      <c r="I3072" s="2" t="s">
        <v>75</v>
      </c>
      <c r="J3072" s="2" t="s">
        <v>76</v>
      </c>
      <c r="K3072" s="2" t="s">
        <v>77</v>
      </c>
      <c r="L3072" s="2" t="s">
        <v>180</v>
      </c>
      <c r="M3072" s="2" t="s">
        <v>181</v>
      </c>
      <c r="N3072" s="2" t="s">
        <v>3210</v>
      </c>
      <c r="O3072" s="2" t="s">
        <v>115</v>
      </c>
      <c r="P3072" s="2" t="str">
        <f>"2170563826                    "</f>
        <v xml:space="preserve">2170563826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4.29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1</v>
      </c>
      <c r="BI3072" s="2">
        <v>0.8</v>
      </c>
      <c r="BJ3072" s="2">
        <v>1</v>
      </c>
      <c r="BK3072" s="2">
        <v>1</v>
      </c>
      <c r="BL3072" s="2">
        <v>41.73</v>
      </c>
      <c r="BM3072" s="2">
        <v>5.84</v>
      </c>
      <c r="BN3072" s="2">
        <v>47.57</v>
      </c>
      <c r="BO3072" s="2">
        <v>47.57</v>
      </c>
      <c r="BP3072" s="2"/>
      <c r="BQ3072" s="2" t="s">
        <v>3211</v>
      </c>
      <c r="BR3072" s="2" t="s">
        <v>84</v>
      </c>
      <c r="BS3072" s="3">
        <v>42850</v>
      </c>
      <c r="BT3072" s="4">
        <v>0.39583333333333331</v>
      </c>
      <c r="BU3072" s="2" t="s">
        <v>3212</v>
      </c>
      <c r="BV3072" s="2" t="s">
        <v>111</v>
      </c>
      <c r="BW3072" s="2"/>
      <c r="BX3072" s="2"/>
      <c r="BY3072" s="2">
        <v>4949.12</v>
      </c>
      <c r="BZ3072" s="2"/>
      <c r="CA3072" s="2"/>
      <c r="CB3072" s="2"/>
      <c r="CC3072" s="2" t="s">
        <v>181</v>
      </c>
      <c r="CD3072" s="2">
        <v>4051</v>
      </c>
      <c r="CE3072" s="2" t="s">
        <v>118</v>
      </c>
      <c r="CF3072" s="5">
        <v>42851</v>
      </c>
      <c r="CG3072" s="2"/>
      <c r="CH3072" s="2"/>
      <c r="CI3072" s="2">
        <v>1</v>
      </c>
      <c r="CJ3072" s="2">
        <v>1</v>
      </c>
      <c r="CK3072" s="2">
        <v>21</v>
      </c>
      <c r="CL3072" s="2" t="s">
        <v>86</v>
      </c>
      <c r="CM3072" s="2"/>
    </row>
    <row r="3073" spans="1:91">
      <c r="A3073" s="2" t="s">
        <v>71</v>
      </c>
      <c r="B3073" s="2" t="s">
        <v>72</v>
      </c>
      <c r="C3073" s="2" t="s">
        <v>73</v>
      </c>
      <c r="D3073" s="2"/>
      <c r="E3073" s="2" t="str">
        <f>"FES1162545339"</f>
        <v>FES1162545339</v>
      </c>
      <c r="F3073" s="3">
        <v>42849</v>
      </c>
      <c r="G3073" s="2">
        <v>201710</v>
      </c>
      <c r="H3073" s="2" t="s">
        <v>74</v>
      </c>
      <c r="I3073" s="2" t="s">
        <v>75</v>
      </c>
      <c r="J3073" s="2" t="s">
        <v>76</v>
      </c>
      <c r="K3073" s="2" t="s">
        <v>77</v>
      </c>
      <c r="L3073" s="2" t="s">
        <v>131</v>
      </c>
      <c r="M3073" s="2" t="s">
        <v>132</v>
      </c>
      <c r="N3073" s="2" t="s">
        <v>1534</v>
      </c>
      <c r="O3073" s="2" t="s">
        <v>115</v>
      </c>
      <c r="P3073" s="2" t="str">
        <f>"2170563827                    "</f>
        <v xml:space="preserve">2170563827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4.29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1</v>
      </c>
      <c r="BJ3073" s="2">
        <v>0.2</v>
      </c>
      <c r="BK3073" s="2">
        <v>1</v>
      </c>
      <c r="BL3073" s="2">
        <v>41.73</v>
      </c>
      <c r="BM3073" s="2">
        <v>5.84</v>
      </c>
      <c r="BN3073" s="2">
        <v>47.57</v>
      </c>
      <c r="BO3073" s="2">
        <v>47.57</v>
      </c>
      <c r="BP3073" s="2"/>
      <c r="BQ3073" s="2" t="s">
        <v>116</v>
      </c>
      <c r="BR3073" s="2" t="s">
        <v>84</v>
      </c>
      <c r="BS3073" s="1" t="s">
        <v>1744</v>
      </c>
      <c r="BT3073" s="2"/>
      <c r="BU3073" s="2"/>
      <c r="BV3073" s="2"/>
      <c r="BW3073" s="2"/>
      <c r="BX3073" s="2"/>
      <c r="BY3073" s="2">
        <v>1200</v>
      </c>
      <c r="BZ3073" s="2"/>
      <c r="CA3073" s="2"/>
      <c r="CB3073" s="2"/>
      <c r="CC3073" s="2" t="s">
        <v>132</v>
      </c>
      <c r="CD3073" s="2">
        <v>7493</v>
      </c>
      <c r="CE3073" s="2" t="s">
        <v>118</v>
      </c>
      <c r="CF3073" s="2"/>
      <c r="CG3073" s="2"/>
      <c r="CH3073" s="2"/>
      <c r="CI3073" s="2">
        <v>1</v>
      </c>
      <c r="CJ3073" s="2" t="s">
        <v>1744</v>
      </c>
      <c r="CK3073" s="2">
        <v>21</v>
      </c>
      <c r="CL3073" s="2" t="s">
        <v>86</v>
      </c>
      <c r="CM3073" s="2"/>
    </row>
    <row r="3074" spans="1:91">
      <c r="A3074" s="2" t="s">
        <v>71</v>
      </c>
      <c r="B3074" s="2" t="s">
        <v>72</v>
      </c>
      <c r="C3074" s="2" t="s">
        <v>73</v>
      </c>
      <c r="D3074" s="2"/>
      <c r="E3074" s="2" t="str">
        <f>"FES1162545328"</f>
        <v>FES1162545328</v>
      </c>
      <c r="F3074" s="3">
        <v>42849</v>
      </c>
      <c r="G3074" s="2">
        <v>201710</v>
      </c>
      <c r="H3074" s="2" t="s">
        <v>74</v>
      </c>
      <c r="I3074" s="2" t="s">
        <v>75</v>
      </c>
      <c r="J3074" s="2" t="s">
        <v>76</v>
      </c>
      <c r="K3074" s="2" t="s">
        <v>77</v>
      </c>
      <c r="L3074" s="2" t="s">
        <v>358</v>
      </c>
      <c r="M3074" s="2" t="s">
        <v>359</v>
      </c>
      <c r="N3074" s="2" t="s">
        <v>800</v>
      </c>
      <c r="O3074" s="2" t="s">
        <v>115</v>
      </c>
      <c r="P3074" s="2" t="str">
        <f>"2170563798                    "</f>
        <v xml:space="preserve">2170563798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4.29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1</v>
      </c>
      <c r="BJ3074" s="2">
        <v>0.2</v>
      </c>
      <c r="BK3074" s="2">
        <v>1</v>
      </c>
      <c r="BL3074" s="2">
        <v>41.73</v>
      </c>
      <c r="BM3074" s="2">
        <v>5.84</v>
      </c>
      <c r="BN3074" s="2">
        <v>47.57</v>
      </c>
      <c r="BO3074" s="2">
        <v>47.57</v>
      </c>
      <c r="BP3074" s="2"/>
      <c r="BQ3074" s="2" t="s">
        <v>801</v>
      </c>
      <c r="BR3074" s="2" t="s">
        <v>84</v>
      </c>
      <c r="BS3074" s="3">
        <v>42850</v>
      </c>
      <c r="BT3074" s="4">
        <v>0.30833333333333335</v>
      </c>
      <c r="BU3074" s="2" t="s">
        <v>918</v>
      </c>
      <c r="BV3074" s="2" t="s">
        <v>111</v>
      </c>
      <c r="BW3074" s="2"/>
      <c r="BX3074" s="2"/>
      <c r="BY3074" s="2">
        <v>1200</v>
      </c>
      <c r="BZ3074" s="2"/>
      <c r="CA3074" s="2"/>
      <c r="CB3074" s="2"/>
      <c r="CC3074" s="2" t="s">
        <v>359</v>
      </c>
      <c r="CD3074" s="2">
        <v>6230</v>
      </c>
      <c r="CE3074" s="2" t="s">
        <v>118</v>
      </c>
      <c r="CF3074" s="5">
        <v>42851</v>
      </c>
      <c r="CG3074" s="2"/>
      <c r="CH3074" s="2"/>
      <c r="CI3074" s="2">
        <v>1</v>
      </c>
      <c r="CJ3074" s="2">
        <v>1</v>
      </c>
      <c r="CK3074" s="2">
        <v>21</v>
      </c>
      <c r="CL3074" s="2" t="s">
        <v>86</v>
      </c>
      <c r="CM3074" s="2"/>
    </row>
    <row r="3075" spans="1:91">
      <c r="A3075" s="2" t="s">
        <v>71</v>
      </c>
      <c r="B3075" s="2" t="s">
        <v>72</v>
      </c>
      <c r="C3075" s="2" t="s">
        <v>73</v>
      </c>
      <c r="D3075" s="2"/>
      <c r="E3075" s="2" t="str">
        <f>"FES1162545338"</f>
        <v>FES1162545338</v>
      </c>
      <c r="F3075" s="3">
        <v>42849</v>
      </c>
      <c r="G3075" s="2">
        <v>201710</v>
      </c>
      <c r="H3075" s="2" t="s">
        <v>74</v>
      </c>
      <c r="I3075" s="2" t="s">
        <v>75</v>
      </c>
      <c r="J3075" s="2" t="s">
        <v>76</v>
      </c>
      <c r="K3075" s="2" t="s">
        <v>77</v>
      </c>
      <c r="L3075" s="2" t="s">
        <v>180</v>
      </c>
      <c r="M3075" s="2" t="s">
        <v>181</v>
      </c>
      <c r="N3075" s="2" t="s">
        <v>605</v>
      </c>
      <c r="O3075" s="2" t="s">
        <v>115</v>
      </c>
      <c r="P3075" s="2" t="str">
        <f>"2170563781                    "</f>
        <v xml:space="preserve">2170563781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4.29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1</v>
      </c>
      <c r="BJ3075" s="2">
        <v>0.2</v>
      </c>
      <c r="BK3075" s="2">
        <v>1</v>
      </c>
      <c r="BL3075" s="2">
        <v>41.73</v>
      </c>
      <c r="BM3075" s="2">
        <v>5.84</v>
      </c>
      <c r="BN3075" s="2">
        <v>47.57</v>
      </c>
      <c r="BO3075" s="2">
        <v>47.57</v>
      </c>
      <c r="BP3075" s="2"/>
      <c r="BQ3075" s="2" t="s">
        <v>606</v>
      </c>
      <c r="BR3075" s="2" t="s">
        <v>84</v>
      </c>
      <c r="BS3075" s="3">
        <v>42850</v>
      </c>
      <c r="BT3075" s="4">
        <v>0.36805555555555558</v>
      </c>
      <c r="BU3075" s="2" t="s">
        <v>3213</v>
      </c>
      <c r="BV3075" s="2" t="s">
        <v>111</v>
      </c>
      <c r="BW3075" s="2"/>
      <c r="BX3075" s="2"/>
      <c r="BY3075" s="2">
        <v>1200</v>
      </c>
      <c r="BZ3075" s="2"/>
      <c r="CA3075" s="2"/>
      <c r="CB3075" s="2"/>
      <c r="CC3075" s="2" t="s">
        <v>181</v>
      </c>
      <c r="CD3075" s="2">
        <v>4001</v>
      </c>
      <c r="CE3075" s="2" t="s">
        <v>118</v>
      </c>
      <c r="CF3075" s="5">
        <v>42851</v>
      </c>
      <c r="CG3075" s="2"/>
      <c r="CH3075" s="2"/>
      <c r="CI3075" s="2">
        <v>1</v>
      </c>
      <c r="CJ3075" s="2">
        <v>1</v>
      </c>
      <c r="CK3075" s="2">
        <v>21</v>
      </c>
      <c r="CL3075" s="2" t="s">
        <v>86</v>
      </c>
      <c r="CM3075" s="2"/>
    </row>
    <row r="3076" spans="1:91">
      <c r="A3076" s="2" t="s">
        <v>71</v>
      </c>
      <c r="B3076" s="2" t="s">
        <v>72</v>
      </c>
      <c r="C3076" s="2" t="s">
        <v>73</v>
      </c>
      <c r="D3076" s="2"/>
      <c r="E3076" s="2" t="str">
        <f>"FES1162545191"</f>
        <v>FES1162545191</v>
      </c>
      <c r="F3076" s="3">
        <v>42849</v>
      </c>
      <c r="G3076" s="2">
        <v>201710</v>
      </c>
      <c r="H3076" s="2" t="s">
        <v>74</v>
      </c>
      <c r="I3076" s="2" t="s">
        <v>75</v>
      </c>
      <c r="J3076" s="2" t="s">
        <v>76</v>
      </c>
      <c r="K3076" s="2" t="s">
        <v>77</v>
      </c>
      <c r="L3076" s="2" t="s">
        <v>91</v>
      </c>
      <c r="M3076" s="2" t="s">
        <v>92</v>
      </c>
      <c r="N3076" s="2" t="s">
        <v>2937</v>
      </c>
      <c r="O3076" s="2" t="s">
        <v>115</v>
      </c>
      <c r="P3076" s="2" t="str">
        <f>"2170562643                    "</f>
        <v xml:space="preserve">2170562643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3.35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1</v>
      </c>
      <c r="BJ3076" s="2">
        <v>0.2</v>
      </c>
      <c r="BK3076" s="2">
        <v>1</v>
      </c>
      <c r="BL3076" s="2">
        <v>32.6</v>
      </c>
      <c r="BM3076" s="2">
        <v>4.5599999999999996</v>
      </c>
      <c r="BN3076" s="2">
        <v>37.159999999999997</v>
      </c>
      <c r="BO3076" s="2">
        <v>37.159999999999997</v>
      </c>
      <c r="BP3076" s="2"/>
      <c r="BQ3076" s="2" t="s">
        <v>122</v>
      </c>
      <c r="BR3076" s="2" t="s">
        <v>84</v>
      </c>
      <c r="BS3076" s="3">
        <v>42850</v>
      </c>
      <c r="BT3076" s="4">
        <v>0.41111111111111115</v>
      </c>
      <c r="BU3076" s="2" t="s">
        <v>3214</v>
      </c>
      <c r="BV3076" s="2" t="s">
        <v>111</v>
      </c>
      <c r="BW3076" s="2"/>
      <c r="BX3076" s="2"/>
      <c r="BY3076" s="2">
        <v>1200</v>
      </c>
      <c r="BZ3076" s="2"/>
      <c r="CA3076" s="2" t="s">
        <v>1687</v>
      </c>
      <c r="CB3076" s="2"/>
      <c r="CC3076" s="2" t="s">
        <v>92</v>
      </c>
      <c r="CD3076" s="2">
        <v>1406</v>
      </c>
      <c r="CE3076" s="2" t="s">
        <v>118</v>
      </c>
      <c r="CF3076" s="5">
        <v>42850</v>
      </c>
      <c r="CG3076" s="2"/>
      <c r="CH3076" s="2"/>
      <c r="CI3076" s="2">
        <v>1</v>
      </c>
      <c r="CJ3076" s="2">
        <v>1</v>
      </c>
      <c r="CK3076" s="2">
        <v>22</v>
      </c>
      <c r="CL3076" s="2" t="s">
        <v>86</v>
      </c>
      <c r="CM3076" s="2"/>
    </row>
    <row r="3077" spans="1:91">
      <c r="A3077" s="2" t="s">
        <v>71</v>
      </c>
      <c r="B3077" s="2" t="s">
        <v>72</v>
      </c>
      <c r="C3077" s="2" t="s">
        <v>73</v>
      </c>
      <c r="D3077" s="2"/>
      <c r="E3077" s="2" t="str">
        <f>"FES1162545257"</f>
        <v>FES1162545257</v>
      </c>
      <c r="F3077" s="3">
        <v>42849</v>
      </c>
      <c r="G3077" s="2">
        <v>201710</v>
      </c>
      <c r="H3077" s="2" t="s">
        <v>74</v>
      </c>
      <c r="I3077" s="2" t="s">
        <v>75</v>
      </c>
      <c r="J3077" s="2" t="s">
        <v>76</v>
      </c>
      <c r="K3077" s="2" t="s">
        <v>77</v>
      </c>
      <c r="L3077" s="2" t="s">
        <v>74</v>
      </c>
      <c r="M3077" s="2" t="s">
        <v>75</v>
      </c>
      <c r="N3077" s="2" t="s">
        <v>488</v>
      </c>
      <c r="O3077" s="2" t="s">
        <v>115</v>
      </c>
      <c r="P3077" s="2" t="str">
        <f>"2170563745                    "</f>
        <v xml:space="preserve">2170563745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3.35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</v>
      </c>
      <c r="BJ3077" s="2">
        <v>0.2</v>
      </c>
      <c r="BK3077" s="2">
        <v>1</v>
      </c>
      <c r="BL3077" s="2">
        <v>32.6</v>
      </c>
      <c r="BM3077" s="2">
        <v>4.5599999999999996</v>
      </c>
      <c r="BN3077" s="2">
        <v>37.159999999999997</v>
      </c>
      <c r="BO3077" s="2">
        <v>37.159999999999997</v>
      </c>
      <c r="BP3077" s="2"/>
      <c r="BQ3077" s="2" t="s">
        <v>489</v>
      </c>
      <c r="BR3077" s="2" t="s">
        <v>84</v>
      </c>
      <c r="BS3077" s="3">
        <v>42850</v>
      </c>
      <c r="BT3077" s="4">
        <v>0.31180555555555556</v>
      </c>
      <c r="BU3077" s="2" t="s">
        <v>2152</v>
      </c>
      <c r="BV3077" s="2" t="s">
        <v>111</v>
      </c>
      <c r="BW3077" s="2"/>
      <c r="BX3077" s="2"/>
      <c r="BY3077" s="2">
        <v>1200</v>
      </c>
      <c r="BZ3077" s="2"/>
      <c r="CA3077" s="2"/>
      <c r="CB3077" s="2"/>
      <c r="CC3077" s="2" t="s">
        <v>75</v>
      </c>
      <c r="CD3077" s="2">
        <v>1645</v>
      </c>
      <c r="CE3077" s="2" t="s">
        <v>118</v>
      </c>
      <c r="CF3077" s="5">
        <v>42851</v>
      </c>
      <c r="CG3077" s="2"/>
      <c r="CH3077" s="2"/>
      <c r="CI3077" s="2">
        <v>1</v>
      </c>
      <c r="CJ3077" s="2">
        <v>1</v>
      </c>
      <c r="CK3077" s="2">
        <v>22</v>
      </c>
      <c r="CL3077" s="2" t="s">
        <v>86</v>
      </c>
      <c r="CM3077" s="2"/>
    </row>
    <row r="3078" spans="1:91">
      <c r="A3078" s="2" t="s">
        <v>71</v>
      </c>
      <c r="B3078" s="2" t="s">
        <v>72</v>
      </c>
      <c r="C3078" s="2" t="s">
        <v>73</v>
      </c>
      <c r="D3078" s="2"/>
      <c r="E3078" s="2" t="str">
        <f>"FES1162545251"</f>
        <v>FES1162545251</v>
      </c>
      <c r="F3078" s="3">
        <v>42849</v>
      </c>
      <c r="G3078" s="2">
        <v>201710</v>
      </c>
      <c r="H3078" s="2" t="s">
        <v>74</v>
      </c>
      <c r="I3078" s="2" t="s">
        <v>75</v>
      </c>
      <c r="J3078" s="2" t="s">
        <v>76</v>
      </c>
      <c r="K3078" s="2" t="s">
        <v>77</v>
      </c>
      <c r="L3078" s="2" t="s">
        <v>299</v>
      </c>
      <c r="M3078" s="2" t="s">
        <v>300</v>
      </c>
      <c r="N3078" s="2" t="s">
        <v>1613</v>
      </c>
      <c r="O3078" s="2" t="s">
        <v>115</v>
      </c>
      <c r="P3078" s="2" t="str">
        <f>"2170563361                    "</f>
        <v xml:space="preserve">2170563361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6.03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1</v>
      </c>
      <c r="BJ3078" s="2">
        <v>0.2</v>
      </c>
      <c r="BK3078" s="2">
        <v>1</v>
      </c>
      <c r="BL3078" s="2">
        <v>58.68</v>
      </c>
      <c r="BM3078" s="2">
        <v>8.2200000000000006</v>
      </c>
      <c r="BN3078" s="2">
        <v>66.900000000000006</v>
      </c>
      <c r="BO3078" s="2">
        <v>66.900000000000006</v>
      </c>
      <c r="BP3078" s="2"/>
      <c r="BQ3078" s="2" t="s">
        <v>122</v>
      </c>
      <c r="BR3078" s="2" t="s">
        <v>84</v>
      </c>
      <c r="BS3078" s="3">
        <v>42850</v>
      </c>
      <c r="BT3078" s="4">
        <v>0.51666666666666672</v>
      </c>
      <c r="BU3078" s="2" t="s">
        <v>3133</v>
      </c>
      <c r="BV3078" s="2" t="s">
        <v>111</v>
      </c>
      <c r="BW3078" s="2"/>
      <c r="BX3078" s="2"/>
      <c r="BY3078" s="2">
        <v>1200</v>
      </c>
      <c r="BZ3078" s="2"/>
      <c r="CA3078" s="2"/>
      <c r="CB3078" s="2"/>
      <c r="CC3078" s="2" t="s">
        <v>300</v>
      </c>
      <c r="CD3078" s="2">
        <v>407</v>
      </c>
      <c r="CE3078" s="2" t="s">
        <v>118</v>
      </c>
      <c r="CF3078" s="5">
        <v>42853</v>
      </c>
      <c r="CG3078" s="2"/>
      <c r="CH3078" s="2"/>
      <c r="CI3078" s="2">
        <v>0</v>
      </c>
      <c r="CJ3078" s="2">
        <v>0</v>
      </c>
      <c r="CK3078" s="2">
        <v>24</v>
      </c>
      <c r="CL3078" s="2" t="s">
        <v>86</v>
      </c>
      <c r="CM3078" s="2"/>
    </row>
    <row r="3079" spans="1:91">
      <c r="A3079" s="2" t="s">
        <v>71</v>
      </c>
      <c r="B3079" s="2" t="s">
        <v>72</v>
      </c>
      <c r="C3079" s="2" t="s">
        <v>73</v>
      </c>
      <c r="D3079" s="2"/>
      <c r="E3079" s="2" t="str">
        <f>"FES1162545329"</f>
        <v>FES1162545329</v>
      </c>
      <c r="F3079" s="3">
        <v>42849</v>
      </c>
      <c r="G3079" s="2">
        <v>201710</v>
      </c>
      <c r="H3079" s="2" t="s">
        <v>74</v>
      </c>
      <c r="I3079" s="2" t="s">
        <v>75</v>
      </c>
      <c r="J3079" s="2" t="s">
        <v>76</v>
      </c>
      <c r="K3079" s="2" t="s">
        <v>77</v>
      </c>
      <c r="L3079" s="2" t="s">
        <v>131</v>
      </c>
      <c r="M3079" s="2" t="s">
        <v>132</v>
      </c>
      <c r="N3079" s="2" t="s">
        <v>1908</v>
      </c>
      <c r="O3079" s="2" t="s">
        <v>115</v>
      </c>
      <c r="P3079" s="2" t="str">
        <f>"2170563818                    "</f>
        <v xml:space="preserve">2170563818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4.29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1</v>
      </c>
      <c r="BJ3079" s="2">
        <v>0.2</v>
      </c>
      <c r="BK3079" s="2">
        <v>1</v>
      </c>
      <c r="BL3079" s="2">
        <v>41.73</v>
      </c>
      <c r="BM3079" s="2">
        <v>5.84</v>
      </c>
      <c r="BN3079" s="2">
        <v>47.57</v>
      </c>
      <c r="BO3079" s="2">
        <v>47.57</v>
      </c>
      <c r="BP3079" s="2"/>
      <c r="BQ3079" s="2" t="s">
        <v>1909</v>
      </c>
      <c r="BR3079" s="2" t="s">
        <v>84</v>
      </c>
      <c r="BS3079" s="3">
        <v>42851</v>
      </c>
      <c r="BT3079" s="4">
        <v>0.37361111111111112</v>
      </c>
      <c r="BU3079" s="2" t="s">
        <v>3215</v>
      </c>
      <c r="BV3079" s="2" t="s">
        <v>86</v>
      </c>
      <c r="BW3079" s="2" t="s">
        <v>157</v>
      </c>
      <c r="BX3079" s="2" t="s">
        <v>3114</v>
      </c>
      <c r="BY3079" s="2">
        <v>1200</v>
      </c>
      <c r="BZ3079" s="2"/>
      <c r="CA3079" s="2"/>
      <c r="CB3079" s="2"/>
      <c r="CC3079" s="2" t="s">
        <v>132</v>
      </c>
      <c r="CD3079" s="2">
        <v>7945</v>
      </c>
      <c r="CE3079" s="2" t="s">
        <v>118</v>
      </c>
      <c r="CF3079" s="5">
        <v>42853</v>
      </c>
      <c r="CG3079" s="2"/>
      <c r="CH3079" s="2"/>
      <c r="CI3079" s="2">
        <v>1</v>
      </c>
      <c r="CJ3079" s="2">
        <v>2</v>
      </c>
      <c r="CK3079" s="2">
        <v>21</v>
      </c>
      <c r="CL3079" s="2" t="s">
        <v>86</v>
      </c>
      <c r="CM3079" s="2"/>
    </row>
    <row r="3080" spans="1:91">
      <c r="A3080" s="2" t="s">
        <v>71</v>
      </c>
      <c r="B3080" s="2" t="s">
        <v>72</v>
      </c>
      <c r="C3080" s="2" t="s">
        <v>73</v>
      </c>
      <c r="D3080" s="2"/>
      <c r="E3080" s="2" t="str">
        <f>"FES1162545145"</f>
        <v>FES1162545145</v>
      </c>
      <c r="F3080" s="3">
        <v>42849</v>
      </c>
      <c r="G3080" s="2">
        <v>201710</v>
      </c>
      <c r="H3080" s="2" t="s">
        <v>74</v>
      </c>
      <c r="I3080" s="2" t="s">
        <v>75</v>
      </c>
      <c r="J3080" s="2" t="s">
        <v>76</v>
      </c>
      <c r="K3080" s="2" t="s">
        <v>77</v>
      </c>
      <c r="L3080" s="2" t="s">
        <v>166</v>
      </c>
      <c r="M3080" s="2" t="s">
        <v>167</v>
      </c>
      <c r="N3080" s="2" t="s">
        <v>168</v>
      </c>
      <c r="O3080" s="2" t="s">
        <v>81</v>
      </c>
      <c r="P3080" s="2" t="str">
        <f>"2170563630                    "</f>
        <v xml:space="preserve">2170563630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6.03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1</v>
      </c>
      <c r="BI3080" s="2">
        <v>4.2</v>
      </c>
      <c r="BJ3080" s="2">
        <v>2.7</v>
      </c>
      <c r="BK3080" s="2">
        <v>5</v>
      </c>
      <c r="BL3080" s="2">
        <v>63.68</v>
      </c>
      <c r="BM3080" s="2">
        <v>8.92</v>
      </c>
      <c r="BN3080" s="2">
        <v>72.599999999999994</v>
      </c>
      <c r="BO3080" s="2">
        <v>72.599999999999994</v>
      </c>
      <c r="BP3080" s="2" t="s">
        <v>82</v>
      </c>
      <c r="BQ3080" s="2" t="s">
        <v>169</v>
      </c>
      <c r="BR3080" s="2" t="s">
        <v>84</v>
      </c>
      <c r="BS3080" s="3">
        <v>42850</v>
      </c>
      <c r="BT3080" s="4">
        <v>0.52430555555555558</v>
      </c>
      <c r="BU3080" s="2" t="s">
        <v>1277</v>
      </c>
      <c r="BV3080" s="2" t="s">
        <v>111</v>
      </c>
      <c r="BW3080" s="2"/>
      <c r="BX3080" s="2"/>
      <c r="BY3080" s="2">
        <v>13370.68</v>
      </c>
      <c r="BZ3080" s="2"/>
      <c r="CA3080" s="2"/>
      <c r="CB3080" s="2"/>
      <c r="CC3080" s="2" t="s">
        <v>167</v>
      </c>
      <c r="CD3080" s="2">
        <v>2094</v>
      </c>
      <c r="CE3080" s="2" t="s">
        <v>89</v>
      </c>
      <c r="CF3080" s="5">
        <v>42851</v>
      </c>
      <c r="CG3080" s="2"/>
      <c r="CH3080" s="2"/>
      <c r="CI3080" s="2">
        <v>0</v>
      </c>
      <c r="CJ3080" s="2">
        <v>0</v>
      </c>
      <c r="CK3080" s="2" t="s">
        <v>98</v>
      </c>
      <c r="CL3080" s="2" t="s">
        <v>86</v>
      </c>
      <c r="CM3080" s="2"/>
    </row>
    <row r="3081" spans="1:91">
      <c r="A3081" s="2" t="s">
        <v>71</v>
      </c>
      <c r="B3081" s="2" t="s">
        <v>72</v>
      </c>
      <c r="C3081" s="2" t="s">
        <v>73</v>
      </c>
      <c r="D3081" s="2"/>
      <c r="E3081" s="2" t="str">
        <f>"FES1162544983"</f>
        <v>FES1162544983</v>
      </c>
      <c r="F3081" s="3">
        <v>42849</v>
      </c>
      <c r="G3081" s="2">
        <v>201710</v>
      </c>
      <c r="H3081" s="2" t="s">
        <v>74</v>
      </c>
      <c r="I3081" s="2" t="s">
        <v>75</v>
      </c>
      <c r="J3081" s="2" t="s">
        <v>76</v>
      </c>
      <c r="K3081" s="2" t="s">
        <v>77</v>
      </c>
      <c r="L3081" s="2" t="s">
        <v>496</v>
      </c>
      <c r="M3081" s="2" t="s">
        <v>497</v>
      </c>
      <c r="N3081" s="2" t="s">
        <v>879</v>
      </c>
      <c r="O3081" s="2" t="s">
        <v>81</v>
      </c>
      <c r="P3081" s="2" t="str">
        <f>"2170563468                    "</f>
        <v xml:space="preserve">2170563468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6.03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2</v>
      </c>
      <c r="BJ3081" s="2">
        <v>1.3</v>
      </c>
      <c r="BK3081" s="2">
        <v>2</v>
      </c>
      <c r="BL3081" s="2">
        <v>63.68</v>
      </c>
      <c r="BM3081" s="2">
        <v>8.92</v>
      </c>
      <c r="BN3081" s="2">
        <v>72.599999999999994</v>
      </c>
      <c r="BO3081" s="2">
        <v>72.599999999999994</v>
      </c>
      <c r="BP3081" s="2" t="s">
        <v>82</v>
      </c>
      <c r="BQ3081" s="2" t="s">
        <v>880</v>
      </c>
      <c r="BR3081" s="2" t="s">
        <v>84</v>
      </c>
      <c r="BS3081" s="3">
        <v>42850</v>
      </c>
      <c r="BT3081" s="4">
        <v>0.52430555555555558</v>
      </c>
      <c r="BU3081" s="2" t="s">
        <v>3216</v>
      </c>
      <c r="BV3081" s="2" t="s">
        <v>111</v>
      </c>
      <c r="BW3081" s="2"/>
      <c r="BX3081" s="2"/>
      <c r="BY3081" s="2">
        <v>6415.69</v>
      </c>
      <c r="BZ3081" s="2"/>
      <c r="CA3081" s="2"/>
      <c r="CB3081" s="2"/>
      <c r="CC3081" s="2" t="s">
        <v>497</v>
      </c>
      <c r="CD3081" s="2">
        <v>1559</v>
      </c>
      <c r="CE3081" s="2" t="s">
        <v>89</v>
      </c>
      <c r="CF3081" s="5">
        <v>42851</v>
      </c>
      <c r="CG3081" s="2"/>
      <c r="CH3081" s="2"/>
      <c r="CI3081" s="2">
        <v>0</v>
      </c>
      <c r="CJ3081" s="2">
        <v>0</v>
      </c>
      <c r="CK3081" s="2" t="s">
        <v>98</v>
      </c>
      <c r="CL3081" s="2" t="s">
        <v>86</v>
      </c>
      <c r="CM3081" s="2"/>
    </row>
    <row r="3082" spans="1:91">
      <c r="A3082" s="2" t="s">
        <v>71</v>
      </c>
      <c r="B3082" s="2" t="s">
        <v>72</v>
      </c>
      <c r="C3082" s="2" t="s">
        <v>73</v>
      </c>
      <c r="D3082" s="2"/>
      <c r="E3082" s="2" t="str">
        <f>"FES1162545195"</f>
        <v>FES1162545195</v>
      </c>
      <c r="F3082" s="3">
        <v>42849</v>
      </c>
      <c r="G3082" s="2">
        <v>201710</v>
      </c>
      <c r="H3082" s="2" t="s">
        <v>74</v>
      </c>
      <c r="I3082" s="2" t="s">
        <v>75</v>
      </c>
      <c r="J3082" s="2" t="s">
        <v>76</v>
      </c>
      <c r="K3082" s="2" t="s">
        <v>77</v>
      </c>
      <c r="L3082" s="2" t="s">
        <v>220</v>
      </c>
      <c r="M3082" s="2" t="s">
        <v>221</v>
      </c>
      <c r="N3082" s="2" t="s">
        <v>222</v>
      </c>
      <c r="O3082" s="2" t="s">
        <v>81</v>
      </c>
      <c r="P3082" s="2" t="str">
        <f>"2170563681                    "</f>
        <v xml:space="preserve">2170563681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10.45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10</v>
      </c>
      <c r="BJ3082" s="2">
        <v>5.0999999999999996</v>
      </c>
      <c r="BK3082" s="2">
        <v>10</v>
      </c>
      <c r="BL3082" s="2">
        <v>106.71</v>
      </c>
      <c r="BM3082" s="2">
        <v>14.94</v>
      </c>
      <c r="BN3082" s="2">
        <v>121.65</v>
      </c>
      <c r="BO3082" s="2">
        <v>121.65</v>
      </c>
      <c r="BP3082" s="2" t="s">
        <v>82</v>
      </c>
      <c r="BQ3082" s="2" t="s">
        <v>223</v>
      </c>
      <c r="BR3082" s="2" t="s">
        <v>84</v>
      </c>
      <c r="BS3082" s="3">
        <v>42853</v>
      </c>
      <c r="BT3082" s="4">
        <v>0.33333333333333331</v>
      </c>
      <c r="BU3082" s="2" t="s">
        <v>1968</v>
      </c>
      <c r="BV3082" s="2"/>
      <c r="BW3082" s="2"/>
      <c r="BX3082" s="2"/>
      <c r="BY3082" s="2">
        <v>25612.34</v>
      </c>
      <c r="BZ3082" s="2"/>
      <c r="CA3082" s="2"/>
      <c r="CB3082" s="2"/>
      <c r="CC3082" s="2" t="s">
        <v>221</v>
      </c>
      <c r="CD3082" s="2">
        <v>6536</v>
      </c>
      <c r="CE3082" s="2" t="s">
        <v>89</v>
      </c>
      <c r="CF3082" s="2"/>
      <c r="CG3082" s="2"/>
      <c r="CH3082" s="2"/>
      <c r="CI3082" s="2">
        <v>0</v>
      </c>
      <c r="CJ3082" s="2">
        <v>0</v>
      </c>
      <c r="CK3082" s="2" t="s">
        <v>90</v>
      </c>
      <c r="CL3082" s="2" t="s">
        <v>86</v>
      </c>
      <c r="CM3082" s="2"/>
    </row>
    <row r="3083" spans="1:91">
      <c r="A3083" s="2" t="s">
        <v>71</v>
      </c>
      <c r="B3083" s="2" t="s">
        <v>72</v>
      </c>
      <c r="C3083" s="2" t="s">
        <v>73</v>
      </c>
      <c r="D3083" s="2"/>
      <c r="E3083" s="2" t="str">
        <f>"FES1162545077"</f>
        <v>FES1162545077</v>
      </c>
      <c r="F3083" s="3">
        <v>42849</v>
      </c>
      <c r="G3083" s="2">
        <v>201710</v>
      </c>
      <c r="H3083" s="2" t="s">
        <v>74</v>
      </c>
      <c r="I3083" s="2" t="s">
        <v>75</v>
      </c>
      <c r="J3083" s="2" t="s">
        <v>76</v>
      </c>
      <c r="K3083" s="2" t="s">
        <v>77</v>
      </c>
      <c r="L3083" s="2" t="s">
        <v>145</v>
      </c>
      <c r="M3083" s="2" t="s">
        <v>146</v>
      </c>
      <c r="N3083" s="2" t="s">
        <v>206</v>
      </c>
      <c r="O3083" s="2" t="s">
        <v>81</v>
      </c>
      <c r="P3083" s="2" t="str">
        <f>"2170563597                    "</f>
        <v xml:space="preserve">2170563597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7.37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8</v>
      </c>
      <c r="BJ3083" s="2">
        <v>4.7</v>
      </c>
      <c r="BK3083" s="2">
        <v>8</v>
      </c>
      <c r="BL3083" s="2">
        <v>76.72</v>
      </c>
      <c r="BM3083" s="2">
        <v>10.74</v>
      </c>
      <c r="BN3083" s="2">
        <v>87.46</v>
      </c>
      <c r="BO3083" s="2">
        <v>87.46</v>
      </c>
      <c r="BP3083" s="2"/>
      <c r="BQ3083" s="2" t="s">
        <v>122</v>
      </c>
      <c r="BR3083" s="2" t="s">
        <v>84</v>
      </c>
      <c r="BS3083" s="3">
        <v>42850</v>
      </c>
      <c r="BT3083" s="4">
        <v>0.61805555555555558</v>
      </c>
      <c r="BU3083" s="2" t="s">
        <v>1760</v>
      </c>
      <c r="BV3083" s="2"/>
      <c r="BW3083" s="2"/>
      <c r="BX3083" s="2"/>
      <c r="BY3083" s="2">
        <v>23745.5</v>
      </c>
      <c r="BZ3083" s="2"/>
      <c r="CA3083" s="2"/>
      <c r="CB3083" s="2"/>
      <c r="CC3083" s="2" t="s">
        <v>146</v>
      </c>
      <c r="CD3083" s="2">
        <v>200</v>
      </c>
      <c r="CE3083" s="2" t="s">
        <v>89</v>
      </c>
      <c r="CF3083" s="5">
        <v>42853</v>
      </c>
      <c r="CG3083" s="2"/>
      <c r="CH3083" s="2"/>
      <c r="CI3083" s="2">
        <v>0</v>
      </c>
      <c r="CJ3083" s="2">
        <v>0</v>
      </c>
      <c r="CK3083" s="2" t="s">
        <v>150</v>
      </c>
      <c r="CL3083" s="2" t="s">
        <v>86</v>
      </c>
      <c r="CM3083" s="2"/>
    </row>
    <row r="3084" spans="1:91">
      <c r="A3084" s="2" t="s">
        <v>71</v>
      </c>
      <c r="B3084" s="2" t="s">
        <v>72</v>
      </c>
      <c r="C3084" s="2" t="s">
        <v>73</v>
      </c>
      <c r="D3084" s="2"/>
      <c r="E3084" s="2" t="str">
        <f>"FES1162545180"</f>
        <v>FES1162545180</v>
      </c>
      <c r="F3084" s="3">
        <v>42849</v>
      </c>
      <c r="G3084" s="2">
        <v>201710</v>
      </c>
      <c r="H3084" s="2" t="s">
        <v>74</v>
      </c>
      <c r="I3084" s="2" t="s">
        <v>75</v>
      </c>
      <c r="J3084" s="2" t="s">
        <v>76</v>
      </c>
      <c r="K3084" s="2" t="s">
        <v>77</v>
      </c>
      <c r="L3084" s="2" t="s">
        <v>145</v>
      </c>
      <c r="M3084" s="2" t="s">
        <v>146</v>
      </c>
      <c r="N3084" s="2" t="s">
        <v>573</v>
      </c>
      <c r="O3084" s="2" t="s">
        <v>81</v>
      </c>
      <c r="P3084" s="2" t="str">
        <f>"2170563667                    "</f>
        <v xml:space="preserve">2170563667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7.37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3</v>
      </c>
      <c r="BJ3084" s="2">
        <v>1.2</v>
      </c>
      <c r="BK3084" s="2">
        <v>3</v>
      </c>
      <c r="BL3084" s="2">
        <v>76.72</v>
      </c>
      <c r="BM3084" s="2">
        <v>10.74</v>
      </c>
      <c r="BN3084" s="2">
        <v>87.46</v>
      </c>
      <c r="BO3084" s="2">
        <v>87.46</v>
      </c>
      <c r="BP3084" s="2" t="s">
        <v>82</v>
      </c>
      <c r="BQ3084" s="2" t="s">
        <v>750</v>
      </c>
      <c r="BR3084" s="2" t="s">
        <v>84</v>
      </c>
      <c r="BS3084" s="3">
        <v>42850</v>
      </c>
      <c r="BT3084" s="4">
        <v>0.39861111111111108</v>
      </c>
      <c r="BU3084" s="2" t="s">
        <v>130</v>
      </c>
      <c r="BV3084" s="2"/>
      <c r="BW3084" s="2"/>
      <c r="BX3084" s="2"/>
      <c r="BY3084" s="2">
        <v>6107.56</v>
      </c>
      <c r="BZ3084" s="2"/>
      <c r="CA3084" s="2"/>
      <c r="CB3084" s="2"/>
      <c r="CC3084" s="2" t="s">
        <v>146</v>
      </c>
      <c r="CD3084" s="2">
        <v>82</v>
      </c>
      <c r="CE3084" s="2" t="s">
        <v>172</v>
      </c>
      <c r="CF3084" s="5">
        <v>42853</v>
      </c>
      <c r="CG3084" s="2"/>
      <c r="CH3084" s="2"/>
      <c r="CI3084" s="2">
        <v>0</v>
      </c>
      <c r="CJ3084" s="2">
        <v>0</v>
      </c>
      <c r="CK3084" s="2" t="s">
        <v>150</v>
      </c>
      <c r="CL3084" s="2" t="s">
        <v>86</v>
      </c>
      <c r="CM3084" s="2"/>
    </row>
    <row r="3085" spans="1:91">
      <c r="A3085" s="2" t="s">
        <v>71</v>
      </c>
      <c r="B3085" s="2" t="s">
        <v>72</v>
      </c>
      <c r="C3085" s="2" t="s">
        <v>73</v>
      </c>
      <c r="D3085" s="2"/>
      <c r="E3085" s="2" t="str">
        <f>"FES1162545311"</f>
        <v>FES1162545311</v>
      </c>
      <c r="F3085" s="3">
        <v>42849</v>
      </c>
      <c r="G3085" s="2">
        <v>201710</v>
      </c>
      <c r="H3085" s="2" t="s">
        <v>74</v>
      </c>
      <c r="I3085" s="2" t="s">
        <v>75</v>
      </c>
      <c r="J3085" s="2" t="s">
        <v>76</v>
      </c>
      <c r="K3085" s="2" t="s">
        <v>77</v>
      </c>
      <c r="L3085" s="2" t="s">
        <v>99</v>
      </c>
      <c r="M3085" s="2" t="s">
        <v>100</v>
      </c>
      <c r="N3085" s="2" t="s">
        <v>583</v>
      </c>
      <c r="O3085" s="2" t="s">
        <v>81</v>
      </c>
      <c r="P3085" s="2" t="str">
        <f>"2170563786                    "</f>
        <v xml:space="preserve">2170563786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13.28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2</v>
      </c>
      <c r="BI3085" s="2">
        <v>26.6</v>
      </c>
      <c r="BJ3085" s="2">
        <v>10.6</v>
      </c>
      <c r="BK3085" s="2">
        <v>27</v>
      </c>
      <c r="BL3085" s="2">
        <v>134.28</v>
      </c>
      <c r="BM3085" s="2">
        <v>18.8</v>
      </c>
      <c r="BN3085" s="2">
        <v>153.08000000000001</v>
      </c>
      <c r="BO3085" s="2">
        <v>153.08000000000001</v>
      </c>
      <c r="BP3085" s="2" t="s">
        <v>82</v>
      </c>
      <c r="BQ3085" s="2" t="s">
        <v>584</v>
      </c>
      <c r="BR3085" s="2" t="s">
        <v>84</v>
      </c>
      <c r="BS3085" s="3">
        <v>42851</v>
      </c>
      <c r="BT3085" s="4">
        <v>0.34722222222222227</v>
      </c>
      <c r="BU3085" s="2" t="s">
        <v>2716</v>
      </c>
      <c r="BV3085" s="2" t="s">
        <v>111</v>
      </c>
      <c r="BW3085" s="2"/>
      <c r="BX3085" s="2"/>
      <c r="BY3085" s="2">
        <v>52907.72</v>
      </c>
      <c r="BZ3085" s="2"/>
      <c r="CA3085" s="2" t="s">
        <v>3217</v>
      </c>
      <c r="CB3085" s="2"/>
      <c r="CC3085" s="2" t="s">
        <v>100</v>
      </c>
      <c r="CD3085" s="2">
        <v>6001</v>
      </c>
      <c r="CE3085" s="2" t="s">
        <v>89</v>
      </c>
      <c r="CF3085" s="5">
        <v>42851</v>
      </c>
      <c r="CG3085" s="2"/>
      <c r="CH3085" s="2"/>
      <c r="CI3085" s="2">
        <v>0</v>
      </c>
      <c r="CJ3085" s="2">
        <v>0</v>
      </c>
      <c r="CK3085" s="2" t="s">
        <v>107</v>
      </c>
      <c r="CL3085" s="2" t="s">
        <v>86</v>
      </c>
      <c r="CM3085" s="2"/>
    </row>
    <row r="3086" spans="1:91">
      <c r="A3086" s="2" t="s">
        <v>71</v>
      </c>
      <c r="B3086" s="2" t="s">
        <v>72</v>
      </c>
      <c r="C3086" s="2" t="s">
        <v>73</v>
      </c>
      <c r="D3086" s="2"/>
      <c r="E3086" s="2" t="str">
        <f>"FES1162544969"</f>
        <v>FES1162544969</v>
      </c>
      <c r="F3086" s="3">
        <v>42849</v>
      </c>
      <c r="G3086" s="2">
        <v>201710</v>
      </c>
      <c r="H3086" s="2" t="s">
        <v>74</v>
      </c>
      <c r="I3086" s="2" t="s">
        <v>75</v>
      </c>
      <c r="J3086" s="2" t="s">
        <v>76</v>
      </c>
      <c r="K3086" s="2" t="s">
        <v>77</v>
      </c>
      <c r="L3086" s="2" t="s">
        <v>609</v>
      </c>
      <c r="M3086" s="2" t="s">
        <v>610</v>
      </c>
      <c r="N3086" s="2" t="s">
        <v>3218</v>
      </c>
      <c r="O3086" s="2" t="s">
        <v>81</v>
      </c>
      <c r="P3086" s="2" t="str">
        <f>"2170563091                    "</f>
        <v xml:space="preserve">2170563091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7.37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7.1</v>
      </c>
      <c r="BJ3086" s="2">
        <v>1.8</v>
      </c>
      <c r="BK3086" s="2">
        <v>8</v>
      </c>
      <c r="BL3086" s="2">
        <v>76.72</v>
      </c>
      <c r="BM3086" s="2">
        <v>10.74</v>
      </c>
      <c r="BN3086" s="2">
        <v>87.46</v>
      </c>
      <c r="BO3086" s="2">
        <v>87.46</v>
      </c>
      <c r="BP3086" s="2"/>
      <c r="BQ3086" s="2" t="s">
        <v>3219</v>
      </c>
      <c r="BR3086" s="2" t="s">
        <v>84</v>
      </c>
      <c r="BS3086" s="3">
        <v>42850</v>
      </c>
      <c r="BT3086" s="4">
        <v>0.45833333333333331</v>
      </c>
      <c r="BU3086" s="2" t="s">
        <v>3220</v>
      </c>
      <c r="BV3086" s="2" t="s">
        <v>111</v>
      </c>
      <c r="BW3086" s="2"/>
      <c r="BX3086" s="2"/>
      <c r="BY3086" s="2">
        <v>9062.35</v>
      </c>
      <c r="BZ3086" s="2"/>
      <c r="CA3086" s="2"/>
      <c r="CB3086" s="2"/>
      <c r="CC3086" s="2" t="s">
        <v>610</v>
      </c>
      <c r="CD3086" s="2">
        <v>1911</v>
      </c>
      <c r="CE3086" s="2" t="s">
        <v>89</v>
      </c>
      <c r="CF3086" s="5">
        <v>42851</v>
      </c>
      <c r="CG3086" s="2"/>
      <c r="CH3086" s="2"/>
      <c r="CI3086" s="2">
        <v>0</v>
      </c>
      <c r="CJ3086" s="2">
        <v>0</v>
      </c>
      <c r="CK3086" s="2" t="s">
        <v>150</v>
      </c>
      <c r="CL3086" s="2" t="s">
        <v>86</v>
      </c>
      <c r="CM3086" s="2"/>
    </row>
    <row r="3087" spans="1:91">
      <c r="A3087" s="2" t="s">
        <v>71</v>
      </c>
      <c r="B3087" s="2" t="s">
        <v>72</v>
      </c>
      <c r="C3087" s="2" t="s">
        <v>73</v>
      </c>
      <c r="D3087" s="2"/>
      <c r="E3087" s="2" t="str">
        <f>"FES1162545295"</f>
        <v>FES1162545295</v>
      </c>
      <c r="F3087" s="3">
        <v>42849</v>
      </c>
      <c r="G3087" s="2">
        <v>201710</v>
      </c>
      <c r="H3087" s="2" t="s">
        <v>74</v>
      </c>
      <c r="I3087" s="2" t="s">
        <v>75</v>
      </c>
      <c r="J3087" s="2" t="s">
        <v>76</v>
      </c>
      <c r="K3087" s="2" t="s">
        <v>77</v>
      </c>
      <c r="L3087" s="2" t="s">
        <v>231</v>
      </c>
      <c r="M3087" s="2" t="s">
        <v>232</v>
      </c>
      <c r="N3087" s="2" t="s">
        <v>3136</v>
      </c>
      <c r="O3087" s="2" t="s">
        <v>81</v>
      </c>
      <c r="P3087" s="2" t="str">
        <f>"2170560769                    "</f>
        <v xml:space="preserve">2170560769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10.1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22</v>
      </c>
      <c r="BJ3087" s="2">
        <v>7.4</v>
      </c>
      <c r="BK3087" s="2">
        <v>22</v>
      </c>
      <c r="BL3087" s="2">
        <v>103.29</v>
      </c>
      <c r="BM3087" s="2">
        <v>14.46</v>
      </c>
      <c r="BN3087" s="2">
        <v>117.75</v>
      </c>
      <c r="BO3087" s="2">
        <v>117.75</v>
      </c>
      <c r="BP3087" s="2"/>
      <c r="BQ3087" s="2" t="s">
        <v>3137</v>
      </c>
      <c r="BR3087" s="2" t="s">
        <v>84</v>
      </c>
      <c r="BS3087" s="3">
        <v>42850</v>
      </c>
      <c r="BT3087" s="4">
        <v>0.5</v>
      </c>
      <c r="BU3087" s="2" t="s">
        <v>3138</v>
      </c>
      <c r="BV3087" s="2"/>
      <c r="BW3087" s="2"/>
      <c r="BX3087" s="2"/>
      <c r="BY3087" s="2">
        <v>36960</v>
      </c>
      <c r="BZ3087" s="2"/>
      <c r="CA3087" s="2"/>
      <c r="CB3087" s="2"/>
      <c r="CC3087" s="2" t="s">
        <v>232</v>
      </c>
      <c r="CD3087" s="2">
        <v>216</v>
      </c>
      <c r="CE3087" s="2" t="s">
        <v>172</v>
      </c>
      <c r="CF3087" s="5">
        <v>42853</v>
      </c>
      <c r="CG3087" s="2"/>
      <c r="CH3087" s="2"/>
      <c r="CI3087" s="2">
        <v>0</v>
      </c>
      <c r="CJ3087" s="2">
        <v>0</v>
      </c>
      <c r="CK3087" s="2" t="s">
        <v>217</v>
      </c>
      <c r="CL3087" s="2" t="s">
        <v>86</v>
      </c>
      <c r="CM3087" s="2"/>
    </row>
    <row r="3088" spans="1:91">
      <c r="A3088" s="2" t="s">
        <v>71</v>
      </c>
      <c r="B3088" s="2" t="s">
        <v>72</v>
      </c>
      <c r="C3088" s="2" t="s">
        <v>73</v>
      </c>
      <c r="D3088" s="2"/>
      <c r="E3088" s="2" t="str">
        <f>"FES1162545144"</f>
        <v>FES1162545144</v>
      </c>
      <c r="F3088" s="3">
        <v>42849</v>
      </c>
      <c r="G3088" s="2">
        <v>201710</v>
      </c>
      <c r="H3088" s="2" t="s">
        <v>74</v>
      </c>
      <c r="I3088" s="2" t="s">
        <v>75</v>
      </c>
      <c r="J3088" s="2" t="s">
        <v>76</v>
      </c>
      <c r="K3088" s="2" t="s">
        <v>77</v>
      </c>
      <c r="L3088" s="2" t="s">
        <v>160</v>
      </c>
      <c r="M3088" s="2" t="s">
        <v>161</v>
      </c>
      <c r="N3088" s="2" t="s">
        <v>463</v>
      </c>
      <c r="O3088" s="2" t="s">
        <v>81</v>
      </c>
      <c r="P3088" s="2" t="str">
        <f>"2170563628                    "</f>
        <v xml:space="preserve">2170563628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8.7799999999999994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3</v>
      </c>
      <c r="BJ3088" s="2">
        <v>1.3</v>
      </c>
      <c r="BK3088" s="2">
        <v>3</v>
      </c>
      <c r="BL3088" s="2">
        <v>90.42</v>
      </c>
      <c r="BM3088" s="2">
        <v>12.66</v>
      </c>
      <c r="BN3088" s="2">
        <v>103.08</v>
      </c>
      <c r="BO3088" s="2">
        <v>103.08</v>
      </c>
      <c r="BP3088" s="2" t="s">
        <v>82</v>
      </c>
      <c r="BQ3088" s="2" t="s">
        <v>129</v>
      </c>
      <c r="BR3088" s="2" t="s">
        <v>84</v>
      </c>
      <c r="BS3088" s="3">
        <v>42850</v>
      </c>
      <c r="BT3088" s="4">
        <v>0.41666666666666669</v>
      </c>
      <c r="BU3088" s="2" t="s">
        <v>803</v>
      </c>
      <c r="BV3088" s="2" t="s">
        <v>111</v>
      </c>
      <c r="BW3088" s="2"/>
      <c r="BX3088" s="2"/>
      <c r="BY3088" s="2">
        <v>6716.46</v>
      </c>
      <c r="BZ3088" s="2"/>
      <c r="CA3088" s="2"/>
      <c r="CB3088" s="2"/>
      <c r="CC3088" s="2" t="s">
        <v>161</v>
      </c>
      <c r="CD3088" s="2">
        <v>5201</v>
      </c>
      <c r="CE3088" s="2" t="s">
        <v>89</v>
      </c>
      <c r="CF3088" s="5">
        <v>42853</v>
      </c>
      <c r="CG3088" s="2"/>
      <c r="CH3088" s="2"/>
      <c r="CI3088" s="2">
        <v>0</v>
      </c>
      <c r="CJ3088" s="2">
        <v>0</v>
      </c>
      <c r="CK3088" s="2" t="s">
        <v>2277</v>
      </c>
      <c r="CL3088" s="2" t="s">
        <v>86</v>
      </c>
      <c r="CM3088" s="2"/>
    </row>
    <row r="3089" spans="1:91">
      <c r="A3089" s="2" t="s">
        <v>71</v>
      </c>
      <c r="B3089" s="2" t="s">
        <v>72</v>
      </c>
      <c r="C3089" s="2" t="s">
        <v>73</v>
      </c>
      <c r="D3089" s="2"/>
      <c r="E3089" s="2" t="str">
        <f>"FES1162545346"</f>
        <v>FES1162545346</v>
      </c>
      <c r="F3089" s="3">
        <v>42849</v>
      </c>
      <c r="G3089" s="2">
        <v>201710</v>
      </c>
      <c r="H3089" s="2" t="s">
        <v>74</v>
      </c>
      <c r="I3089" s="2" t="s">
        <v>75</v>
      </c>
      <c r="J3089" s="2" t="s">
        <v>76</v>
      </c>
      <c r="K3089" s="2" t="s">
        <v>77</v>
      </c>
      <c r="L3089" s="2" t="s">
        <v>126</v>
      </c>
      <c r="M3089" s="2" t="s">
        <v>127</v>
      </c>
      <c r="N3089" s="2" t="s">
        <v>3221</v>
      </c>
      <c r="O3089" s="2" t="s">
        <v>81</v>
      </c>
      <c r="P3089" s="2" t="str">
        <f>"2170563832                    "</f>
        <v xml:space="preserve">2170563832 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10.45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11</v>
      </c>
      <c r="BJ3089" s="2">
        <v>8.5</v>
      </c>
      <c r="BK3089" s="2">
        <v>11</v>
      </c>
      <c r="BL3089" s="2">
        <v>106.71</v>
      </c>
      <c r="BM3089" s="2">
        <v>14.94</v>
      </c>
      <c r="BN3089" s="2">
        <v>121.65</v>
      </c>
      <c r="BO3089" s="2">
        <v>121.65</v>
      </c>
      <c r="BP3089" s="2" t="s">
        <v>82</v>
      </c>
      <c r="BQ3089" s="2" t="s">
        <v>1416</v>
      </c>
      <c r="BR3089" s="2" t="s">
        <v>84</v>
      </c>
      <c r="BS3089" s="3">
        <v>42853</v>
      </c>
      <c r="BT3089" s="4">
        <v>0.41666666666666669</v>
      </c>
      <c r="BU3089" s="2" t="s">
        <v>3222</v>
      </c>
      <c r="BV3089" s="2"/>
      <c r="BW3089" s="2"/>
      <c r="BX3089" s="2"/>
      <c r="BY3089" s="2">
        <v>42512.800000000003</v>
      </c>
      <c r="BZ3089" s="2"/>
      <c r="CA3089" s="2"/>
      <c r="CB3089" s="2"/>
      <c r="CC3089" s="2" t="s">
        <v>127</v>
      </c>
      <c r="CD3089" s="2">
        <v>6850</v>
      </c>
      <c r="CE3089" s="2" t="s">
        <v>89</v>
      </c>
      <c r="CF3089" s="2"/>
      <c r="CG3089" s="2"/>
      <c r="CH3089" s="2"/>
      <c r="CI3089" s="2">
        <v>0</v>
      </c>
      <c r="CJ3089" s="2">
        <v>0</v>
      </c>
      <c r="CK3089" s="2" t="s">
        <v>90</v>
      </c>
      <c r="CL3089" s="2" t="s">
        <v>86</v>
      </c>
      <c r="CM3089" s="2"/>
    </row>
    <row r="3090" spans="1:91">
      <c r="A3090" s="2" t="s">
        <v>71</v>
      </c>
      <c r="B3090" s="2" t="s">
        <v>72</v>
      </c>
      <c r="C3090" s="2" t="s">
        <v>73</v>
      </c>
      <c r="D3090" s="2"/>
      <c r="E3090" s="2" t="str">
        <f>"FES1162544797"</f>
        <v>FES1162544797</v>
      </c>
      <c r="F3090" s="3">
        <v>42846</v>
      </c>
      <c r="G3090" s="2">
        <v>201710</v>
      </c>
      <c r="H3090" s="2" t="s">
        <v>74</v>
      </c>
      <c r="I3090" s="2" t="s">
        <v>75</v>
      </c>
      <c r="J3090" s="2" t="s">
        <v>76</v>
      </c>
      <c r="K3090" s="2" t="s">
        <v>77</v>
      </c>
      <c r="L3090" s="2" t="s">
        <v>1073</v>
      </c>
      <c r="M3090" s="2" t="s">
        <v>1074</v>
      </c>
      <c r="N3090" s="2" t="s">
        <v>2275</v>
      </c>
      <c r="O3090" s="2" t="s">
        <v>115</v>
      </c>
      <c r="P3090" s="2" t="str">
        <f>"2170558772                    "</f>
        <v xml:space="preserve">2170558772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4.29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1</v>
      </c>
      <c r="BJ3090" s="2">
        <v>0.2</v>
      </c>
      <c r="BK3090" s="2">
        <v>1</v>
      </c>
      <c r="BL3090" s="2">
        <v>41.73</v>
      </c>
      <c r="BM3090" s="2">
        <v>5.84</v>
      </c>
      <c r="BN3090" s="2">
        <v>47.57</v>
      </c>
      <c r="BO3090" s="2">
        <v>47.57</v>
      </c>
      <c r="BP3090" s="2"/>
      <c r="BQ3090" s="2" t="s">
        <v>116</v>
      </c>
      <c r="BR3090" s="2" t="s">
        <v>84</v>
      </c>
      <c r="BS3090" s="3">
        <v>42850</v>
      </c>
      <c r="BT3090" s="4">
        <v>0.5</v>
      </c>
      <c r="BU3090" s="2" t="s">
        <v>844</v>
      </c>
      <c r="BV3090" s="2" t="s">
        <v>86</v>
      </c>
      <c r="BW3090" s="2"/>
      <c r="BX3090" s="2"/>
      <c r="BY3090" s="2">
        <v>1200</v>
      </c>
      <c r="BZ3090" s="2"/>
      <c r="CA3090" s="2"/>
      <c r="CB3090" s="2"/>
      <c r="CC3090" s="2" t="s">
        <v>1074</v>
      </c>
      <c r="CD3090" s="2">
        <v>1947</v>
      </c>
      <c r="CE3090" s="2" t="s">
        <v>118</v>
      </c>
      <c r="CF3090" s="5">
        <v>42851</v>
      </c>
      <c r="CG3090" s="2"/>
      <c r="CH3090" s="2"/>
      <c r="CI3090" s="2">
        <v>1</v>
      </c>
      <c r="CJ3090" s="2">
        <v>2</v>
      </c>
      <c r="CK3090" s="2">
        <v>21</v>
      </c>
      <c r="CL3090" s="2" t="s">
        <v>86</v>
      </c>
      <c r="CM3090" s="2"/>
    </row>
    <row r="3091" spans="1:91">
      <c r="A3091" s="2" t="s">
        <v>71</v>
      </c>
      <c r="B3091" s="2" t="s">
        <v>72</v>
      </c>
      <c r="C3091" s="2" t="s">
        <v>73</v>
      </c>
      <c r="D3091" s="2"/>
      <c r="E3091" s="2" t="str">
        <f>"FES1162545494"</f>
        <v>FES1162545494</v>
      </c>
      <c r="F3091" s="3">
        <v>42850</v>
      </c>
      <c r="G3091" s="2">
        <v>201710</v>
      </c>
      <c r="H3091" s="2" t="s">
        <v>74</v>
      </c>
      <c r="I3091" s="2" t="s">
        <v>75</v>
      </c>
      <c r="J3091" s="2" t="s">
        <v>76</v>
      </c>
      <c r="K3091" s="2" t="s">
        <v>77</v>
      </c>
      <c r="L3091" s="2" t="s">
        <v>126</v>
      </c>
      <c r="M3091" s="2" t="s">
        <v>127</v>
      </c>
      <c r="N3091" s="2" t="s">
        <v>3223</v>
      </c>
      <c r="O3091" s="2" t="s">
        <v>115</v>
      </c>
      <c r="P3091" s="2" t="str">
        <f>"2170564011                    "</f>
        <v xml:space="preserve">2170564011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4.29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1</v>
      </c>
      <c r="BJ3091" s="2">
        <v>0.2</v>
      </c>
      <c r="BK3091" s="2">
        <v>1</v>
      </c>
      <c r="BL3091" s="2">
        <v>41.73</v>
      </c>
      <c r="BM3091" s="2">
        <v>5.84</v>
      </c>
      <c r="BN3091" s="2">
        <v>47.57</v>
      </c>
      <c r="BO3091" s="2">
        <v>47.57</v>
      </c>
      <c r="BP3091" s="2"/>
      <c r="BQ3091" s="2" t="s">
        <v>129</v>
      </c>
      <c r="BR3091" s="2" t="s">
        <v>84</v>
      </c>
      <c r="BS3091" s="3">
        <v>42851</v>
      </c>
      <c r="BT3091" s="4">
        <v>0.4826388888888889</v>
      </c>
      <c r="BU3091" s="2" t="s">
        <v>130</v>
      </c>
      <c r="BV3091" s="2" t="s">
        <v>111</v>
      </c>
      <c r="BW3091" s="2"/>
      <c r="BX3091" s="2"/>
      <c r="BY3091" s="2">
        <v>1200</v>
      </c>
      <c r="BZ3091" s="2"/>
      <c r="CA3091" s="2"/>
      <c r="CB3091" s="2"/>
      <c r="CC3091" s="2" t="s">
        <v>127</v>
      </c>
      <c r="CD3091" s="2">
        <v>6850</v>
      </c>
      <c r="CE3091" s="2" t="s">
        <v>118</v>
      </c>
      <c r="CF3091" s="5">
        <v>42853</v>
      </c>
      <c r="CG3091" s="2"/>
      <c r="CH3091" s="2"/>
      <c r="CI3091" s="2">
        <v>3</v>
      </c>
      <c r="CJ3091" s="2">
        <v>1</v>
      </c>
      <c r="CK3091" s="2">
        <v>21</v>
      </c>
      <c r="CL3091" s="2" t="s">
        <v>86</v>
      </c>
      <c r="CM3091" s="2"/>
    </row>
    <row r="3092" spans="1:91">
      <c r="A3092" s="2" t="s">
        <v>71</v>
      </c>
      <c r="B3092" s="2" t="s">
        <v>72</v>
      </c>
      <c r="C3092" s="2" t="s">
        <v>73</v>
      </c>
      <c r="D3092" s="2"/>
      <c r="E3092" s="2" t="str">
        <f>"FES1162545059"</f>
        <v>FES1162545059</v>
      </c>
      <c r="F3092" s="3">
        <v>42849</v>
      </c>
      <c r="G3092" s="2">
        <v>201710</v>
      </c>
      <c r="H3092" s="2" t="s">
        <v>74</v>
      </c>
      <c r="I3092" s="2" t="s">
        <v>75</v>
      </c>
      <c r="J3092" s="2" t="s">
        <v>76</v>
      </c>
      <c r="K3092" s="2" t="s">
        <v>77</v>
      </c>
      <c r="L3092" s="2" t="s">
        <v>131</v>
      </c>
      <c r="M3092" s="2" t="s">
        <v>132</v>
      </c>
      <c r="N3092" s="2" t="s">
        <v>2701</v>
      </c>
      <c r="O3092" s="2" t="s">
        <v>115</v>
      </c>
      <c r="P3092" s="2" t="str">
        <f>"2170563506                    "</f>
        <v xml:space="preserve">2170563506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7.5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2.5</v>
      </c>
      <c r="BJ3092" s="2">
        <v>3.4</v>
      </c>
      <c r="BK3092" s="2">
        <v>3.5</v>
      </c>
      <c r="BL3092" s="2">
        <v>73.02</v>
      </c>
      <c r="BM3092" s="2">
        <v>10.220000000000001</v>
      </c>
      <c r="BN3092" s="2">
        <v>83.24</v>
      </c>
      <c r="BO3092" s="2">
        <v>83.24</v>
      </c>
      <c r="BP3092" s="2"/>
      <c r="BQ3092" s="2" t="s">
        <v>2702</v>
      </c>
      <c r="BR3092" s="2" t="s">
        <v>84</v>
      </c>
      <c r="BS3092" s="3">
        <v>42850</v>
      </c>
      <c r="BT3092" s="4">
        <v>0.40625</v>
      </c>
      <c r="BU3092" s="2" t="s">
        <v>3224</v>
      </c>
      <c r="BV3092" s="2" t="s">
        <v>111</v>
      </c>
      <c r="BW3092" s="2"/>
      <c r="BX3092" s="2"/>
      <c r="BY3092" s="2">
        <v>17149.439999999999</v>
      </c>
      <c r="BZ3092" s="2"/>
      <c r="CA3092" s="2"/>
      <c r="CB3092" s="2"/>
      <c r="CC3092" s="2" t="s">
        <v>132</v>
      </c>
      <c r="CD3092" s="2">
        <v>7405</v>
      </c>
      <c r="CE3092" s="2" t="s">
        <v>89</v>
      </c>
      <c r="CF3092" s="5">
        <v>42851</v>
      </c>
      <c r="CG3092" s="2"/>
      <c r="CH3092" s="2"/>
      <c r="CI3092" s="2">
        <v>1</v>
      </c>
      <c r="CJ3092" s="2">
        <v>1</v>
      </c>
      <c r="CK3092" s="2">
        <v>21</v>
      </c>
      <c r="CL3092" s="2" t="s">
        <v>86</v>
      </c>
      <c r="CM3092" s="2"/>
    </row>
    <row r="3093" spans="1:91">
      <c r="A3093" s="2" t="s">
        <v>71</v>
      </c>
      <c r="B3093" s="2" t="s">
        <v>72</v>
      </c>
      <c r="C3093" s="2" t="s">
        <v>73</v>
      </c>
      <c r="D3093" s="2"/>
      <c r="E3093" s="2" t="str">
        <f>"FES1162545160"</f>
        <v>FES1162545160</v>
      </c>
      <c r="F3093" s="3">
        <v>42849</v>
      </c>
      <c r="G3093" s="2">
        <v>201710</v>
      </c>
      <c r="H3093" s="2" t="s">
        <v>74</v>
      </c>
      <c r="I3093" s="2" t="s">
        <v>75</v>
      </c>
      <c r="J3093" s="2" t="s">
        <v>76</v>
      </c>
      <c r="K3093" s="2" t="s">
        <v>77</v>
      </c>
      <c r="L3093" s="2" t="s">
        <v>126</v>
      </c>
      <c r="M3093" s="2" t="s">
        <v>127</v>
      </c>
      <c r="N3093" s="2" t="s">
        <v>718</v>
      </c>
      <c r="O3093" s="2" t="s">
        <v>115</v>
      </c>
      <c r="P3093" s="2" t="str">
        <f>"2170563643                    "</f>
        <v xml:space="preserve">2170563643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4.29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1.3</v>
      </c>
      <c r="BJ3093" s="2">
        <v>1.1000000000000001</v>
      </c>
      <c r="BK3093" s="2">
        <v>1.5</v>
      </c>
      <c r="BL3093" s="2">
        <v>41.73</v>
      </c>
      <c r="BM3093" s="2">
        <v>5.84</v>
      </c>
      <c r="BN3093" s="2">
        <v>47.57</v>
      </c>
      <c r="BO3093" s="2">
        <v>47.57</v>
      </c>
      <c r="BP3093" s="2"/>
      <c r="BQ3093" s="2" t="s">
        <v>719</v>
      </c>
      <c r="BR3093" s="2" t="s">
        <v>84</v>
      </c>
      <c r="BS3093" s="3">
        <v>42850</v>
      </c>
      <c r="BT3093" s="4">
        <v>0.4236111111111111</v>
      </c>
      <c r="BU3093" s="2" t="s">
        <v>3225</v>
      </c>
      <c r="BV3093" s="2" t="s">
        <v>111</v>
      </c>
      <c r="BW3093" s="2"/>
      <c r="BX3093" s="2"/>
      <c r="BY3093" s="2">
        <v>5702.4</v>
      </c>
      <c r="BZ3093" s="2"/>
      <c r="CA3093" s="2" t="s">
        <v>159</v>
      </c>
      <c r="CB3093" s="2"/>
      <c r="CC3093" s="2" t="s">
        <v>127</v>
      </c>
      <c r="CD3093" s="2">
        <v>6850</v>
      </c>
      <c r="CE3093" s="2" t="s">
        <v>89</v>
      </c>
      <c r="CF3093" s="5">
        <v>42851</v>
      </c>
      <c r="CG3093" s="2"/>
      <c r="CH3093" s="2"/>
      <c r="CI3093" s="2">
        <v>3</v>
      </c>
      <c r="CJ3093" s="2">
        <v>1</v>
      </c>
      <c r="CK3093" s="2">
        <v>21</v>
      </c>
      <c r="CL3093" s="2" t="s">
        <v>86</v>
      </c>
      <c r="CM3093" s="2"/>
    </row>
    <row r="3094" spans="1:91">
      <c r="A3094" s="2" t="s">
        <v>71</v>
      </c>
      <c r="B3094" s="2" t="s">
        <v>72</v>
      </c>
      <c r="C3094" s="2" t="s">
        <v>73</v>
      </c>
      <c r="D3094" s="2"/>
      <c r="E3094" s="2" t="str">
        <f>"FES1162545344"</f>
        <v>FES1162545344</v>
      </c>
      <c r="F3094" s="3">
        <v>42849</v>
      </c>
      <c r="G3094" s="2">
        <v>201710</v>
      </c>
      <c r="H3094" s="2" t="s">
        <v>74</v>
      </c>
      <c r="I3094" s="2" t="s">
        <v>75</v>
      </c>
      <c r="J3094" s="2" t="s">
        <v>76</v>
      </c>
      <c r="K3094" s="2" t="s">
        <v>77</v>
      </c>
      <c r="L3094" s="2" t="s">
        <v>131</v>
      </c>
      <c r="M3094" s="2" t="s">
        <v>132</v>
      </c>
      <c r="N3094" s="2" t="s">
        <v>1439</v>
      </c>
      <c r="O3094" s="2" t="s">
        <v>115</v>
      </c>
      <c r="P3094" s="2" t="str">
        <f>"2170563542                    "</f>
        <v xml:space="preserve">2170563542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8.57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1.3</v>
      </c>
      <c r="BJ3094" s="2">
        <v>4</v>
      </c>
      <c r="BK3094" s="2">
        <v>4</v>
      </c>
      <c r="BL3094" s="2">
        <v>83.45</v>
      </c>
      <c r="BM3094" s="2">
        <v>11.68</v>
      </c>
      <c r="BN3094" s="2">
        <v>95.13</v>
      </c>
      <c r="BO3094" s="2">
        <v>95.13</v>
      </c>
      <c r="BP3094" s="2"/>
      <c r="BQ3094" s="2" t="s">
        <v>1440</v>
      </c>
      <c r="BR3094" s="2" t="s">
        <v>84</v>
      </c>
      <c r="BS3094" s="3">
        <v>42850</v>
      </c>
      <c r="BT3094" s="4">
        <v>0.42291666666666666</v>
      </c>
      <c r="BU3094" s="2" t="s">
        <v>3111</v>
      </c>
      <c r="BV3094" s="2" t="s">
        <v>111</v>
      </c>
      <c r="BW3094" s="2"/>
      <c r="BX3094" s="2"/>
      <c r="BY3094" s="2">
        <v>20234.759999999998</v>
      </c>
      <c r="BZ3094" s="2"/>
      <c r="CA3094" s="2" t="s">
        <v>3008</v>
      </c>
      <c r="CB3094" s="2"/>
      <c r="CC3094" s="2" t="s">
        <v>132</v>
      </c>
      <c r="CD3094" s="2">
        <v>7490</v>
      </c>
      <c r="CE3094" s="2" t="s">
        <v>118</v>
      </c>
      <c r="CF3094" s="5">
        <v>42850</v>
      </c>
      <c r="CG3094" s="2"/>
      <c r="CH3094" s="2"/>
      <c r="CI3094" s="2">
        <v>1</v>
      </c>
      <c r="CJ3094" s="2">
        <v>1</v>
      </c>
      <c r="CK3094" s="2">
        <v>21</v>
      </c>
      <c r="CL3094" s="2" t="s">
        <v>86</v>
      </c>
      <c r="CM3094" s="2"/>
    </row>
    <row r="3095" spans="1:91">
      <c r="A3095" s="2" t="s">
        <v>71</v>
      </c>
      <c r="B3095" s="2" t="s">
        <v>72</v>
      </c>
      <c r="C3095" s="2" t="s">
        <v>73</v>
      </c>
      <c r="D3095" s="2"/>
      <c r="E3095" s="2" t="str">
        <f>"FES1162545331"</f>
        <v>FES1162545331</v>
      </c>
      <c r="F3095" s="3">
        <v>42849</v>
      </c>
      <c r="G3095" s="2">
        <v>201710</v>
      </c>
      <c r="H3095" s="2" t="s">
        <v>74</v>
      </c>
      <c r="I3095" s="2" t="s">
        <v>75</v>
      </c>
      <c r="J3095" s="2" t="s">
        <v>76</v>
      </c>
      <c r="K3095" s="2" t="s">
        <v>77</v>
      </c>
      <c r="L3095" s="2" t="s">
        <v>131</v>
      </c>
      <c r="M3095" s="2" t="s">
        <v>132</v>
      </c>
      <c r="N3095" s="2" t="s">
        <v>744</v>
      </c>
      <c r="O3095" s="2" t="s">
        <v>115</v>
      </c>
      <c r="P3095" s="2" t="str">
        <f>"2170563821                    "</f>
        <v xml:space="preserve">2170563821 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4.29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0.9</v>
      </c>
      <c r="BJ3095" s="2">
        <v>1.4</v>
      </c>
      <c r="BK3095" s="2">
        <v>1.5</v>
      </c>
      <c r="BL3095" s="2">
        <v>41.73</v>
      </c>
      <c r="BM3095" s="2">
        <v>5.84</v>
      </c>
      <c r="BN3095" s="2">
        <v>47.57</v>
      </c>
      <c r="BO3095" s="2">
        <v>47.57</v>
      </c>
      <c r="BP3095" s="2"/>
      <c r="BQ3095" s="2" t="s">
        <v>138</v>
      </c>
      <c r="BR3095" s="2" t="s">
        <v>84</v>
      </c>
      <c r="BS3095" s="3">
        <v>42850</v>
      </c>
      <c r="BT3095" s="4">
        <v>0.39583333333333331</v>
      </c>
      <c r="BU3095" s="2" t="s">
        <v>3226</v>
      </c>
      <c r="BV3095" s="2" t="s">
        <v>111</v>
      </c>
      <c r="BW3095" s="2"/>
      <c r="BX3095" s="2"/>
      <c r="BY3095" s="2">
        <v>7033.53</v>
      </c>
      <c r="BZ3095" s="2"/>
      <c r="CA3095" s="2"/>
      <c r="CB3095" s="2"/>
      <c r="CC3095" s="2" t="s">
        <v>132</v>
      </c>
      <c r="CD3095" s="2">
        <v>7405</v>
      </c>
      <c r="CE3095" s="2" t="s">
        <v>118</v>
      </c>
      <c r="CF3095" s="5">
        <v>42851</v>
      </c>
      <c r="CG3095" s="2"/>
      <c r="CH3095" s="2"/>
      <c r="CI3095" s="2">
        <v>1</v>
      </c>
      <c r="CJ3095" s="2">
        <v>1</v>
      </c>
      <c r="CK3095" s="2">
        <v>21</v>
      </c>
      <c r="CL3095" s="2" t="s">
        <v>86</v>
      </c>
      <c r="CM3095" s="2"/>
    </row>
    <row r="3096" spans="1:91">
      <c r="A3096" s="2" t="s">
        <v>71</v>
      </c>
      <c r="B3096" s="2" t="s">
        <v>72</v>
      </c>
      <c r="C3096" s="2" t="s">
        <v>73</v>
      </c>
      <c r="D3096" s="2"/>
      <c r="E3096" s="2" t="str">
        <f>"FES1162545307"</f>
        <v>FES1162545307</v>
      </c>
      <c r="F3096" s="3">
        <v>42849</v>
      </c>
      <c r="G3096" s="2">
        <v>201710</v>
      </c>
      <c r="H3096" s="2" t="s">
        <v>74</v>
      </c>
      <c r="I3096" s="2" t="s">
        <v>75</v>
      </c>
      <c r="J3096" s="2" t="s">
        <v>76</v>
      </c>
      <c r="K3096" s="2" t="s">
        <v>77</v>
      </c>
      <c r="L3096" s="2" t="s">
        <v>131</v>
      </c>
      <c r="M3096" s="2" t="s">
        <v>132</v>
      </c>
      <c r="N3096" s="2" t="s">
        <v>155</v>
      </c>
      <c r="O3096" s="2" t="s">
        <v>115</v>
      </c>
      <c r="P3096" s="2" t="str">
        <f>"2170563783                    "</f>
        <v xml:space="preserve">2170563783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18.22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5.8</v>
      </c>
      <c r="BJ3096" s="2">
        <v>8.4</v>
      </c>
      <c r="BK3096" s="2">
        <v>8.5</v>
      </c>
      <c r="BL3096" s="2">
        <v>177.34</v>
      </c>
      <c r="BM3096" s="2">
        <v>24.83</v>
      </c>
      <c r="BN3096" s="2">
        <v>202.17</v>
      </c>
      <c r="BO3096" s="2">
        <v>202.17</v>
      </c>
      <c r="BP3096" s="2"/>
      <c r="BQ3096" s="2" t="s">
        <v>116</v>
      </c>
      <c r="BR3096" s="2" t="s">
        <v>84</v>
      </c>
      <c r="BS3096" s="3">
        <v>42850</v>
      </c>
      <c r="BT3096" s="4">
        <v>0.41666666666666669</v>
      </c>
      <c r="BU3096" s="2" t="s">
        <v>3103</v>
      </c>
      <c r="BV3096" s="2" t="s">
        <v>111</v>
      </c>
      <c r="BW3096" s="2"/>
      <c r="BX3096" s="2"/>
      <c r="BY3096" s="2">
        <v>41984</v>
      </c>
      <c r="BZ3096" s="2"/>
      <c r="CA3096" s="2"/>
      <c r="CB3096" s="2"/>
      <c r="CC3096" s="2" t="s">
        <v>132</v>
      </c>
      <c r="CD3096" s="2">
        <v>7441</v>
      </c>
      <c r="CE3096" s="2" t="s">
        <v>172</v>
      </c>
      <c r="CF3096" s="5">
        <v>42851</v>
      </c>
      <c r="CG3096" s="2"/>
      <c r="CH3096" s="2"/>
      <c r="CI3096" s="2">
        <v>1</v>
      </c>
      <c r="CJ3096" s="2">
        <v>1</v>
      </c>
      <c r="CK3096" s="2">
        <v>21</v>
      </c>
      <c r="CL3096" s="2" t="s">
        <v>86</v>
      </c>
      <c r="CM3096" s="2"/>
    </row>
    <row r="3097" spans="1:91">
      <c r="A3097" s="2" t="s">
        <v>71</v>
      </c>
      <c r="B3097" s="2" t="s">
        <v>72</v>
      </c>
      <c r="C3097" s="2" t="s">
        <v>73</v>
      </c>
      <c r="D3097" s="2"/>
      <c r="E3097" s="2" t="str">
        <f>"FES1162545287"</f>
        <v>FES1162545287</v>
      </c>
      <c r="F3097" s="3">
        <v>42849</v>
      </c>
      <c r="G3097" s="2">
        <v>201710</v>
      </c>
      <c r="H3097" s="2" t="s">
        <v>74</v>
      </c>
      <c r="I3097" s="2" t="s">
        <v>75</v>
      </c>
      <c r="J3097" s="2" t="s">
        <v>76</v>
      </c>
      <c r="K3097" s="2" t="s">
        <v>77</v>
      </c>
      <c r="L3097" s="2" t="s">
        <v>131</v>
      </c>
      <c r="M3097" s="2" t="s">
        <v>132</v>
      </c>
      <c r="N3097" s="2" t="s">
        <v>1084</v>
      </c>
      <c r="O3097" s="2" t="s">
        <v>115</v>
      </c>
      <c r="P3097" s="2" t="str">
        <f>"2170559482                    "</f>
        <v xml:space="preserve">2170559482 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19.29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9</v>
      </c>
      <c r="BJ3097" s="2">
        <v>8.8000000000000007</v>
      </c>
      <c r="BK3097" s="2">
        <v>9</v>
      </c>
      <c r="BL3097" s="2">
        <v>187.77</v>
      </c>
      <c r="BM3097" s="2">
        <v>26.29</v>
      </c>
      <c r="BN3097" s="2">
        <v>214.06</v>
      </c>
      <c r="BO3097" s="2">
        <v>214.06</v>
      </c>
      <c r="BP3097" s="2"/>
      <c r="BQ3097" s="2" t="s">
        <v>1085</v>
      </c>
      <c r="BR3097" s="2" t="s">
        <v>84</v>
      </c>
      <c r="BS3097" s="3">
        <v>42850</v>
      </c>
      <c r="BT3097" s="4">
        <v>0.41666666666666669</v>
      </c>
      <c r="BU3097" s="2" t="s">
        <v>3227</v>
      </c>
      <c r="BV3097" s="2" t="s">
        <v>111</v>
      </c>
      <c r="BW3097" s="2"/>
      <c r="BX3097" s="2"/>
      <c r="BY3097" s="2">
        <v>44132</v>
      </c>
      <c r="BZ3097" s="2"/>
      <c r="CA3097" s="2"/>
      <c r="CB3097" s="2"/>
      <c r="CC3097" s="2" t="s">
        <v>132</v>
      </c>
      <c r="CD3097" s="2">
        <v>7441</v>
      </c>
      <c r="CE3097" s="2" t="s">
        <v>172</v>
      </c>
      <c r="CF3097" s="5">
        <v>42851</v>
      </c>
      <c r="CG3097" s="2"/>
      <c r="CH3097" s="2"/>
      <c r="CI3097" s="2">
        <v>1</v>
      </c>
      <c r="CJ3097" s="2">
        <v>1</v>
      </c>
      <c r="CK3097" s="2">
        <v>21</v>
      </c>
      <c r="CL3097" s="2" t="s">
        <v>86</v>
      </c>
      <c r="CM3097" s="2"/>
    </row>
    <row r="3098" spans="1:91">
      <c r="A3098" s="2" t="s">
        <v>71</v>
      </c>
      <c r="B3098" s="2" t="s">
        <v>72</v>
      </c>
      <c r="C3098" s="2" t="s">
        <v>73</v>
      </c>
      <c r="D3098" s="2"/>
      <c r="E3098" s="2" t="str">
        <f>"FES1162545119"</f>
        <v>FES1162545119</v>
      </c>
      <c r="F3098" s="3">
        <v>42849</v>
      </c>
      <c r="G3098" s="2">
        <v>201710</v>
      </c>
      <c r="H3098" s="2" t="s">
        <v>74</v>
      </c>
      <c r="I3098" s="2" t="s">
        <v>75</v>
      </c>
      <c r="J3098" s="2" t="s">
        <v>76</v>
      </c>
      <c r="K3098" s="2" t="s">
        <v>77</v>
      </c>
      <c r="L3098" s="2" t="s">
        <v>176</v>
      </c>
      <c r="M3098" s="2" t="s">
        <v>176</v>
      </c>
      <c r="N3098" s="2" t="s">
        <v>3228</v>
      </c>
      <c r="O3098" s="2" t="s">
        <v>115</v>
      </c>
      <c r="P3098" s="2" t="str">
        <f>"2170563228                    "</f>
        <v xml:space="preserve">2170563228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4.29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1.6</v>
      </c>
      <c r="BJ3098" s="2">
        <v>1</v>
      </c>
      <c r="BK3098" s="2">
        <v>2</v>
      </c>
      <c r="BL3098" s="2">
        <v>41.73</v>
      </c>
      <c r="BM3098" s="2">
        <v>5.84</v>
      </c>
      <c r="BN3098" s="2">
        <v>47.57</v>
      </c>
      <c r="BO3098" s="2">
        <v>47.57</v>
      </c>
      <c r="BP3098" s="2"/>
      <c r="BQ3098" s="2" t="s">
        <v>116</v>
      </c>
      <c r="BR3098" s="2" t="s">
        <v>84</v>
      </c>
      <c r="BS3098" s="3">
        <v>42850</v>
      </c>
      <c r="BT3098" s="4">
        <v>0.38194444444444442</v>
      </c>
      <c r="BU3098" s="2" t="s">
        <v>837</v>
      </c>
      <c r="BV3098" s="2" t="s">
        <v>111</v>
      </c>
      <c r="BW3098" s="2"/>
      <c r="BX3098" s="2"/>
      <c r="BY3098" s="2">
        <v>4952.7700000000004</v>
      </c>
      <c r="BZ3098" s="2"/>
      <c r="CA3098" s="2"/>
      <c r="CB3098" s="2"/>
      <c r="CC3098" s="2" t="s">
        <v>176</v>
      </c>
      <c r="CD3098" s="2">
        <v>7646</v>
      </c>
      <c r="CE3098" s="2" t="s">
        <v>89</v>
      </c>
      <c r="CF3098" s="5">
        <v>42851</v>
      </c>
      <c r="CG3098" s="2"/>
      <c r="CH3098" s="2"/>
      <c r="CI3098" s="2">
        <v>1</v>
      </c>
      <c r="CJ3098" s="2">
        <v>1</v>
      </c>
      <c r="CK3098" s="2">
        <v>21</v>
      </c>
      <c r="CL3098" s="2" t="s">
        <v>86</v>
      </c>
      <c r="CM3098" s="2"/>
    </row>
    <row r="3099" spans="1:91">
      <c r="A3099" s="2" t="s">
        <v>71</v>
      </c>
      <c r="B3099" s="2" t="s">
        <v>72</v>
      </c>
      <c r="C3099" s="2" t="s">
        <v>73</v>
      </c>
      <c r="D3099" s="2"/>
      <c r="E3099" s="2" t="str">
        <f>"FES1162545166"</f>
        <v>FES1162545166</v>
      </c>
      <c r="F3099" s="3">
        <v>42849</v>
      </c>
      <c r="G3099" s="2">
        <v>201710</v>
      </c>
      <c r="H3099" s="2" t="s">
        <v>74</v>
      </c>
      <c r="I3099" s="2" t="s">
        <v>75</v>
      </c>
      <c r="J3099" s="2" t="s">
        <v>76</v>
      </c>
      <c r="K3099" s="2" t="s">
        <v>77</v>
      </c>
      <c r="L3099" s="2" t="s">
        <v>443</v>
      </c>
      <c r="M3099" s="2" t="s">
        <v>444</v>
      </c>
      <c r="N3099" s="2" t="s">
        <v>445</v>
      </c>
      <c r="O3099" s="2" t="s">
        <v>115</v>
      </c>
      <c r="P3099" s="2" t="str">
        <f>"2170563650                    "</f>
        <v xml:space="preserve">2170563650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4.29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1.8</v>
      </c>
      <c r="BJ3099" s="2">
        <v>1</v>
      </c>
      <c r="BK3099" s="2">
        <v>2</v>
      </c>
      <c r="BL3099" s="2">
        <v>41.73</v>
      </c>
      <c r="BM3099" s="2">
        <v>5.84</v>
      </c>
      <c r="BN3099" s="2">
        <v>47.57</v>
      </c>
      <c r="BO3099" s="2">
        <v>47.57</v>
      </c>
      <c r="BP3099" s="2"/>
      <c r="BQ3099" s="2" t="s">
        <v>129</v>
      </c>
      <c r="BR3099" s="2" t="s">
        <v>84</v>
      </c>
      <c r="BS3099" s="3">
        <v>42850</v>
      </c>
      <c r="BT3099" s="4">
        <v>0.41666666666666669</v>
      </c>
      <c r="BU3099" s="2" t="s">
        <v>3229</v>
      </c>
      <c r="BV3099" s="2" t="s">
        <v>111</v>
      </c>
      <c r="BW3099" s="2"/>
      <c r="BX3099" s="2"/>
      <c r="BY3099" s="2">
        <v>5050.37</v>
      </c>
      <c r="BZ3099" s="2"/>
      <c r="CA3099" s="2"/>
      <c r="CB3099" s="2"/>
      <c r="CC3099" s="2" t="s">
        <v>444</v>
      </c>
      <c r="CD3099" s="2">
        <v>7130</v>
      </c>
      <c r="CE3099" s="2" t="s">
        <v>89</v>
      </c>
      <c r="CF3099" s="5">
        <v>42851</v>
      </c>
      <c r="CG3099" s="2"/>
      <c r="CH3099" s="2"/>
      <c r="CI3099" s="2">
        <v>1</v>
      </c>
      <c r="CJ3099" s="2">
        <v>1</v>
      </c>
      <c r="CK3099" s="2">
        <v>21</v>
      </c>
      <c r="CL3099" s="2" t="s">
        <v>86</v>
      </c>
      <c r="CM3099" s="2"/>
    </row>
    <row r="3100" spans="1:91">
      <c r="A3100" s="2" t="s">
        <v>71</v>
      </c>
      <c r="B3100" s="2" t="s">
        <v>72</v>
      </c>
      <c r="C3100" s="2" t="s">
        <v>73</v>
      </c>
      <c r="D3100" s="2"/>
      <c r="E3100" s="2" t="str">
        <f>"FES1162545268"</f>
        <v>FES1162545268</v>
      </c>
      <c r="F3100" s="3">
        <v>42849</v>
      </c>
      <c r="G3100" s="2">
        <v>201710</v>
      </c>
      <c r="H3100" s="2" t="s">
        <v>74</v>
      </c>
      <c r="I3100" s="2" t="s">
        <v>75</v>
      </c>
      <c r="J3100" s="2" t="s">
        <v>76</v>
      </c>
      <c r="K3100" s="2" t="s">
        <v>77</v>
      </c>
      <c r="L3100" s="2" t="s">
        <v>131</v>
      </c>
      <c r="M3100" s="2" t="s">
        <v>132</v>
      </c>
      <c r="N3100" s="2" t="s">
        <v>1925</v>
      </c>
      <c r="O3100" s="2" t="s">
        <v>115</v>
      </c>
      <c r="P3100" s="2" t="str">
        <f>"2170563752                    "</f>
        <v xml:space="preserve">2170563752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6.43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1.8</v>
      </c>
      <c r="BJ3100" s="2">
        <v>2.9</v>
      </c>
      <c r="BK3100" s="2">
        <v>3</v>
      </c>
      <c r="BL3100" s="2">
        <v>62.59</v>
      </c>
      <c r="BM3100" s="2">
        <v>8.76</v>
      </c>
      <c r="BN3100" s="2">
        <v>71.349999999999994</v>
      </c>
      <c r="BO3100" s="2">
        <v>71.349999999999994</v>
      </c>
      <c r="BP3100" s="2"/>
      <c r="BQ3100" s="2" t="s">
        <v>1926</v>
      </c>
      <c r="BR3100" s="2" t="s">
        <v>84</v>
      </c>
      <c r="BS3100" s="3">
        <v>42850</v>
      </c>
      <c r="BT3100" s="4">
        <v>0.39583333333333331</v>
      </c>
      <c r="BU3100" s="2" t="s">
        <v>1927</v>
      </c>
      <c r="BV3100" s="2" t="s">
        <v>111</v>
      </c>
      <c r="BW3100" s="2"/>
      <c r="BX3100" s="2"/>
      <c r="BY3100" s="2">
        <v>14364.11</v>
      </c>
      <c r="BZ3100" s="2"/>
      <c r="CA3100" s="2"/>
      <c r="CB3100" s="2"/>
      <c r="CC3100" s="2" t="s">
        <v>132</v>
      </c>
      <c r="CD3100" s="2">
        <v>7530</v>
      </c>
      <c r="CE3100" s="2" t="s">
        <v>89</v>
      </c>
      <c r="CF3100" s="5">
        <v>42851</v>
      </c>
      <c r="CG3100" s="2"/>
      <c r="CH3100" s="2"/>
      <c r="CI3100" s="2">
        <v>1</v>
      </c>
      <c r="CJ3100" s="2">
        <v>1</v>
      </c>
      <c r="CK3100" s="2">
        <v>21</v>
      </c>
      <c r="CL3100" s="2" t="s">
        <v>86</v>
      </c>
      <c r="CM3100" s="2"/>
    </row>
    <row r="3101" spans="1:91">
      <c r="A3101" s="2" t="s">
        <v>71</v>
      </c>
      <c r="B3101" s="2" t="s">
        <v>72</v>
      </c>
      <c r="C3101" s="2" t="s">
        <v>73</v>
      </c>
      <c r="D3101" s="2"/>
      <c r="E3101" s="2" t="str">
        <f>"FES1162545294"</f>
        <v>FES1162545294</v>
      </c>
      <c r="F3101" s="3">
        <v>42849</v>
      </c>
      <c r="G3101" s="2">
        <v>201710</v>
      </c>
      <c r="H3101" s="2" t="s">
        <v>74</v>
      </c>
      <c r="I3101" s="2" t="s">
        <v>75</v>
      </c>
      <c r="J3101" s="2" t="s">
        <v>76</v>
      </c>
      <c r="K3101" s="2" t="s">
        <v>77</v>
      </c>
      <c r="L3101" s="2" t="s">
        <v>131</v>
      </c>
      <c r="M3101" s="2" t="s">
        <v>132</v>
      </c>
      <c r="N3101" s="2" t="s">
        <v>858</v>
      </c>
      <c r="O3101" s="2" t="s">
        <v>115</v>
      </c>
      <c r="P3101" s="2" t="str">
        <f>"2170560017                    "</f>
        <v xml:space="preserve">2170560017 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15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2</v>
      </c>
      <c r="BI3101" s="2">
        <v>5.6</v>
      </c>
      <c r="BJ3101" s="2">
        <v>6.8</v>
      </c>
      <c r="BK3101" s="2">
        <v>7</v>
      </c>
      <c r="BL3101" s="2">
        <v>146.04</v>
      </c>
      <c r="BM3101" s="2">
        <v>20.45</v>
      </c>
      <c r="BN3101" s="2">
        <v>166.49</v>
      </c>
      <c r="BO3101" s="2">
        <v>166.49</v>
      </c>
      <c r="BP3101" s="2"/>
      <c r="BQ3101" s="2" t="s">
        <v>617</v>
      </c>
      <c r="BR3101" s="2" t="s">
        <v>84</v>
      </c>
      <c r="BS3101" s="3">
        <v>42850</v>
      </c>
      <c r="BT3101" s="4">
        <v>0.45833333333333331</v>
      </c>
      <c r="BU3101" s="2" t="s">
        <v>2204</v>
      </c>
      <c r="BV3101" s="2" t="s">
        <v>86</v>
      </c>
      <c r="BW3101" s="2" t="s">
        <v>157</v>
      </c>
      <c r="BX3101" s="2" t="s">
        <v>1537</v>
      </c>
      <c r="BY3101" s="2">
        <v>33978.47</v>
      </c>
      <c r="BZ3101" s="2"/>
      <c r="CA3101" s="2"/>
      <c r="CB3101" s="2"/>
      <c r="CC3101" s="2" t="s">
        <v>132</v>
      </c>
      <c r="CD3101" s="2">
        <v>7580</v>
      </c>
      <c r="CE3101" s="2" t="s">
        <v>172</v>
      </c>
      <c r="CF3101" s="5">
        <v>42851</v>
      </c>
      <c r="CG3101" s="2"/>
      <c r="CH3101" s="2"/>
      <c r="CI3101" s="2">
        <v>1</v>
      </c>
      <c r="CJ3101" s="2">
        <v>1</v>
      </c>
      <c r="CK3101" s="2">
        <v>21</v>
      </c>
      <c r="CL3101" s="2" t="s">
        <v>86</v>
      </c>
      <c r="CM3101" s="2"/>
    </row>
    <row r="3102" spans="1:91">
      <c r="A3102" s="2" t="s">
        <v>71</v>
      </c>
      <c r="B3102" s="2" t="s">
        <v>72</v>
      </c>
      <c r="C3102" s="2" t="s">
        <v>73</v>
      </c>
      <c r="D3102" s="2"/>
      <c r="E3102" s="2" t="str">
        <f>"FES1162545098"</f>
        <v>FES1162545098</v>
      </c>
      <c r="F3102" s="3">
        <v>42849</v>
      </c>
      <c r="G3102" s="2">
        <v>201710</v>
      </c>
      <c r="H3102" s="2" t="s">
        <v>74</v>
      </c>
      <c r="I3102" s="2" t="s">
        <v>75</v>
      </c>
      <c r="J3102" s="2" t="s">
        <v>76</v>
      </c>
      <c r="K3102" s="2" t="s">
        <v>77</v>
      </c>
      <c r="L3102" s="2" t="s">
        <v>131</v>
      </c>
      <c r="M3102" s="2" t="s">
        <v>132</v>
      </c>
      <c r="N3102" s="2" t="s">
        <v>3230</v>
      </c>
      <c r="O3102" s="2" t="s">
        <v>115</v>
      </c>
      <c r="P3102" s="2" t="str">
        <f>"2170561449                    "</f>
        <v xml:space="preserve">2170561449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7.5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3.2</v>
      </c>
      <c r="BJ3102" s="2">
        <v>3.3</v>
      </c>
      <c r="BK3102" s="2">
        <v>3.5</v>
      </c>
      <c r="BL3102" s="2">
        <v>73.02</v>
      </c>
      <c r="BM3102" s="2">
        <v>10.220000000000001</v>
      </c>
      <c r="BN3102" s="2">
        <v>83.24</v>
      </c>
      <c r="BO3102" s="2">
        <v>83.24</v>
      </c>
      <c r="BP3102" s="2"/>
      <c r="BQ3102" s="2" t="s">
        <v>122</v>
      </c>
      <c r="BR3102" s="2" t="s">
        <v>84</v>
      </c>
      <c r="BS3102" s="1" t="s">
        <v>1744</v>
      </c>
      <c r="BT3102" s="2"/>
      <c r="BU3102" s="2"/>
      <c r="BV3102" s="2"/>
      <c r="BW3102" s="2"/>
      <c r="BX3102" s="2"/>
      <c r="BY3102" s="2">
        <v>16625.41</v>
      </c>
      <c r="BZ3102" s="2"/>
      <c r="CA3102" s="2"/>
      <c r="CB3102" s="2"/>
      <c r="CC3102" s="2" t="s">
        <v>132</v>
      </c>
      <c r="CD3102" s="2">
        <v>7530</v>
      </c>
      <c r="CE3102" s="2" t="s">
        <v>89</v>
      </c>
      <c r="CF3102" s="2"/>
      <c r="CG3102" s="2"/>
      <c r="CH3102" s="2"/>
      <c r="CI3102" s="2">
        <v>1</v>
      </c>
      <c r="CJ3102" s="2" t="s">
        <v>1744</v>
      </c>
      <c r="CK3102" s="2">
        <v>21</v>
      </c>
      <c r="CL3102" s="2" t="s">
        <v>86</v>
      </c>
      <c r="CM3102" s="2"/>
    </row>
    <row r="3103" spans="1:91">
      <c r="A3103" s="2" t="s">
        <v>71</v>
      </c>
      <c r="B3103" s="2" t="s">
        <v>72</v>
      </c>
      <c r="C3103" s="2" t="s">
        <v>73</v>
      </c>
      <c r="D3103" s="2"/>
      <c r="E3103" s="2" t="str">
        <f>"FES1162545439"</f>
        <v>FES1162545439</v>
      </c>
      <c r="F3103" s="3">
        <v>42850</v>
      </c>
      <c r="G3103" s="2">
        <v>201710</v>
      </c>
      <c r="H3103" s="2" t="s">
        <v>74</v>
      </c>
      <c r="I3103" s="2" t="s">
        <v>75</v>
      </c>
      <c r="J3103" s="2" t="s">
        <v>76</v>
      </c>
      <c r="K3103" s="2" t="s">
        <v>77</v>
      </c>
      <c r="L3103" s="2" t="s">
        <v>139</v>
      </c>
      <c r="M3103" s="2" t="s">
        <v>140</v>
      </c>
      <c r="N3103" s="2" t="s">
        <v>141</v>
      </c>
      <c r="O3103" s="2" t="s">
        <v>115</v>
      </c>
      <c r="P3103" s="2" t="str">
        <f>"2170563942                    "</f>
        <v xml:space="preserve">2170563942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4.29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1</v>
      </c>
      <c r="BJ3103" s="2">
        <v>0.2</v>
      </c>
      <c r="BK3103" s="2">
        <v>1</v>
      </c>
      <c r="BL3103" s="2">
        <v>41.73</v>
      </c>
      <c r="BM3103" s="2">
        <v>5.84</v>
      </c>
      <c r="BN3103" s="2">
        <v>47.57</v>
      </c>
      <c r="BO3103" s="2">
        <v>47.57</v>
      </c>
      <c r="BP3103" s="2"/>
      <c r="BQ3103" s="2" t="s">
        <v>142</v>
      </c>
      <c r="BR3103" s="2" t="s">
        <v>84</v>
      </c>
      <c r="BS3103" s="3">
        <v>42851</v>
      </c>
      <c r="BT3103" s="4">
        <v>0.3833333333333333</v>
      </c>
      <c r="BU3103" s="2" t="s">
        <v>2531</v>
      </c>
      <c r="BV3103" s="2" t="s">
        <v>111</v>
      </c>
      <c r="BW3103" s="2"/>
      <c r="BX3103" s="2"/>
      <c r="BY3103" s="2">
        <v>1200</v>
      </c>
      <c r="BZ3103" s="2"/>
      <c r="CA3103" s="2"/>
      <c r="CB3103" s="2"/>
      <c r="CC3103" s="2" t="s">
        <v>140</v>
      </c>
      <c r="CD3103" s="2">
        <v>157</v>
      </c>
      <c r="CE3103" s="2" t="s">
        <v>118</v>
      </c>
      <c r="CF3103" s="2"/>
      <c r="CG3103" s="2"/>
      <c r="CH3103" s="2"/>
      <c r="CI3103" s="2">
        <v>0</v>
      </c>
      <c r="CJ3103" s="2">
        <v>0</v>
      </c>
      <c r="CK3103" s="2">
        <v>21</v>
      </c>
      <c r="CL3103" s="2" t="s">
        <v>86</v>
      </c>
      <c r="CM3103" s="2"/>
    </row>
    <row r="3104" spans="1:91">
      <c r="A3104" s="2" t="s">
        <v>71</v>
      </c>
      <c r="B3104" s="2" t="s">
        <v>72</v>
      </c>
      <c r="C3104" s="2" t="s">
        <v>73</v>
      </c>
      <c r="D3104" s="2"/>
      <c r="E3104" s="2" t="str">
        <f>"FES1162545447"</f>
        <v>FES1162545447</v>
      </c>
      <c r="F3104" s="3">
        <v>42850</v>
      </c>
      <c r="G3104" s="2">
        <v>201710</v>
      </c>
      <c r="H3104" s="2" t="s">
        <v>74</v>
      </c>
      <c r="I3104" s="2" t="s">
        <v>75</v>
      </c>
      <c r="J3104" s="2" t="s">
        <v>76</v>
      </c>
      <c r="K3104" s="2" t="s">
        <v>77</v>
      </c>
      <c r="L3104" s="2" t="s">
        <v>598</v>
      </c>
      <c r="M3104" s="2" t="s">
        <v>599</v>
      </c>
      <c r="N3104" s="2" t="s">
        <v>600</v>
      </c>
      <c r="O3104" s="2" t="s">
        <v>115</v>
      </c>
      <c r="P3104" s="2" t="str">
        <f>"2170561069                    "</f>
        <v xml:space="preserve">2170561069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8.31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1</v>
      </c>
      <c r="BJ3104" s="2">
        <v>0.2</v>
      </c>
      <c r="BK3104" s="2">
        <v>1</v>
      </c>
      <c r="BL3104" s="2">
        <v>80.849999999999994</v>
      </c>
      <c r="BM3104" s="2">
        <v>11.32</v>
      </c>
      <c r="BN3104" s="2">
        <v>92.17</v>
      </c>
      <c r="BO3104" s="2">
        <v>92.17</v>
      </c>
      <c r="BP3104" s="2"/>
      <c r="BQ3104" s="2" t="s">
        <v>601</v>
      </c>
      <c r="BR3104" s="2" t="s">
        <v>84</v>
      </c>
      <c r="BS3104" s="3">
        <v>42851</v>
      </c>
      <c r="BT3104" s="4">
        <v>0.59861111111111109</v>
      </c>
      <c r="BU3104" s="2" t="s">
        <v>602</v>
      </c>
      <c r="BV3104" s="2" t="s">
        <v>111</v>
      </c>
      <c r="BW3104" s="2"/>
      <c r="BX3104" s="2"/>
      <c r="BY3104" s="2">
        <v>1200</v>
      </c>
      <c r="BZ3104" s="2"/>
      <c r="CA3104" s="2"/>
      <c r="CB3104" s="2"/>
      <c r="CC3104" s="2" t="s">
        <v>599</v>
      </c>
      <c r="CD3104" s="2">
        <v>3370</v>
      </c>
      <c r="CE3104" s="2" t="s">
        <v>118</v>
      </c>
      <c r="CF3104" s="2"/>
      <c r="CG3104" s="2"/>
      <c r="CH3104" s="2"/>
      <c r="CI3104" s="2">
        <v>3</v>
      </c>
      <c r="CJ3104" s="2">
        <v>1</v>
      </c>
      <c r="CK3104" s="2">
        <v>23</v>
      </c>
      <c r="CL3104" s="2" t="s">
        <v>86</v>
      </c>
      <c r="CM3104" s="2"/>
    </row>
    <row r="3105" spans="1:91">
      <c r="A3105" s="2" t="s">
        <v>71</v>
      </c>
      <c r="B3105" s="2" t="s">
        <v>72</v>
      </c>
      <c r="C3105" s="2" t="s">
        <v>73</v>
      </c>
      <c r="D3105" s="2"/>
      <c r="E3105" s="2" t="str">
        <f>"FES1162544382"</f>
        <v>FES1162544382</v>
      </c>
      <c r="F3105" s="3">
        <v>42844</v>
      </c>
      <c r="G3105" s="2">
        <v>201710</v>
      </c>
      <c r="H3105" s="2" t="s">
        <v>74</v>
      </c>
      <c r="I3105" s="2" t="s">
        <v>75</v>
      </c>
      <c r="J3105" s="2" t="s">
        <v>200</v>
      </c>
      <c r="K3105" s="2" t="s">
        <v>77</v>
      </c>
      <c r="L3105" s="2" t="s">
        <v>131</v>
      </c>
      <c r="M3105" s="2" t="s">
        <v>132</v>
      </c>
      <c r="N3105" s="2" t="s">
        <v>649</v>
      </c>
      <c r="O3105" s="2" t="s">
        <v>115</v>
      </c>
      <c r="P3105" s="2" t="str">
        <f>"2170558036                    "</f>
        <v xml:space="preserve">2170558036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246.5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7</v>
      </c>
      <c r="BI3105" s="2">
        <v>114.9</v>
      </c>
      <c r="BJ3105" s="2">
        <v>111.9</v>
      </c>
      <c r="BK3105" s="2">
        <v>115</v>
      </c>
      <c r="BL3105" s="2">
        <v>2399.3000000000002</v>
      </c>
      <c r="BM3105" s="2">
        <v>335.9</v>
      </c>
      <c r="BN3105" s="2">
        <v>2735.2</v>
      </c>
      <c r="BO3105" s="2">
        <v>2735.2</v>
      </c>
      <c r="BP3105" s="2" t="s">
        <v>3231</v>
      </c>
      <c r="BQ3105" s="2" t="s">
        <v>650</v>
      </c>
      <c r="BR3105" s="2" t="s">
        <v>2287</v>
      </c>
      <c r="BS3105" s="3">
        <v>42845</v>
      </c>
      <c r="BT3105" s="4">
        <v>0.41666666666666669</v>
      </c>
      <c r="BU3105" s="2" t="s">
        <v>837</v>
      </c>
      <c r="BV3105" s="2" t="s">
        <v>111</v>
      </c>
      <c r="BW3105" s="2"/>
      <c r="BX3105" s="2"/>
      <c r="BY3105" s="2">
        <v>559633.44999999995</v>
      </c>
      <c r="BZ3105" s="2" t="s">
        <v>27</v>
      </c>
      <c r="CA3105" s="2"/>
      <c r="CB3105" s="2"/>
      <c r="CC3105" s="2" t="s">
        <v>132</v>
      </c>
      <c r="CD3105" s="2">
        <v>7405</v>
      </c>
      <c r="CE3105" s="2" t="s">
        <v>2596</v>
      </c>
      <c r="CF3105" s="5">
        <v>42846</v>
      </c>
      <c r="CG3105" s="2"/>
      <c r="CH3105" s="2"/>
      <c r="CI3105" s="2">
        <v>1</v>
      </c>
      <c r="CJ3105" s="2">
        <v>1</v>
      </c>
      <c r="CK3105" s="2">
        <v>21</v>
      </c>
      <c r="CL3105" s="2" t="s">
        <v>86</v>
      </c>
      <c r="CM3105" s="2"/>
    </row>
    <row r="3106" spans="1:91">
      <c r="A3106" s="2" t="s">
        <v>71</v>
      </c>
      <c r="B3106" s="2" t="s">
        <v>72</v>
      </c>
      <c r="C3106" s="2" t="s">
        <v>73</v>
      </c>
      <c r="D3106" s="2"/>
      <c r="E3106" s="2" t="str">
        <f>"FES1162545189"</f>
        <v>FES1162545189</v>
      </c>
      <c r="F3106" s="3">
        <v>42849</v>
      </c>
      <c r="G3106" s="2">
        <v>201710</v>
      </c>
      <c r="H3106" s="2" t="s">
        <v>74</v>
      </c>
      <c r="I3106" s="2" t="s">
        <v>75</v>
      </c>
      <c r="J3106" s="2" t="s">
        <v>76</v>
      </c>
      <c r="K3106" s="2" t="s">
        <v>77</v>
      </c>
      <c r="L3106" s="2" t="s">
        <v>131</v>
      </c>
      <c r="M3106" s="2" t="s">
        <v>132</v>
      </c>
      <c r="N3106" s="2" t="s">
        <v>744</v>
      </c>
      <c r="O3106" s="2" t="s">
        <v>115</v>
      </c>
      <c r="P3106" s="2" t="str">
        <f>"2170563677                    "</f>
        <v xml:space="preserve">2170563677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4.29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1</v>
      </c>
      <c r="BJ3106" s="2">
        <v>0.2</v>
      </c>
      <c r="BK3106" s="2">
        <v>1</v>
      </c>
      <c r="BL3106" s="2">
        <v>41.73</v>
      </c>
      <c r="BM3106" s="2">
        <v>5.84</v>
      </c>
      <c r="BN3106" s="2">
        <v>47.57</v>
      </c>
      <c r="BO3106" s="2">
        <v>47.57</v>
      </c>
      <c r="BP3106" s="2"/>
      <c r="BQ3106" s="2" t="s">
        <v>138</v>
      </c>
      <c r="BR3106" s="2" t="s">
        <v>84</v>
      </c>
      <c r="BS3106" s="3">
        <v>42851</v>
      </c>
      <c r="BT3106" s="4">
        <v>0.41666666666666669</v>
      </c>
      <c r="BU3106" s="2" t="s">
        <v>2987</v>
      </c>
      <c r="BV3106" s="2" t="s">
        <v>86</v>
      </c>
      <c r="BW3106" s="2" t="s">
        <v>484</v>
      </c>
      <c r="BX3106" s="2" t="s">
        <v>1370</v>
      </c>
      <c r="BY3106" s="2">
        <v>1200</v>
      </c>
      <c r="BZ3106" s="2"/>
      <c r="CA3106" s="2" t="s">
        <v>159</v>
      </c>
      <c r="CB3106" s="2"/>
      <c r="CC3106" s="2" t="s">
        <v>132</v>
      </c>
      <c r="CD3106" s="2">
        <v>7405</v>
      </c>
      <c r="CE3106" s="2" t="s">
        <v>118</v>
      </c>
      <c r="CF3106" s="5">
        <v>42853</v>
      </c>
      <c r="CG3106" s="2"/>
      <c r="CH3106" s="2"/>
      <c r="CI3106" s="2">
        <v>1</v>
      </c>
      <c r="CJ3106" s="2">
        <v>2</v>
      </c>
      <c r="CK3106" s="2">
        <v>21</v>
      </c>
      <c r="CL3106" s="2" t="s">
        <v>86</v>
      </c>
      <c r="CM3106" s="2"/>
    </row>
    <row r="3107" spans="1:91">
      <c r="A3107" s="2" t="s">
        <v>71</v>
      </c>
      <c r="B3107" s="2" t="s">
        <v>72</v>
      </c>
      <c r="C3107" s="2" t="s">
        <v>73</v>
      </c>
      <c r="D3107" s="2"/>
      <c r="E3107" s="2" t="str">
        <f>"FES1162545415"</f>
        <v>FES1162545415</v>
      </c>
      <c r="F3107" s="3">
        <v>42850</v>
      </c>
      <c r="G3107" s="2">
        <v>201710</v>
      </c>
      <c r="H3107" s="2" t="s">
        <v>74</v>
      </c>
      <c r="I3107" s="2" t="s">
        <v>75</v>
      </c>
      <c r="J3107" s="2" t="s">
        <v>76</v>
      </c>
      <c r="K3107" s="2" t="s">
        <v>77</v>
      </c>
      <c r="L3107" s="2" t="s">
        <v>220</v>
      </c>
      <c r="M3107" s="2" t="s">
        <v>221</v>
      </c>
      <c r="N3107" s="2" t="s">
        <v>222</v>
      </c>
      <c r="O3107" s="2" t="s">
        <v>115</v>
      </c>
      <c r="P3107" s="2" t="str">
        <f>"2170563922                    "</f>
        <v xml:space="preserve">2170563922 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4.29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1</v>
      </c>
      <c r="BJ3107" s="2">
        <v>0.2</v>
      </c>
      <c r="BK3107" s="2">
        <v>1</v>
      </c>
      <c r="BL3107" s="2">
        <v>41.73</v>
      </c>
      <c r="BM3107" s="2">
        <v>5.84</v>
      </c>
      <c r="BN3107" s="2">
        <v>47.57</v>
      </c>
      <c r="BO3107" s="2">
        <v>47.57</v>
      </c>
      <c r="BP3107" s="2"/>
      <c r="BQ3107" s="2" t="s">
        <v>223</v>
      </c>
      <c r="BR3107" s="2" t="s">
        <v>84</v>
      </c>
      <c r="BS3107" s="3">
        <v>42851</v>
      </c>
      <c r="BT3107" s="4">
        <v>0.38750000000000001</v>
      </c>
      <c r="BU3107" s="2" t="s">
        <v>3050</v>
      </c>
      <c r="BV3107" s="2" t="s">
        <v>111</v>
      </c>
      <c r="BW3107" s="2"/>
      <c r="BX3107" s="2"/>
      <c r="BY3107" s="2">
        <v>1200</v>
      </c>
      <c r="BZ3107" s="2"/>
      <c r="CA3107" s="2" t="s">
        <v>3051</v>
      </c>
      <c r="CB3107" s="2"/>
      <c r="CC3107" s="2" t="s">
        <v>221</v>
      </c>
      <c r="CD3107" s="2">
        <v>6536</v>
      </c>
      <c r="CE3107" s="2" t="s">
        <v>118</v>
      </c>
      <c r="CF3107" s="5">
        <v>42851</v>
      </c>
      <c r="CG3107" s="2"/>
      <c r="CH3107" s="2"/>
      <c r="CI3107" s="2">
        <v>1</v>
      </c>
      <c r="CJ3107" s="2">
        <v>1</v>
      </c>
      <c r="CK3107" s="2">
        <v>21</v>
      </c>
      <c r="CL3107" s="2" t="s">
        <v>86</v>
      </c>
      <c r="CM3107" s="2"/>
    </row>
    <row r="3108" spans="1:91">
      <c r="A3108" s="2" t="s">
        <v>71</v>
      </c>
      <c r="B3108" s="2" t="s">
        <v>72</v>
      </c>
      <c r="C3108" s="2" t="s">
        <v>73</v>
      </c>
      <c r="D3108" s="2"/>
      <c r="E3108" s="2" t="str">
        <f>"FES1162545385"</f>
        <v>FES1162545385</v>
      </c>
      <c r="F3108" s="3">
        <v>42850</v>
      </c>
      <c r="G3108" s="2">
        <v>201710</v>
      </c>
      <c r="H3108" s="2" t="s">
        <v>74</v>
      </c>
      <c r="I3108" s="2" t="s">
        <v>75</v>
      </c>
      <c r="J3108" s="2" t="s">
        <v>76</v>
      </c>
      <c r="K3108" s="2" t="s">
        <v>77</v>
      </c>
      <c r="L3108" s="2" t="s">
        <v>396</v>
      </c>
      <c r="M3108" s="2" t="s">
        <v>397</v>
      </c>
      <c r="N3108" s="2" t="s">
        <v>500</v>
      </c>
      <c r="O3108" s="2" t="s">
        <v>115</v>
      </c>
      <c r="P3108" s="2" t="str">
        <f>"2170563895                    "</f>
        <v xml:space="preserve">2170563895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4.29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1</v>
      </c>
      <c r="BJ3108" s="2">
        <v>0.2</v>
      </c>
      <c r="BK3108" s="2">
        <v>1</v>
      </c>
      <c r="BL3108" s="2">
        <v>41.73</v>
      </c>
      <c r="BM3108" s="2">
        <v>5.84</v>
      </c>
      <c r="BN3108" s="2">
        <v>47.57</v>
      </c>
      <c r="BO3108" s="2">
        <v>47.57</v>
      </c>
      <c r="BP3108" s="2"/>
      <c r="BQ3108" s="2" t="s">
        <v>501</v>
      </c>
      <c r="BR3108" s="2" t="s">
        <v>84</v>
      </c>
      <c r="BS3108" s="3">
        <v>42851</v>
      </c>
      <c r="BT3108" s="4">
        <v>0.4375</v>
      </c>
      <c r="BU3108" s="2" t="s">
        <v>835</v>
      </c>
      <c r="BV3108" s="2" t="s">
        <v>111</v>
      </c>
      <c r="BW3108" s="2"/>
      <c r="BX3108" s="2"/>
      <c r="BY3108" s="2">
        <v>1200</v>
      </c>
      <c r="BZ3108" s="2"/>
      <c r="CA3108" s="2"/>
      <c r="CB3108" s="2"/>
      <c r="CC3108" s="2" t="s">
        <v>397</v>
      </c>
      <c r="CD3108" s="2">
        <v>4302</v>
      </c>
      <c r="CE3108" s="2" t="s">
        <v>118</v>
      </c>
      <c r="CF3108" s="5">
        <v>42853</v>
      </c>
      <c r="CG3108" s="2"/>
      <c r="CH3108" s="2"/>
      <c r="CI3108" s="2">
        <v>1</v>
      </c>
      <c r="CJ3108" s="2">
        <v>1</v>
      </c>
      <c r="CK3108" s="2">
        <v>21</v>
      </c>
      <c r="CL3108" s="2" t="s">
        <v>86</v>
      </c>
      <c r="CM3108" s="2"/>
    </row>
    <row r="3109" spans="1:91">
      <c r="A3109" s="2" t="s">
        <v>71</v>
      </c>
      <c r="B3109" s="2" t="s">
        <v>72</v>
      </c>
      <c r="C3109" s="2" t="s">
        <v>73</v>
      </c>
      <c r="D3109" s="2"/>
      <c r="E3109" s="2" t="str">
        <f>"FES1162545358"</f>
        <v>FES1162545358</v>
      </c>
      <c r="F3109" s="3">
        <v>42850</v>
      </c>
      <c r="G3109" s="2">
        <v>201710</v>
      </c>
      <c r="H3109" s="2" t="s">
        <v>74</v>
      </c>
      <c r="I3109" s="2" t="s">
        <v>75</v>
      </c>
      <c r="J3109" s="2" t="s">
        <v>76</v>
      </c>
      <c r="K3109" s="2" t="s">
        <v>77</v>
      </c>
      <c r="L3109" s="2" t="s">
        <v>91</v>
      </c>
      <c r="M3109" s="2" t="s">
        <v>92</v>
      </c>
      <c r="N3109" s="2" t="s">
        <v>1459</v>
      </c>
      <c r="O3109" s="2" t="s">
        <v>115</v>
      </c>
      <c r="P3109" s="2" t="str">
        <f>"2170563859                    "</f>
        <v xml:space="preserve">2170563859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3.35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1</v>
      </c>
      <c r="BJ3109" s="2">
        <v>0.2</v>
      </c>
      <c r="BK3109" s="2">
        <v>1</v>
      </c>
      <c r="BL3109" s="2">
        <v>32.6</v>
      </c>
      <c r="BM3109" s="2">
        <v>4.5599999999999996</v>
      </c>
      <c r="BN3109" s="2">
        <v>37.159999999999997</v>
      </c>
      <c r="BO3109" s="2">
        <v>37.159999999999997</v>
      </c>
      <c r="BP3109" s="2"/>
      <c r="BQ3109" s="2" t="s">
        <v>1460</v>
      </c>
      <c r="BR3109" s="2" t="s">
        <v>84</v>
      </c>
      <c r="BS3109" s="3">
        <v>42851</v>
      </c>
      <c r="BT3109" s="4">
        <v>0.42499999999999999</v>
      </c>
      <c r="BU3109" s="2" t="s">
        <v>1298</v>
      </c>
      <c r="BV3109" s="2" t="s">
        <v>111</v>
      </c>
      <c r="BW3109" s="2"/>
      <c r="BX3109" s="2"/>
      <c r="BY3109" s="2">
        <v>1200</v>
      </c>
      <c r="BZ3109" s="2"/>
      <c r="CA3109" s="2"/>
      <c r="CB3109" s="2"/>
      <c r="CC3109" s="2" t="s">
        <v>92</v>
      </c>
      <c r="CD3109" s="2">
        <v>1401</v>
      </c>
      <c r="CE3109" s="2" t="s">
        <v>118</v>
      </c>
      <c r="CF3109" s="5">
        <v>42853</v>
      </c>
      <c r="CG3109" s="2"/>
      <c r="CH3109" s="2"/>
      <c r="CI3109" s="2">
        <v>1</v>
      </c>
      <c r="CJ3109" s="2">
        <v>1</v>
      </c>
      <c r="CK3109" s="2">
        <v>22</v>
      </c>
      <c r="CL3109" s="2" t="s">
        <v>86</v>
      </c>
      <c r="CM3109" s="2"/>
    </row>
    <row r="3110" spans="1:91">
      <c r="A3110" s="2" t="s">
        <v>71</v>
      </c>
      <c r="B3110" s="2" t="s">
        <v>72</v>
      </c>
      <c r="C3110" s="2" t="s">
        <v>73</v>
      </c>
      <c r="D3110" s="2"/>
      <c r="E3110" s="2" t="str">
        <f>"FES1162545429"</f>
        <v>FES1162545429</v>
      </c>
      <c r="F3110" s="3">
        <v>42850</v>
      </c>
      <c r="G3110" s="2">
        <v>201710</v>
      </c>
      <c r="H3110" s="2" t="s">
        <v>74</v>
      </c>
      <c r="I3110" s="2" t="s">
        <v>75</v>
      </c>
      <c r="J3110" s="2" t="s">
        <v>76</v>
      </c>
      <c r="K3110" s="2" t="s">
        <v>77</v>
      </c>
      <c r="L3110" s="2" t="s">
        <v>396</v>
      </c>
      <c r="M3110" s="2" t="s">
        <v>397</v>
      </c>
      <c r="N3110" s="2" t="s">
        <v>398</v>
      </c>
      <c r="O3110" s="2" t="s">
        <v>115</v>
      </c>
      <c r="P3110" s="2" t="str">
        <f>"2170563928                    "</f>
        <v xml:space="preserve">2170563928 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4.29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1</v>
      </c>
      <c r="BJ3110" s="2">
        <v>0.2</v>
      </c>
      <c r="BK3110" s="2">
        <v>1</v>
      </c>
      <c r="BL3110" s="2">
        <v>41.73</v>
      </c>
      <c r="BM3110" s="2">
        <v>5.84</v>
      </c>
      <c r="BN3110" s="2">
        <v>47.57</v>
      </c>
      <c r="BO3110" s="2">
        <v>47.57</v>
      </c>
      <c r="BP3110" s="2"/>
      <c r="BQ3110" s="2" t="s">
        <v>399</v>
      </c>
      <c r="BR3110" s="2" t="s">
        <v>84</v>
      </c>
      <c r="BS3110" s="3">
        <v>42851</v>
      </c>
      <c r="BT3110" s="4">
        <v>0.41666666666666669</v>
      </c>
      <c r="BU3110" s="2" t="s">
        <v>3232</v>
      </c>
      <c r="BV3110" s="2" t="s">
        <v>111</v>
      </c>
      <c r="BW3110" s="2"/>
      <c r="BX3110" s="2"/>
      <c r="BY3110" s="2">
        <v>1200</v>
      </c>
      <c r="BZ3110" s="2"/>
      <c r="CA3110" s="2"/>
      <c r="CB3110" s="2"/>
      <c r="CC3110" s="2" t="s">
        <v>397</v>
      </c>
      <c r="CD3110" s="2">
        <v>4300</v>
      </c>
      <c r="CE3110" s="2" t="s">
        <v>118</v>
      </c>
      <c r="CF3110" s="5">
        <v>42853</v>
      </c>
      <c r="CG3110" s="2"/>
      <c r="CH3110" s="2"/>
      <c r="CI3110" s="2">
        <v>1</v>
      </c>
      <c r="CJ3110" s="2">
        <v>1</v>
      </c>
      <c r="CK3110" s="2">
        <v>21</v>
      </c>
      <c r="CL3110" s="2" t="s">
        <v>86</v>
      </c>
      <c r="CM3110" s="2"/>
    </row>
    <row r="3111" spans="1:91">
      <c r="A3111" s="2" t="s">
        <v>71</v>
      </c>
      <c r="B3111" s="2" t="s">
        <v>72</v>
      </c>
      <c r="C3111" s="2" t="s">
        <v>73</v>
      </c>
      <c r="D3111" s="2"/>
      <c r="E3111" s="2" t="str">
        <f>"FES1162545379"</f>
        <v>FES1162545379</v>
      </c>
      <c r="F3111" s="3">
        <v>42850</v>
      </c>
      <c r="G3111" s="2">
        <v>201710</v>
      </c>
      <c r="H3111" s="2" t="s">
        <v>74</v>
      </c>
      <c r="I3111" s="2" t="s">
        <v>75</v>
      </c>
      <c r="J3111" s="2" t="s">
        <v>76</v>
      </c>
      <c r="K3111" s="2" t="s">
        <v>77</v>
      </c>
      <c r="L3111" s="2" t="s">
        <v>260</v>
      </c>
      <c r="M3111" s="2" t="s">
        <v>261</v>
      </c>
      <c r="N3111" s="2" t="s">
        <v>326</v>
      </c>
      <c r="O3111" s="2" t="s">
        <v>115</v>
      </c>
      <c r="P3111" s="2" t="str">
        <f>"2170563885                    "</f>
        <v xml:space="preserve">2170563885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3.35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1</v>
      </c>
      <c r="BJ3111" s="2">
        <v>0.2</v>
      </c>
      <c r="BK3111" s="2">
        <v>1</v>
      </c>
      <c r="BL3111" s="2">
        <v>32.6</v>
      </c>
      <c r="BM3111" s="2">
        <v>4.5599999999999996</v>
      </c>
      <c r="BN3111" s="2">
        <v>37.159999999999997</v>
      </c>
      <c r="BO3111" s="2">
        <v>37.159999999999997</v>
      </c>
      <c r="BP3111" s="2"/>
      <c r="BQ3111" s="2"/>
      <c r="BR3111" s="2" t="s">
        <v>84</v>
      </c>
      <c r="BS3111" s="3">
        <v>42851</v>
      </c>
      <c r="BT3111" s="4">
        <v>0.41666666666666669</v>
      </c>
      <c r="BU3111" s="2" t="s">
        <v>290</v>
      </c>
      <c r="BV3111" s="2" t="s">
        <v>111</v>
      </c>
      <c r="BW3111" s="2"/>
      <c r="BX3111" s="2"/>
      <c r="BY3111" s="2">
        <v>1200</v>
      </c>
      <c r="BZ3111" s="2"/>
      <c r="CA3111" s="2"/>
      <c r="CB3111" s="2"/>
      <c r="CC3111" s="2" t="s">
        <v>261</v>
      </c>
      <c r="CD3111" s="2">
        <v>1451</v>
      </c>
      <c r="CE3111" s="2" t="s">
        <v>118</v>
      </c>
      <c r="CF3111" s="5">
        <v>42853</v>
      </c>
      <c r="CG3111" s="2"/>
      <c r="CH3111" s="2"/>
      <c r="CI3111" s="2">
        <v>1</v>
      </c>
      <c r="CJ3111" s="2">
        <v>1</v>
      </c>
      <c r="CK3111" s="2">
        <v>22</v>
      </c>
      <c r="CL3111" s="2" t="s">
        <v>86</v>
      </c>
      <c r="CM3111" s="2"/>
    </row>
    <row r="3112" spans="1:91">
      <c r="A3112" s="2" t="s">
        <v>71</v>
      </c>
      <c r="B3112" s="2" t="s">
        <v>72</v>
      </c>
      <c r="C3112" s="2" t="s">
        <v>73</v>
      </c>
      <c r="D3112" s="2"/>
      <c r="E3112" s="2" t="str">
        <f>"FES1162545443"</f>
        <v>FES1162545443</v>
      </c>
      <c r="F3112" s="3">
        <v>42850</v>
      </c>
      <c r="G3112" s="2">
        <v>201710</v>
      </c>
      <c r="H3112" s="2" t="s">
        <v>74</v>
      </c>
      <c r="I3112" s="2" t="s">
        <v>75</v>
      </c>
      <c r="J3112" s="2" t="s">
        <v>76</v>
      </c>
      <c r="K3112" s="2" t="s">
        <v>77</v>
      </c>
      <c r="L3112" s="2" t="s">
        <v>396</v>
      </c>
      <c r="M3112" s="2" t="s">
        <v>397</v>
      </c>
      <c r="N3112" s="2" t="s">
        <v>500</v>
      </c>
      <c r="O3112" s="2" t="s">
        <v>115</v>
      </c>
      <c r="P3112" s="2" t="str">
        <f>"2170563948                    "</f>
        <v xml:space="preserve">2170563948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4.29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1</v>
      </c>
      <c r="BJ3112" s="2">
        <v>0.2</v>
      </c>
      <c r="BK3112" s="2">
        <v>1</v>
      </c>
      <c r="BL3112" s="2">
        <v>41.73</v>
      </c>
      <c r="BM3112" s="2">
        <v>5.84</v>
      </c>
      <c r="BN3112" s="2">
        <v>47.57</v>
      </c>
      <c r="BO3112" s="2">
        <v>47.57</v>
      </c>
      <c r="BP3112" s="2"/>
      <c r="BQ3112" s="2" t="s">
        <v>501</v>
      </c>
      <c r="BR3112" s="2" t="s">
        <v>84</v>
      </c>
      <c r="BS3112" s="3">
        <v>42851</v>
      </c>
      <c r="BT3112" s="4">
        <v>0.33333333333333331</v>
      </c>
      <c r="BU3112" s="2" t="s">
        <v>835</v>
      </c>
      <c r="BV3112" s="2" t="s">
        <v>111</v>
      </c>
      <c r="BW3112" s="2"/>
      <c r="BX3112" s="2"/>
      <c r="BY3112" s="2">
        <v>1200</v>
      </c>
      <c r="BZ3112" s="2"/>
      <c r="CA3112" s="2"/>
      <c r="CB3112" s="2"/>
      <c r="CC3112" s="2" t="s">
        <v>397</v>
      </c>
      <c r="CD3112" s="2">
        <v>4302</v>
      </c>
      <c r="CE3112" s="2" t="s">
        <v>118</v>
      </c>
      <c r="CF3112" s="5">
        <v>42853</v>
      </c>
      <c r="CG3112" s="2"/>
      <c r="CH3112" s="2"/>
      <c r="CI3112" s="2">
        <v>1</v>
      </c>
      <c r="CJ3112" s="2">
        <v>1</v>
      </c>
      <c r="CK3112" s="2">
        <v>21</v>
      </c>
      <c r="CL3112" s="2" t="s">
        <v>86</v>
      </c>
      <c r="CM3112" s="2"/>
    </row>
    <row r="3113" spans="1:91">
      <c r="A3113" s="2" t="s">
        <v>71</v>
      </c>
      <c r="B3113" s="2" t="s">
        <v>72</v>
      </c>
      <c r="C3113" s="2" t="s">
        <v>73</v>
      </c>
      <c r="D3113" s="2"/>
      <c r="E3113" s="2" t="str">
        <f>"FES1162545453"</f>
        <v>FES1162545453</v>
      </c>
      <c r="F3113" s="3">
        <v>42850</v>
      </c>
      <c r="G3113" s="2">
        <v>201710</v>
      </c>
      <c r="H3113" s="2" t="s">
        <v>74</v>
      </c>
      <c r="I3113" s="2" t="s">
        <v>75</v>
      </c>
      <c r="J3113" s="2" t="s">
        <v>76</v>
      </c>
      <c r="K3113" s="2" t="s">
        <v>77</v>
      </c>
      <c r="L3113" s="2" t="s">
        <v>180</v>
      </c>
      <c r="M3113" s="2" t="s">
        <v>181</v>
      </c>
      <c r="N3113" s="2" t="s">
        <v>457</v>
      </c>
      <c r="O3113" s="2" t="s">
        <v>115</v>
      </c>
      <c r="P3113" s="2" t="str">
        <f>"2170563954                    "</f>
        <v xml:space="preserve">2170563954 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4.29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1</v>
      </c>
      <c r="BJ3113" s="2">
        <v>0.2</v>
      </c>
      <c r="BK3113" s="2">
        <v>1</v>
      </c>
      <c r="BL3113" s="2">
        <v>41.73</v>
      </c>
      <c r="BM3113" s="2">
        <v>5.84</v>
      </c>
      <c r="BN3113" s="2">
        <v>47.57</v>
      </c>
      <c r="BO3113" s="2">
        <v>47.57</v>
      </c>
      <c r="BP3113" s="2"/>
      <c r="BQ3113" s="2" t="s">
        <v>458</v>
      </c>
      <c r="BR3113" s="2" t="s">
        <v>84</v>
      </c>
      <c r="BS3113" s="3">
        <v>42851</v>
      </c>
      <c r="BT3113" s="4">
        <v>0.4375</v>
      </c>
      <c r="BU3113" s="2" t="s">
        <v>3233</v>
      </c>
      <c r="BV3113" s="2" t="s">
        <v>111</v>
      </c>
      <c r="BW3113" s="2"/>
      <c r="BX3113" s="2"/>
      <c r="BY3113" s="2">
        <v>1200</v>
      </c>
      <c r="BZ3113" s="2"/>
      <c r="CA3113" s="2"/>
      <c r="CB3113" s="2"/>
      <c r="CC3113" s="2" t="s">
        <v>181</v>
      </c>
      <c r="CD3113" s="2">
        <v>4001</v>
      </c>
      <c r="CE3113" s="2" t="s">
        <v>118</v>
      </c>
      <c r="CF3113" s="5">
        <v>42853</v>
      </c>
      <c r="CG3113" s="2"/>
      <c r="CH3113" s="2"/>
      <c r="CI3113" s="2">
        <v>1</v>
      </c>
      <c r="CJ3113" s="2">
        <v>1</v>
      </c>
      <c r="CK3113" s="2">
        <v>21</v>
      </c>
      <c r="CL3113" s="2" t="s">
        <v>86</v>
      </c>
      <c r="CM3113" s="2"/>
    </row>
    <row r="3114" spans="1:91">
      <c r="A3114" s="2" t="s">
        <v>71</v>
      </c>
      <c r="B3114" s="2" t="s">
        <v>72</v>
      </c>
      <c r="C3114" s="2" t="s">
        <v>73</v>
      </c>
      <c r="D3114" s="2"/>
      <c r="E3114" s="2" t="str">
        <f>"FES1162545395"</f>
        <v>FES1162545395</v>
      </c>
      <c r="F3114" s="3">
        <v>42850</v>
      </c>
      <c r="G3114" s="2">
        <v>201710</v>
      </c>
      <c r="H3114" s="2" t="s">
        <v>74</v>
      </c>
      <c r="I3114" s="2" t="s">
        <v>75</v>
      </c>
      <c r="J3114" s="2" t="s">
        <v>76</v>
      </c>
      <c r="K3114" s="2" t="s">
        <v>77</v>
      </c>
      <c r="L3114" s="2" t="s">
        <v>131</v>
      </c>
      <c r="M3114" s="2" t="s">
        <v>132</v>
      </c>
      <c r="N3114" s="2" t="s">
        <v>363</v>
      </c>
      <c r="O3114" s="2" t="s">
        <v>115</v>
      </c>
      <c r="P3114" s="2" t="str">
        <f>"2170563911                    "</f>
        <v xml:space="preserve">2170563911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4.29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1</v>
      </c>
      <c r="BJ3114" s="2">
        <v>0.2</v>
      </c>
      <c r="BK3114" s="2">
        <v>1</v>
      </c>
      <c r="BL3114" s="2">
        <v>41.73</v>
      </c>
      <c r="BM3114" s="2">
        <v>5.84</v>
      </c>
      <c r="BN3114" s="2">
        <v>47.57</v>
      </c>
      <c r="BO3114" s="2">
        <v>47.57</v>
      </c>
      <c r="BP3114" s="2"/>
      <c r="BQ3114" s="2" t="s">
        <v>170</v>
      </c>
      <c r="BR3114" s="2" t="s">
        <v>84</v>
      </c>
      <c r="BS3114" s="3">
        <v>42851</v>
      </c>
      <c r="BT3114" s="4">
        <v>0.41666666666666669</v>
      </c>
      <c r="BU3114" s="2" t="s">
        <v>2676</v>
      </c>
      <c r="BV3114" s="2" t="s">
        <v>111</v>
      </c>
      <c r="BW3114" s="2"/>
      <c r="BX3114" s="2"/>
      <c r="BY3114" s="2">
        <v>1200</v>
      </c>
      <c r="BZ3114" s="2"/>
      <c r="CA3114" s="2"/>
      <c r="CB3114" s="2"/>
      <c r="CC3114" s="2" t="s">
        <v>132</v>
      </c>
      <c r="CD3114" s="2">
        <v>7441</v>
      </c>
      <c r="CE3114" s="2" t="s">
        <v>118</v>
      </c>
      <c r="CF3114" s="5">
        <v>42853</v>
      </c>
      <c r="CG3114" s="2"/>
      <c r="CH3114" s="2"/>
      <c r="CI3114" s="2">
        <v>1</v>
      </c>
      <c r="CJ3114" s="2">
        <v>1</v>
      </c>
      <c r="CK3114" s="2">
        <v>21</v>
      </c>
      <c r="CL3114" s="2" t="s">
        <v>86</v>
      </c>
      <c r="CM3114" s="2"/>
    </row>
    <row r="3115" spans="1:91">
      <c r="A3115" s="2" t="s">
        <v>71</v>
      </c>
      <c r="B3115" s="2" t="s">
        <v>72</v>
      </c>
      <c r="C3115" s="2" t="s">
        <v>73</v>
      </c>
      <c r="D3115" s="2"/>
      <c r="E3115" s="2" t="str">
        <f>"FES1162545357"</f>
        <v>FES1162545357</v>
      </c>
      <c r="F3115" s="3">
        <v>42850</v>
      </c>
      <c r="G3115" s="2">
        <v>201710</v>
      </c>
      <c r="H3115" s="2" t="s">
        <v>74</v>
      </c>
      <c r="I3115" s="2" t="s">
        <v>75</v>
      </c>
      <c r="J3115" s="2" t="s">
        <v>76</v>
      </c>
      <c r="K3115" s="2" t="s">
        <v>77</v>
      </c>
      <c r="L3115" s="2" t="s">
        <v>131</v>
      </c>
      <c r="M3115" s="2" t="s">
        <v>132</v>
      </c>
      <c r="N3115" s="2" t="s">
        <v>731</v>
      </c>
      <c r="O3115" s="2" t="s">
        <v>115</v>
      </c>
      <c r="P3115" s="2" t="str">
        <f>"2170563864                    "</f>
        <v xml:space="preserve">2170563864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4.29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1</v>
      </c>
      <c r="BJ3115" s="2">
        <v>0.2</v>
      </c>
      <c r="BK3115" s="2">
        <v>1</v>
      </c>
      <c r="BL3115" s="2">
        <v>41.73</v>
      </c>
      <c r="BM3115" s="2">
        <v>5.84</v>
      </c>
      <c r="BN3115" s="2">
        <v>47.57</v>
      </c>
      <c r="BO3115" s="2">
        <v>47.57</v>
      </c>
      <c r="BP3115" s="2"/>
      <c r="BQ3115" s="2" t="s">
        <v>732</v>
      </c>
      <c r="BR3115" s="2" t="s">
        <v>84</v>
      </c>
      <c r="BS3115" s="3">
        <v>42851</v>
      </c>
      <c r="BT3115" s="4">
        <v>0.5</v>
      </c>
      <c r="BU3115" s="2" t="s">
        <v>3234</v>
      </c>
      <c r="BV3115" s="2" t="s">
        <v>111</v>
      </c>
      <c r="BW3115" s="2"/>
      <c r="BX3115" s="2"/>
      <c r="BY3115" s="2">
        <v>1200</v>
      </c>
      <c r="BZ3115" s="2"/>
      <c r="CA3115" s="2"/>
      <c r="CB3115" s="2"/>
      <c r="CC3115" s="2" t="s">
        <v>132</v>
      </c>
      <c r="CD3115" s="2">
        <v>7945</v>
      </c>
      <c r="CE3115" s="2" t="s">
        <v>118</v>
      </c>
      <c r="CF3115" s="5">
        <v>42853</v>
      </c>
      <c r="CG3115" s="2"/>
      <c r="CH3115" s="2"/>
      <c r="CI3115" s="2">
        <v>1</v>
      </c>
      <c r="CJ3115" s="2">
        <v>1</v>
      </c>
      <c r="CK3115" s="2">
        <v>21</v>
      </c>
      <c r="CL3115" s="2" t="s">
        <v>86</v>
      </c>
      <c r="CM3115" s="2"/>
    </row>
    <row r="3116" spans="1:91">
      <c r="A3116" s="2" t="s">
        <v>71</v>
      </c>
      <c r="B3116" s="2" t="s">
        <v>72</v>
      </c>
      <c r="C3116" s="2" t="s">
        <v>73</v>
      </c>
      <c r="D3116" s="2"/>
      <c r="E3116" s="2" t="str">
        <f>"FES1162545406"</f>
        <v>FES1162545406</v>
      </c>
      <c r="F3116" s="3">
        <v>42850</v>
      </c>
      <c r="G3116" s="2">
        <v>201710</v>
      </c>
      <c r="H3116" s="2" t="s">
        <v>74</v>
      </c>
      <c r="I3116" s="2" t="s">
        <v>75</v>
      </c>
      <c r="J3116" s="2" t="s">
        <v>76</v>
      </c>
      <c r="K3116" s="2" t="s">
        <v>77</v>
      </c>
      <c r="L3116" s="2" t="s">
        <v>358</v>
      </c>
      <c r="M3116" s="2" t="s">
        <v>359</v>
      </c>
      <c r="N3116" s="2" t="s">
        <v>360</v>
      </c>
      <c r="O3116" s="2" t="s">
        <v>115</v>
      </c>
      <c r="P3116" s="2" t="str">
        <f>"2170560471                    "</f>
        <v xml:space="preserve">2170560471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4.29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1</v>
      </c>
      <c r="BJ3116" s="2">
        <v>0.2</v>
      </c>
      <c r="BK3116" s="2">
        <v>1</v>
      </c>
      <c r="BL3116" s="2">
        <v>41.73</v>
      </c>
      <c r="BM3116" s="2">
        <v>5.84</v>
      </c>
      <c r="BN3116" s="2">
        <v>47.57</v>
      </c>
      <c r="BO3116" s="2">
        <v>47.57</v>
      </c>
      <c r="BP3116" s="2"/>
      <c r="BQ3116" s="2" t="s">
        <v>361</v>
      </c>
      <c r="BR3116" s="2" t="s">
        <v>84</v>
      </c>
      <c r="BS3116" s="3">
        <v>42851</v>
      </c>
      <c r="BT3116" s="4">
        <v>0.31597222222222221</v>
      </c>
      <c r="BU3116" s="2" t="s">
        <v>1271</v>
      </c>
      <c r="BV3116" s="2" t="s">
        <v>111</v>
      </c>
      <c r="BW3116" s="2"/>
      <c r="BX3116" s="2"/>
      <c r="BY3116" s="2">
        <v>1200</v>
      </c>
      <c r="BZ3116" s="2"/>
      <c r="CA3116" s="2"/>
      <c r="CB3116" s="2"/>
      <c r="CC3116" s="2" t="s">
        <v>359</v>
      </c>
      <c r="CD3116" s="2">
        <v>6229</v>
      </c>
      <c r="CE3116" s="2" t="s">
        <v>118</v>
      </c>
      <c r="CF3116" s="5">
        <v>42853</v>
      </c>
      <c r="CG3116" s="2"/>
      <c r="CH3116" s="2"/>
      <c r="CI3116" s="2">
        <v>1</v>
      </c>
      <c r="CJ3116" s="2">
        <v>1</v>
      </c>
      <c r="CK3116" s="2">
        <v>21</v>
      </c>
      <c r="CL3116" s="2" t="s">
        <v>86</v>
      </c>
      <c r="CM3116" s="2"/>
    </row>
    <row r="3117" spans="1:91">
      <c r="A3117" s="2" t="s">
        <v>71</v>
      </c>
      <c r="B3117" s="2" t="s">
        <v>72</v>
      </c>
      <c r="C3117" s="2" t="s">
        <v>73</v>
      </c>
      <c r="D3117" s="2"/>
      <c r="E3117" s="2" t="str">
        <f>"FES1162545407"</f>
        <v>FES1162545407</v>
      </c>
      <c r="F3117" s="3">
        <v>42850</v>
      </c>
      <c r="G3117" s="2">
        <v>201710</v>
      </c>
      <c r="H3117" s="2" t="s">
        <v>74</v>
      </c>
      <c r="I3117" s="2" t="s">
        <v>75</v>
      </c>
      <c r="J3117" s="2" t="s">
        <v>76</v>
      </c>
      <c r="K3117" s="2" t="s">
        <v>77</v>
      </c>
      <c r="L3117" s="2" t="s">
        <v>234</v>
      </c>
      <c r="M3117" s="2" t="s">
        <v>235</v>
      </c>
      <c r="N3117" s="2" t="s">
        <v>236</v>
      </c>
      <c r="O3117" s="2" t="s">
        <v>115</v>
      </c>
      <c r="P3117" s="2" t="str">
        <f>"2170560886                    "</f>
        <v xml:space="preserve">2170560886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4.29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1</v>
      </c>
      <c r="BJ3117" s="2">
        <v>0.2</v>
      </c>
      <c r="BK3117" s="2">
        <v>1</v>
      </c>
      <c r="BL3117" s="2">
        <v>41.73</v>
      </c>
      <c r="BM3117" s="2">
        <v>5.84</v>
      </c>
      <c r="BN3117" s="2">
        <v>47.57</v>
      </c>
      <c r="BO3117" s="2">
        <v>47.57</v>
      </c>
      <c r="BP3117" s="2"/>
      <c r="BQ3117" s="2" t="s">
        <v>285</v>
      </c>
      <c r="BR3117" s="2" t="s">
        <v>84</v>
      </c>
      <c r="BS3117" s="3">
        <v>42851</v>
      </c>
      <c r="BT3117" s="4">
        <v>0.2902777777777778</v>
      </c>
      <c r="BU3117" s="2" t="s">
        <v>544</v>
      </c>
      <c r="BV3117" s="2" t="s">
        <v>111</v>
      </c>
      <c r="BW3117" s="2"/>
      <c r="BX3117" s="2"/>
      <c r="BY3117" s="2">
        <v>1200</v>
      </c>
      <c r="BZ3117" s="2"/>
      <c r="CA3117" s="2"/>
      <c r="CB3117" s="2"/>
      <c r="CC3117" s="2" t="s">
        <v>235</v>
      </c>
      <c r="CD3117" s="2">
        <v>6220</v>
      </c>
      <c r="CE3117" s="2" t="s">
        <v>118</v>
      </c>
      <c r="CF3117" s="5">
        <v>42853</v>
      </c>
      <c r="CG3117" s="2"/>
      <c r="CH3117" s="2"/>
      <c r="CI3117" s="2">
        <v>1</v>
      </c>
      <c r="CJ3117" s="2">
        <v>1</v>
      </c>
      <c r="CK3117" s="2">
        <v>21</v>
      </c>
      <c r="CL3117" s="2" t="s">
        <v>86</v>
      </c>
      <c r="CM3117" s="2"/>
    </row>
    <row r="3118" spans="1:91">
      <c r="A3118" s="2" t="s">
        <v>71</v>
      </c>
      <c r="B3118" s="2" t="s">
        <v>72</v>
      </c>
      <c r="C3118" s="2" t="s">
        <v>73</v>
      </c>
      <c r="D3118" s="2"/>
      <c r="E3118" s="2" t="str">
        <f>"FES1162545265"</f>
        <v>FES1162545265</v>
      </c>
      <c r="F3118" s="3">
        <v>42849</v>
      </c>
      <c r="G3118" s="2">
        <v>201710</v>
      </c>
      <c r="H3118" s="2" t="s">
        <v>74</v>
      </c>
      <c r="I3118" s="2" t="s">
        <v>75</v>
      </c>
      <c r="J3118" s="2" t="s">
        <v>76</v>
      </c>
      <c r="K3118" s="2" t="s">
        <v>77</v>
      </c>
      <c r="L3118" s="2" t="s">
        <v>131</v>
      </c>
      <c r="M3118" s="2" t="s">
        <v>132</v>
      </c>
      <c r="N3118" s="2" t="s">
        <v>1097</v>
      </c>
      <c r="O3118" s="2" t="s">
        <v>115</v>
      </c>
      <c r="P3118" s="2" t="str">
        <f>"2170563750                    "</f>
        <v xml:space="preserve">2170563750  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4.29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1</v>
      </c>
      <c r="BJ3118" s="2">
        <v>0.2</v>
      </c>
      <c r="BK3118" s="2">
        <v>1</v>
      </c>
      <c r="BL3118" s="2">
        <v>41.73</v>
      </c>
      <c r="BM3118" s="2">
        <v>5.84</v>
      </c>
      <c r="BN3118" s="2">
        <v>47.57</v>
      </c>
      <c r="BO3118" s="2">
        <v>47.57</v>
      </c>
      <c r="BP3118" s="2"/>
      <c r="BQ3118" s="2" t="s">
        <v>1098</v>
      </c>
      <c r="BR3118" s="2" t="s">
        <v>84</v>
      </c>
      <c r="BS3118" s="3">
        <v>42851</v>
      </c>
      <c r="BT3118" s="4">
        <v>0.4201388888888889</v>
      </c>
      <c r="BU3118" s="2" t="s">
        <v>2434</v>
      </c>
      <c r="BV3118" s="2" t="s">
        <v>86</v>
      </c>
      <c r="BW3118" s="2" t="s">
        <v>484</v>
      </c>
      <c r="BX3118" s="2" t="s">
        <v>1370</v>
      </c>
      <c r="BY3118" s="2">
        <v>1200</v>
      </c>
      <c r="BZ3118" s="2"/>
      <c r="CA3118" s="2"/>
      <c r="CB3118" s="2"/>
      <c r="CC3118" s="2" t="s">
        <v>132</v>
      </c>
      <c r="CD3118" s="2">
        <v>7925</v>
      </c>
      <c r="CE3118" s="2" t="s">
        <v>118</v>
      </c>
      <c r="CF3118" s="5">
        <v>42853</v>
      </c>
      <c r="CG3118" s="2"/>
      <c r="CH3118" s="2"/>
      <c r="CI3118" s="2">
        <v>1</v>
      </c>
      <c r="CJ3118" s="2">
        <v>2</v>
      </c>
      <c r="CK3118" s="2">
        <v>21</v>
      </c>
      <c r="CL3118" s="2" t="s">
        <v>86</v>
      </c>
      <c r="CM3118" s="2"/>
    </row>
    <row r="3119" spans="1:91">
      <c r="A3119" s="2" t="s">
        <v>71</v>
      </c>
      <c r="B3119" s="2" t="s">
        <v>72</v>
      </c>
      <c r="C3119" s="2" t="s">
        <v>73</v>
      </c>
      <c r="D3119" s="2"/>
      <c r="E3119" s="2" t="str">
        <f>"FES1162545164"</f>
        <v>FES1162545164</v>
      </c>
      <c r="F3119" s="3">
        <v>42849</v>
      </c>
      <c r="G3119" s="2">
        <v>201710</v>
      </c>
      <c r="H3119" s="2" t="s">
        <v>74</v>
      </c>
      <c r="I3119" s="2" t="s">
        <v>75</v>
      </c>
      <c r="J3119" s="2" t="s">
        <v>76</v>
      </c>
      <c r="K3119" s="2" t="s">
        <v>77</v>
      </c>
      <c r="L3119" s="2" t="s">
        <v>131</v>
      </c>
      <c r="M3119" s="2" t="s">
        <v>132</v>
      </c>
      <c r="N3119" s="2" t="s">
        <v>1680</v>
      </c>
      <c r="O3119" s="2" t="s">
        <v>115</v>
      </c>
      <c r="P3119" s="2" t="str">
        <f>"2170561940                    "</f>
        <v xml:space="preserve">2170561940 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4.29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1</v>
      </c>
      <c r="BJ3119" s="2">
        <v>0.2</v>
      </c>
      <c r="BK3119" s="2">
        <v>1</v>
      </c>
      <c r="BL3119" s="2">
        <v>41.73</v>
      </c>
      <c r="BM3119" s="2">
        <v>5.84</v>
      </c>
      <c r="BN3119" s="2">
        <v>47.57</v>
      </c>
      <c r="BO3119" s="2">
        <v>47.57</v>
      </c>
      <c r="BP3119" s="2"/>
      <c r="BQ3119" s="2" t="s">
        <v>129</v>
      </c>
      <c r="BR3119" s="2" t="s">
        <v>84</v>
      </c>
      <c r="BS3119" s="3">
        <v>42851</v>
      </c>
      <c r="BT3119" s="4">
        <v>0.34375</v>
      </c>
      <c r="BU3119" s="2" t="s">
        <v>3235</v>
      </c>
      <c r="BV3119" s="2" t="s">
        <v>86</v>
      </c>
      <c r="BW3119" s="2" t="s">
        <v>157</v>
      </c>
      <c r="BX3119" s="2" t="s">
        <v>3114</v>
      </c>
      <c r="BY3119" s="2">
        <v>1200</v>
      </c>
      <c r="BZ3119" s="2"/>
      <c r="CA3119" s="2"/>
      <c r="CB3119" s="2"/>
      <c r="CC3119" s="2" t="s">
        <v>132</v>
      </c>
      <c r="CD3119" s="2">
        <v>7493</v>
      </c>
      <c r="CE3119" s="2" t="s">
        <v>118</v>
      </c>
      <c r="CF3119" s="5">
        <v>42853</v>
      </c>
      <c r="CG3119" s="2"/>
      <c r="CH3119" s="2"/>
      <c r="CI3119" s="2">
        <v>1</v>
      </c>
      <c r="CJ3119" s="2">
        <v>2</v>
      </c>
      <c r="CK3119" s="2">
        <v>21</v>
      </c>
      <c r="CL3119" s="2" t="s">
        <v>86</v>
      </c>
      <c r="CM3119" s="2"/>
    </row>
    <row r="3120" spans="1:91">
      <c r="A3120" s="2" t="s">
        <v>71</v>
      </c>
      <c r="B3120" s="2" t="s">
        <v>72</v>
      </c>
      <c r="C3120" s="2" t="s">
        <v>73</v>
      </c>
      <c r="D3120" s="2"/>
      <c r="E3120" s="2" t="str">
        <f>"FES1162545186"</f>
        <v>FES1162545186</v>
      </c>
      <c r="F3120" s="3">
        <v>42850</v>
      </c>
      <c r="G3120" s="2">
        <v>201710</v>
      </c>
      <c r="H3120" s="2" t="s">
        <v>74</v>
      </c>
      <c r="I3120" s="2" t="s">
        <v>75</v>
      </c>
      <c r="J3120" s="2" t="s">
        <v>76</v>
      </c>
      <c r="K3120" s="2" t="s">
        <v>77</v>
      </c>
      <c r="L3120" s="2" t="s">
        <v>74</v>
      </c>
      <c r="M3120" s="2" t="s">
        <v>75</v>
      </c>
      <c r="N3120" s="2" t="s">
        <v>3236</v>
      </c>
      <c r="O3120" s="2" t="s">
        <v>115</v>
      </c>
      <c r="P3120" s="2" t="str">
        <f>"2170563674                    "</f>
        <v xml:space="preserve">2170563674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3.35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1</v>
      </c>
      <c r="BI3120" s="2">
        <v>1</v>
      </c>
      <c r="BJ3120" s="2">
        <v>0.2</v>
      </c>
      <c r="BK3120" s="2">
        <v>1</v>
      </c>
      <c r="BL3120" s="2">
        <v>32.6</v>
      </c>
      <c r="BM3120" s="2">
        <v>4.5599999999999996</v>
      </c>
      <c r="BN3120" s="2">
        <v>37.159999999999997</v>
      </c>
      <c r="BO3120" s="2">
        <v>37.159999999999997</v>
      </c>
      <c r="BP3120" s="2"/>
      <c r="BQ3120" s="2" t="s">
        <v>3237</v>
      </c>
      <c r="BR3120" s="2" t="s">
        <v>84</v>
      </c>
      <c r="BS3120" s="3">
        <v>42851</v>
      </c>
      <c r="BT3120" s="4">
        <v>0.39583333333333331</v>
      </c>
      <c r="BU3120" s="2" t="s">
        <v>3238</v>
      </c>
      <c r="BV3120" s="2" t="s">
        <v>111</v>
      </c>
      <c r="BW3120" s="2"/>
      <c r="BX3120" s="2"/>
      <c r="BY3120" s="2">
        <v>1200</v>
      </c>
      <c r="BZ3120" s="2"/>
      <c r="CA3120" s="2"/>
      <c r="CB3120" s="2"/>
      <c r="CC3120" s="2" t="s">
        <v>75</v>
      </c>
      <c r="CD3120" s="2">
        <v>1600</v>
      </c>
      <c r="CE3120" s="2" t="s">
        <v>118</v>
      </c>
      <c r="CF3120" s="5">
        <v>42853</v>
      </c>
      <c r="CG3120" s="2"/>
      <c r="CH3120" s="2"/>
      <c r="CI3120" s="2">
        <v>1</v>
      </c>
      <c r="CJ3120" s="2">
        <v>1</v>
      </c>
      <c r="CK3120" s="2">
        <v>22</v>
      </c>
      <c r="CL3120" s="2" t="s">
        <v>86</v>
      </c>
      <c r="CM3120" s="2"/>
    </row>
    <row r="3121" spans="1:91">
      <c r="A3121" s="2" t="s">
        <v>71</v>
      </c>
      <c r="B3121" s="2" t="s">
        <v>72</v>
      </c>
      <c r="C3121" s="2" t="s">
        <v>73</v>
      </c>
      <c r="D3121" s="2"/>
      <c r="E3121" s="2" t="str">
        <f>"FES1162545247"</f>
        <v>FES1162545247</v>
      </c>
      <c r="F3121" s="3">
        <v>42850</v>
      </c>
      <c r="G3121" s="2">
        <v>201710</v>
      </c>
      <c r="H3121" s="2" t="s">
        <v>74</v>
      </c>
      <c r="I3121" s="2" t="s">
        <v>75</v>
      </c>
      <c r="J3121" s="2" t="s">
        <v>76</v>
      </c>
      <c r="K3121" s="2" t="s">
        <v>77</v>
      </c>
      <c r="L3121" s="2" t="s">
        <v>74</v>
      </c>
      <c r="M3121" s="2" t="s">
        <v>75</v>
      </c>
      <c r="N3121" s="2" t="s">
        <v>488</v>
      </c>
      <c r="O3121" s="2" t="s">
        <v>115</v>
      </c>
      <c r="P3121" s="2" t="str">
        <f>"2170563741                    "</f>
        <v xml:space="preserve">2170563741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3.35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1</v>
      </c>
      <c r="BI3121" s="2">
        <v>1</v>
      </c>
      <c r="BJ3121" s="2">
        <v>0.2</v>
      </c>
      <c r="BK3121" s="2">
        <v>1</v>
      </c>
      <c r="BL3121" s="2">
        <v>32.6</v>
      </c>
      <c r="BM3121" s="2">
        <v>4.5599999999999996</v>
      </c>
      <c r="BN3121" s="2">
        <v>37.159999999999997</v>
      </c>
      <c r="BO3121" s="2">
        <v>37.159999999999997</v>
      </c>
      <c r="BP3121" s="2"/>
      <c r="BQ3121" s="2" t="s">
        <v>489</v>
      </c>
      <c r="BR3121" s="2" t="s">
        <v>84</v>
      </c>
      <c r="BS3121" s="3">
        <v>42851</v>
      </c>
      <c r="BT3121" s="4">
        <v>0.2986111111111111</v>
      </c>
      <c r="BU3121" s="2" t="s">
        <v>290</v>
      </c>
      <c r="BV3121" s="2" t="s">
        <v>111</v>
      </c>
      <c r="BW3121" s="2"/>
      <c r="BX3121" s="2"/>
      <c r="BY3121" s="2">
        <v>1200</v>
      </c>
      <c r="BZ3121" s="2"/>
      <c r="CA3121" s="2"/>
      <c r="CB3121" s="2"/>
      <c r="CC3121" s="2" t="s">
        <v>75</v>
      </c>
      <c r="CD3121" s="2">
        <v>1645</v>
      </c>
      <c r="CE3121" s="2" t="s">
        <v>118</v>
      </c>
      <c r="CF3121" s="5">
        <v>42853</v>
      </c>
      <c r="CG3121" s="2"/>
      <c r="CH3121" s="2"/>
      <c r="CI3121" s="2">
        <v>1</v>
      </c>
      <c r="CJ3121" s="2">
        <v>1</v>
      </c>
      <c r="CK3121" s="2">
        <v>22</v>
      </c>
      <c r="CL3121" s="2" t="s">
        <v>86</v>
      </c>
      <c r="CM3121" s="2"/>
    </row>
    <row r="3122" spans="1:91">
      <c r="A3122" s="2" t="s">
        <v>71</v>
      </c>
      <c r="B3122" s="2" t="s">
        <v>72</v>
      </c>
      <c r="C3122" s="2" t="s">
        <v>73</v>
      </c>
      <c r="D3122" s="2"/>
      <c r="E3122" s="2" t="str">
        <f>"FES1162545324"</f>
        <v>FES1162545324</v>
      </c>
      <c r="F3122" s="3">
        <v>42850</v>
      </c>
      <c r="G3122" s="2">
        <v>201710</v>
      </c>
      <c r="H3122" s="2" t="s">
        <v>74</v>
      </c>
      <c r="I3122" s="2" t="s">
        <v>75</v>
      </c>
      <c r="J3122" s="2" t="s">
        <v>76</v>
      </c>
      <c r="K3122" s="2" t="s">
        <v>77</v>
      </c>
      <c r="L3122" s="2" t="s">
        <v>91</v>
      </c>
      <c r="M3122" s="2" t="s">
        <v>92</v>
      </c>
      <c r="N3122" s="2" t="s">
        <v>2937</v>
      </c>
      <c r="O3122" s="2" t="s">
        <v>115</v>
      </c>
      <c r="P3122" s="2" t="str">
        <f>"2170563810                    "</f>
        <v xml:space="preserve">2170563810 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3.35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1</v>
      </c>
      <c r="BJ3122" s="2">
        <v>0.2</v>
      </c>
      <c r="BK3122" s="2">
        <v>1</v>
      </c>
      <c r="BL3122" s="2">
        <v>32.6</v>
      </c>
      <c r="BM3122" s="2">
        <v>4.5599999999999996</v>
      </c>
      <c r="BN3122" s="2">
        <v>37.159999999999997</v>
      </c>
      <c r="BO3122" s="2">
        <v>37.159999999999997</v>
      </c>
      <c r="BP3122" s="2"/>
      <c r="BQ3122" s="2" t="s">
        <v>122</v>
      </c>
      <c r="BR3122" s="2" t="s">
        <v>84</v>
      </c>
      <c r="BS3122" s="3">
        <v>42851</v>
      </c>
      <c r="BT3122" s="4">
        <v>0.38958333333333334</v>
      </c>
      <c r="BU3122" s="2" t="s">
        <v>2938</v>
      </c>
      <c r="BV3122" s="2" t="s">
        <v>111</v>
      </c>
      <c r="BW3122" s="2"/>
      <c r="BX3122" s="2"/>
      <c r="BY3122" s="2">
        <v>1200</v>
      </c>
      <c r="BZ3122" s="2"/>
      <c r="CA3122" s="2" t="s">
        <v>1687</v>
      </c>
      <c r="CB3122" s="2"/>
      <c r="CC3122" s="2" t="s">
        <v>92</v>
      </c>
      <c r="CD3122" s="2">
        <v>1406</v>
      </c>
      <c r="CE3122" s="2" t="s">
        <v>118</v>
      </c>
      <c r="CF3122" s="5">
        <v>42851</v>
      </c>
      <c r="CG3122" s="2"/>
      <c r="CH3122" s="2"/>
      <c r="CI3122" s="2">
        <v>1</v>
      </c>
      <c r="CJ3122" s="2">
        <v>1</v>
      </c>
      <c r="CK3122" s="2">
        <v>22</v>
      </c>
      <c r="CL3122" s="2" t="s">
        <v>86</v>
      </c>
      <c r="CM3122" s="2"/>
    </row>
    <row r="3123" spans="1:91">
      <c r="A3123" s="2" t="s">
        <v>71</v>
      </c>
      <c r="B3123" s="2" t="s">
        <v>72</v>
      </c>
      <c r="C3123" s="2" t="s">
        <v>73</v>
      </c>
      <c r="D3123" s="2"/>
      <c r="E3123" s="2" t="str">
        <f>"FES1162545181"</f>
        <v>FES1162545181</v>
      </c>
      <c r="F3123" s="3">
        <v>42850</v>
      </c>
      <c r="G3123" s="2">
        <v>201710</v>
      </c>
      <c r="H3123" s="2" t="s">
        <v>74</v>
      </c>
      <c r="I3123" s="2" t="s">
        <v>75</v>
      </c>
      <c r="J3123" s="2" t="s">
        <v>76</v>
      </c>
      <c r="K3123" s="2" t="s">
        <v>77</v>
      </c>
      <c r="L3123" s="2" t="s">
        <v>119</v>
      </c>
      <c r="M3123" s="2" t="s">
        <v>120</v>
      </c>
      <c r="N3123" s="2" t="s">
        <v>121</v>
      </c>
      <c r="O3123" s="2" t="s">
        <v>115</v>
      </c>
      <c r="P3123" s="2" t="str">
        <f>"2170563668                    "</f>
        <v xml:space="preserve">2170563668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3.35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1</v>
      </c>
      <c r="BI3123" s="2">
        <v>7</v>
      </c>
      <c r="BJ3123" s="2">
        <v>1.9</v>
      </c>
      <c r="BK3123" s="2">
        <v>7</v>
      </c>
      <c r="BL3123" s="2">
        <v>32.6</v>
      </c>
      <c r="BM3123" s="2">
        <v>4.5599999999999996</v>
      </c>
      <c r="BN3123" s="2">
        <v>37.159999999999997</v>
      </c>
      <c r="BO3123" s="2">
        <v>37.159999999999997</v>
      </c>
      <c r="BP3123" s="2"/>
      <c r="BQ3123" s="2" t="s">
        <v>122</v>
      </c>
      <c r="BR3123" s="2" t="s">
        <v>84</v>
      </c>
      <c r="BS3123" s="3">
        <v>42851</v>
      </c>
      <c r="BT3123" s="4">
        <v>0.42152777777777778</v>
      </c>
      <c r="BU3123" s="2" t="s">
        <v>3239</v>
      </c>
      <c r="BV3123" s="2" t="s">
        <v>111</v>
      </c>
      <c r="BW3123" s="2"/>
      <c r="BX3123" s="2"/>
      <c r="BY3123" s="2">
        <v>9472</v>
      </c>
      <c r="BZ3123" s="2"/>
      <c r="CA3123" s="2" t="s">
        <v>3240</v>
      </c>
      <c r="CB3123" s="2"/>
      <c r="CC3123" s="2" t="s">
        <v>120</v>
      </c>
      <c r="CD3123" s="2">
        <v>2163</v>
      </c>
      <c r="CE3123" s="2" t="s">
        <v>172</v>
      </c>
      <c r="CF3123" s="5">
        <v>42851</v>
      </c>
      <c r="CG3123" s="2"/>
      <c r="CH3123" s="2"/>
      <c r="CI3123" s="2">
        <v>1</v>
      </c>
      <c r="CJ3123" s="2">
        <v>1</v>
      </c>
      <c r="CK3123" s="2">
        <v>22</v>
      </c>
      <c r="CL3123" s="2" t="s">
        <v>86</v>
      </c>
      <c r="CM3123" s="2"/>
    </row>
    <row r="3124" spans="1:91">
      <c r="A3124" s="2" t="s">
        <v>71</v>
      </c>
      <c r="B3124" s="2" t="s">
        <v>72</v>
      </c>
      <c r="C3124" s="2" t="s">
        <v>73</v>
      </c>
      <c r="D3124" s="2"/>
      <c r="E3124" s="2" t="str">
        <f>"FES1162545218"</f>
        <v>FES1162545218</v>
      </c>
      <c r="F3124" s="3">
        <v>42850</v>
      </c>
      <c r="G3124" s="2">
        <v>201710</v>
      </c>
      <c r="H3124" s="2" t="s">
        <v>74</v>
      </c>
      <c r="I3124" s="2" t="s">
        <v>75</v>
      </c>
      <c r="J3124" s="2" t="s">
        <v>76</v>
      </c>
      <c r="K3124" s="2" t="s">
        <v>77</v>
      </c>
      <c r="L3124" s="2" t="s">
        <v>516</v>
      </c>
      <c r="M3124" s="2" t="s">
        <v>517</v>
      </c>
      <c r="N3124" s="2" t="s">
        <v>755</v>
      </c>
      <c r="O3124" s="2" t="s">
        <v>115</v>
      </c>
      <c r="P3124" s="2" t="str">
        <f>"2170563509                    "</f>
        <v xml:space="preserve">2170563509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3.35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2.9</v>
      </c>
      <c r="BJ3124" s="2">
        <v>4</v>
      </c>
      <c r="BK3124" s="2">
        <v>4</v>
      </c>
      <c r="BL3124" s="2">
        <v>32.6</v>
      </c>
      <c r="BM3124" s="2">
        <v>4.5599999999999996</v>
      </c>
      <c r="BN3124" s="2">
        <v>37.159999999999997</v>
      </c>
      <c r="BO3124" s="2">
        <v>37.159999999999997</v>
      </c>
      <c r="BP3124" s="2"/>
      <c r="BQ3124" s="2" t="s">
        <v>122</v>
      </c>
      <c r="BR3124" s="2" t="s">
        <v>84</v>
      </c>
      <c r="BS3124" s="3">
        <v>42851</v>
      </c>
      <c r="BT3124" s="4">
        <v>0.4826388888888889</v>
      </c>
      <c r="BU3124" s="2" t="s">
        <v>266</v>
      </c>
      <c r="BV3124" s="2" t="s">
        <v>86</v>
      </c>
      <c r="BW3124" s="2" t="s">
        <v>96</v>
      </c>
      <c r="BX3124" s="2" t="s">
        <v>812</v>
      </c>
      <c r="BY3124" s="2">
        <v>19796</v>
      </c>
      <c r="BZ3124" s="2"/>
      <c r="CA3124" s="2"/>
      <c r="CB3124" s="2"/>
      <c r="CC3124" s="2" t="s">
        <v>517</v>
      </c>
      <c r="CD3124" s="2">
        <v>1459</v>
      </c>
      <c r="CE3124" s="2" t="s">
        <v>89</v>
      </c>
      <c r="CF3124" s="5">
        <v>42853</v>
      </c>
      <c r="CG3124" s="2"/>
      <c r="CH3124" s="2"/>
      <c r="CI3124" s="2">
        <v>1</v>
      </c>
      <c r="CJ3124" s="2">
        <v>1</v>
      </c>
      <c r="CK3124" s="2">
        <v>22</v>
      </c>
      <c r="CL3124" s="2" t="s">
        <v>86</v>
      </c>
      <c r="CM3124" s="2"/>
    </row>
    <row r="3125" spans="1:91">
      <c r="A3125" s="2" t="s">
        <v>71</v>
      </c>
      <c r="B3125" s="2" t="s">
        <v>72</v>
      </c>
      <c r="C3125" s="2" t="s">
        <v>73</v>
      </c>
      <c r="D3125" s="2"/>
      <c r="E3125" s="2" t="str">
        <f>"FES1162545185"</f>
        <v>FES1162545185</v>
      </c>
      <c r="F3125" s="3">
        <v>42850</v>
      </c>
      <c r="G3125" s="2">
        <v>201710</v>
      </c>
      <c r="H3125" s="2" t="s">
        <v>74</v>
      </c>
      <c r="I3125" s="2" t="s">
        <v>75</v>
      </c>
      <c r="J3125" s="2" t="s">
        <v>76</v>
      </c>
      <c r="K3125" s="2" t="s">
        <v>77</v>
      </c>
      <c r="L3125" s="2" t="s">
        <v>496</v>
      </c>
      <c r="M3125" s="2" t="s">
        <v>497</v>
      </c>
      <c r="N3125" s="2" t="s">
        <v>523</v>
      </c>
      <c r="O3125" s="2" t="s">
        <v>115</v>
      </c>
      <c r="P3125" s="2" t="str">
        <f>"2170563673                    "</f>
        <v xml:space="preserve">2170563673  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3.35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1</v>
      </c>
      <c r="BJ3125" s="2">
        <v>0.2</v>
      </c>
      <c r="BK3125" s="2">
        <v>1</v>
      </c>
      <c r="BL3125" s="2">
        <v>32.6</v>
      </c>
      <c r="BM3125" s="2">
        <v>4.5599999999999996</v>
      </c>
      <c r="BN3125" s="2">
        <v>37.159999999999997</v>
      </c>
      <c r="BO3125" s="2">
        <v>37.159999999999997</v>
      </c>
      <c r="BP3125" s="2"/>
      <c r="BQ3125" s="2"/>
      <c r="BR3125" s="2" t="s">
        <v>84</v>
      </c>
      <c r="BS3125" s="3">
        <v>42851</v>
      </c>
      <c r="BT3125" s="4">
        <v>0.31180555555555556</v>
      </c>
      <c r="BU3125" s="2" t="s">
        <v>3241</v>
      </c>
      <c r="BV3125" s="2" t="s">
        <v>111</v>
      </c>
      <c r="BW3125" s="2"/>
      <c r="BX3125" s="2"/>
      <c r="BY3125" s="2">
        <v>1200</v>
      </c>
      <c r="BZ3125" s="2"/>
      <c r="CA3125" s="2"/>
      <c r="CB3125" s="2"/>
      <c r="CC3125" s="2" t="s">
        <v>497</v>
      </c>
      <c r="CD3125" s="2">
        <v>1559</v>
      </c>
      <c r="CE3125" s="2" t="s">
        <v>118</v>
      </c>
      <c r="CF3125" s="5">
        <v>42853</v>
      </c>
      <c r="CG3125" s="2"/>
      <c r="CH3125" s="2"/>
      <c r="CI3125" s="2">
        <v>1</v>
      </c>
      <c r="CJ3125" s="2">
        <v>1</v>
      </c>
      <c r="CK3125" s="2">
        <v>22</v>
      </c>
      <c r="CL3125" s="2" t="s">
        <v>86</v>
      </c>
      <c r="CM3125" s="2"/>
    </row>
    <row r="3126" spans="1:91">
      <c r="A3126" s="2" t="s">
        <v>71</v>
      </c>
      <c r="B3126" s="2" t="s">
        <v>72</v>
      </c>
      <c r="C3126" s="2" t="s">
        <v>73</v>
      </c>
      <c r="D3126" s="2"/>
      <c r="E3126" s="2" t="str">
        <f>"FES1162545315"</f>
        <v>FES1162545315</v>
      </c>
      <c r="F3126" s="3">
        <v>42850</v>
      </c>
      <c r="G3126" s="2">
        <v>201710</v>
      </c>
      <c r="H3126" s="2" t="s">
        <v>74</v>
      </c>
      <c r="I3126" s="2" t="s">
        <v>75</v>
      </c>
      <c r="J3126" s="2" t="s">
        <v>76</v>
      </c>
      <c r="K3126" s="2" t="s">
        <v>77</v>
      </c>
      <c r="L3126" s="2" t="s">
        <v>2196</v>
      </c>
      <c r="M3126" s="2" t="s">
        <v>2196</v>
      </c>
      <c r="N3126" s="2" t="s">
        <v>3242</v>
      </c>
      <c r="O3126" s="2" t="s">
        <v>115</v>
      </c>
      <c r="P3126" s="2" t="str">
        <f>"2170563796                    "</f>
        <v xml:space="preserve">2170563796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6.03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1</v>
      </c>
      <c r="BJ3126" s="2">
        <v>0.2</v>
      </c>
      <c r="BK3126" s="2">
        <v>1</v>
      </c>
      <c r="BL3126" s="2">
        <v>58.68</v>
      </c>
      <c r="BM3126" s="2">
        <v>8.2200000000000006</v>
      </c>
      <c r="BN3126" s="2">
        <v>66.900000000000006</v>
      </c>
      <c r="BO3126" s="2">
        <v>66.900000000000006</v>
      </c>
      <c r="BP3126" s="2"/>
      <c r="BQ3126" s="2"/>
      <c r="BR3126" s="2" t="s">
        <v>84</v>
      </c>
      <c r="BS3126" s="3">
        <v>42851</v>
      </c>
      <c r="BT3126" s="4">
        <v>0.40625</v>
      </c>
      <c r="BU3126" s="2" t="s">
        <v>357</v>
      </c>
      <c r="BV3126" s="2" t="s">
        <v>111</v>
      </c>
      <c r="BW3126" s="2"/>
      <c r="BX3126" s="2"/>
      <c r="BY3126" s="2">
        <v>1200</v>
      </c>
      <c r="BZ3126" s="2"/>
      <c r="CA3126" s="2"/>
      <c r="CB3126" s="2"/>
      <c r="CC3126" s="2" t="s">
        <v>2196</v>
      </c>
      <c r="CD3126" s="2">
        <v>1491</v>
      </c>
      <c r="CE3126" s="2" t="s">
        <v>118</v>
      </c>
      <c r="CF3126" s="5">
        <v>42851</v>
      </c>
      <c r="CG3126" s="2"/>
      <c r="CH3126" s="2"/>
      <c r="CI3126" s="2">
        <v>1</v>
      </c>
      <c r="CJ3126" s="2">
        <v>1</v>
      </c>
      <c r="CK3126" s="2">
        <v>24</v>
      </c>
      <c r="CL3126" s="2" t="s">
        <v>86</v>
      </c>
      <c r="CM3126" s="2"/>
    </row>
    <row r="3127" spans="1:91">
      <c r="A3127" s="2" t="s">
        <v>71</v>
      </c>
      <c r="B3127" s="2" t="s">
        <v>72</v>
      </c>
      <c r="C3127" s="2" t="s">
        <v>73</v>
      </c>
      <c r="D3127" s="2"/>
      <c r="E3127" s="2" t="str">
        <f>"FES1162545316"</f>
        <v>FES1162545316</v>
      </c>
      <c r="F3127" s="3">
        <v>42850</v>
      </c>
      <c r="G3127" s="2">
        <v>201710</v>
      </c>
      <c r="H3127" s="2" t="s">
        <v>74</v>
      </c>
      <c r="I3127" s="2" t="s">
        <v>75</v>
      </c>
      <c r="J3127" s="2" t="s">
        <v>76</v>
      </c>
      <c r="K3127" s="2" t="s">
        <v>77</v>
      </c>
      <c r="L3127" s="2" t="s">
        <v>91</v>
      </c>
      <c r="M3127" s="2" t="s">
        <v>92</v>
      </c>
      <c r="N3127" s="2" t="s">
        <v>2937</v>
      </c>
      <c r="O3127" s="2" t="s">
        <v>115</v>
      </c>
      <c r="P3127" s="2" t="str">
        <f>"217063793                     "</f>
        <v xml:space="preserve">217063793 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3.35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1</v>
      </c>
      <c r="BI3127" s="2">
        <v>1</v>
      </c>
      <c r="BJ3127" s="2">
        <v>0.2</v>
      </c>
      <c r="BK3127" s="2">
        <v>1</v>
      </c>
      <c r="BL3127" s="2">
        <v>32.6</v>
      </c>
      <c r="BM3127" s="2">
        <v>4.5599999999999996</v>
      </c>
      <c r="BN3127" s="2">
        <v>37.159999999999997</v>
      </c>
      <c r="BO3127" s="2">
        <v>37.159999999999997</v>
      </c>
      <c r="BP3127" s="2"/>
      <c r="BQ3127" s="2" t="s">
        <v>122</v>
      </c>
      <c r="BR3127" s="2" t="s">
        <v>84</v>
      </c>
      <c r="BS3127" s="3">
        <v>42851</v>
      </c>
      <c r="BT3127" s="4">
        <v>0.38958333333333334</v>
      </c>
      <c r="BU3127" s="2" t="s">
        <v>2938</v>
      </c>
      <c r="BV3127" s="2" t="s">
        <v>111</v>
      </c>
      <c r="BW3127" s="2"/>
      <c r="BX3127" s="2"/>
      <c r="BY3127" s="2">
        <v>1200</v>
      </c>
      <c r="BZ3127" s="2"/>
      <c r="CA3127" s="2" t="s">
        <v>1687</v>
      </c>
      <c r="CB3127" s="2"/>
      <c r="CC3127" s="2" t="s">
        <v>92</v>
      </c>
      <c r="CD3127" s="2">
        <v>1406</v>
      </c>
      <c r="CE3127" s="2" t="s">
        <v>118</v>
      </c>
      <c r="CF3127" s="5">
        <v>42851</v>
      </c>
      <c r="CG3127" s="2"/>
      <c r="CH3127" s="2"/>
      <c r="CI3127" s="2">
        <v>1</v>
      </c>
      <c r="CJ3127" s="2">
        <v>1</v>
      </c>
      <c r="CK3127" s="2">
        <v>22</v>
      </c>
      <c r="CL3127" s="2" t="s">
        <v>86</v>
      </c>
      <c r="CM3127" s="2"/>
    </row>
    <row r="3128" spans="1:91">
      <c r="A3128" s="2" t="s">
        <v>71</v>
      </c>
      <c r="B3128" s="2" t="s">
        <v>72</v>
      </c>
      <c r="C3128" s="2" t="s">
        <v>73</v>
      </c>
      <c r="D3128" s="2"/>
      <c r="E3128" s="2" t="str">
        <f>"FES1162545194"</f>
        <v>FES1162545194</v>
      </c>
      <c r="F3128" s="3">
        <v>42850</v>
      </c>
      <c r="G3128" s="2">
        <v>201710</v>
      </c>
      <c r="H3128" s="2" t="s">
        <v>74</v>
      </c>
      <c r="I3128" s="2" t="s">
        <v>75</v>
      </c>
      <c r="J3128" s="2" t="s">
        <v>76</v>
      </c>
      <c r="K3128" s="2" t="s">
        <v>77</v>
      </c>
      <c r="L3128" s="2" t="s">
        <v>166</v>
      </c>
      <c r="M3128" s="2" t="s">
        <v>167</v>
      </c>
      <c r="N3128" s="2" t="s">
        <v>3243</v>
      </c>
      <c r="O3128" s="2" t="s">
        <v>115</v>
      </c>
      <c r="P3128" s="2" t="str">
        <f>"2170563680                    "</f>
        <v xml:space="preserve">2170563680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3.35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1</v>
      </c>
      <c r="BI3128" s="2">
        <v>1</v>
      </c>
      <c r="BJ3128" s="2">
        <v>0.2</v>
      </c>
      <c r="BK3128" s="2">
        <v>1</v>
      </c>
      <c r="BL3128" s="2">
        <v>32.6</v>
      </c>
      <c r="BM3128" s="2">
        <v>4.5599999999999996</v>
      </c>
      <c r="BN3128" s="2">
        <v>37.159999999999997</v>
      </c>
      <c r="BO3128" s="2">
        <v>37.159999999999997</v>
      </c>
      <c r="BP3128" s="2"/>
      <c r="BQ3128" s="2" t="s">
        <v>3244</v>
      </c>
      <c r="BR3128" s="2" t="s">
        <v>84</v>
      </c>
      <c r="BS3128" s="3">
        <v>42851</v>
      </c>
      <c r="BT3128" s="4">
        <v>0.41666666666666669</v>
      </c>
      <c r="BU3128" s="2" t="s">
        <v>2152</v>
      </c>
      <c r="BV3128" s="2" t="s">
        <v>111</v>
      </c>
      <c r="BW3128" s="2"/>
      <c r="BX3128" s="2"/>
      <c r="BY3128" s="2">
        <v>1200</v>
      </c>
      <c r="BZ3128" s="2"/>
      <c r="CA3128" s="2" t="s">
        <v>3245</v>
      </c>
      <c r="CB3128" s="2"/>
      <c r="CC3128" s="2" t="s">
        <v>167</v>
      </c>
      <c r="CD3128" s="2">
        <v>2028</v>
      </c>
      <c r="CE3128" s="2" t="s">
        <v>118</v>
      </c>
      <c r="CF3128" s="5">
        <v>42851</v>
      </c>
      <c r="CG3128" s="2"/>
      <c r="CH3128" s="2"/>
      <c r="CI3128" s="2">
        <v>1</v>
      </c>
      <c r="CJ3128" s="2">
        <v>1</v>
      </c>
      <c r="CK3128" s="2">
        <v>22</v>
      </c>
      <c r="CL3128" s="2" t="s">
        <v>86</v>
      </c>
      <c r="CM3128" s="2"/>
    </row>
    <row r="3129" spans="1:91">
      <c r="A3129" s="2" t="s">
        <v>71</v>
      </c>
      <c r="B3129" s="2" t="s">
        <v>72</v>
      </c>
      <c r="C3129" s="2" t="s">
        <v>73</v>
      </c>
      <c r="D3129" s="2"/>
      <c r="E3129" s="2" t="str">
        <f>"FES1162545469"</f>
        <v>FES1162545469</v>
      </c>
      <c r="F3129" s="3">
        <v>42850</v>
      </c>
      <c r="G3129" s="2">
        <v>201710</v>
      </c>
      <c r="H3129" s="2" t="s">
        <v>74</v>
      </c>
      <c r="I3129" s="2" t="s">
        <v>75</v>
      </c>
      <c r="J3129" s="2" t="s">
        <v>76</v>
      </c>
      <c r="K3129" s="2" t="s">
        <v>77</v>
      </c>
      <c r="L3129" s="2" t="s">
        <v>537</v>
      </c>
      <c r="M3129" s="2" t="s">
        <v>538</v>
      </c>
      <c r="N3129" s="2" t="s">
        <v>695</v>
      </c>
      <c r="O3129" s="2" t="s">
        <v>115</v>
      </c>
      <c r="P3129" s="2" t="str">
        <f>"2170563976                    "</f>
        <v xml:space="preserve">2170563976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8.31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1</v>
      </c>
      <c r="BI3129" s="2">
        <v>1</v>
      </c>
      <c r="BJ3129" s="2">
        <v>0.2</v>
      </c>
      <c r="BK3129" s="2">
        <v>1</v>
      </c>
      <c r="BL3129" s="2">
        <v>80.849999999999994</v>
      </c>
      <c r="BM3129" s="2">
        <v>11.32</v>
      </c>
      <c r="BN3129" s="2">
        <v>92.17</v>
      </c>
      <c r="BO3129" s="2">
        <v>92.17</v>
      </c>
      <c r="BP3129" s="2"/>
      <c r="BQ3129" s="2" t="s">
        <v>2835</v>
      </c>
      <c r="BR3129" s="2" t="s">
        <v>84</v>
      </c>
      <c r="BS3129" s="3">
        <v>42851</v>
      </c>
      <c r="BT3129" s="4">
        <v>0.4375</v>
      </c>
      <c r="BU3129" s="2" t="s">
        <v>245</v>
      </c>
      <c r="BV3129" s="2" t="s">
        <v>111</v>
      </c>
      <c r="BW3129" s="2"/>
      <c r="BX3129" s="2"/>
      <c r="BY3129" s="2">
        <v>1200</v>
      </c>
      <c r="BZ3129" s="2"/>
      <c r="CA3129" s="2"/>
      <c r="CB3129" s="2"/>
      <c r="CC3129" s="2" t="s">
        <v>538</v>
      </c>
      <c r="CD3129" s="2">
        <v>4339</v>
      </c>
      <c r="CE3129" s="2" t="s">
        <v>118</v>
      </c>
      <c r="CF3129" s="5">
        <v>42853</v>
      </c>
      <c r="CG3129" s="2"/>
      <c r="CH3129" s="2"/>
      <c r="CI3129" s="2">
        <v>1</v>
      </c>
      <c r="CJ3129" s="2">
        <v>1</v>
      </c>
      <c r="CK3129" s="2">
        <v>23</v>
      </c>
      <c r="CL3129" s="2" t="s">
        <v>86</v>
      </c>
      <c r="CM3129" s="2"/>
    </row>
    <row r="3130" spans="1:91">
      <c r="A3130" s="2" t="s">
        <v>71</v>
      </c>
      <c r="B3130" s="2" t="s">
        <v>72</v>
      </c>
      <c r="C3130" s="2" t="s">
        <v>73</v>
      </c>
      <c r="D3130" s="2"/>
      <c r="E3130" s="2" t="str">
        <f>"FES1162545396"</f>
        <v>FES1162545396</v>
      </c>
      <c r="F3130" s="3">
        <v>42850</v>
      </c>
      <c r="G3130" s="2">
        <v>201710</v>
      </c>
      <c r="H3130" s="2" t="s">
        <v>74</v>
      </c>
      <c r="I3130" s="2" t="s">
        <v>75</v>
      </c>
      <c r="J3130" s="2" t="s">
        <v>76</v>
      </c>
      <c r="K3130" s="2" t="s">
        <v>77</v>
      </c>
      <c r="L3130" s="2" t="s">
        <v>496</v>
      </c>
      <c r="M3130" s="2" t="s">
        <v>497</v>
      </c>
      <c r="N3130" s="2" t="s">
        <v>3246</v>
      </c>
      <c r="O3130" s="2" t="s">
        <v>115</v>
      </c>
      <c r="P3130" s="2" t="str">
        <f>"21705+63912                   "</f>
        <v xml:space="preserve">21705+63912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3.35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1</v>
      </c>
      <c r="BI3130" s="2">
        <v>1</v>
      </c>
      <c r="BJ3130" s="2">
        <v>0.2</v>
      </c>
      <c r="BK3130" s="2">
        <v>1</v>
      </c>
      <c r="BL3130" s="2">
        <v>32.6</v>
      </c>
      <c r="BM3130" s="2">
        <v>4.5599999999999996</v>
      </c>
      <c r="BN3130" s="2">
        <v>37.159999999999997</v>
      </c>
      <c r="BO3130" s="2">
        <v>37.159999999999997</v>
      </c>
      <c r="BP3130" s="2"/>
      <c r="BQ3130" s="2" t="s">
        <v>3247</v>
      </c>
      <c r="BR3130" s="2" t="s">
        <v>84</v>
      </c>
      <c r="BS3130" s="3">
        <v>42851</v>
      </c>
      <c r="BT3130" s="4">
        <v>0.2986111111111111</v>
      </c>
      <c r="BU3130" s="2" t="s">
        <v>3248</v>
      </c>
      <c r="BV3130" s="2" t="s">
        <v>111</v>
      </c>
      <c r="BW3130" s="2"/>
      <c r="BX3130" s="2"/>
      <c r="BY3130" s="2">
        <v>1200</v>
      </c>
      <c r="BZ3130" s="2"/>
      <c r="CA3130" s="2"/>
      <c r="CB3130" s="2"/>
      <c r="CC3130" s="2" t="s">
        <v>497</v>
      </c>
      <c r="CD3130" s="2">
        <v>1559</v>
      </c>
      <c r="CE3130" s="2" t="s">
        <v>118</v>
      </c>
      <c r="CF3130" s="5">
        <v>42853</v>
      </c>
      <c r="CG3130" s="2"/>
      <c r="CH3130" s="2"/>
      <c r="CI3130" s="2">
        <v>1</v>
      </c>
      <c r="CJ3130" s="2">
        <v>1</v>
      </c>
      <c r="CK3130" s="2">
        <v>22</v>
      </c>
      <c r="CL3130" s="2" t="s">
        <v>86</v>
      </c>
      <c r="CM3130" s="2"/>
    </row>
    <row r="3131" spans="1:91">
      <c r="A3131" s="2" t="s">
        <v>71</v>
      </c>
      <c r="B3131" s="2" t="s">
        <v>72</v>
      </c>
      <c r="C3131" s="2" t="s">
        <v>73</v>
      </c>
      <c r="D3131" s="2"/>
      <c r="E3131" s="2" t="str">
        <f>"FES1162545386"</f>
        <v>FES1162545386</v>
      </c>
      <c r="F3131" s="3">
        <v>42850</v>
      </c>
      <c r="G3131" s="2">
        <v>201710</v>
      </c>
      <c r="H3131" s="2" t="s">
        <v>74</v>
      </c>
      <c r="I3131" s="2" t="s">
        <v>75</v>
      </c>
      <c r="J3131" s="2" t="s">
        <v>76</v>
      </c>
      <c r="K3131" s="2" t="s">
        <v>77</v>
      </c>
      <c r="L3131" s="2" t="s">
        <v>74</v>
      </c>
      <c r="M3131" s="2" t="s">
        <v>75</v>
      </c>
      <c r="N3131" s="2" t="s">
        <v>3249</v>
      </c>
      <c r="O3131" s="2" t="s">
        <v>115</v>
      </c>
      <c r="P3131" s="2" t="str">
        <f>"2170563896                    "</f>
        <v xml:space="preserve">2170563896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3.35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1</v>
      </c>
      <c r="BJ3131" s="2">
        <v>0.2</v>
      </c>
      <c r="BK3131" s="2">
        <v>1</v>
      </c>
      <c r="BL3131" s="2">
        <v>32.6</v>
      </c>
      <c r="BM3131" s="2">
        <v>4.5599999999999996</v>
      </c>
      <c r="BN3131" s="2">
        <v>37.159999999999997</v>
      </c>
      <c r="BO3131" s="2">
        <v>37.159999999999997</v>
      </c>
      <c r="BP3131" s="2"/>
      <c r="BQ3131" s="2" t="s">
        <v>3250</v>
      </c>
      <c r="BR3131" s="2" t="s">
        <v>84</v>
      </c>
      <c r="BS3131" s="3">
        <v>42851</v>
      </c>
      <c r="BT3131" s="4">
        <v>0.375</v>
      </c>
      <c r="BU3131" s="2" t="s">
        <v>2152</v>
      </c>
      <c r="BV3131" s="2" t="s">
        <v>111</v>
      </c>
      <c r="BW3131" s="2"/>
      <c r="BX3131" s="2"/>
      <c r="BY3131" s="2">
        <v>1200</v>
      </c>
      <c r="BZ3131" s="2"/>
      <c r="CA3131" s="2" t="s">
        <v>3130</v>
      </c>
      <c r="CB3131" s="2"/>
      <c r="CC3131" s="2" t="s">
        <v>75</v>
      </c>
      <c r="CD3131" s="2">
        <v>1609</v>
      </c>
      <c r="CE3131" s="2" t="s">
        <v>118</v>
      </c>
      <c r="CF3131" s="5">
        <v>42851</v>
      </c>
      <c r="CG3131" s="2"/>
      <c r="CH3131" s="2"/>
      <c r="CI3131" s="2">
        <v>1</v>
      </c>
      <c r="CJ3131" s="2">
        <v>1</v>
      </c>
      <c r="CK3131" s="2">
        <v>22</v>
      </c>
      <c r="CL3131" s="2" t="s">
        <v>86</v>
      </c>
      <c r="CM3131" s="2"/>
    </row>
    <row r="3132" spans="1:91">
      <c r="A3132" s="2" t="s">
        <v>71</v>
      </c>
      <c r="B3132" s="2" t="s">
        <v>72</v>
      </c>
      <c r="C3132" s="2" t="s">
        <v>73</v>
      </c>
      <c r="D3132" s="2"/>
      <c r="E3132" s="2" t="str">
        <f>"FES1162545466"</f>
        <v>FES1162545466</v>
      </c>
      <c r="F3132" s="3">
        <v>42850</v>
      </c>
      <c r="G3132" s="2">
        <v>201710</v>
      </c>
      <c r="H3132" s="2" t="s">
        <v>74</v>
      </c>
      <c r="I3132" s="2" t="s">
        <v>75</v>
      </c>
      <c r="J3132" s="2" t="s">
        <v>76</v>
      </c>
      <c r="K3132" s="2" t="s">
        <v>77</v>
      </c>
      <c r="L3132" s="2" t="s">
        <v>180</v>
      </c>
      <c r="M3132" s="2" t="s">
        <v>181</v>
      </c>
      <c r="N3132" s="2" t="s">
        <v>855</v>
      </c>
      <c r="O3132" s="2" t="s">
        <v>115</v>
      </c>
      <c r="P3132" s="2" t="str">
        <f>"2170563955                    "</f>
        <v xml:space="preserve">2170563955 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4.29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1</v>
      </c>
      <c r="BI3132" s="2">
        <v>1</v>
      </c>
      <c r="BJ3132" s="2">
        <v>0.2</v>
      </c>
      <c r="BK3132" s="2">
        <v>1</v>
      </c>
      <c r="BL3132" s="2">
        <v>41.73</v>
      </c>
      <c r="BM3132" s="2">
        <v>5.84</v>
      </c>
      <c r="BN3132" s="2">
        <v>47.57</v>
      </c>
      <c r="BO3132" s="2">
        <v>47.57</v>
      </c>
      <c r="BP3132" s="2"/>
      <c r="BQ3132" s="2" t="s">
        <v>122</v>
      </c>
      <c r="BR3132" s="2" t="s">
        <v>84</v>
      </c>
      <c r="BS3132" s="3">
        <v>42851</v>
      </c>
      <c r="BT3132" s="4">
        <v>0.28819444444444448</v>
      </c>
      <c r="BU3132" s="2" t="s">
        <v>130</v>
      </c>
      <c r="BV3132" s="2" t="s">
        <v>111</v>
      </c>
      <c r="BW3132" s="2"/>
      <c r="BX3132" s="2"/>
      <c r="BY3132" s="2">
        <v>1200</v>
      </c>
      <c r="BZ3132" s="2"/>
      <c r="CA3132" s="2"/>
      <c r="CB3132" s="2"/>
      <c r="CC3132" s="2" t="s">
        <v>181</v>
      </c>
      <c r="CD3132" s="2">
        <v>4093</v>
      </c>
      <c r="CE3132" s="2" t="s">
        <v>118</v>
      </c>
      <c r="CF3132" s="5">
        <v>42853</v>
      </c>
      <c r="CG3132" s="2"/>
      <c r="CH3132" s="2"/>
      <c r="CI3132" s="2">
        <v>1</v>
      </c>
      <c r="CJ3132" s="2">
        <v>1</v>
      </c>
      <c r="CK3132" s="2">
        <v>21</v>
      </c>
      <c r="CL3132" s="2" t="s">
        <v>86</v>
      </c>
      <c r="CM3132" s="2"/>
    </row>
    <row r="3133" spans="1:91">
      <c r="A3133" s="2" t="s">
        <v>71</v>
      </c>
      <c r="B3133" s="2" t="s">
        <v>72</v>
      </c>
      <c r="C3133" s="2" t="s">
        <v>73</v>
      </c>
      <c r="D3133" s="2"/>
      <c r="E3133" s="2" t="str">
        <f>"FES1162545499"</f>
        <v>FES1162545499</v>
      </c>
      <c r="F3133" s="3">
        <v>42850</v>
      </c>
      <c r="G3133" s="2">
        <v>201710</v>
      </c>
      <c r="H3133" s="2" t="s">
        <v>74</v>
      </c>
      <c r="I3133" s="2" t="s">
        <v>75</v>
      </c>
      <c r="J3133" s="2" t="s">
        <v>76</v>
      </c>
      <c r="K3133" s="2" t="s">
        <v>77</v>
      </c>
      <c r="L3133" s="2" t="s">
        <v>160</v>
      </c>
      <c r="M3133" s="2" t="s">
        <v>161</v>
      </c>
      <c r="N3133" s="2" t="s">
        <v>741</v>
      </c>
      <c r="O3133" s="2" t="s">
        <v>115</v>
      </c>
      <c r="P3133" s="2" t="str">
        <f>"2170564014                    "</f>
        <v xml:space="preserve">2170564014      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4.29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1</v>
      </c>
      <c r="BJ3133" s="2">
        <v>0.2</v>
      </c>
      <c r="BK3133" s="2">
        <v>1</v>
      </c>
      <c r="BL3133" s="2">
        <v>41.73</v>
      </c>
      <c r="BM3133" s="2">
        <v>5.84</v>
      </c>
      <c r="BN3133" s="2">
        <v>47.57</v>
      </c>
      <c r="BO3133" s="2">
        <v>47.57</v>
      </c>
      <c r="BP3133" s="2"/>
      <c r="BQ3133" s="2" t="s">
        <v>742</v>
      </c>
      <c r="BR3133" s="2" t="s">
        <v>84</v>
      </c>
      <c r="BS3133" s="3">
        <v>42851</v>
      </c>
      <c r="BT3133" s="4">
        <v>0.46180555555555558</v>
      </c>
      <c r="BU3133" s="2" t="s">
        <v>743</v>
      </c>
      <c r="BV3133" s="2" t="s">
        <v>111</v>
      </c>
      <c r="BW3133" s="2"/>
      <c r="BX3133" s="2"/>
      <c r="BY3133" s="2">
        <v>1200</v>
      </c>
      <c r="BZ3133" s="2"/>
      <c r="CA3133" s="2"/>
      <c r="CB3133" s="2"/>
      <c r="CC3133" s="2" t="s">
        <v>161</v>
      </c>
      <c r="CD3133" s="2">
        <v>5201</v>
      </c>
      <c r="CE3133" s="2" t="s">
        <v>118</v>
      </c>
      <c r="CF3133" s="2"/>
      <c r="CG3133" s="2"/>
      <c r="CH3133" s="2"/>
      <c r="CI3133" s="2">
        <v>1</v>
      </c>
      <c r="CJ3133" s="2">
        <v>1</v>
      </c>
      <c r="CK3133" s="2">
        <v>21</v>
      </c>
      <c r="CL3133" s="2" t="s">
        <v>86</v>
      </c>
      <c r="CM3133" s="2"/>
    </row>
    <row r="3134" spans="1:91">
      <c r="A3134" s="2" t="s">
        <v>71</v>
      </c>
      <c r="B3134" s="2" t="s">
        <v>72</v>
      </c>
      <c r="C3134" s="2" t="s">
        <v>73</v>
      </c>
      <c r="D3134" s="2"/>
      <c r="E3134" s="2" t="str">
        <f>"FES1162545327"</f>
        <v>FES1162545327</v>
      </c>
      <c r="F3134" s="3">
        <v>42850</v>
      </c>
      <c r="G3134" s="2">
        <v>201710</v>
      </c>
      <c r="H3134" s="2" t="s">
        <v>74</v>
      </c>
      <c r="I3134" s="2" t="s">
        <v>75</v>
      </c>
      <c r="J3134" s="2" t="s">
        <v>76</v>
      </c>
      <c r="K3134" s="2" t="s">
        <v>77</v>
      </c>
      <c r="L3134" s="2" t="s">
        <v>91</v>
      </c>
      <c r="M3134" s="2" t="s">
        <v>92</v>
      </c>
      <c r="N3134" s="2" t="s">
        <v>93</v>
      </c>
      <c r="O3134" s="2" t="s">
        <v>115</v>
      </c>
      <c r="P3134" s="2" t="str">
        <f>"2170563791                    "</f>
        <v xml:space="preserve">2170563791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3.35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1</v>
      </c>
      <c r="BJ3134" s="2">
        <v>0.2</v>
      </c>
      <c r="BK3134" s="2">
        <v>1</v>
      </c>
      <c r="BL3134" s="2">
        <v>32.6</v>
      </c>
      <c r="BM3134" s="2">
        <v>4.5599999999999996</v>
      </c>
      <c r="BN3134" s="2">
        <v>37.159999999999997</v>
      </c>
      <c r="BO3134" s="2">
        <v>37.159999999999997</v>
      </c>
      <c r="BP3134" s="2"/>
      <c r="BQ3134" s="2" t="s">
        <v>94</v>
      </c>
      <c r="BR3134" s="2" t="s">
        <v>84</v>
      </c>
      <c r="BS3134" s="3">
        <v>42851</v>
      </c>
      <c r="BT3134" s="4">
        <v>0.41666666666666669</v>
      </c>
      <c r="BU3134" s="2" t="s">
        <v>290</v>
      </c>
      <c r="BV3134" s="2" t="s">
        <v>111</v>
      </c>
      <c r="BW3134" s="2"/>
      <c r="BX3134" s="2"/>
      <c r="BY3134" s="2">
        <v>1200</v>
      </c>
      <c r="BZ3134" s="2"/>
      <c r="CA3134" s="2"/>
      <c r="CB3134" s="2"/>
      <c r="CC3134" s="2" t="s">
        <v>92</v>
      </c>
      <c r="CD3134" s="2">
        <v>1401</v>
      </c>
      <c r="CE3134" s="2" t="s">
        <v>118</v>
      </c>
      <c r="CF3134" s="5">
        <v>42853</v>
      </c>
      <c r="CG3134" s="2"/>
      <c r="CH3134" s="2"/>
      <c r="CI3134" s="2">
        <v>1</v>
      </c>
      <c r="CJ3134" s="2">
        <v>1</v>
      </c>
      <c r="CK3134" s="2">
        <v>22</v>
      </c>
      <c r="CL3134" s="2" t="s">
        <v>86</v>
      </c>
      <c r="CM3134" s="2"/>
    </row>
    <row r="3135" spans="1:91">
      <c r="A3135" s="2" t="s">
        <v>71</v>
      </c>
      <c r="B3135" s="2" t="s">
        <v>72</v>
      </c>
      <c r="C3135" s="2" t="s">
        <v>73</v>
      </c>
      <c r="D3135" s="2"/>
      <c r="E3135" s="2" t="str">
        <f>"FES1162545484"</f>
        <v>FES1162545484</v>
      </c>
      <c r="F3135" s="3">
        <v>42850</v>
      </c>
      <c r="G3135" s="2">
        <v>201710</v>
      </c>
      <c r="H3135" s="2" t="s">
        <v>74</v>
      </c>
      <c r="I3135" s="2" t="s">
        <v>75</v>
      </c>
      <c r="J3135" s="2" t="s">
        <v>76</v>
      </c>
      <c r="K3135" s="2" t="s">
        <v>77</v>
      </c>
      <c r="L3135" s="2" t="s">
        <v>99</v>
      </c>
      <c r="M3135" s="2" t="s">
        <v>100</v>
      </c>
      <c r="N3135" s="2" t="s">
        <v>583</v>
      </c>
      <c r="O3135" s="2" t="s">
        <v>115</v>
      </c>
      <c r="P3135" s="2" t="str">
        <f>"2170563997                    "</f>
        <v xml:space="preserve">2170563997 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4.29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1</v>
      </c>
      <c r="BJ3135" s="2">
        <v>0.2</v>
      </c>
      <c r="BK3135" s="2">
        <v>1</v>
      </c>
      <c r="BL3135" s="2">
        <v>41.73</v>
      </c>
      <c r="BM3135" s="2">
        <v>5.84</v>
      </c>
      <c r="BN3135" s="2">
        <v>47.57</v>
      </c>
      <c r="BO3135" s="2">
        <v>47.57</v>
      </c>
      <c r="BP3135" s="2"/>
      <c r="BQ3135" s="2" t="s">
        <v>584</v>
      </c>
      <c r="BR3135" s="2" t="s">
        <v>84</v>
      </c>
      <c r="BS3135" s="3">
        <v>42851</v>
      </c>
      <c r="BT3135" s="4">
        <v>0.29791666666666666</v>
      </c>
      <c r="BU3135" s="2" t="s">
        <v>585</v>
      </c>
      <c r="BV3135" s="2" t="s">
        <v>111</v>
      </c>
      <c r="BW3135" s="2"/>
      <c r="BX3135" s="2"/>
      <c r="BY3135" s="2">
        <v>1200</v>
      </c>
      <c r="BZ3135" s="2"/>
      <c r="CA3135" s="2" t="s">
        <v>154</v>
      </c>
      <c r="CB3135" s="2"/>
      <c r="CC3135" s="2" t="s">
        <v>100</v>
      </c>
      <c r="CD3135" s="2">
        <v>6001</v>
      </c>
      <c r="CE3135" s="2" t="s">
        <v>118</v>
      </c>
      <c r="CF3135" s="5">
        <v>42851</v>
      </c>
      <c r="CG3135" s="2"/>
      <c r="CH3135" s="2"/>
      <c r="CI3135" s="2">
        <v>1</v>
      </c>
      <c r="CJ3135" s="2">
        <v>1</v>
      </c>
      <c r="CK3135" s="2">
        <v>21</v>
      </c>
      <c r="CL3135" s="2" t="s">
        <v>86</v>
      </c>
      <c r="CM3135" s="2"/>
    </row>
    <row r="3136" spans="1:91">
      <c r="A3136" s="2" t="s">
        <v>71</v>
      </c>
      <c r="B3136" s="2" t="s">
        <v>72</v>
      </c>
      <c r="C3136" s="2" t="s">
        <v>73</v>
      </c>
      <c r="D3136" s="2"/>
      <c r="E3136" s="2" t="str">
        <f>"FES1162545201"</f>
        <v>FES1162545201</v>
      </c>
      <c r="F3136" s="3">
        <v>42850</v>
      </c>
      <c r="G3136" s="2">
        <v>201710</v>
      </c>
      <c r="H3136" s="2" t="s">
        <v>74</v>
      </c>
      <c r="I3136" s="2" t="s">
        <v>75</v>
      </c>
      <c r="J3136" s="2" t="s">
        <v>76</v>
      </c>
      <c r="K3136" s="2" t="s">
        <v>77</v>
      </c>
      <c r="L3136" s="2" t="s">
        <v>294</v>
      </c>
      <c r="M3136" s="2" t="s">
        <v>295</v>
      </c>
      <c r="N3136" s="2" t="s">
        <v>296</v>
      </c>
      <c r="O3136" s="2" t="s">
        <v>115</v>
      </c>
      <c r="P3136" s="2" t="str">
        <f>"2170563692                    "</f>
        <v xml:space="preserve">2170563692 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4.29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1</v>
      </c>
      <c r="BI3136" s="2">
        <v>1</v>
      </c>
      <c r="BJ3136" s="2">
        <v>0.2</v>
      </c>
      <c r="BK3136" s="2">
        <v>1</v>
      </c>
      <c r="BL3136" s="2">
        <v>41.73</v>
      </c>
      <c r="BM3136" s="2">
        <v>5.84</v>
      </c>
      <c r="BN3136" s="2">
        <v>47.57</v>
      </c>
      <c r="BO3136" s="2">
        <v>47.57</v>
      </c>
      <c r="BP3136" s="2"/>
      <c r="BQ3136" s="2" t="s">
        <v>297</v>
      </c>
      <c r="BR3136" s="2" t="s">
        <v>84</v>
      </c>
      <c r="BS3136" s="3">
        <v>42851</v>
      </c>
      <c r="BT3136" s="4">
        <v>0.41180555555555554</v>
      </c>
      <c r="BU3136" s="2" t="s">
        <v>3251</v>
      </c>
      <c r="BV3136" s="2" t="s">
        <v>111</v>
      </c>
      <c r="BW3136" s="2"/>
      <c r="BX3136" s="2"/>
      <c r="BY3136" s="2">
        <v>1200</v>
      </c>
      <c r="BZ3136" s="2"/>
      <c r="CA3136" s="2"/>
      <c r="CB3136" s="2"/>
      <c r="CC3136" s="2" t="s">
        <v>295</v>
      </c>
      <c r="CD3136" s="2">
        <v>3620</v>
      </c>
      <c r="CE3136" s="2" t="s">
        <v>118</v>
      </c>
      <c r="CF3136" s="5">
        <v>42853</v>
      </c>
      <c r="CG3136" s="2"/>
      <c r="CH3136" s="2"/>
      <c r="CI3136" s="2">
        <v>1</v>
      </c>
      <c r="CJ3136" s="2">
        <v>1</v>
      </c>
      <c r="CK3136" s="2">
        <v>21</v>
      </c>
      <c r="CL3136" s="2" t="s">
        <v>86</v>
      </c>
      <c r="CM3136" s="2"/>
    </row>
    <row r="3137" spans="1:91">
      <c r="A3137" s="2" t="s">
        <v>71</v>
      </c>
      <c r="B3137" s="2" t="s">
        <v>72</v>
      </c>
      <c r="C3137" s="2" t="s">
        <v>73</v>
      </c>
      <c r="D3137" s="2"/>
      <c r="E3137" s="2" t="str">
        <f>"FES1162545463"</f>
        <v>FES1162545463</v>
      </c>
      <c r="F3137" s="3">
        <v>42850</v>
      </c>
      <c r="G3137" s="2">
        <v>201710</v>
      </c>
      <c r="H3137" s="2" t="s">
        <v>74</v>
      </c>
      <c r="I3137" s="2" t="s">
        <v>75</v>
      </c>
      <c r="J3137" s="2" t="s">
        <v>76</v>
      </c>
      <c r="K3137" s="2" t="s">
        <v>77</v>
      </c>
      <c r="L3137" s="2" t="s">
        <v>396</v>
      </c>
      <c r="M3137" s="2" t="s">
        <v>397</v>
      </c>
      <c r="N3137" s="2" t="s">
        <v>500</v>
      </c>
      <c r="O3137" s="2" t="s">
        <v>115</v>
      </c>
      <c r="P3137" s="2" t="str">
        <f>"2170563971                    "</f>
        <v xml:space="preserve">2170563971 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4.29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1</v>
      </c>
      <c r="BJ3137" s="2">
        <v>0.2</v>
      </c>
      <c r="BK3137" s="2">
        <v>1</v>
      </c>
      <c r="BL3137" s="2">
        <v>41.73</v>
      </c>
      <c r="BM3137" s="2">
        <v>5.84</v>
      </c>
      <c r="BN3137" s="2">
        <v>47.57</v>
      </c>
      <c r="BO3137" s="2">
        <v>47.57</v>
      </c>
      <c r="BP3137" s="2"/>
      <c r="BQ3137" s="2" t="s">
        <v>501</v>
      </c>
      <c r="BR3137" s="2" t="s">
        <v>84</v>
      </c>
      <c r="BS3137" s="3">
        <v>42851</v>
      </c>
      <c r="BT3137" s="4">
        <v>0.35416666666666669</v>
      </c>
      <c r="BU3137" s="2" t="s">
        <v>835</v>
      </c>
      <c r="BV3137" s="2" t="s">
        <v>111</v>
      </c>
      <c r="BW3137" s="2"/>
      <c r="BX3137" s="2"/>
      <c r="BY3137" s="2">
        <v>1200</v>
      </c>
      <c r="BZ3137" s="2"/>
      <c r="CA3137" s="2"/>
      <c r="CB3137" s="2"/>
      <c r="CC3137" s="2" t="s">
        <v>397</v>
      </c>
      <c r="CD3137" s="2">
        <v>4302</v>
      </c>
      <c r="CE3137" s="2" t="s">
        <v>118</v>
      </c>
      <c r="CF3137" s="5">
        <v>42853</v>
      </c>
      <c r="CG3137" s="2"/>
      <c r="CH3137" s="2"/>
      <c r="CI3137" s="2">
        <v>1</v>
      </c>
      <c r="CJ3137" s="2">
        <v>1</v>
      </c>
      <c r="CK3137" s="2">
        <v>21</v>
      </c>
      <c r="CL3137" s="2" t="s">
        <v>86</v>
      </c>
      <c r="CM3137" s="2"/>
    </row>
    <row r="3138" spans="1:91">
      <c r="A3138" s="2" t="s">
        <v>71</v>
      </c>
      <c r="B3138" s="2" t="s">
        <v>72</v>
      </c>
      <c r="C3138" s="2" t="s">
        <v>73</v>
      </c>
      <c r="D3138" s="2"/>
      <c r="E3138" s="2" t="str">
        <f>"FES1162545483"</f>
        <v>FES1162545483</v>
      </c>
      <c r="F3138" s="3">
        <v>42850</v>
      </c>
      <c r="G3138" s="2">
        <v>201710</v>
      </c>
      <c r="H3138" s="2" t="s">
        <v>74</v>
      </c>
      <c r="I3138" s="2" t="s">
        <v>75</v>
      </c>
      <c r="J3138" s="2" t="s">
        <v>76</v>
      </c>
      <c r="K3138" s="2" t="s">
        <v>77</v>
      </c>
      <c r="L3138" s="2" t="s">
        <v>99</v>
      </c>
      <c r="M3138" s="2" t="s">
        <v>100</v>
      </c>
      <c r="N3138" s="2" t="s">
        <v>101</v>
      </c>
      <c r="O3138" s="2" t="s">
        <v>115</v>
      </c>
      <c r="P3138" s="2" t="str">
        <f>"2170563996                    "</f>
        <v xml:space="preserve">2170563996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4.29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1</v>
      </c>
      <c r="BJ3138" s="2">
        <v>0.2</v>
      </c>
      <c r="BK3138" s="2">
        <v>1</v>
      </c>
      <c r="BL3138" s="2">
        <v>41.73</v>
      </c>
      <c r="BM3138" s="2">
        <v>5.84</v>
      </c>
      <c r="BN3138" s="2">
        <v>47.57</v>
      </c>
      <c r="BO3138" s="2">
        <v>47.57</v>
      </c>
      <c r="BP3138" s="2"/>
      <c r="BQ3138" s="2" t="s">
        <v>102</v>
      </c>
      <c r="BR3138" s="2" t="s">
        <v>84</v>
      </c>
      <c r="BS3138" s="3">
        <v>42851</v>
      </c>
      <c r="BT3138" s="4">
        <v>0.30208333333333331</v>
      </c>
      <c r="BU3138" s="2" t="s">
        <v>1253</v>
      </c>
      <c r="BV3138" s="2" t="s">
        <v>111</v>
      </c>
      <c r="BW3138" s="2"/>
      <c r="BX3138" s="2"/>
      <c r="BY3138" s="2">
        <v>1200</v>
      </c>
      <c r="BZ3138" s="2"/>
      <c r="CA3138" s="2" t="s">
        <v>106</v>
      </c>
      <c r="CB3138" s="2"/>
      <c r="CC3138" s="2" t="s">
        <v>100</v>
      </c>
      <c r="CD3138" s="2">
        <v>6012</v>
      </c>
      <c r="CE3138" s="2" t="s">
        <v>118</v>
      </c>
      <c r="CF3138" s="5">
        <v>42851</v>
      </c>
      <c r="CG3138" s="2"/>
      <c r="CH3138" s="2"/>
      <c r="CI3138" s="2">
        <v>1</v>
      </c>
      <c r="CJ3138" s="2">
        <v>1</v>
      </c>
      <c r="CK3138" s="2">
        <v>21</v>
      </c>
      <c r="CL3138" s="2" t="s">
        <v>86</v>
      </c>
      <c r="CM3138" s="2"/>
    </row>
    <row r="3139" spans="1:91">
      <c r="A3139" s="2" t="s">
        <v>71</v>
      </c>
      <c r="B3139" s="2" t="s">
        <v>72</v>
      </c>
      <c r="C3139" s="2" t="s">
        <v>73</v>
      </c>
      <c r="D3139" s="2"/>
      <c r="E3139" s="2" t="str">
        <f>"FES1162545353"</f>
        <v>FES1162545353</v>
      </c>
      <c r="F3139" s="3">
        <v>42850</v>
      </c>
      <c r="G3139" s="2">
        <v>201710</v>
      </c>
      <c r="H3139" s="2" t="s">
        <v>74</v>
      </c>
      <c r="I3139" s="2" t="s">
        <v>75</v>
      </c>
      <c r="J3139" s="2" t="s">
        <v>76</v>
      </c>
      <c r="K3139" s="2" t="s">
        <v>77</v>
      </c>
      <c r="L3139" s="2" t="s">
        <v>516</v>
      </c>
      <c r="M3139" s="2" t="s">
        <v>517</v>
      </c>
      <c r="N3139" s="2" t="s">
        <v>3252</v>
      </c>
      <c r="O3139" s="2" t="s">
        <v>115</v>
      </c>
      <c r="P3139" s="2" t="str">
        <f>"2170563845                    "</f>
        <v xml:space="preserve">2170563845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3.35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32.6</v>
      </c>
      <c r="BM3139" s="2">
        <v>4.5599999999999996</v>
      </c>
      <c r="BN3139" s="2">
        <v>37.159999999999997</v>
      </c>
      <c r="BO3139" s="2">
        <v>37.159999999999997</v>
      </c>
      <c r="BP3139" s="2"/>
      <c r="BQ3139" s="2" t="s">
        <v>3253</v>
      </c>
      <c r="BR3139" s="2" t="s">
        <v>84</v>
      </c>
      <c r="BS3139" s="3">
        <v>42851</v>
      </c>
      <c r="BT3139" s="4">
        <v>0.3576388888888889</v>
      </c>
      <c r="BU3139" s="2" t="s">
        <v>1159</v>
      </c>
      <c r="BV3139" s="2" t="s">
        <v>111</v>
      </c>
      <c r="BW3139" s="2"/>
      <c r="BX3139" s="2"/>
      <c r="BY3139" s="2">
        <v>1200</v>
      </c>
      <c r="BZ3139" s="2"/>
      <c r="CA3139" s="2" t="s">
        <v>159</v>
      </c>
      <c r="CB3139" s="2"/>
      <c r="CC3139" s="2" t="s">
        <v>517</v>
      </c>
      <c r="CD3139" s="2">
        <v>1459</v>
      </c>
      <c r="CE3139" s="2" t="s">
        <v>118</v>
      </c>
      <c r="CF3139" s="5">
        <v>42853</v>
      </c>
      <c r="CG3139" s="2"/>
      <c r="CH3139" s="2"/>
      <c r="CI3139" s="2">
        <v>1</v>
      </c>
      <c r="CJ3139" s="2">
        <v>1</v>
      </c>
      <c r="CK3139" s="2">
        <v>22</v>
      </c>
      <c r="CL3139" s="2" t="s">
        <v>86</v>
      </c>
      <c r="CM3139" s="2"/>
    </row>
    <row r="3140" spans="1:91">
      <c r="A3140" s="2" t="s">
        <v>71</v>
      </c>
      <c r="B3140" s="2" t="s">
        <v>72</v>
      </c>
      <c r="C3140" s="2" t="s">
        <v>73</v>
      </c>
      <c r="D3140" s="2"/>
      <c r="E3140" s="2" t="str">
        <f>"FES1162545413"</f>
        <v>FES1162545413</v>
      </c>
      <c r="F3140" s="3">
        <v>42850</v>
      </c>
      <c r="G3140" s="2">
        <v>201710</v>
      </c>
      <c r="H3140" s="2" t="s">
        <v>74</v>
      </c>
      <c r="I3140" s="2" t="s">
        <v>75</v>
      </c>
      <c r="J3140" s="2" t="s">
        <v>76</v>
      </c>
      <c r="K3140" s="2" t="s">
        <v>77</v>
      </c>
      <c r="L3140" s="2" t="s">
        <v>99</v>
      </c>
      <c r="M3140" s="2" t="s">
        <v>100</v>
      </c>
      <c r="N3140" s="2" t="s">
        <v>101</v>
      </c>
      <c r="O3140" s="2" t="s">
        <v>115</v>
      </c>
      <c r="P3140" s="2" t="str">
        <f>"2170562388                    "</f>
        <v xml:space="preserve">2170562388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4.29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1</v>
      </c>
      <c r="BI3140" s="2">
        <v>1</v>
      </c>
      <c r="BJ3140" s="2">
        <v>0.2</v>
      </c>
      <c r="BK3140" s="2">
        <v>1</v>
      </c>
      <c r="BL3140" s="2">
        <v>41.73</v>
      </c>
      <c r="BM3140" s="2">
        <v>5.84</v>
      </c>
      <c r="BN3140" s="2">
        <v>47.57</v>
      </c>
      <c r="BO3140" s="2">
        <v>47.57</v>
      </c>
      <c r="BP3140" s="2"/>
      <c r="BQ3140" s="2" t="s">
        <v>102</v>
      </c>
      <c r="BR3140" s="2" t="s">
        <v>84</v>
      </c>
      <c r="BS3140" s="3">
        <v>42851</v>
      </c>
      <c r="BT3140" s="4">
        <v>0.30208333333333331</v>
      </c>
      <c r="BU3140" s="2" t="s">
        <v>3254</v>
      </c>
      <c r="BV3140" s="2" t="s">
        <v>111</v>
      </c>
      <c r="BW3140" s="2"/>
      <c r="BX3140" s="2"/>
      <c r="BY3140" s="2">
        <v>1200</v>
      </c>
      <c r="BZ3140" s="2"/>
      <c r="CA3140" s="2" t="s">
        <v>106</v>
      </c>
      <c r="CB3140" s="2"/>
      <c r="CC3140" s="2" t="s">
        <v>100</v>
      </c>
      <c r="CD3140" s="2">
        <v>6012</v>
      </c>
      <c r="CE3140" s="2" t="s">
        <v>118</v>
      </c>
      <c r="CF3140" s="5">
        <v>42851</v>
      </c>
      <c r="CG3140" s="2"/>
      <c r="CH3140" s="2"/>
      <c r="CI3140" s="2">
        <v>1</v>
      </c>
      <c r="CJ3140" s="2">
        <v>1</v>
      </c>
      <c r="CK3140" s="2">
        <v>21</v>
      </c>
      <c r="CL3140" s="2" t="s">
        <v>86</v>
      </c>
      <c r="CM3140" s="2"/>
    </row>
    <row r="3141" spans="1:91">
      <c r="A3141" s="2" t="s">
        <v>71</v>
      </c>
      <c r="B3141" s="2" t="s">
        <v>72</v>
      </c>
      <c r="C3141" s="2" t="s">
        <v>73</v>
      </c>
      <c r="D3141" s="2"/>
      <c r="E3141" s="2" t="str">
        <f>"FES1162545414"</f>
        <v>FES1162545414</v>
      </c>
      <c r="F3141" s="3">
        <v>42850</v>
      </c>
      <c r="G3141" s="2">
        <v>201710</v>
      </c>
      <c r="H3141" s="2" t="s">
        <v>74</v>
      </c>
      <c r="I3141" s="2" t="s">
        <v>75</v>
      </c>
      <c r="J3141" s="2" t="s">
        <v>76</v>
      </c>
      <c r="K3141" s="2" t="s">
        <v>77</v>
      </c>
      <c r="L3141" s="2" t="s">
        <v>187</v>
      </c>
      <c r="M3141" s="2" t="s">
        <v>146</v>
      </c>
      <c r="N3141" s="2" t="s">
        <v>3255</v>
      </c>
      <c r="O3141" s="2" t="s">
        <v>115</v>
      </c>
      <c r="P3141" s="2" t="str">
        <f>"2170563921                    "</f>
        <v xml:space="preserve">2170563921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4.29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1</v>
      </c>
      <c r="BJ3141" s="2">
        <v>0.2</v>
      </c>
      <c r="BK3141" s="2">
        <v>1</v>
      </c>
      <c r="BL3141" s="2">
        <v>41.73</v>
      </c>
      <c r="BM3141" s="2">
        <v>5.84</v>
      </c>
      <c r="BN3141" s="2">
        <v>47.57</v>
      </c>
      <c r="BO3141" s="2">
        <v>47.57</v>
      </c>
      <c r="BP3141" s="2"/>
      <c r="BQ3141" s="2"/>
      <c r="BR3141" s="2" t="s">
        <v>84</v>
      </c>
      <c r="BS3141" s="3">
        <v>42851</v>
      </c>
      <c r="BT3141" s="4">
        <v>0.4284722222222222</v>
      </c>
      <c r="BU3141" s="2" t="s">
        <v>3256</v>
      </c>
      <c r="BV3141" s="2" t="s">
        <v>111</v>
      </c>
      <c r="BW3141" s="2"/>
      <c r="BX3141" s="2"/>
      <c r="BY3141" s="2">
        <v>1200</v>
      </c>
      <c r="BZ3141" s="2"/>
      <c r="CA3141" s="2"/>
      <c r="CB3141" s="2"/>
      <c r="CC3141" s="2" t="s">
        <v>146</v>
      </c>
      <c r="CD3141" s="2">
        <v>183</v>
      </c>
      <c r="CE3141" s="2" t="s">
        <v>118</v>
      </c>
      <c r="CF3141" s="2"/>
      <c r="CG3141" s="2"/>
      <c r="CH3141" s="2"/>
      <c r="CI3141" s="2">
        <v>0</v>
      </c>
      <c r="CJ3141" s="2">
        <v>0</v>
      </c>
      <c r="CK3141" s="2">
        <v>21</v>
      </c>
      <c r="CL3141" s="2" t="s">
        <v>86</v>
      </c>
      <c r="CM3141" s="2"/>
    </row>
    <row r="3142" spans="1:91">
      <c r="A3142" s="2" t="s">
        <v>71</v>
      </c>
      <c r="B3142" s="2" t="s">
        <v>72</v>
      </c>
      <c r="C3142" s="2" t="s">
        <v>73</v>
      </c>
      <c r="D3142" s="2"/>
      <c r="E3142" s="2" t="str">
        <f>"FES1162545412"</f>
        <v>FES1162545412</v>
      </c>
      <c r="F3142" s="3">
        <v>42850</v>
      </c>
      <c r="G3142" s="2">
        <v>201710</v>
      </c>
      <c r="H3142" s="2" t="s">
        <v>74</v>
      </c>
      <c r="I3142" s="2" t="s">
        <v>75</v>
      </c>
      <c r="J3142" s="2" t="s">
        <v>76</v>
      </c>
      <c r="K3142" s="2" t="s">
        <v>77</v>
      </c>
      <c r="L3142" s="2" t="s">
        <v>231</v>
      </c>
      <c r="M3142" s="2" t="s">
        <v>232</v>
      </c>
      <c r="N3142" s="2" t="s">
        <v>334</v>
      </c>
      <c r="O3142" s="2" t="s">
        <v>115</v>
      </c>
      <c r="P3142" s="2" t="str">
        <f>"2170562113                    "</f>
        <v xml:space="preserve">2170562113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6.03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1</v>
      </c>
      <c r="BI3142" s="2">
        <v>1</v>
      </c>
      <c r="BJ3142" s="2">
        <v>0.2</v>
      </c>
      <c r="BK3142" s="2">
        <v>1</v>
      </c>
      <c r="BL3142" s="2">
        <v>58.68</v>
      </c>
      <c r="BM3142" s="2">
        <v>8.2200000000000006</v>
      </c>
      <c r="BN3142" s="2">
        <v>66.900000000000006</v>
      </c>
      <c r="BO3142" s="2">
        <v>66.900000000000006</v>
      </c>
      <c r="BP3142" s="2"/>
      <c r="BQ3142" s="2" t="s">
        <v>122</v>
      </c>
      <c r="BR3142" s="2" t="s">
        <v>84</v>
      </c>
      <c r="BS3142" s="3">
        <v>42851</v>
      </c>
      <c r="BT3142" s="4">
        <v>0.49722222222222223</v>
      </c>
      <c r="BU3142" s="2" t="s">
        <v>3257</v>
      </c>
      <c r="BV3142" s="2" t="s">
        <v>111</v>
      </c>
      <c r="BW3142" s="2"/>
      <c r="BX3142" s="2"/>
      <c r="BY3142" s="2">
        <v>1200</v>
      </c>
      <c r="BZ3142" s="2"/>
      <c r="CA3142" s="2"/>
      <c r="CB3142" s="2"/>
      <c r="CC3142" s="2" t="s">
        <v>232</v>
      </c>
      <c r="CD3142" s="2">
        <v>250</v>
      </c>
      <c r="CE3142" s="2" t="s">
        <v>118</v>
      </c>
      <c r="CF3142" s="2"/>
      <c r="CG3142" s="2"/>
      <c r="CH3142" s="2"/>
      <c r="CI3142" s="2">
        <v>1</v>
      </c>
      <c r="CJ3142" s="2">
        <v>1</v>
      </c>
      <c r="CK3142" s="2">
        <v>24</v>
      </c>
      <c r="CL3142" s="2" t="s">
        <v>86</v>
      </c>
      <c r="CM3142" s="2"/>
    </row>
    <row r="3143" spans="1:91">
      <c r="A3143" s="2" t="s">
        <v>71</v>
      </c>
      <c r="B3143" s="2" t="s">
        <v>72</v>
      </c>
      <c r="C3143" s="2" t="s">
        <v>73</v>
      </c>
      <c r="D3143" s="2"/>
      <c r="E3143" s="2" t="str">
        <f>"FES1162545378"</f>
        <v>FES1162545378</v>
      </c>
      <c r="F3143" s="3">
        <v>42850</v>
      </c>
      <c r="G3143" s="2">
        <v>201710</v>
      </c>
      <c r="H3143" s="2" t="s">
        <v>74</v>
      </c>
      <c r="I3143" s="2" t="s">
        <v>75</v>
      </c>
      <c r="J3143" s="2" t="s">
        <v>76</v>
      </c>
      <c r="K3143" s="2" t="s">
        <v>77</v>
      </c>
      <c r="L3143" s="2" t="s">
        <v>187</v>
      </c>
      <c r="M3143" s="2" t="s">
        <v>146</v>
      </c>
      <c r="N3143" s="2" t="s">
        <v>692</v>
      </c>
      <c r="O3143" s="2" t="s">
        <v>115</v>
      </c>
      <c r="P3143" s="2" t="str">
        <f>"2170563884                    "</f>
        <v xml:space="preserve">2170563884 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4.29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1</v>
      </c>
      <c r="BJ3143" s="2">
        <v>0.2</v>
      </c>
      <c r="BK3143" s="2">
        <v>1</v>
      </c>
      <c r="BL3143" s="2">
        <v>41.73</v>
      </c>
      <c r="BM3143" s="2">
        <v>5.84</v>
      </c>
      <c r="BN3143" s="2">
        <v>47.57</v>
      </c>
      <c r="BO3143" s="2">
        <v>47.57</v>
      </c>
      <c r="BP3143" s="2"/>
      <c r="BQ3143" s="2" t="s">
        <v>693</v>
      </c>
      <c r="BR3143" s="2" t="s">
        <v>84</v>
      </c>
      <c r="BS3143" s="3">
        <v>42851</v>
      </c>
      <c r="BT3143" s="4">
        <v>0.4201388888888889</v>
      </c>
      <c r="BU3143" s="2" t="s">
        <v>3258</v>
      </c>
      <c r="BV3143" s="2" t="s">
        <v>111</v>
      </c>
      <c r="BW3143" s="2"/>
      <c r="BX3143" s="2"/>
      <c r="BY3143" s="2">
        <v>1200</v>
      </c>
      <c r="BZ3143" s="2"/>
      <c r="CA3143" s="2"/>
      <c r="CB3143" s="2"/>
      <c r="CC3143" s="2" t="s">
        <v>146</v>
      </c>
      <c r="CD3143" s="2">
        <v>200</v>
      </c>
      <c r="CE3143" s="2" t="s">
        <v>118</v>
      </c>
      <c r="CF3143" s="2"/>
      <c r="CG3143" s="2"/>
      <c r="CH3143" s="2"/>
      <c r="CI3143" s="2">
        <v>0</v>
      </c>
      <c r="CJ3143" s="2">
        <v>0</v>
      </c>
      <c r="CK3143" s="2">
        <v>21</v>
      </c>
      <c r="CL3143" s="2" t="s">
        <v>86</v>
      </c>
      <c r="CM3143" s="2"/>
    </row>
    <row r="3144" spans="1:91">
      <c r="A3144" s="2" t="s">
        <v>71</v>
      </c>
      <c r="B3144" s="2" t="s">
        <v>72</v>
      </c>
      <c r="C3144" s="2" t="s">
        <v>73</v>
      </c>
      <c r="D3144" s="2"/>
      <c r="E3144" s="2" t="str">
        <f>"FES1162545394"</f>
        <v>FES1162545394</v>
      </c>
      <c r="F3144" s="3">
        <v>42850</v>
      </c>
      <c r="G3144" s="2">
        <v>201710</v>
      </c>
      <c r="H3144" s="2" t="s">
        <v>74</v>
      </c>
      <c r="I3144" s="2" t="s">
        <v>75</v>
      </c>
      <c r="J3144" s="2" t="s">
        <v>76</v>
      </c>
      <c r="K3144" s="2" t="s">
        <v>77</v>
      </c>
      <c r="L3144" s="2" t="s">
        <v>91</v>
      </c>
      <c r="M3144" s="2" t="s">
        <v>92</v>
      </c>
      <c r="N3144" s="2" t="s">
        <v>2304</v>
      </c>
      <c r="O3144" s="2" t="s">
        <v>115</v>
      </c>
      <c r="P3144" s="2" t="str">
        <f>"2170563910                    "</f>
        <v xml:space="preserve">2170563910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3.35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1</v>
      </c>
      <c r="BJ3144" s="2">
        <v>0.2</v>
      </c>
      <c r="BK3144" s="2">
        <v>1</v>
      </c>
      <c r="BL3144" s="2">
        <v>32.6</v>
      </c>
      <c r="BM3144" s="2">
        <v>4.5599999999999996</v>
      </c>
      <c r="BN3144" s="2">
        <v>37.159999999999997</v>
      </c>
      <c r="BO3144" s="2">
        <v>37.159999999999997</v>
      </c>
      <c r="BP3144" s="2"/>
      <c r="BQ3144" s="2" t="s">
        <v>2305</v>
      </c>
      <c r="BR3144" s="2" t="s">
        <v>84</v>
      </c>
      <c r="BS3144" s="3">
        <v>42851</v>
      </c>
      <c r="BT3144" s="4">
        <v>0.41666666666666669</v>
      </c>
      <c r="BU3144" s="2" t="s">
        <v>3259</v>
      </c>
      <c r="BV3144" s="2" t="s">
        <v>111</v>
      </c>
      <c r="BW3144" s="2"/>
      <c r="BX3144" s="2"/>
      <c r="BY3144" s="2">
        <v>1200</v>
      </c>
      <c r="BZ3144" s="2"/>
      <c r="CA3144" s="2"/>
      <c r="CB3144" s="2"/>
      <c r="CC3144" s="2" t="s">
        <v>92</v>
      </c>
      <c r="CD3144" s="2">
        <v>1428</v>
      </c>
      <c r="CE3144" s="2" t="s">
        <v>118</v>
      </c>
      <c r="CF3144" s="5">
        <v>42853</v>
      </c>
      <c r="CG3144" s="2"/>
      <c r="CH3144" s="2"/>
      <c r="CI3144" s="2">
        <v>1</v>
      </c>
      <c r="CJ3144" s="2">
        <v>1</v>
      </c>
      <c r="CK3144" s="2">
        <v>22</v>
      </c>
      <c r="CL3144" s="2" t="s">
        <v>86</v>
      </c>
      <c r="CM3144" s="2"/>
    </row>
    <row r="3145" spans="1:91">
      <c r="A3145" s="2" t="s">
        <v>71</v>
      </c>
      <c r="B3145" s="2" t="s">
        <v>72</v>
      </c>
      <c r="C3145" s="2" t="s">
        <v>73</v>
      </c>
      <c r="D3145" s="2"/>
      <c r="E3145" s="2" t="str">
        <f>"FES1162545491"</f>
        <v>FES1162545491</v>
      </c>
      <c r="F3145" s="3">
        <v>42850</v>
      </c>
      <c r="G3145" s="2">
        <v>201710</v>
      </c>
      <c r="H3145" s="2" t="s">
        <v>74</v>
      </c>
      <c r="I3145" s="2" t="s">
        <v>75</v>
      </c>
      <c r="J3145" s="2" t="s">
        <v>76</v>
      </c>
      <c r="K3145" s="2" t="s">
        <v>77</v>
      </c>
      <c r="L3145" s="2" t="s">
        <v>99</v>
      </c>
      <c r="M3145" s="2" t="s">
        <v>100</v>
      </c>
      <c r="N3145" s="2" t="s">
        <v>1682</v>
      </c>
      <c r="O3145" s="2" t="s">
        <v>115</v>
      </c>
      <c r="P3145" s="2" t="str">
        <f>"2170564006                    "</f>
        <v xml:space="preserve">2170564006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4.29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1</v>
      </c>
      <c r="BJ3145" s="2">
        <v>0.2</v>
      </c>
      <c r="BK3145" s="2">
        <v>1</v>
      </c>
      <c r="BL3145" s="2">
        <v>41.73</v>
      </c>
      <c r="BM3145" s="2">
        <v>5.84</v>
      </c>
      <c r="BN3145" s="2">
        <v>47.57</v>
      </c>
      <c r="BO3145" s="2">
        <v>47.57</v>
      </c>
      <c r="BP3145" s="2"/>
      <c r="BQ3145" s="2" t="s">
        <v>1683</v>
      </c>
      <c r="BR3145" s="2" t="s">
        <v>84</v>
      </c>
      <c r="BS3145" s="3">
        <v>42851</v>
      </c>
      <c r="BT3145" s="4">
        <v>0.36805555555555558</v>
      </c>
      <c r="BU3145" s="2" t="s">
        <v>544</v>
      </c>
      <c r="BV3145" s="2" t="s">
        <v>111</v>
      </c>
      <c r="BW3145" s="2"/>
      <c r="BX3145" s="2"/>
      <c r="BY3145" s="2">
        <v>1200</v>
      </c>
      <c r="BZ3145" s="2"/>
      <c r="CA3145" s="2"/>
      <c r="CB3145" s="2"/>
      <c r="CC3145" s="2" t="s">
        <v>100</v>
      </c>
      <c r="CD3145" s="2">
        <v>6001</v>
      </c>
      <c r="CE3145" s="2" t="s">
        <v>118</v>
      </c>
      <c r="CF3145" s="5">
        <v>42853</v>
      </c>
      <c r="CG3145" s="2"/>
      <c r="CH3145" s="2"/>
      <c r="CI3145" s="2">
        <v>1</v>
      </c>
      <c r="CJ3145" s="2">
        <v>1</v>
      </c>
      <c r="CK3145" s="2">
        <v>21</v>
      </c>
      <c r="CL3145" s="2" t="s">
        <v>86</v>
      </c>
      <c r="CM3145" s="2"/>
    </row>
    <row r="3146" spans="1:91">
      <c r="A3146" s="2" t="s">
        <v>71</v>
      </c>
      <c r="B3146" s="2" t="s">
        <v>72</v>
      </c>
      <c r="C3146" s="2" t="s">
        <v>73</v>
      </c>
      <c r="D3146" s="2"/>
      <c r="E3146" s="2" t="str">
        <f>"FES1162545366"</f>
        <v>FES1162545366</v>
      </c>
      <c r="F3146" s="3">
        <v>42850</v>
      </c>
      <c r="G3146" s="2">
        <v>201710</v>
      </c>
      <c r="H3146" s="2" t="s">
        <v>74</v>
      </c>
      <c r="I3146" s="2" t="s">
        <v>75</v>
      </c>
      <c r="J3146" s="2" t="s">
        <v>76</v>
      </c>
      <c r="K3146" s="2" t="s">
        <v>77</v>
      </c>
      <c r="L3146" s="2" t="s">
        <v>187</v>
      </c>
      <c r="M3146" s="2" t="s">
        <v>146</v>
      </c>
      <c r="N3146" s="2" t="s">
        <v>218</v>
      </c>
      <c r="O3146" s="2" t="s">
        <v>115</v>
      </c>
      <c r="P3146" s="2" t="str">
        <f>"2170563873                    "</f>
        <v xml:space="preserve">2170563873 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4.29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1.3</v>
      </c>
      <c r="BJ3146" s="2">
        <v>0.2</v>
      </c>
      <c r="BK3146" s="2">
        <v>1.5</v>
      </c>
      <c r="BL3146" s="2">
        <v>41.73</v>
      </c>
      <c r="BM3146" s="2">
        <v>5.84</v>
      </c>
      <c r="BN3146" s="2">
        <v>47.57</v>
      </c>
      <c r="BO3146" s="2">
        <v>47.57</v>
      </c>
      <c r="BP3146" s="2"/>
      <c r="BQ3146" s="2" t="s">
        <v>219</v>
      </c>
      <c r="BR3146" s="2" t="s">
        <v>84</v>
      </c>
      <c r="BS3146" s="3">
        <v>42851</v>
      </c>
      <c r="BT3146" s="4">
        <v>0.4201388888888889</v>
      </c>
      <c r="BU3146" s="2" t="s">
        <v>3260</v>
      </c>
      <c r="BV3146" s="2" t="s">
        <v>111</v>
      </c>
      <c r="BW3146" s="2"/>
      <c r="BX3146" s="2"/>
      <c r="BY3146" s="2">
        <v>1200</v>
      </c>
      <c r="BZ3146" s="2"/>
      <c r="CA3146" s="2"/>
      <c r="CB3146" s="2"/>
      <c r="CC3146" s="2" t="s">
        <v>146</v>
      </c>
      <c r="CD3146" s="2">
        <v>200</v>
      </c>
      <c r="CE3146" s="2" t="s">
        <v>118</v>
      </c>
      <c r="CF3146" s="2"/>
      <c r="CG3146" s="2"/>
      <c r="CH3146" s="2"/>
      <c r="CI3146" s="2">
        <v>0</v>
      </c>
      <c r="CJ3146" s="2">
        <v>0</v>
      </c>
      <c r="CK3146" s="2">
        <v>21</v>
      </c>
      <c r="CL3146" s="2" t="s">
        <v>86</v>
      </c>
      <c r="CM3146" s="2"/>
    </row>
    <row r="3147" spans="1:91">
      <c r="A3147" s="2" t="s">
        <v>71</v>
      </c>
      <c r="B3147" s="2" t="s">
        <v>72</v>
      </c>
      <c r="C3147" s="2" t="s">
        <v>73</v>
      </c>
      <c r="D3147" s="2"/>
      <c r="E3147" s="2" t="str">
        <f>"FES1162545374"</f>
        <v>FES1162545374</v>
      </c>
      <c r="F3147" s="3">
        <v>42850</v>
      </c>
      <c r="G3147" s="2">
        <v>201710</v>
      </c>
      <c r="H3147" s="2" t="s">
        <v>74</v>
      </c>
      <c r="I3147" s="2" t="s">
        <v>75</v>
      </c>
      <c r="J3147" s="2" t="s">
        <v>76</v>
      </c>
      <c r="K3147" s="2" t="s">
        <v>77</v>
      </c>
      <c r="L3147" s="2" t="s">
        <v>187</v>
      </c>
      <c r="M3147" s="2" t="s">
        <v>146</v>
      </c>
      <c r="N3147" s="2" t="s">
        <v>692</v>
      </c>
      <c r="O3147" s="2" t="s">
        <v>115</v>
      </c>
      <c r="P3147" s="2" t="str">
        <f>"2170563882                    "</f>
        <v xml:space="preserve">2170563882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4.29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1</v>
      </c>
      <c r="BJ3147" s="2">
        <v>0.2</v>
      </c>
      <c r="BK3147" s="2">
        <v>1</v>
      </c>
      <c r="BL3147" s="2">
        <v>41.73</v>
      </c>
      <c r="BM3147" s="2">
        <v>5.84</v>
      </c>
      <c r="BN3147" s="2">
        <v>47.57</v>
      </c>
      <c r="BO3147" s="2">
        <v>47.57</v>
      </c>
      <c r="BP3147" s="2"/>
      <c r="BQ3147" s="2" t="s">
        <v>693</v>
      </c>
      <c r="BR3147" s="2" t="s">
        <v>84</v>
      </c>
      <c r="BS3147" s="3">
        <v>42851</v>
      </c>
      <c r="BT3147" s="4">
        <v>0.4201388888888889</v>
      </c>
      <c r="BU3147" s="2" t="s">
        <v>3258</v>
      </c>
      <c r="BV3147" s="2" t="s">
        <v>111</v>
      </c>
      <c r="BW3147" s="2"/>
      <c r="BX3147" s="2"/>
      <c r="BY3147" s="2">
        <v>1200</v>
      </c>
      <c r="BZ3147" s="2"/>
      <c r="CA3147" s="2"/>
      <c r="CB3147" s="2"/>
      <c r="CC3147" s="2" t="s">
        <v>146</v>
      </c>
      <c r="CD3147" s="2">
        <v>200</v>
      </c>
      <c r="CE3147" s="2" t="s">
        <v>118</v>
      </c>
      <c r="CF3147" s="2"/>
      <c r="CG3147" s="2"/>
      <c r="CH3147" s="2"/>
      <c r="CI3147" s="2">
        <v>0</v>
      </c>
      <c r="CJ3147" s="2">
        <v>0</v>
      </c>
      <c r="CK3147" s="2">
        <v>21</v>
      </c>
      <c r="CL3147" s="2" t="s">
        <v>86</v>
      </c>
      <c r="CM3147" s="2"/>
    </row>
    <row r="3148" spans="1:91">
      <c r="A3148" s="2" t="s">
        <v>71</v>
      </c>
      <c r="B3148" s="2" t="s">
        <v>72</v>
      </c>
      <c r="C3148" s="2" t="s">
        <v>73</v>
      </c>
      <c r="D3148" s="2"/>
      <c r="E3148" s="2" t="str">
        <f>"FES1162545392"</f>
        <v>FES1162545392</v>
      </c>
      <c r="F3148" s="3">
        <v>42850</v>
      </c>
      <c r="G3148" s="2">
        <v>201710</v>
      </c>
      <c r="H3148" s="2" t="s">
        <v>74</v>
      </c>
      <c r="I3148" s="2" t="s">
        <v>75</v>
      </c>
      <c r="J3148" s="2" t="s">
        <v>76</v>
      </c>
      <c r="K3148" s="2" t="s">
        <v>77</v>
      </c>
      <c r="L3148" s="2" t="s">
        <v>267</v>
      </c>
      <c r="M3148" s="2" t="s">
        <v>268</v>
      </c>
      <c r="N3148" s="2" t="s">
        <v>3121</v>
      </c>
      <c r="O3148" s="2" t="s">
        <v>115</v>
      </c>
      <c r="P3148" s="2" t="str">
        <f>"2170563904                    "</f>
        <v xml:space="preserve">2170563904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3.35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1</v>
      </c>
      <c r="BJ3148" s="2">
        <v>0.2</v>
      </c>
      <c r="BK3148" s="2">
        <v>1</v>
      </c>
      <c r="BL3148" s="2">
        <v>32.6</v>
      </c>
      <c r="BM3148" s="2">
        <v>4.5599999999999996</v>
      </c>
      <c r="BN3148" s="2">
        <v>37.159999999999997</v>
      </c>
      <c r="BO3148" s="2">
        <v>37.159999999999997</v>
      </c>
      <c r="BP3148" s="2"/>
      <c r="BQ3148" s="2"/>
      <c r="BR3148" s="2" t="s">
        <v>84</v>
      </c>
      <c r="BS3148" s="3">
        <v>42851</v>
      </c>
      <c r="BT3148" s="4">
        <v>0.41666666666666669</v>
      </c>
      <c r="BU3148" s="2" t="s">
        <v>2921</v>
      </c>
      <c r="BV3148" s="2" t="s">
        <v>111</v>
      </c>
      <c r="BW3148" s="2"/>
      <c r="BX3148" s="2"/>
      <c r="BY3148" s="2">
        <v>1200</v>
      </c>
      <c r="BZ3148" s="2"/>
      <c r="CA3148" s="2"/>
      <c r="CB3148" s="2"/>
      <c r="CC3148" s="2" t="s">
        <v>268</v>
      </c>
      <c r="CD3148" s="2">
        <v>1709</v>
      </c>
      <c r="CE3148" s="2" t="s">
        <v>118</v>
      </c>
      <c r="CF3148" s="5">
        <v>42853</v>
      </c>
      <c r="CG3148" s="2"/>
      <c r="CH3148" s="2"/>
      <c r="CI3148" s="2">
        <v>1</v>
      </c>
      <c r="CJ3148" s="2">
        <v>1</v>
      </c>
      <c r="CK3148" s="2">
        <v>22</v>
      </c>
      <c r="CL3148" s="2" t="s">
        <v>86</v>
      </c>
      <c r="CM3148" s="2"/>
    </row>
    <row r="3149" spans="1:91">
      <c r="A3149" s="2" t="s">
        <v>71</v>
      </c>
      <c r="B3149" s="2" t="s">
        <v>72</v>
      </c>
      <c r="C3149" s="2" t="s">
        <v>73</v>
      </c>
      <c r="D3149" s="2"/>
      <c r="E3149" s="2" t="str">
        <f>"FES1162545455"</f>
        <v>FES1162545455</v>
      </c>
      <c r="F3149" s="3">
        <v>42850</v>
      </c>
      <c r="G3149" s="2">
        <v>201710</v>
      </c>
      <c r="H3149" s="2" t="s">
        <v>74</v>
      </c>
      <c r="I3149" s="2" t="s">
        <v>75</v>
      </c>
      <c r="J3149" s="2" t="s">
        <v>76</v>
      </c>
      <c r="K3149" s="2" t="s">
        <v>77</v>
      </c>
      <c r="L3149" s="2" t="s">
        <v>74</v>
      </c>
      <c r="M3149" s="2" t="s">
        <v>75</v>
      </c>
      <c r="N3149" s="2" t="s">
        <v>488</v>
      </c>
      <c r="O3149" s="2" t="s">
        <v>115</v>
      </c>
      <c r="P3149" s="2" t="str">
        <f>"2170563963                    "</f>
        <v xml:space="preserve">2170563963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3.35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1</v>
      </c>
      <c r="BJ3149" s="2">
        <v>0.2</v>
      </c>
      <c r="BK3149" s="2">
        <v>1</v>
      </c>
      <c r="BL3149" s="2">
        <v>32.6</v>
      </c>
      <c r="BM3149" s="2">
        <v>4.5599999999999996</v>
      </c>
      <c r="BN3149" s="2">
        <v>37.159999999999997</v>
      </c>
      <c r="BO3149" s="2">
        <v>37.159999999999997</v>
      </c>
      <c r="BP3149" s="2"/>
      <c r="BQ3149" s="2" t="s">
        <v>489</v>
      </c>
      <c r="BR3149" s="2" t="s">
        <v>84</v>
      </c>
      <c r="BS3149" s="3">
        <v>42851</v>
      </c>
      <c r="BT3149" s="4">
        <v>0.2986111111111111</v>
      </c>
      <c r="BU3149" s="2" t="s">
        <v>290</v>
      </c>
      <c r="BV3149" s="2" t="s">
        <v>111</v>
      </c>
      <c r="BW3149" s="2"/>
      <c r="BX3149" s="2"/>
      <c r="BY3149" s="2">
        <v>1200</v>
      </c>
      <c r="BZ3149" s="2"/>
      <c r="CA3149" s="2"/>
      <c r="CB3149" s="2"/>
      <c r="CC3149" s="2" t="s">
        <v>75</v>
      </c>
      <c r="CD3149" s="2">
        <v>1645</v>
      </c>
      <c r="CE3149" s="2" t="s">
        <v>118</v>
      </c>
      <c r="CF3149" s="5">
        <v>42853</v>
      </c>
      <c r="CG3149" s="2"/>
      <c r="CH3149" s="2"/>
      <c r="CI3149" s="2">
        <v>1</v>
      </c>
      <c r="CJ3149" s="2">
        <v>1</v>
      </c>
      <c r="CK3149" s="2">
        <v>22</v>
      </c>
      <c r="CL3149" s="2" t="s">
        <v>86</v>
      </c>
      <c r="CM3149" s="2"/>
    </row>
    <row r="3150" spans="1:91">
      <c r="A3150" s="2" t="s">
        <v>71</v>
      </c>
      <c r="B3150" s="2" t="s">
        <v>72</v>
      </c>
      <c r="C3150" s="2" t="s">
        <v>73</v>
      </c>
      <c r="D3150" s="2"/>
      <c r="E3150" s="2" t="str">
        <f>"FES1162545521"</f>
        <v>FES1162545521</v>
      </c>
      <c r="F3150" s="3">
        <v>42850</v>
      </c>
      <c r="G3150" s="2">
        <v>201710</v>
      </c>
      <c r="H3150" s="2" t="s">
        <v>74</v>
      </c>
      <c r="I3150" s="2" t="s">
        <v>75</v>
      </c>
      <c r="J3150" s="2" t="s">
        <v>76</v>
      </c>
      <c r="K3150" s="2" t="s">
        <v>77</v>
      </c>
      <c r="L3150" s="2" t="s">
        <v>131</v>
      </c>
      <c r="M3150" s="2" t="s">
        <v>132</v>
      </c>
      <c r="N3150" s="2" t="s">
        <v>1292</v>
      </c>
      <c r="O3150" s="2" t="s">
        <v>115</v>
      </c>
      <c r="P3150" s="2" t="str">
        <f>"217064045                     "</f>
        <v xml:space="preserve">217064045 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15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6.9</v>
      </c>
      <c r="BJ3150" s="2">
        <v>2.9</v>
      </c>
      <c r="BK3150" s="2">
        <v>7</v>
      </c>
      <c r="BL3150" s="2">
        <v>146.04</v>
      </c>
      <c r="BM3150" s="2">
        <v>20.45</v>
      </c>
      <c r="BN3150" s="2">
        <v>166.49</v>
      </c>
      <c r="BO3150" s="2">
        <v>166.49</v>
      </c>
      <c r="BP3150" s="2"/>
      <c r="BQ3150" s="2" t="s">
        <v>129</v>
      </c>
      <c r="BR3150" s="2" t="s">
        <v>84</v>
      </c>
      <c r="BS3150" s="3">
        <v>42851</v>
      </c>
      <c r="BT3150" s="4">
        <v>0.35069444444444442</v>
      </c>
      <c r="BU3150" s="2" t="s">
        <v>138</v>
      </c>
      <c r="BV3150" s="2" t="s">
        <v>111</v>
      </c>
      <c r="BW3150" s="2"/>
      <c r="BX3150" s="2"/>
      <c r="BY3150" s="2">
        <v>14511.89</v>
      </c>
      <c r="BZ3150" s="2"/>
      <c r="CA3150" s="2"/>
      <c r="CB3150" s="2"/>
      <c r="CC3150" s="2" t="s">
        <v>132</v>
      </c>
      <c r="CD3150" s="2">
        <v>7493</v>
      </c>
      <c r="CE3150" s="2" t="s">
        <v>172</v>
      </c>
      <c r="CF3150" s="5">
        <v>42853</v>
      </c>
      <c r="CG3150" s="2"/>
      <c r="CH3150" s="2"/>
      <c r="CI3150" s="2">
        <v>1</v>
      </c>
      <c r="CJ3150" s="2">
        <v>1</v>
      </c>
      <c r="CK3150" s="2">
        <v>21</v>
      </c>
      <c r="CL3150" s="2" t="s">
        <v>86</v>
      </c>
      <c r="CM3150" s="2"/>
    </row>
    <row r="3151" spans="1:91">
      <c r="A3151" s="2" t="s">
        <v>71</v>
      </c>
      <c r="B3151" s="2" t="s">
        <v>72</v>
      </c>
      <c r="C3151" s="2" t="s">
        <v>73</v>
      </c>
      <c r="D3151" s="2"/>
      <c r="E3151" s="2" t="str">
        <f>"FES1162545505"</f>
        <v>FES1162545505</v>
      </c>
      <c r="F3151" s="3">
        <v>42850</v>
      </c>
      <c r="G3151" s="2">
        <v>201710</v>
      </c>
      <c r="H3151" s="2" t="s">
        <v>74</v>
      </c>
      <c r="I3151" s="2" t="s">
        <v>75</v>
      </c>
      <c r="J3151" s="2" t="s">
        <v>76</v>
      </c>
      <c r="K3151" s="2" t="s">
        <v>77</v>
      </c>
      <c r="L3151" s="2" t="s">
        <v>99</v>
      </c>
      <c r="M3151" s="2" t="s">
        <v>100</v>
      </c>
      <c r="N3151" s="2" t="s">
        <v>2672</v>
      </c>
      <c r="O3151" s="2" t="s">
        <v>115</v>
      </c>
      <c r="P3151" s="2" t="str">
        <f>"217064023                     "</f>
        <v xml:space="preserve">217064023 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4.29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1.1000000000000001</v>
      </c>
      <c r="BJ3151" s="2">
        <v>1.7</v>
      </c>
      <c r="BK3151" s="2">
        <v>2</v>
      </c>
      <c r="BL3151" s="2">
        <v>41.73</v>
      </c>
      <c r="BM3151" s="2">
        <v>5.84</v>
      </c>
      <c r="BN3151" s="2">
        <v>47.57</v>
      </c>
      <c r="BO3151" s="2">
        <v>47.57</v>
      </c>
      <c r="BP3151" s="2" t="s">
        <v>3261</v>
      </c>
      <c r="BQ3151" s="2" t="s">
        <v>2923</v>
      </c>
      <c r="BR3151" s="2" t="s">
        <v>84</v>
      </c>
      <c r="BS3151" s="3">
        <v>42851</v>
      </c>
      <c r="BT3151" s="4">
        <v>0.3034722222222222</v>
      </c>
      <c r="BU3151" s="2" t="s">
        <v>245</v>
      </c>
      <c r="BV3151" s="2" t="s">
        <v>111</v>
      </c>
      <c r="BW3151" s="2"/>
      <c r="BX3151" s="2"/>
      <c r="BY3151" s="2">
        <v>8295.2099999999991</v>
      </c>
      <c r="BZ3151" s="2"/>
      <c r="CA3151" s="2"/>
      <c r="CB3151" s="2"/>
      <c r="CC3151" s="2" t="s">
        <v>100</v>
      </c>
      <c r="CD3151" s="2">
        <v>6045</v>
      </c>
      <c r="CE3151" s="2" t="s">
        <v>89</v>
      </c>
      <c r="CF3151" s="5">
        <v>42853</v>
      </c>
      <c r="CG3151" s="2"/>
      <c r="CH3151" s="2"/>
      <c r="CI3151" s="2">
        <v>1</v>
      </c>
      <c r="CJ3151" s="2">
        <v>1</v>
      </c>
      <c r="CK3151" s="2">
        <v>21</v>
      </c>
      <c r="CL3151" s="2" t="s">
        <v>86</v>
      </c>
      <c r="CM3151" s="2"/>
    </row>
    <row r="3152" spans="1:91">
      <c r="A3152" s="2" t="s">
        <v>71</v>
      </c>
      <c r="B3152" s="2" t="s">
        <v>72</v>
      </c>
      <c r="C3152" s="2" t="s">
        <v>73</v>
      </c>
      <c r="D3152" s="2"/>
      <c r="E3152" s="2" t="str">
        <f>"FES1162545449"</f>
        <v>FES1162545449</v>
      </c>
      <c r="F3152" s="3">
        <v>42850</v>
      </c>
      <c r="G3152" s="2">
        <v>201710</v>
      </c>
      <c r="H3152" s="2" t="s">
        <v>74</v>
      </c>
      <c r="I3152" s="2" t="s">
        <v>75</v>
      </c>
      <c r="J3152" s="2" t="s">
        <v>76</v>
      </c>
      <c r="K3152" s="2" t="s">
        <v>77</v>
      </c>
      <c r="L3152" s="2" t="s">
        <v>358</v>
      </c>
      <c r="M3152" s="2" t="s">
        <v>359</v>
      </c>
      <c r="N3152" s="2" t="s">
        <v>1672</v>
      </c>
      <c r="O3152" s="2" t="s">
        <v>115</v>
      </c>
      <c r="P3152" s="2" t="str">
        <f>"2170561354                    "</f>
        <v xml:space="preserve">2170561354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4.29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2</v>
      </c>
      <c r="BJ3152" s="2">
        <v>1.7</v>
      </c>
      <c r="BK3152" s="2">
        <v>2</v>
      </c>
      <c r="BL3152" s="2">
        <v>41.73</v>
      </c>
      <c r="BM3152" s="2">
        <v>5.84</v>
      </c>
      <c r="BN3152" s="2">
        <v>47.57</v>
      </c>
      <c r="BO3152" s="2">
        <v>47.57</v>
      </c>
      <c r="BP3152" s="2"/>
      <c r="BQ3152" s="2" t="s">
        <v>2753</v>
      </c>
      <c r="BR3152" s="2" t="s">
        <v>84</v>
      </c>
      <c r="BS3152" s="3">
        <v>42851</v>
      </c>
      <c r="BT3152" s="4">
        <v>0.37361111111111112</v>
      </c>
      <c r="BU3152" s="2" t="s">
        <v>1673</v>
      </c>
      <c r="BV3152" s="2" t="s">
        <v>111</v>
      </c>
      <c r="BW3152" s="2"/>
      <c r="BX3152" s="2"/>
      <c r="BY3152" s="2">
        <v>8681.5300000000007</v>
      </c>
      <c r="BZ3152" s="2"/>
      <c r="CA3152" s="2"/>
      <c r="CB3152" s="2"/>
      <c r="CC3152" s="2" t="s">
        <v>359</v>
      </c>
      <c r="CD3152" s="2">
        <v>6230</v>
      </c>
      <c r="CE3152" s="2" t="s">
        <v>89</v>
      </c>
      <c r="CF3152" s="5">
        <v>42853</v>
      </c>
      <c r="CG3152" s="2"/>
      <c r="CH3152" s="2"/>
      <c r="CI3152" s="2">
        <v>1</v>
      </c>
      <c r="CJ3152" s="2">
        <v>1</v>
      </c>
      <c r="CK3152" s="2">
        <v>21</v>
      </c>
      <c r="CL3152" s="2" t="s">
        <v>86</v>
      </c>
      <c r="CM3152" s="2"/>
    </row>
    <row r="3153" spans="1:91">
      <c r="A3153" s="2" t="s">
        <v>71</v>
      </c>
      <c r="B3153" s="2" t="s">
        <v>72</v>
      </c>
      <c r="C3153" s="2" t="s">
        <v>73</v>
      </c>
      <c r="D3153" s="2"/>
      <c r="E3153" s="2" t="str">
        <f>"080001615543"</f>
        <v>080001615543</v>
      </c>
      <c r="F3153" s="3">
        <v>42850</v>
      </c>
      <c r="G3153" s="2">
        <v>201710</v>
      </c>
      <c r="H3153" s="2" t="s">
        <v>131</v>
      </c>
      <c r="I3153" s="2" t="s">
        <v>132</v>
      </c>
      <c r="J3153" s="2" t="s">
        <v>3262</v>
      </c>
      <c r="K3153" s="2" t="s">
        <v>77</v>
      </c>
      <c r="L3153" s="2" t="s">
        <v>74</v>
      </c>
      <c r="M3153" s="2" t="s">
        <v>75</v>
      </c>
      <c r="N3153" s="2" t="s">
        <v>200</v>
      </c>
      <c r="O3153" s="2" t="s">
        <v>115</v>
      </c>
      <c r="P3153" s="2" t="str">
        <f>"ZA1000637468                  "</f>
        <v xml:space="preserve">ZA1000637468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4.29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1</v>
      </c>
      <c r="BJ3153" s="2">
        <v>0.2</v>
      </c>
      <c r="BK3153" s="2">
        <v>1</v>
      </c>
      <c r="BL3153" s="2">
        <v>41.73</v>
      </c>
      <c r="BM3153" s="2">
        <v>5.84</v>
      </c>
      <c r="BN3153" s="2">
        <v>47.57</v>
      </c>
      <c r="BO3153" s="2">
        <v>47.57</v>
      </c>
      <c r="BP3153" s="2" t="s">
        <v>307</v>
      </c>
      <c r="BQ3153" s="2" t="s">
        <v>134</v>
      </c>
      <c r="BR3153" s="2" t="s">
        <v>1670</v>
      </c>
      <c r="BS3153" s="3">
        <v>42851</v>
      </c>
      <c r="BT3153" s="4">
        <v>0.38541666666666669</v>
      </c>
      <c r="BU3153" s="2" t="s">
        <v>134</v>
      </c>
      <c r="BV3153" s="2" t="s">
        <v>111</v>
      </c>
      <c r="BW3153" s="2"/>
      <c r="BX3153" s="2"/>
      <c r="BY3153" s="2">
        <v>1200</v>
      </c>
      <c r="BZ3153" s="2"/>
      <c r="CA3153" s="2"/>
      <c r="CB3153" s="2"/>
      <c r="CC3153" s="2" t="s">
        <v>75</v>
      </c>
      <c r="CD3153" s="2">
        <v>1601</v>
      </c>
      <c r="CE3153" s="2" t="s">
        <v>89</v>
      </c>
      <c r="CF3153" s="5">
        <v>42853</v>
      </c>
      <c r="CG3153" s="2"/>
      <c r="CH3153" s="2"/>
      <c r="CI3153" s="2">
        <v>1</v>
      </c>
      <c r="CJ3153" s="2">
        <v>1</v>
      </c>
      <c r="CK3153" s="2">
        <v>21</v>
      </c>
      <c r="CL3153" s="2" t="s">
        <v>86</v>
      </c>
      <c r="CM3153" s="2"/>
    </row>
    <row r="3154" spans="1:91">
      <c r="A3154" s="2" t="s">
        <v>71</v>
      </c>
      <c r="B3154" s="2" t="s">
        <v>72</v>
      </c>
      <c r="C3154" s="2" t="s">
        <v>73</v>
      </c>
      <c r="D3154" s="2"/>
      <c r="E3154" s="2" t="str">
        <f>"FES1162545577"</f>
        <v>FES1162545577</v>
      </c>
      <c r="F3154" s="3">
        <v>42850</v>
      </c>
      <c r="G3154" s="2">
        <v>201710</v>
      </c>
      <c r="H3154" s="2" t="s">
        <v>74</v>
      </c>
      <c r="I3154" s="2" t="s">
        <v>75</v>
      </c>
      <c r="J3154" s="2" t="s">
        <v>76</v>
      </c>
      <c r="K3154" s="2" t="s">
        <v>77</v>
      </c>
      <c r="L3154" s="2" t="s">
        <v>190</v>
      </c>
      <c r="M3154" s="2" t="s">
        <v>191</v>
      </c>
      <c r="N3154" s="2" t="s">
        <v>2492</v>
      </c>
      <c r="O3154" s="2" t="s">
        <v>115</v>
      </c>
      <c r="P3154" s="2" t="str">
        <f>"2170564095                    "</f>
        <v xml:space="preserve">2170564095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6.03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1</v>
      </c>
      <c r="BJ3154" s="2">
        <v>0.2</v>
      </c>
      <c r="BK3154" s="2">
        <v>1</v>
      </c>
      <c r="BL3154" s="2">
        <v>58.68</v>
      </c>
      <c r="BM3154" s="2">
        <v>8.2200000000000006</v>
      </c>
      <c r="BN3154" s="2">
        <v>66.900000000000006</v>
      </c>
      <c r="BO3154" s="2">
        <v>66.900000000000006</v>
      </c>
      <c r="BP3154" s="2"/>
      <c r="BQ3154" s="2" t="s">
        <v>3263</v>
      </c>
      <c r="BR3154" s="2" t="s">
        <v>84</v>
      </c>
      <c r="BS3154" s="3">
        <v>42851</v>
      </c>
      <c r="BT3154" s="4">
        <v>0.3298611111111111</v>
      </c>
      <c r="BU3154" s="2" t="s">
        <v>3264</v>
      </c>
      <c r="BV3154" s="2" t="s">
        <v>111</v>
      </c>
      <c r="BW3154" s="2"/>
      <c r="BX3154" s="2"/>
      <c r="BY3154" s="2">
        <v>1200</v>
      </c>
      <c r="BZ3154" s="2"/>
      <c r="CA3154" s="2" t="s">
        <v>159</v>
      </c>
      <c r="CB3154" s="2"/>
      <c r="CC3154" s="2" t="s">
        <v>191</v>
      </c>
      <c r="CD3154" s="2">
        <v>1740</v>
      </c>
      <c r="CE3154" s="2" t="s">
        <v>118</v>
      </c>
      <c r="CF3154" s="5">
        <v>42853</v>
      </c>
      <c r="CG3154" s="2"/>
      <c r="CH3154" s="2"/>
      <c r="CI3154" s="2">
        <v>1</v>
      </c>
      <c r="CJ3154" s="2">
        <v>1</v>
      </c>
      <c r="CK3154" s="2">
        <v>24</v>
      </c>
      <c r="CL3154" s="2" t="s">
        <v>86</v>
      </c>
      <c r="CM3154" s="2"/>
    </row>
    <row r="3155" spans="1:91">
      <c r="A3155" s="2" t="s">
        <v>71</v>
      </c>
      <c r="B3155" s="2" t="s">
        <v>72</v>
      </c>
      <c r="C3155" s="2" t="s">
        <v>73</v>
      </c>
      <c r="D3155" s="2"/>
      <c r="E3155" s="2" t="str">
        <f>"FES1162545350"</f>
        <v>FES1162545350</v>
      </c>
      <c r="F3155" s="3">
        <v>42850</v>
      </c>
      <c r="G3155" s="2">
        <v>201710</v>
      </c>
      <c r="H3155" s="2" t="s">
        <v>74</v>
      </c>
      <c r="I3155" s="2" t="s">
        <v>75</v>
      </c>
      <c r="J3155" s="2" t="s">
        <v>76</v>
      </c>
      <c r="K3155" s="2" t="s">
        <v>77</v>
      </c>
      <c r="L3155" s="2" t="s">
        <v>131</v>
      </c>
      <c r="M3155" s="2" t="s">
        <v>132</v>
      </c>
      <c r="N3155" s="2" t="s">
        <v>1269</v>
      </c>
      <c r="O3155" s="2" t="s">
        <v>115</v>
      </c>
      <c r="P3155" s="2" t="str">
        <f>"2170563853                    "</f>
        <v xml:space="preserve">2170563853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4.29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1.9</v>
      </c>
      <c r="BJ3155" s="2">
        <v>1</v>
      </c>
      <c r="BK3155" s="2">
        <v>2</v>
      </c>
      <c r="BL3155" s="2">
        <v>41.73</v>
      </c>
      <c r="BM3155" s="2">
        <v>5.84</v>
      </c>
      <c r="BN3155" s="2">
        <v>47.57</v>
      </c>
      <c r="BO3155" s="2">
        <v>47.57</v>
      </c>
      <c r="BP3155" s="2"/>
      <c r="BQ3155" s="2" t="s">
        <v>129</v>
      </c>
      <c r="BR3155" s="2" t="s">
        <v>84</v>
      </c>
      <c r="BS3155" s="3">
        <v>42851</v>
      </c>
      <c r="BT3155" s="4">
        <v>0.42708333333333331</v>
      </c>
      <c r="BU3155" s="2" t="s">
        <v>1620</v>
      </c>
      <c r="BV3155" s="2" t="s">
        <v>111</v>
      </c>
      <c r="BW3155" s="2"/>
      <c r="BX3155" s="2"/>
      <c r="BY3155" s="2">
        <v>4780.3999999999996</v>
      </c>
      <c r="BZ3155" s="2"/>
      <c r="CA3155" s="2"/>
      <c r="CB3155" s="2"/>
      <c r="CC3155" s="2" t="s">
        <v>132</v>
      </c>
      <c r="CD3155" s="2">
        <v>7800</v>
      </c>
      <c r="CE3155" s="2" t="s">
        <v>89</v>
      </c>
      <c r="CF3155" s="5">
        <v>42853</v>
      </c>
      <c r="CG3155" s="2"/>
      <c r="CH3155" s="2"/>
      <c r="CI3155" s="2">
        <v>1</v>
      </c>
      <c r="CJ3155" s="2">
        <v>1</v>
      </c>
      <c r="CK3155" s="2">
        <v>21</v>
      </c>
      <c r="CL3155" s="2" t="s">
        <v>86</v>
      </c>
      <c r="CM3155" s="2"/>
    </row>
    <row r="3156" spans="1:91">
      <c r="A3156" s="2" t="s">
        <v>71</v>
      </c>
      <c r="B3156" s="2" t="s">
        <v>72</v>
      </c>
      <c r="C3156" s="2" t="s">
        <v>73</v>
      </c>
      <c r="D3156" s="2"/>
      <c r="E3156" s="2" t="str">
        <f>"FES1162545252"</f>
        <v>FES1162545252</v>
      </c>
      <c r="F3156" s="3">
        <v>42850</v>
      </c>
      <c r="G3156" s="2">
        <v>201710</v>
      </c>
      <c r="H3156" s="2" t="s">
        <v>74</v>
      </c>
      <c r="I3156" s="2" t="s">
        <v>75</v>
      </c>
      <c r="J3156" s="2" t="s">
        <v>76</v>
      </c>
      <c r="K3156" s="2" t="s">
        <v>77</v>
      </c>
      <c r="L3156" s="2" t="s">
        <v>166</v>
      </c>
      <c r="M3156" s="2" t="s">
        <v>167</v>
      </c>
      <c r="N3156" s="2" t="s">
        <v>942</v>
      </c>
      <c r="O3156" s="2" t="s">
        <v>115</v>
      </c>
      <c r="P3156" s="2" t="str">
        <f>"2170563362                    "</f>
        <v xml:space="preserve">2170563362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3.35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2.9</v>
      </c>
      <c r="BJ3156" s="2">
        <v>2.1</v>
      </c>
      <c r="BK3156" s="2">
        <v>3</v>
      </c>
      <c r="BL3156" s="2">
        <v>32.6</v>
      </c>
      <c r="BM3156" s="2">
        <v>4.5599999999999996</v>
      </c>
      <c r="BN3156" s="2">
        <v>37.159999999999997</v>
      </c>
      <c r="BO3156" s="2">
        <v>37.159999999999997</v>
      </c>
      <c r="BP3156" s="2"/>
      <c r="BQ3156" s="2" t="s">
        <v>943</v>
      </c>
      <c r="BR3156" s="2" t="s">
        <v>84</v>
      </c>
      <c r="BS3156" s="3">
        <v>42851</v>
      </c>
      <c r="BT3156" s="4">
        <v>0.4284722222222222</v>
      </c>
      <c r="BU3156" s="2" t="s">
        <v>3265</v>
      </c>
      <c r="BV3156" s="2" t="s">
        <v>111</v>
      </c>
      <c r="BW3156" s="2"/>
      <c r="BX3156" s="2"/>
      <c r="BY3156" s="2">
        <v>10500.84</v>
      </c>
      <c r="BZ3156" s="2"/>
      <c r="CA3156" s="2"/>
      <c r="CB3156" s="2"/>
      <c r="CC3156" s="2" t="s">
        <v>167</v>
      </c>
      <c r="CD3156" s="2">
        <v>2065</v>
      </c>
      <c r="CE3156" s="2" t="s">
        <v>89</v>
      </c>
      <c r="CF3156" s="5">
        <v>42853</v>
      </c>
      <c r="CG3156" s="2"/>
      <c r="CH3156" s="2"/>
      <c r="CI3156" s="2">
        <v>1</v>
      </c>
      <c r="CJ3156" s="2">
        <v>1</v>
      </c>
      <c r="CK3156" s="2">
        <v>22</v>
      </c>
      <c r="CL3156" s="2" t="s">
        <v>86</v>
      </c>
      <c r="CM3156" s="2"/>
    </row>
    <row r="3157" spans="1:91">
      <c r="A3157" s="2" t="s">
        <v>71</v>
      </c>
      <c r="B3157" s="2" t="s">
        <v>72</v>
      </c>
      <c r="C3157" s="2" t="s">
        <v>73</v>
      </c>
      <c r="D3157" s="2"/>
      <c r="E3157" s="2" t="str">
        <f>"FES1162545337"</f>
        <v>FES1162545337</v>
      </c>
      <c r="F3157" s="3">
        <v>42850</v>
      </c>
      <c r="G3157" s="2">
        <v>201710</v>
      </c>
      <c r="H3157" s="2" t="s">
        <v>74</v>
      </c>
      <c r="I3157" s="2" t="s">
        <v>75</v>
      </c>
      <c r="J3157" s="2" t="s">
        <v>76</v>
      </c>
      <c r="K3157" s="2" t="s">
        <v>77</v>
      </c>
      <c r="L3157" s="2" t="s">
        <v>119</v>
      </c>
      <c r="M3157" s="2" t="s">
        <v>120</v>
      </c>
      <c r="N3157" s="2" t="s">
        <v>121</v>
      </c>
      <c r="O3157" s="2" t="s">
        <v>115</v>
      </c>
      <c r="P3157" s="2" t="str">
        <f>"2170563668                    "</f>
        <v xml:space="preserve">2170563668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3.35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2.5</v>
      </c>
      <c r="BJ3157" s="2">
        <v>0.7</v>
      </c>
      <c r="BK3157" s="2">
        <v>3</v>
      </c>
      <c r="BL3157" s="2">
        <v>32.6</v>
      </c>
      <c r="BM3157" s="2">
        <v>4.5599999999999996</v>
      </c>
      <c r="BN3157" s="2">
        <v>37.159999999999997</v>
      </c>
      <c r="BO3157" s="2">
        <v>37.159999999999997</v>
      </c>
      <c r="BP3157" s="2"/>
      <c r="BQ3157" s="2" t="s">
        <v>122</v>
      </c>
      <c r="BR3157" s="2" t="s">
        <v>84</v>
      </c>
      <c r="BS3157" s="3">
        <v>42851</v>
      </c>
      <c r="BT3157" s="4">
        <v>0.4236111111111111</v>
      </c>
      <c r="BU3157" s="2" t="s">
        <v>3239</v>
      </c>
      <c r="BV3157" s="2" t="s">
        <v>111</v>
      </c>
      <c r="BW3157" s="2"/>
      <c r="BX3157" s="2"/>
      <c r="BY3157" s="2">
        <v>3586.2</v>
      </c>
      <c r="BZ3157" s="2"/>
      <c r="CA3157" s="2" t="s">
        <v>3240</v>
      </c>
      <c r="CB3157" s="2"/>
      <c r="CC3157" s="2" t="s">
        <v>120</v>
      </c>
      <c r="CD3157" s="2">
        <v>2163</v>
      </c>
      <c r="CE3157" s="2" t="s">
        <v>172</v>
      </c>
      <c r="CF3157" s="5">
        <v>42851</v>
      </c>
      <c r="CG3157" s="2"/>
      <c r="CH3157" s="2"/>
      <c r="CI3157" s="2">
        <v>1</v>
      </c>
      <c r="CJ3157" s="2">
        <v>1</v>
      </c>
      <c r="CK3157" s="2">
        <v>22</v>
      </c>
      <c r="CL3157" s="2" t="s">
        <v>86</v>
      </c>
      <c r="CM3157" s="2"/>
    </row>
    <row r="3158" spans="1:91">
      <c r="A3158" s="2" t="s">
        <v>71</v>
      </c>
      <c r="B3158" s="2" t="s">
        <v>72</v>
      </c>
      <c r="C3158" s="2" t="s">
        <v>73</v>
      </c>
      <c r="D3158" s="2"/>
      <c r="E3158" s="2" t="str">
        <f>"FES1162545208"</f>
        <v>FES1162545208</v>
      </c>
      <c r="F3158" s="3">
        <v>42850</v>
      </c>
      <c r="G3158" s="2">
        <v>201710</v>
      </c>
      <c r="H3158" s="2" t="s">
        <v>74</v>
      </c>
      <c r="I3158" s="2" t="s">
        <v>75</v>
      </c>
      <c r="J3158" s="2" t="s">
        <v>76</v>
      </c>
      <c r="K3158" s="2" t="s">
        <v>77</v>
      </c>
      <c r="L3158" s="2" t="s">
        <v>74</v>
      </c>
      <c r="M3158" s="2" t="s">
        <v>75</v>
      </c>
      <c r="N3158" s="2" t="s">
        <v>2330</v>
      </c>
      <c r="O3158" s="2" t="s">
        <v>115</v>
      </c>
      <c r="P3158" s="2" t="str">
        <f>"2170563684                    "</f>
        <v xml:space="preserve">2170563684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3.35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2</v>
      </c>
      <c r="BI3158" s="2">
        <v>4.5999999999999996</v>
      </c>
      <c r="BJ3158" s="2">
        <v>7.8</v>
      </c>
      <c r="BK3158" s="2">
        <v>8</v>
      </c>
      <c r="BL3158" s="2">
        <v>32.6</v>
      </c>
      <c r="BM3158" s="2">
        <v>4.5599999999999996</v>
      </c>
      <c r="BN3158" s="2">
        <v>37.159999999999997</v>
      </c>
      <c r="BO3158" s="2">
        <v>37.159999999999997</v>
      </c>
      <c r="BP3158" s="2"/>
      <c r="BQ3158" s="2" t="s">
        <v>122</v>
      </c>
      <c r="BR3158" s="2" t="s">
        <v>84</v>
      </c>
      <c r="BS3158" s="3">
        <v>42851</v>
      </c>
      <c r="BT3158" s="4">
        <v>0.41666666666666669</v>
      </c>
      <c r="BU3158" s="2" t="s">
        <v>290</v>
      </c>
      <c r="BV3158" s="2" t="s">
        <v>111</v>
      </c>
      <c r="BW3158" s="2"/>
      <c r="BX3158" s="2"/>
      <c r="BY3158" s="2">
        <v>39203.25</v>
      </c>
      <c r="BZ3158" s="2"/>
      <c r="CA3158" s="2"/>
      <c r="CB3158" s="2"/>
      <c r="CC3158" s="2" t="s">
        <v>75</v>
      </c>
      <c r="CD3158" s="2">
        <v>1600</v>
      </c>
      <c r="CE3158" s="2" t="s">
        <v>172</v>
      </c>
      <c r="CF3158" s="5">
        <v>42853</v>
      </c>
      <c r="CG3158" s="2"/>
      <c r="CH3158" s="2"/>
      <c r="CI3158" s="2">
        <v>1</v>
      </c>
      <c r="CJ3158" s="2">
        <v>1</v>
      </c>
      <c r="CK3158" s="2">
        <v>22</v>
      </c>
      <c r="CL3158" s="2" t="s">
        <v>86</v>
      </c>
      <c r="CM3158" s="2"/>
    </row>
    <row r="3159" spans="1:91">
      <c r="A3159" s="2" t="s">
        <v>71</v>
      </c>
      <c r="B3159" s="2" t="s">
        <v>72</v>
      </c>
      <c r="C3159" s="2" t="s">
        <v>73</v>
      </c>
      <c r="D3159" s="2"/>
      <c r="E3159" s="2" t="str">
        <f>"FES1162545372"</f>
        <v>FES1162545372</v>
      </c>
      <c r="F3159" s="3">
        <v>42850</v>
      </c>
      <c r="G3159" s="2">
        <v>201710</v>
      </c>
      <c r="H3159" s="2" t="s">
        <v>74</v>
      </c>
      <c r="I3159" s="2" t="s">
        <v>75</v>
      </c>
      <c r="J3159" s="2" t="s">
        <v>76</v>
      </c>
      <c r="K3159" s="2" t="s">
        <v>77</v>
      </c>
      <c r="L3159" s="2" t="s">
        <v>294</v>
      </c>
      <c r="M3159" s="2" t="s">
        <v>295</v>
      </c>
      <c r="N3159" s="2" t="s">
        <v>3169</v>
      </c>
      <c r="O3159" s="2" t="s">
        <v>115</v>
      </c>
      <c r="P3159" s="2" t="str">
        <f>"2170563880                    "</f>
        <v xml:space="preserve">2170563880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18.22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8.3000000000000007</v>
      </c>
      <c r="BJ3159" s="2">
        <v>3.3</v>
      </c>
      <c r="BK3159" s="2">
        <v>8.5</v>
      </c>
      <c r="BL3159" s="2">
        <v>177.34</v>
      </c>
      <c r="BM3159" s="2">
        <v>24.83</v>
      </c>
      <c r="BN3159" s="2">
        <v>202.17</v>
      </c>
      <c r="BO3159" s="2">
        <v>202.17</v>
      </c>
      <c r="BP3159" s="2"/>
      <c r="BQ3159" s="2" t="s">
        <v>129</v>
      </c>
      <c r="BR3159" s="2" t="s">
        <v>84</v>
      </c>
      <c r="BS3159" s="3">
        <v>42851</v>
      </c>
      <c r="BT3159" s="4">
        <v>0.36041666666666666</v>
      </c>
      <c r="BU3159" s="2" t="s">
        <v>3266</v>
      </c>
      <c r="BV3159" s="2" t="s">
        <v>111</v>
      </c>
      <c r="BW3159" s="2"/>
      <c r="BX3159" s="2"/>
      <c r="BY3159" s="2">
        <v>16681.38</v>
      </c>
      <c r="BZ3159" s="2"/>
      <c r="CA3159" s="2"/>
      <c r="CB3159" s="2"/>
      <c r="CC3159" s="2" t="s">
        <v>295</v>
      </c>
      <c r="CD3159" s="2">
        <v>3610</v>
      </c>
      <c r="CE3159" s="2" t="s">
        <v>89</v>
      </c>
      <c r="CF3159" s="5">
        <v>42853</v>
      </c>
      <c r="CG3159" s="2"/>
      <c r="CH3159" s="2"/>
      <c r="CI3159" s="2">
        <v>1</v>
      </c>
      <c r="CJ3159" s="2">
        <v>1</v>
      </c>
      <c r="CK3159" s="2">
        <v>21</v>
      </c>
      <c r="CL3159" s="2" t="s">
        <v>86</v>
      </c>
      <c r="CM3159" s="2"/>
    </row>
    <row r="3160" spans="1:91">
      <c r="A3160" s="2" t="s">
        <v>71</v>
      </c>
      <c r="B3160" s="2" t="s">
        <v>72</v>
      </c>
      <c r="C3160" s="2" t="s">
        <v>73</v>
      </c>
      <c r="D3160" s="2"/>
      <c r="E3160" s="2" t="str">
        <f>"FES1162545401"</f>
        <v>FES1162545401</v>
      </c>
      <c r="F3160" s="3">
        <v>42850</v>
      </c>
      <c r="G3160" s="2">
        <v>201710</v>
      </c>
      <c r="H3160" s="2" t="s">
        <v>74</v>
      </c>
      <c r="I3160" s="2" t="s">
        <v>75</v>
      </c>
      <c r="J3160" s="2" t="s">
        <v>76</v>
      </c>
      <c r="K3160" s="2" t="s">
        <v>77</v>
      </c>
      <c r="L3160" s="2" t="s">
        <v>396</v>
      </c>
      <c r="M3160" s="2" t="s">
        <v>397</v>
      </c>
      <c r="N3160" s="2" t="s">
        <v>500</v>
      </c>
      <c r="O3160" s="2" t="s">
        <v>115</v>
      </c>
      <c r="P3160" s="2" t="str">
        <f>"2170563917                    "</f>
        <v xml:space="preserve">2170563917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6.43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1.5</v>
      </c>
      <c r="BJ3160" s="2">
        <v>2.7</v>
      </c>
      <c r="BK3160" s="2">
        <v>3</v>
      </c>
      <c r="BL3160" s="2">
        <v>62.59</v>
      </c>
      <c r="BM3160" s="2">
        <v>8.76</v>
      </c>
      <c r="BN3160" s="2">
        <v>71.349999999999994</v>
      </c>
      <c r="BO3160" s="2">
        <v>71.349999999999994</v>
      </c>
      <c r="BP3160" s="2"/>
      <c r="BQ3160" s="2" t="s">
        <v>501</v>
      </c>
      <c r="BR3160" s="2" t="s">
        <v>84</v>
      </c>
      <c r="BS3160" s="3">
        <v>42851</v>
      </c>
      <c r="BT3160" s="4">
        <v>0.4375</v>
      </c>
      <c r="BU3160" s="2" t="s">
        <v>835</v>
      </c>
      <c r="BV3160" s="2" t="s">
        <v>111</v>
      </c>
      <c r="BW3160" s="2"/>
      <c r="BX3160" s="2"/>
      <c r="BY3160" s="2">
        <v>13258.21</v>
      </c>
      <c r="BZ3160" s="2"/>
      <c r="CA3160" s="2"/>
      <c r="CB3160" s="2"/>
      <c r="CC3160" s="2" t="s">
        <v>397</v>
      </c>
      <c r="CD3160" s="2">
        <v>4302</v>
      </c>
      <c r="CE3160" s="2" t="s">
        <v>172</v>
      </c>
      <c r="CF3160" s="5">
        <v>42853</v>
      </c>
      <c r="CG3160" s="2"/>
      <c r="CH3160" s="2"/>
      <c r="CI3160" s="2">
        <v>1</v>
      </c>
      <c r="CJ3160" s="2">
        <v>1</v>
      </c>
      <c r="CK3160" s="2">
        <v>21</v>
      </c>
      <c r="CL3160" s="2" t="s">
        <v>86</v>
      </c>
      <c r="CM3160" s="2"/>
    </row>
    <row r="3161" spans="1:91">
      <c r="A3161" s="2" t="s">
        <v>71</v>
      </c>
      <c r="B3161" s="2" t="s">
        <v>72</v>
      </c>
      <c r="C3161" s="2" t="s">
        <v>73</v>
      </c>
      <c r="D3161" s="2"/>
      <c r="E3161" s="2" t="str">
        <f>"FES1162545281"</f>
        <v>FES1162545281</v>
      </c>
      <c r="F3161" s="3">
        <v>42850</v>
      </c>
      <c r="G3161" s="2">
        <v>201710</v>
      </c>
      <c r="H3161" s="2" t="s">
        <v>74</v>
      </c>
      <c r="I3161" s="2" t="s">
        <v>75</v>
      </c>
      <c r="J3161" s="2" t="s">
        <v>76</v>
      </c>
      <c r="K3161" s="2" t="s">
        <v>77</v>
      </c>
      <c r="L3161" s="2" t="s">
        <v>294</v>
      </c>
      <c r="M3161" s="2" t="s">
        <v>295</v>
      </c>
      <c r="N3161" s="2" t="s">
        <v>1129</v>
      </c>
      <c r="O3161" s="2" t="s">
        <v>115</v>
      </c>
      <c r="P3161" s="2" t="str">
        <f>"2170556591                    "</f>
        <v xml:space="preserve">2170556591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4.29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1</v>
      </c>
      <c r="BI3161" s="2">
        <v>0.6</v>
      </c>
      <c r="BJ3161" s="2">
        <v>1.2</v>
      </c>
      <c r="BK3161" s="2">
        <v>1.5</v>
      </c>
      <c r="BL3161" s="2">
        <v>41.73</v>
      </c>
      <c r="BM3161" s="2">
        <v>5.84</v>
      </c>
      <c r="BN3161" s="2">
        <v>47.57</v>
      </c>
      <c r="BO3161" s="2">
        <v>47.57</v>
      </c>
      <c r="BP3161" s="2"/>
      <c r="BQ3161" s="2" t="s">
        <v>1130</v>
      </c>
      <c r="BR3161" s="2" t="s">
        <v>84</v>
      </c>
      <c r="BS3161" s="3">
        <v>42851</v>
      </c>
      <c r="BT3161" s="4">
        <v>0.34166666666666662</v>
      </c>
      <c r="BU3161" s="2" t="s">
        <v>3267</v>
      </c>
      <c r="BV3161" s="2" t="s">
        <v>111</v>
      </c>
      <c r="BW3161" s="2"/>
      <c r="BX3161" s="2"/>
      <c r="BY3161" s="2">
        <v>6215.28</v>
      </c>
      <c r="BZ3161" s="2"/>
      <c r="CA3161" s="2"/>
      <c r="CB3161" s="2"/>
      <c r="CC3161" s="2" t="s">
        <v>295</v>
      </c>
      <c r="CD3161" s="2">
        <v>3610</v>
      </c>
      <c r="CE3161" s="2" t="s">
        <v>172</v>
      </c>
      <c r="CF3161" s="5">
        <v>42853</v>
      </c>
      <c r="CG3161" s="2"/>
      <c r="CH3161" s="2"/>
      <c r="CI3161" s="2">
        <v>1</v>
      </c>
      <c r="CJ3161" s="2">
        <v>1</v>
      </c>
      <c r="CK3161" s="2">
        <v>21</v>
      </c>
      <c r="CL3161" s="2" t="s">
        <v>86</v>
      </c>
      <c r="CM3161" s="2"/>
    </row>
    <row r="3162" spans="1:91">
      <c r="A3162" s="2" t="s">
        <v>71</v>
      </c>
      <c r="B3162" s="2" t="s">
        <v>72</v>
      </c>
      <c r="C3162" s="2" t="s">
        <v>73</v>
      </c>
      <c r="D3162" s="2"/>
      <c r="E3162" s="2" t="str">
        <f>"FES1162545421"</f>
        <v>FES1162545421</v>
      </c>
      <c r="F3162" s="3">
        <v>42850</v>
      </c>
      <c r="G3162" s="2">
        <v>201710</v>
      </c>
      <c r="H3162" s="2" t="s">
        <v>74</v>
      </c>
      <c r="I3162" s="2" t="s">
        <v>75</v>
      </c>
      <c r="J3162" s="2" t="s">
        <v>76</v>
      </c>
      <c r="K3162" s="2" t="s">
        <v>77</v>
      </c>
      <c r="L3162" s="2" t="s">
        <v>358</v>
      </c>
      <c r="M3162" s="2" t="s">
        <v>359</v>
      </c>
      <c r="N3162" s="2" t="s">
        <v>3268</v>
      </c>
      <c r="O3162" s="2" t="s">
        <v>115</v>
      </c>
      <c r="P3162" s="2" t="str">
        <f>"2170560811                    "</f>
        <v xml:space="preserve">2170560811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4.29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1</v>
      </c>
      <c r="BJ3162" s="2">
        <v>1.7</v>
      </c>
      <c r="BK3162" s="2">
        <v>2</v>
      </c>
      <c r="BL3162" s="2">
        <v>41.73</v>
      </c>
      <c r="BM3162" s="2">
        <v>5.84</v>
      </c>
      <c r="BN3162" s="2">
        <v>47.57</v>
      </c>
      <c r="BO3162" s="2">
        <v>47.57</v>
      </c>
      <c r="BP3162" s="2"/>
      <c r="BQ3162" s="2" t="s">
        <v>3269</v>
      </c>
      <c r="BR3162" s="2" t="s">
        <v>84</v>
      </c>
      <c r="BS3162" s="3">
        <v>42851</v>
      </c>
      <c r="BT3162" s="4">
        <v>0.38541666666666669</v>
      </c>
      <c r="BU3162" s="2" t="s">
        <v>3270</v>
      </c>
      <c r="BV3162" s="2" t="s">
        <v>111</v>
      </c>
      <c r="BW3162" s="2"/>
      <c r="BX3162" s="2"/>
      <c r="BY3162" s="2">
        <v>8510.6200000000008</v>
      </c>
      <c r="BZ3162" s="2"/>
      <c r="CA3162" s="2"/>
      <c r="CB3162" s="2"/>
      <c r="CC3162" s="2" t="s">
        <v>359</v>
      </c>
      <c r="CD3162" s="2">
        <v>6230</v>
      </c>
      <c r="CE3162" s="2" t="s">
        <v>89</v>
      </c>
      <c r="CF3162" s="5">
        <v>42853</v>
      </c>
      <c r="CG3162" s="2"/>
      <c r="CH3162" s="2"/>
      <c r="CI3162" s="2">
        <v>1</v>
      </c>
      <c r="CJ3162" s="2">
        <v>1</v>
      </c>
      <c r="CK3162" s="2">
        <v>21</v>
      </c>
      <c r="CL3162" s="2" t="s">
        <v>86</v>
      </c>
      <c r="CM3162" s="2"/>
    </row>
    <row r="3163" spans="1:91">
      <c r="A3163" s="2" t="s">
        <v>71</v>
      </c>
      <c r="B3163" s="2" t="s">
        <v>72</v>
      </c>
      <c r="C3163" s="2" t="s">
        <v>73</v>
      </c>
      <c r="D3163" s="2"/>
      <c r="E3163" s="2" t="str">
        <f>"FES1162545365"</f>
        <v>FES1162545365</v>
      </c>
      <c r="F3163" s="3">
        <v>42850</v>
      </c>
      <c r="G3163" s="2">
        <v>201710</v>
      </c>
      <c r="H3163" s="2" t="s">
        <v>74</v>
      </c>
      <c r="I3163" s="2" t="s">
        <v>75</v>
      </c>
      <c r="J3163" s="2" t="s">
        <v>76</v>
      </c>
      <c r="K3163" s="2" t="s">
        <v>77</v>
      </c>
      <c r="L3163" s="2" t="s">
        <v>1032</v>
      </c>
      <c r="M3163" s="2" t="s">
        <v>1033</v>
      </c>
      <c r="N3163" s="2" t="s">
        <v>1409</v>
      </c>
      <c r="O3163" s="2" t="s">
        <v>115</v>
      </c>
      <c r="P3163" s="2" t="str">
        <f>"2170563870                    "</f>
        <v xml:space="preserve">2170563870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13.93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2.8</v>
      </c>
      <c r="BJ3163" s="2">
        <v>3.3</v>
      </c>
      <c r="BK3163" s="2">
        <v>3.5</v>
      </c>
      <c r="BL3163" s="2">
        <v>135.61000000000001</v>
      </c>
      <c r="BM3163" s="2">
        <v>18.989999999999998</v>
      </c>
      <c r="BN3163" s="2">
        <v>154.6</v>
      </c>
      <c r="BO3163" s="2">
        <v>154.6</v>
      </c>
      <c r="BP3163" s="2"/>
      <c r="BQ3163" s="2" t="s">
        <v>13</v>
      </c>
      <c r="BR3163" s="2" t="s">
        <v>84</v>
      </c>
      <c r="BS3163" s="3">
        <v>42851</v>
      </c>
      <c r="BT3163" s="4">
        <v>0</v>
      </c>
      <c r="BU3163" s="2" t="s">
        <v>1410</v>
      </c>
      <c r="BV3163" s="2" t="s">
        <v>111</v>
      </c>
      <c r="BW3163" s="2"/>
      <c r="BX3163" s="2"/>
      <c r="BY3163" s="2">
        <v>16438.36</v>
      </c>
      <c r="BZ3163" s="2"/>
      <c r="CA3163" s="2"/>
      <c r="CB3163" s="2"/>
      <c r="CC3163" s="2" t="s">
        <v>1033</v>
      </c>
      <c r="CD3163" s="2">
        <v>5660</v>
      </c>
      <c r="CE3163" s="2" t="s">
        <v>89</v>
      </c>
      <c r="CF3163" s="2"/>
      <c r="CG3163" s="2"/>
      <c r="CH3163" s="2"/>
      <c r="CI3163" s="2">
        <v>3</v>
      </c>
      <c r="CJ3163" s="2">
        <v>1</v>
      </c>
      <c r="CK3163" s="2">
        <v>23</v>
      </c>
      <c r="CL3163" s="2" t="s">
        <v>86</v>
      </c>
      <c r="CM3163" s="2"/>
    </row>
    <row r="3164" spans="1:91">
      <c r="A3164" s="2" t="s">
        <v>71</v>
      </c>
      <c r="B3164" s="2" t="s">
        <v>72</v>
      </c>
      <c r="C3164" s="2" t="s">
        <v>73</v>
      </c>
      <c r="D3164" s="2"/>
      <c r="E3164" s="2" t="str">
        <f>"FES1162545373"</f>
        <v>FES1162545373</v>
      </c>
      <c r="F3164" s="3">
        <v>42850</v>
      </c>
      <c r="G3164" s="2">
        <v>201710</v>
      </c>
      <c r="H3164" s="2" t="s">
        <v>74</v>
      </c>
      <c r="I3164" s="2" t="s">
        <v>75</v>
      </c>
      <c r="J3164" s="2" t="s">
        <v>76</v>
      </c>
      <c r="K3164" s="2" t="s">
        <v>77</v>
      </c>
      <c r="L3164" s="2" t="s">
        <v>160</v>
      </c>
      <c r="M3164" s="2" t="s">
        <v>161</v>
      </c>
      <c r="N3164" s="2" t="s">
        <v>463</v>
      </c>
      <c r="O3164" s="2" t="s">
        <v>115</v>
      </c>
      <c r="P3164" s="2" t="str">
        <f>"2170563881                    "</f>
        <v xml:space="preserve">2170563881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4.29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1</v>
      </c>
      <c r="BJ3164" s="2">
        <v>0.9</v>
      </c>
      <c r="BK3164" s="2">
        <v>1</v>
      </c>
      <c r="BL3164" s="2">
        <v>41.73</v>
      </c>
      <c r="BM3164" s="2">
        <v>5.84</v>
      </c>
      <c r="BN3164" s="2">
        <v>47.57</v>
      </c>
      <c r="BO3164" s="2">
        <v>47.57</v>
      </c>
      <c r="BP3164" s="2"/>
      <c r="BQ3164" s="2" t="s">
        <v>129</v>
      </c>
      <c r="BR3164" s="2" t="s">
        <v>84</v>
      </c>
      <c r="BS3164" s="3">
        <v>42851</v>
      </c>
      <c r="BT3164" s="4">
        <v>0.41666666666666669</v>
      </c>
      <c r="BU3164" s="2" t="s">
        <v>803</v>
      </c>
      <c r="BV3164" s="2" t="s">
        <v>111</v>
      </c>
      <c r="BW3164" s="2"/>
      <c r="BX3164" s="2"/>
      <c r="BY3164" s="2">
        <v>4521.6000000000004</v>
      </c>
      <c r="BZ3164" s="2"/>
      <c r="CA3164" s="2"/>
      <c r="CB3164" s="2"/>
      <c r="CC3164" s="2" t="s">
        <v>161</v>
      </c>
      <c r="CD3164" s="2">
        <v>5201</v>
      </c>
      <c r="CE3164" s="2" t="s">
        <v>172</v>
      </c>
      <c r="CF3164" s="5">
        <v>42853</v>
      </c>
      <c r="CG3164" s="2"/>
      <c r="CH3164" s="2"/>
      <c r="CI3164" s="2">
        <v>1</v>
      </c>
      <c r="CJ3164" s="2">
        <v>1</v>
      </c>
      <c r="CK3164" s="2">
        <v>21</v>
      </c>
      <c r="CL3164" s="2" t="s">
        <v>86</v>
      </c>
      <c r="CM3164" s="2"/>
    </row>
    <row r="3165" spans="1:91">
      <c r="A3165" s="2" t="s">
        <v>71</v>
      </c>
      <c r="B3165" s="2" t="s">
        <v>72</v>
      </c>
      <c r="C3165" s="2" t="s">
        <v>73</v>
      </c>
      <c r="D3165" s="2"/>
      <c r="E3165" s="2" t="str">
        <f>"FES1162545352"</f>
        <v>FES1162545352</v>
      </c>
      <c r="F3165" s="3">
        <v>42850</v>
      </c>
      <c r="G3165" s="2">
        <v>201710</v>
      </c>
      <c r="H3165" s="2" t="s">
        <v>74</v>
      </c>
      <c r="I3165" s="2" t="s">
        <v>75</v>
      </c>
      <c r="J3165" s="2" t="s">
        <v>76</v>
      </c>
      <c r="K3165" s="2" t="s">
        <v>77</v>
      </c>
      <c r="L3165" s="2" t="s">
        <v>2857</v>
      </c>
      <c r="M3165" s="2" t="s">
        <v>2858</v>
      </c>
      <c r="N3165" s="2" t="s">
        <v>2859</v>
      </c>
      <c r="O3165" s="2" t="s">
        <v>115</v>
      </c>
      <c r="P3165" s="2" t="str">
        <f>"2170563830                    "</f>
        <v xml:space="preserve">2170563830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27.06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6.6</v>
      </c>
      <c r="BJ3165" s="2">
        <v>2.9</v>
      </c>
      <c r="BK3165" s="2">
        <v>7</v>
      </c>
      <c r="BL3165" s="2">
        <v>263.39999999999998</v>
      </c>
      <c r="BM3165" s="2">
        <v>36.880000000000003</v>
      </c>
      <c r="BN3165" s="2">
        <v>300.27999999999997</v>
      </c>
      <c r="BO3165" s="2">
        <v>300.27999999999997</v>
      </c>
      <c r="BP3165" s="2"/>
      <c r="BQ3165" s="2"/>
      <c r="BR3165" s="2" t="s">
        <v>84</v>
      </c>
      <c r="BS3165" s="3">
        <v>42851</v>
      </c>
      <c r="BT3165" s="4">
        <v>0</v>
      </c>
      <c r="BU3165" s="2" t="s">
        <v>2860</v>
      </c>
      <c r="BV3165" s="2" t="s">
        <v>111</v>
      </c>
      <c r="BW3165" s="2"/>
      <c r="BX3165" s="2"/>
      <c r="BY3165" s="2">
        <v>14714.7</v>
      </c>
      <c r="BZ3165" s="2"/>
      <c r="CA3165" s="2"/>
      <c r="CB3165" s="2"/>
      <c r="CC3165" s="2" t="s">
        <v>2858</v>
      </c>
      <c r="CD3165" s="2">
        <v>5319</v>
      </c>
      <c r="CE3165" s="2" t="s">
        <v>172</v>
      </c>
      <c r="CF3165" s="2"/>
      <c r="CG3165" s="2"/>
      <c r="CH3165" s="2"/>
      <c r="CI3165" s="2">
        <v>4</v>
      </c>
      <c r="CJ3165" s="2">
        <v>1</v>
      </c>
      <c r="CK3165" s="2">
        <v>23</v>
      </c>
      <c r="CL3165" s="2" t="s">
        <v>86</v>
      </c>
      <c r="CM3165" s="2"/>
    </row>
    <row r="3166" spans="1:91">
      <c r="A3166" s="2" t="s">
        <v>71</v>
      </c>
      <c r="B3166" s="2" t="s">
        <v>72</v>
      </c>
      <c r="C3166" s="2" t="s">
        <v>73</v>
      </c>
      <c r="D3166" s="2"/>
      <c r="E3166" s="2" t="str">
        <f>"FES1162545390"</f>
        <v>FES1162545390</v>
      </c>
      <c r="F3166" s="3">
        <v>42850</v>
      </c>
      <c r="G3166" s="2">
        <v>201710</v>
      </c>
      <c r="H3166" s="2" t="s">
        <v>74</v>
      </c>
      <c r="I3166" s="2" t="s">
        <v>75</v>
      </c>
      <c r="J3166" s="2" t="s">
        <v>76</v>
      </c>
      <c r="K3166" s="2" t="s">
        <v>77</v>
      </c>
      <c r="L3166" s="2" t="s">
        <v>294</v>
      </c>
      <c r="M3166" s="2" t="s">
        <v>295</v>
      </c>
      <c r="N3166" s="2" t="s">
        <v>1200</v>
      </c>
      <c r="O3166" s="2" t="s">
        <v>115</v>
      </c>
      <c r="P3166" s="2" t="str">
        <f>"2170563909                    "</f>
        <v xml:space="preserve">2170563909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19.29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8.6999999999999993</v>
      </c>
      <c r="BJ3166" s="2">
        <v>1.6</v>
      </c>
      <c r="BK3166" s="2">
        <v>9</v>
      </c>
      <c r="BL3166" s="2">
        <v>187.77</v>
      </c>
      <c r="BM3166" s="2">
        <v>26.29</v>
      </c>
      <c r="BN3166" s="2">
        <v>214.06</v>
      </c>
      <c r="BO3166" s="2">
        <v>214.06</v>
      </c>
      <c r="BP3166" s="2"/>
      <c r="BQ3166" s="2" t="s">
        <v>1201</v>
      </c>
      <c r="BR3166" s="2" t="s">
        <v>84</v>
      </c>
      <c r="BS3166" s="3">
        <v>42851</v>
      </c>
      <c r="BT3166" s="4">
        <v>0.41666666666666669</v>
      </c>
      <c r="BU3166" s="2" t="s">
        <v>3271</v>
      </c>
      <c r="BV3166" s="2" t="s">
        <v>111</v>
      </c>
      <c r="BW3166" s="2"/>
      <c r="BX3166" s="2"/>
      <c r="BY3166" s="2">
        <v>8240.9599999999991</v>
      </c>
      <c r="BZ3166" s="2"/>
      <c r="CA3166" s="2" t="s">
        <v>159</v>
      </c>
      <c r="CB3166" s="2"/>
      <c r="CC3166" s="2" t="s">
        <v>295</v>
      </c>
      <c r="CD3166" s="2">
        <v>3610</v>
      </c>
      <c r="CE3166" s="2" t="s">
        <v>89</v>
      </c>
      <c r="CF3166" s="5">
        <v>42853</v>
      </c>
      <c r="CG3166" s="2"/>
      <c r="CH3166" s="2"/>
      <c r="CI3166" s="2">
        <v>1</v>
      </c>
      <c r="CJ3166" s="2">
        <v>1</v>
      </c>
      <c r="CK3166" s="2">
        <v>21</v>
      </c>
      <c r="CL3166" s="2" t="s">
        <v>86</v>
      </c>
      <c r="CM3166" s="2"/>
    </row>
    <row r="3167" spans="1:91">
      <c r="A3167" s="2" t="s">
        <v>71</v>
      </c>
      <c r="B3167" s="2" t="s">
        <v>72</v>
      </c>
      <c r="C3167" s="2" t="s">
        <v>73</v>
      </c>
      <c r="D3167" s="2"/>
      <c r="E3167" s="2" t="str">
        <f>"FES1162545399"</f>
        <v>FES1162545399</v>
      </c>
      <c r="F3167" s="3">
        <v>42850</v>
      </c>
      <c r="G3167" s="2">
        <v>201710</v>
      </c>
      <c r="H3167" s="2" t="s">
        <v>74</v>
      </c>
      <c r="I3167" s="2" t="s">
        <v>75</v>
      </c>
      <c r="J3167" s="2" t="s">
        <v>76</v>
      </c>
      <c r="K3167" s="2" t="s">
        <v>77</v>
      </c>
      <c r="L3167" s="2" t="s">
        <v>99</v>
      </c>
      <c r="M3167" s="2" t="s">
        <v>100</v>
      </c>
      <c r="N3167" s="2" t="s">
        <v>1682</v>
      </c>
      <c r="O3167" s="2" t="s">
        <v>115</v>
      </c>
      <c r="P3167" s="2" t="str">
        <f>"2170560982                    "</f>
        <v xml:space="preserve">2170560982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13.93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1</v>
      </c>
      <c r="BI3167" s="2">
        <v>6.4</v>
      </c>
      <c r="BJ3167" s="2">
        <v>1.8</v>
      </c>
      <c r="BK3167" s="2">
        <v>6.5</v>
      </c>
      <c r="BL3167" s="2">
        <v>135.61000000000001</v>
      </c>
      <c r="BM3167" s="2">
        <v>18.989999999999998</v>
      </c>
      <c r="BN3167" s="2">
        <v>154.6</v>
      </c>
      <c r="BO3167" s="2">
        <v>154.6</v>
      </c>
      <c r="BP3167" s="2"/>
      <c r="BQ3167" s="2" t="s">
        <v>1683</v>
      </c>
      <c r="BR3167" s="2" t="s">
        <v>84</v>
      </c>
      <c r="BS3167" s="3">
        <v>42851</v>
      </c>
      <c r="BT3167" s="4">
        <v>0.36805555555555558</v>
      </c>
      <c r="BU3167" s="2" t="s">
        <v>544</v>
      </c>
      <c r="BV3167" s="2" t="s">
        <v>111</v>
      </c>
      <c r="BW3167" s="2"/>
      <c r="BX3167" s="2"/>
      <c r="BY3167" s="2">
        <v>9163.7999999999993</v>
      </c>
      <c r="BZ3167" s="2"/>
      <c r="CA3167" s="2"/>
      <c r="CB3167" s="2"/>
      <c r="CC3167" s="2" t="s">
        <v>100</v>
      </c>
      <c r="CD3167" s="2">
        <v>6001</v>
      </c>
      <c r="CE3167" s="2" t="s">
        <v>89</v>
      </c>
      <c r="CF3167" s="5">
        <v>42853</v>
      </c>
      <c r="CG3167" s="2"/>
      <c r="CH3167" s="2"/>
      <c r="CI3167" s="2">
        <v>1</v>
      </c>
      <c r="CJ3167" s="2">
        <v>1</v>
      </c>
      <c r="CK3167" s="2">
        <v>21</v>
      </c>
      <c r="CL3167" s="2" t="s">
        <v>86</v>
      </c>
      <c r="CM3167" s="2"/>
    </row>
    <row r="3168" spans="1:91">
      <c r="A3168" s="2" t="s">
        <v>71</v>
      </c>
      <c r="B3168" s="2" t="s">
        <v>72</v>
      </c>
      <c r="C3168" s="2" t="s">
        <v>73</v>
      </c>
      <c r="D3168" s="2"/>
      <c r="E3168" s="2" t="str">
        <f>"FES1162545354"</f>
        <v>FES1162545354</v>
      </c>
      <c r="F3168" s="3">
        <v>42850</v>
      </c>
      <c r="G3168" s="2">
        <v>201710</v>
      </c>
      <c r="H3168" s="2" t="s">
        <v>74</v>
      </c>
      <c r="I3168" s="2" t="s">
        <v>75</v>
      </c>
      <c r="J3168" s="2" t="s">
        <v>76</v>
      </c>
      <c r="K3168" s="2" t="s">
        <v>77</v>
      </c>
      <c r="L3168" s="2" t="s">
        <v>131</v>
      </c>
      <c r="M3168" s="2" t="s">
        <v>132</v>
      </c>
      <c r="N3168" s="2" t="s">
        <v>649</v>
      </c>
      <c r="O3168" s="2" t="s">
        <v>115</v>
      </c>
      <c r="P3168" s="2" t="str">
        <f>"2170563858                    "</f>
        <v xml:space="preserve">2170563858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38.58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7.8</v>
      </c>
      <c r="BJ3168" s="2">
        <v>17.7</v>
      </c>
      <c r="BK3168" s="2">
        <v>18</v>
      </c>
      <c r="BL3168" s="2">
        <v>375.54</v>
      </c>
      <c r="BM3168" s="2">
        <v>52.58</v>
      </c>
      <c r="BN3168" s="2">
        <v>428.12</v>
      </c>
      <c r="BO3168" s="2">
        <v>428.12</v>
      </c>
      <c r="BP3168" s="2"/>
      <c r="BQ3168" s="2" t="s">
        <v>650</v>
      </c>
      <c r="BR3168" s="2" t="s">
        <v>84</v>
      </c>
      <c r="BS3168" s="3">
        <v>42851</v>
      </c>
      <c r="BT3168" s="4">
        <v>0.41666666666666669</v>
      </c>
      <c r="BU3168" s="2" t="s">
        <v>3272</v>
      </c>
      <c r="BV3168" s="2" t="s">
        <v>111</v>
      </c>
      <c r="BW3168" s="2"/>
      <c r="BX3168" s="2"/>
      <c r="BY3168" s="2">
        <v>88265.06</v>
      </c>
      <c r="BZ3168" s="2"/>
      <c r="CA3168" s="2" t="s">
        <v>159</v>
      </c>
      <c r="CB3168" s="2"/>
      <c r="CC3168" s="2" t="s">
        <v>132</v>
      </c>
      <c r="CD3168" s="2">
        <v>7405</v>
      </c>
      <c r="CE3168" s="2" t="s">
        <v>89</v>
      </c>
      <c r="CF3168" s="5">
        <v>42853</v>
      </c>
      <c r="CG3168" s="2"/>
      <c r="CH3168" s="2"/>
      <c r="CI3168" s="2">
        <v>1</v>
      </c>
      <c r="CJ3168" s="2">
        <v>1</v>
      </c>
      <c r="CK3168" s="2">
        <v>21</v>
      </c>
      <c r="CL3168" s="2" t="s">
        <v>86</v>
      </c>
      <c r="CM3168" s="2"/>
    </row>
    <row r="3169" spans="1:91">
      <c r="A3169" s="2" t="s">
        <v>71</v>
      </c>
      <c r="B3169" s="2" t="s">
        <v>72</v>
      </c>
      <c r="C3169" s="2" t="s">
        <v>73</v>
      </c>
      <c r="D3169" s="2"/>
      <c r="E3169" s="2" t="str">
        <f>"FES1162545356"</f>
        <v>FES1162545356</v>
      </c>
      <c r="F3169" s="3">
        <v>42850</v>
      </c>
      <c r="G3169" s="2">
        <v>201710</v>
      </c>
      <c r="H3169" s="2" t="s">
        <v>74</v>
      </c>
      <c r="I3169" s="2" t="s">
        <v>75</v>
      </c>
      <c r="J3169" s="2" t="s">
        <v>76</v>
      </c>
      <c r="K3169" s="2" t="s">
        <v>77</v>
      </c>
      <c r="L3169" s="2" t="s">
        <v>131</v>
      </c>
      <c r="M3169" s="2" t="s">
        <v>132</v>
      </c>
      <c r="N3169" s="2" t="s">
        <v>1255</v>
      </c>
      <c r="O3169" s="2" t="s">
        <v>115</v>
      </c>
      <c r="P3169" s="2" t="str">
        <f>"2170563862                    "</f>
        <v xml:space="preserve">2170563862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4.29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1.9</v>
      </c>
      <c r="BJ3169" s="2">
        <v>1</v>
      </c>
      <c r="BK3169" s="2">
        <v>2</v>
      </c>
      <c r="BL3169" s="2">
        <v>41.73</v>
      </c>
      <c r="BM3169" s="2">
        <v>5.84</v>
      </c>
      <c r="BN3169" s="2">
        <v>47.57</v>
      </c>
      <c r="BO3169" s="2">
        <v>47.57</v>
      </c>
      <c r="BP3169" s="2"/>
      <c r="BQ3169" s="2" t="s">
        <v>1256</v>
      </c>
      <c r="BR3169" s="2" t="s">
        <v>84</v>
      </c>
      <c r="BS3169" s="3">
        <v>42851</v>
      </c>
      <c r="BT3169" s="4">
        <v>0.35416666666666669</v>
      </c>
      <c r="BU3169" s="2" t="s">
        <v>1561</v>
      </c>
      <c r="BV3169" s="2" t="s">
        <v>111</v>
      </c>
      <c r="BW3169" s="2"/>
      <c r="BX3169" s="2"/>
      <c r="BY3169" s="2">
        <v>4909.0600000000004</v>
      </c>
      <c r="BZ3169" s="2"/>
      <c r="CA3169" s="2"/>
      <c r="CB3169" s="2"/>
      <c r="CC3169" s="2" t="s">
        <v>132</v>
      </c>
      <c r="CD3169" s="2">
        <v>7493</v>
      </c>
      <c r="CE3169" s="2" t="s">
        <v>89</v>
      </c>
      <c r="CF3169" s="5">
        <v>42853</v>
      </c>
      <c r="CG3169" s="2"/>
      <c r="CH3169" s="2"/>
      <c r="CI3169" s="2">
        <v>1</v>
      </c>
      <c r="CJ3169" s="2">
        <v>1</v>
      </c>
      <c r="CK3169" s="2">
        <v>21</v>
      </c>
      <c r="CL3169" s="2" t="s">
        <v>86</v>
      </c>
      <c r="CM3169" s="2"/>
    </row>
    <row r="3170" spans="1:91">
      <c r="A3170" s="2" t="s">
        <v>71</v>
      </c>
      <c r="B3170" s="2" t="s">
        <v>72</v>
      </c>
      <c r="C3170" s="2" t="s">
        <v>73</v>
      </c>
      <c r="D3170" s="2"/>
      <c r="E3170" s="2" t="str">
        <f>"FES1162545368"</f>
        <v>FES1162545368</v>
      </c>
      <c r="F3170" s="3">
        <v>42850</v>
      </c>
      <c r="G3170" s="2">
        <v>201710</v>
      </c>
      <c r="H3170" s="2" t="s">
        <v>74</v>
      </c>
      <c r="I3170" s="2" t="s">
        <v>75</v>
      </c>
      <c r="J3170" s="2" t="s">
        <v>76</v>
      </c>
      <c r="K3170" s="2" t="s">
        <v>77</v>
      </c>
      <c r="L3170" s="2" t="s">
        <v>396</v>
      </c>
      <c r="M3170" s="2" t="s">
        <v>397</v>
      </c>
      <c r="N3170" s="2" t="s">
        <v>500</v>
      </c>
      <c r="O3170" s="2" t="s">
        <v>115</v>
      </c>
      <c r="P3170" s="2" t="str">
        <f>"2170563876                    "</f>
        <v xml:space="preserve">2170563876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7.5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3.1</v>
      </c>
      <c r="BJ3170" s="2">
        <v>1</v>
      </c>
      <c r="BK3170" s="2">
        <v>3.5</v>
      </c>
      <c r="BL3170" s="2">
        <v>73.02</v>
      </c>
      <c r="BM3170" s="2">
        <v>10.220000000000001</v>
      </c>
      <c r="BN3170" s="2">
        <v>83.24</v>
      </c>
      <c r="BO3170" s="2">
        <v>83.24</v>
      </c>
      <c r="BP3170" s="2"/>
      <c r="BQ3170" s="2" t="s">
        <v>501</v>
      </c>
      <c r="BR3170" s="2" t="s">
        <v>84</v>
      </c>
      <c r="BS3170" s="3">
        <v>42851</v>
      </c>
      <c r="BT3170" s="4">
        <v>0.35416666666666669</v>
      </c>
      <c r="BU3170" s="2" t="s">
        <v>835</v>
      </c>
      <c r="BV3170" s="2" t="s">
        <v>111</v>
      </c>
      <c r="BW3170" s="2"/>
      <c r="BX3170" s="2"/>
      <c r="BY3170" s="2">
        <v>5183.72</v>
      </c>
      <c r="BZ3170" s="2"/>
      <c r="CA3170" s="2"/>
      <c r="CB3170" s="2"/>
      <c r="CC3170" s="2" t="s">
        <v>397</v>
      </c>
      <c r="CD3170" s="2">
        <v>4302</v>
      </c>
      <c r="CE3170" s="2" t="s">
        <v>89</v>
      </c>
      <c r="CF3170" s="5">
        <v>42853</v>
      </c>
      <c r="CG3170" s="2"/>
      <c r="CH3170" s="2"/>
      <c r="CI3170" s="2">
        <v>1</v>
      </c>
      <c r="CJ3170" s="2">
        <v>1</v>
      </c>
      <c r="CK3170" s="2">
        <v>21</v>
      </c>
      <c r="CL3170" s="2" t="s">
        <v>86</v>
      </c>
      <c r="CM3170" s="2"/>
    </row>
    <row r="3171" spans="1:91">
      <c r="A3171" s="2" t="s">
        <v>71</v>
      </c>
      <c r="B3171" s="2" t="s">
        <v>72</v>
      </c>
      <c r="C3171" s="2" t="s">
        <v>73</v>
      </c>
      <c r="D3171" s="2"/>
      <c r="E3171" s="2" t="str">
        <f>"FES1162545461"</f>
        <v>FES1162545461</v>
      </c>
      <c r="F3171" s="3">
        <v>42850</v>
      </c>
      <c r="G3171" s="2">
        <v>201710</v>
      </c>
      <c r="H3171" s="2" t="s">
        <v>74</v>
      </c>
      <c r="I3171" s="2" t="s">
        <v>75</v>
      </c>
      <c r="J3171" s="2" t="s">
        <v>76</v>
      </c>
      <c r="K3171" s="2" t="s">
        <v>77</v>
      </c>
      <c r="L3171" s="2" t="s">
        <v>396</v>
      </c>
      <c r="M3171" s="2" t="s">
        <v>397</v>
      </c>
      <c r="N3171" s="2" t="s">
        <v>2284</v>
      </c>
      <c r="O3171" s="2" t="s">
        <v>115</v>
      </c>
      <c r="P3171" s="2" t="str">
        <f>"2170563969                    "</f>
        <v xml:space="preserve">2170563969 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32.15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1</v>
      </c>
      <c r="BI3171" s="2">
        <v>14.8</v>
      </c>
      <c r="BJ3171" s="2">
        <v>8.9</v>
      </c>
      <c r="BK3171" s="2">
        <v>15</v>
      </c>
      <c r="BL3171" s="2">
        <v>312.95</v>
      </c>
      <c r="BM3171" s="2">
        <v>43.81</v>
      </c>
      <c r="BN3171" s="2">
        <v>356.76</v>
      </c>
      <c r="BO3171" s="2">
        <v>356.76</v>
      </c>
      <c r="BP3171" s="2" t="s">
        <v>3273</v>
      </c>
      <c r="BQ3171" s="2" t="s">
        <v>2286</v>
      </c>
      <c r="BR3171" s="2" t="s">
        <v>84</v>
      </c>
      <c r="BS3171" s="3">
        <v>42851</v>
      </c>
      <c r="BT3171" s="4">
        <v>0.4375</v>
      </c>
      <c r="BU3171" s="2" t="s">
        <v>3274</v>
      </c>
      <c r="BV3171" s="2" t="s">
        <v>111</v>
      </c>
      <c r="BW3171" s="2"/>
      <c r="BX3171" s="2"/>
      <c r="BY3171" s="2">
        <v>44553.599999999999</v>
      </c>
      <c r="BZ3171" s="2"/>
      <c r="CA3171" s="2"/>
      <c r="CB3171" s="2"/>
      <c r="CC3171" s="2" t="s">
        <v>397</v>
      </c>
      <c r="CD3171" s="2">
        <v>4300</v>
      </c>
      <c r="CE3171" s="2" t="s">
        <v>89</v>
      </c>
      <c r="CF3171" s="5">
        <v>42853</v>
      </c>
      <c r="CG3171" s="2"/>
      <c r="CH3171" s="2"/>
      <c r="CI3171" s="2">
        <v>1</v>
      </c>
      <c r="CJ3171" s="2">
        <v>1</v>
      </c>
      <c r="CK3171" s="2">
        <v>21</v>
      </c>
      <c r="CL3171" s="2" t="s">
        <v>86</v>
      </c>
      <c r="CM3171" s="2"/>
    </row>
    <row r="3172" spans="1:91">
      <c r="A3172" s="2" t="s">
        <v>71</v>
      </c>
      <c r="B3172" s="2" t="s">
        <v>72</v>
      </c>
      <c r="C3172" s="2" t="s">
        <v>73</v>
      </c>
      <c r="D3172" s="2"/>
      <c r="E3172" s="2" t="str">
        <f>"FES1162545025"</f>
        <v>FES1162545025</v>
      </c>
      <c r="F3172" s="3">
        <v>42850</v>
      </c>
      <c r="G3172" s="2">
        <v>201710</v>
      </c>
      <c r="H3172" s="2" t="s">
        <v>74</v>
      </c>
      <c r="I3172" s="2" t="s">
        <v>75</v>
      </c>
      <c r="J3172" s="2" t="s">
        <v>76</v>
      </c>
      <c r="K3172" s="2" t="s">
        <v>77</v>
      </c>
      <c r="L3172" s="2" t="s">
        <v>598</v>
      </c>
      <c r="M3172" s="2" t="s">
        <v>599</v>
      </c>
      <c r="N3172" s="2" t="s">
        <v>600</v>
      </c>
      <c r="O3172" s="2" t="s">
        <v>115</v>
      </c>
      <c r="P3172" s="2" t="str">
        <f>"2170563517                    "</f>
        <v xml:space="preserve">2170563517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27.06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6.8</v>
      </c>
      <c r="BJ3172" s="2">
        <v>5.9</v>
      </c>
      <c r="BK3172" s="2">
        <v>7</v>
      </c>
      <c r="BL3172" s="2">
        <v>263.39999999999998</v>
      </c>
      <c r="BM3172" s="2">
        <v>36.880000000000003</v>
      </c>
      <c r="BN3172" s="2">
        <v>300.27999999999997</v>
      </c>
      <c r="BO3172" s="2">
        <v>300.27999999999997</v>
      </c>
      <c r="BP3172" s="2"/>
      <c r="BQ3172" s="2" t="s">
        <v>601</v>
      </c>
      <c r="BR3172" s="2" t="s">
        <v>84</v>
      </c>
      <c r="BS3172" s="3">
        <v>42851</v>
      </c>
      <c r="BT3172" s="4">
        <v>0.59861111111111109</v>
      </c>
      <c r="BU3172" s="2" t="s">
        <v>602</v>
      </c>
      <c r="BV3172" s="2" t="s">
        <v>111</v>
      </c>
      <c r="BW3172" s="2"/>
      <c r="BX3172" s="2"/>
      <c r="BY3172" s="2">
        <v>29288.18</v>
      </c>
      <c r="BZ3172" s="2"/>
      <c r="CA3172" s="2"/>
      <c r="CB3172" s="2"/>
      <c r="CC3172" s="2" t="s">
        <v>599</v>
      </c>
      <c r="CD3172" s="2">
        <v>3370</v>
      </c>
      <c r="CE3172" s="2" t="s">
        <v>89</v>
      </c>
      <c r="CF3172" s="2"/>
      <c r="CG3172" s="2"/>
      <c r="CH3172" s="2"/>
      <c r="CI3172" s="2">
        <v>3</v>
      </c>
      <c r="CJ3172" s="2">
        <v>1</v>
      </c>
      <c r="CK3172" s="2">
        <v>23</v>
      </c>
      <c r="CL3172" s="2" t="s">
        <v>86</v>
      </c>
      <c r="CM3172" s="2"/>
    </row>
    <row r="3173" spans="1:91">
      <c r="A3173" s="2" t="s">
        <v>71</v>
      </c>
      <c r="B3173" s="2" t="s">
        <v>72</v>
      </c>
      <c r="C3173" s="2" t="s">
        <v>73</v>
      </c>
      <c r="D3173" s="2"/>
      <c r="E3173" s="2" t="str">
        <f>"FES1162545501"</f>
        <v>FES1162545501</v>
      </c>
      <c r="F3173" s="3">
        <v>42850</v>
      </c>
      <c r="G3173" s="2">
        <v>201710</v>
      </c>
      <c r="H3173" s="2" t="s">
        <v>74</v>
      </c>
      <c r="I3173" s="2" t="s">
        <v>75</v>
      </c>
      <c r="J3173" s="2" t="s">
        <v>76</v>
      </c>
      <c r="K3173" s="2" t="s">
        <v>77</v>
      </c>
      <c r="L3173" s="2" t="s">
        <v>180</v>
      </c>
      <c r="M3173" s="2" t="s">
        <v>181</v>
      </c>
      <c r="N3173" s="2" t="s">
        <v>3275</v>
      </c>
      <c r="O3173" s="2" t="s">
        <v>115</v>
      </c>
      <c r="P3173" s="2" t="str">
        <f>"2170557811                    "</f>
        <v xml:space="preserve">2170557811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41.8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1</v>
      </c>
      <c r="BI3173" s="2">
        <v>7.3</v>
      </c>
      <c r="BJ3173" s="2">
        <v>19.100000000000001</v>
      </c>
      <c r="BK3173" s="2">
        <v>19.5</v>
      </c>
      <c r="BL3173" s="2">
        <v>406.84</v>
      </c>
      <c r="BM3173" s="2">
        <v>56.96</v>
      </c>
      <c r="BN3173" s="2">
        <v>463.8</v>
      </c>
      <c r="BO3173" s="2">
        <v>463.8</v>
      </c>
      <c r="BP3173" s="2"/>
      <c r="BQ3173" s="2"/>
      <c r="BR3173" s="2" t="s">
        <v>84</v>
      </c>
      <c r="BS3173" s="3">
        <v>42851</v>
      </c>
      <c r="BT3173" s="4">
        <v>0.35416666666666669</v>
      </c>
      <c r="BU3173" s="2" t="s">
        <v>3276</v>
      </c>
      <c r="BV3173" s="2" t="s">
        <v>111</v>
      </c>
      <c r="BW3173" s="2"/>
      <c r="BX3173" s="2"/>
      <c r="BY3173" s="2">
        <v>95540.22</v>
      </c>
      <c r="BZ3173" s="2"/>
      <c r="CA3173" s="2" t="s">
        <v>159</v>
      </c>
      <c r="CB3173" s="2"/>
      <c r="CC3173" s="2" t="s">
        <v>181</v>
      </c>
      <c r="CD3173" s="2">
        <v>4001</v>
      </c>
      <c r="CE3173" s="2" t="s">
        <v>89</v>
      </c>
      <c r="CF3173" s="5">
        <v>42853</v>
      </c>
      <c r="CG3173" s="2"/>
      <c r="CH3173" s="2"/>
      <c r="CI3173" s="2">
        <v>1</v>
      </c>
      <c r="CJ3173" s="2">
        <v>1</v>
      </c>
      <c r="CK3173" s="2">
        <v>21</v>
      </c>
      <c r="CL3173" s="2" t="s">
        <v>86</v>
      </c>
      <c r="CM3173" s="2"/>
    </row>
    <row r="3174" spans="1:91">
      <c r="A3174" s="2" t="s">
        <v>71</v>
      </c>
      <c r="B3174" s="2" t="s">
        <v>72</v>
      </c>
      <c r="C3174" s="2" t="s">
        <v>73</v>
      </c>
      <c r="D3174" s="2"/>
      <c r="E3174" s="2" t="str">
        <f>"FES1162545422"</f>
        <v>FES1162545422</v>
      </c>
      <c r="F3174" s="3">
        <v>42850</v>
      </c>
      <c r="G3174" s="2">
        <v>201710</v>
      </c>
      <c r="H3174" s="2" t="s">
        <v>74</v>
      </c>
      <c r="I3174" s="2" t="s">
        <v>75</v>
      </c>
      <c r="J3174" s="2" t="s">
        <v>76</v>
      </c>
      <c r="K3174" s="2" t="s">
        <v>77</v>
      </c>
      <c r="L3174" s="2" t="s">
        <v>180</v>
      </c>
      <c r="M3174" s="2" t="s">
        <v>181</v>
      </c>
      <c r="N3174" s="2" t="s">
        <v>931</v>
      </c>
      <c r="O3174" s="2" t="s">
        <v>115</v>
      </c>
      <c r="P3174" s="2" t="str">
        <f>"2170560835                    "</f>
        <v xml:space="preserve">2170560835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15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7</v>
      </c>
      <c r="BJ3174" s="2">
        <v>2.8</v>
      </c>
      <c r="BK3174" s="2">
        <v>7</v>
      </c>
      <c r="BL3174" s="2">
        <v>146.04</v>
      </c>
      <c r="BM3174" s="2">
        <v>20.45</v>
      </c>
      <c r="BN3174" s="2">
        <v>166.49</v>
      </c>
      <c r="BO3174" s="2">
        <v>166.49</v>
      </c>
      <c r="BP3174" s="2"/>
      <c r="BQ3174" s="2" t="s">
        <v>2524</v>
      </c>
      <c r="BR3174" s="2" t="s">
        <v>84</v>
      </c>
      <c r="BS3174" s="3">
        <v>42851</v>
      </c>
      <c r="BT3174" s="4">
        <v>0.4375</v>
      </c>
      <c r="BU3174" s="2" t="s">
        <v>2024</v>
      </c>
      <c r="BV3174" s="2" t="s">
        <v>111</v>
      </c>
      <c r="BW3174" s="2"/>
      <c r="BX3174" s="2"/>
      <c r="BY3174" s="2">
        <v>13762.22</v>
      </c>
      <c r="BZ3174" s="2"/>
      <c r="CA3174" s="2"/>
      <c r="CB3174" s="2"/>
      <c r="CC3174" s="2" t="s">
        <v>181</v>
      </c>
      <c r="CD3174" s="2">
        <v>4051</v>
      </c>
      <c r="CE3174" s="2" t="s">
        <v>89</v>
      </c>
      <c r="CF3174" s="5">
        <v>42853</v>
      </c>
      <c r="CG3174" s="2"/>
      <c r="CH3174" s="2"/>
      <c r="CI3174" s="2">
        <v>1</v>
      </c>
      <c r="CJ3174" s="2">
        <v>1</v>
      </c>
      <c r="CK3174" s="2">
        <v>21</v>
      </c>
      <c r="CL3174" s="2" t="s">
        <v>86</v>
      </c>
      <c r="CM3174" s="2"/>
    </row>
    <row r="3175" spans="1:91">
      <c r="A3175" s="2" t="s">
        <v>71</v>
      </c>
      <c r="B3175" s="2" t="s">
        <v>72</v>
      </c>
      <c r="C3175" s="2" t="s">
        <v>73</v>
      </c>
      <c r="D3175" s="2"/>
      <c r="E3175" s="2" t="str">
        <f>"FES1162545472"</f>
        <v>FES1162545472</v>
      </c>
      <c r="F3175" s="3">
        <v>42850</v>
      </c>
      <c r="G3175" s="2">
        <v>201710</v>
      </c>
      <c r="H3175" s="2" t="s">
        <v>74</v>
      </c>
      <c r="I3175" s="2" t="s">
        <v>75</v>
      </c>
      <c r="J3175" s="2" t="s">
        <v>76</v>
      </c>
      <c r="K3175" s="2" t="s">
        <v>77</v>
      </c>
      <c r="L3175" s="2" t="s">
        <v>358</v>
      </c>
      <c r="M3175" s="2" t="s">
        <v>359</v>
      </c>
      <c r="N3175" s="2" t="s">
        <v>800</v>
      </c>
      <c r="O3175" s="2" t="s">
        <v>115</v>
      </c>
      <c r="P3175" s="2" t="str">
        <f>"2170559499                    "</f>
        <v xml:space="preserve">2170559499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5.36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2.1</v>
      </c>
      <c r="BJ3175" s="2">
        <v>1.3</v>
      </c>
      <c r="BK3175" s="2">
        <v>2.5</v>
      </c>
      <c r="BL3175" s="2">
        <v>52.16</v>
      </c>
      <c r="BM3175" s="2">
        <v>7.3</v>
      </c>
      <c r="BN3175" s="2">
        <v>59.46</v>
      </c>
      <c r="BO3175" s="2">
        <v>59.46</v>
      </c>
      <c r="BP3175" s="2" t="s">
        <v>3277</v>
      </c>
      <c r="BQ3175" s="2" t="s">
        <v>801</v>
      </c>
      <c r="BR3175" s="2" t="s">
        <v>84</v>
      </c>
      <c r="BS3175" s="3">
        <v>42851</v>
      </c>
      <c r="BT3175" s="4">
        <v>0.31319444444444444</v>
      </c>
      <c r="BU3175" s="2" t="s">
        <v>918</v>
      </c>
      <c r="BV3175" s="2" t="s">
        <v>111</v>
      </c>
      <c r="BW3175" s="2"/>
      <c r="BX3175" s="2"/>
      <c r="BY3175" s="2">
        <v>6487.51</v>
      </c>
      <c r="BZ3175" s="2"/>
      <c r="CA3175" s="2"/>
      <c r="CB3175" s="2"/>
      <c r="CC3175" s="2" t="s">
        <v>359</v>
      </c>
      <c r="CD3175" s="2">
        <v>6230</v>
      </c>
      <c r="CE3175" s="2" t="s">
        <v>89</v>
      </c>
      <c r="CF3175" s="5">
        <v>42853</v>
      </c>
      <c r="CG3175" s="2"/>
      <c r="CH3175" s="2"/>
      <c r="CI3175" s="2">
        <v>1</v>
      </c>
      <c r="CJ3175" s="2">
        <v>1</v>
      </c>
      <c r="CK3175" s="2">
        <v>21</v>
      </c>
      <c r="CL3175" s="2" t="s">
        <v>86</v>
      </c>
      <c r="CM3175" s="2"/>
    </row>
    <row r="3176" spans="1:91">
      <c r="A3176" s="2" t="s">
        <v>71</v>
      </c>
      <c r="B3176" s="2" t="s">
        <v>72</v>
      </c>
      <c r="C3176" s="2" t="s">
        <v>73</v>
      </c>
      <c r="D3176" s="2"/>
      <c r="E3176" s="2" t="str">
        <f>"FES1162545482"</f>
        <v>FES1162545482</v>
      </c>
      <c r="F3176" s="3">
        <v>42850</v>
      </c>
      <c r="G3176" s="2">
        <v>201710</v>
      </c>
      <c r="H3176" s="2" t="s">
        <v>74</v>
      </c>
      <c r="I3176" s="2" t="s">
        <v>75</v>
      </c>
      <c r="J3176" s="2" t="s">
        <v>76</v>
      </c>
      <c r="K3176" s="2" t="s">
        <v>77</v>
      </c>
      <c r="L3176" s="2" t="s">
        <v>358</v>
      </c>
      <c r="M3176" s="2" t="s">
        <v>359</v>
      </c>
      <c r="N3176" s="2" t="s">
        <v>800</v>
      </c>
      <c r="O3176" s="2" t="s">
        <v>115</v>
      </c>
      <c r="P3176" s="2" t="str">
        <f>"2170563995                    "</f>
        <v xml:space="preserve">2170563995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4.29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1.7</v>
      </c>
      <c r="BJ3176" s="2">
        <v>0.8</v>
      </c>
      <c r="BK3176" s="2">
        <v>2</v>
      </c>
      <c r="BL3176" s="2">
        <v>41.73</v>
      </c>
      <c r="BM3176" s="2">
        <v>5.84</v>
      </c>
      <c r="BN3176" s="2">
        <v>47.57</v>
      </c>
      <c r="BO3176" s="2">
        <v>47.57</v>
      </c>
      <c r="BP3176" s="2"/>
      <c r="BQ3176" s="2" t="s">
        <v>801</v>
      </c>
      <c r="BR3176" s="2" t="s">
        <v>84</v>
      </c>
      <c r="BS3176" s="3">
        <v>42851</v>
      </c>
      <c r="BT3176" s="4">
        <v>0.31319444444444444</v>
      </c>
      <c r="BU3176" s="2" t="s">
        <v>918</v>
      </c>
      <c r="BV3176" s="2" t="s">
        <v>111</v>
      </c>
      <c r="BW3176" s="2"/>
      <c r="BX3176" s="2"/>
      <c r="BY3176" s="2">
        <v>4172.47</v>
      </c>
      <c r="BZ3176" s="2"/>
      <c r="CA3176" s="2"/>
      <c r="CB3176" s="2"/>
      <c r="CC3176" s="2" t="s">
        <v>359</v>
      </c>
      <c r="CD3176" s="2">
        <v>6230</v>
      </c>
      <c r="CE3176" s="2" t="s">
        <v>89</v>
      </c>
      <c r="CF3176" s="5">
        <v>42853</v>
      </c>
      <c r="CG3176" s="2"/>
      <c r="CH3176" s="2"/>
      <c r="CI3176" s="2">
        <v>1</v>
      </c>
      <c r="CJ3176" s="2">
        <v>1</v>
      </c>
      <c r="CK3176" s="2">
        <v>21</v>
      </c>
      <c r="CL3176" s="2" t="s">
        <v>86</v>
      </c>
      <c r="CM3176" s="2"/>
    </row>
    <row r="3177" spans="1:91">
      <c r="A3177" s="2" t="s">
        <v>71</v>
      </c>
      <c r="B3177" s="2" t="s">
        <v>72</v>
      </c>
      <c r="C3177" s="2" t="s">
        <v>73</v>
      </c>
      <c r="D3177" s="2"/>
      <c r="E3177" s="2" t="str">
        <f>"FES1162545435"</f>
        <v>FES1162545435</v>
      </c>
      <c r="F3177" s="3">
        <v>42850</v>
      </c>
      <c r="G3177" s="2">
        <v>201710</v>
      </c>
      <c r="H3177" s="2" t="s">
        <v>74</v>
      </c>
      <c r="I3177" s="2" t="s">
        <v>75</v>
      </c>
      <c r="J3177" s="2" t="s">
        <v>76</v>
      </c>
      <c r="K3177" s="2" t="s">
        <v>77</v>
      </c>
      <c r="L3177" s="2" t="s">
        <v>112</v>
      </c>
      <c r="M3177" s="2" t="s">
        <v>113</v>
      </c>
      <c r="N3177" s="2" t="s">
        <v>1045</v>
      </c>
      <c r="O3177" s="2" t="s">
        <v>115</v>
      </c>
      <c r="P3177" s="2" t="str">
        <f>"2170563934                    "</f>
        <v xml:space="preserve">2170563934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6.43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1.8</v>
      </c>
      <c r="BJ3177" s="2">
        <v>2.9</v>
      </c>
      <c r="BK3177" s="2">
        <v>3</v>
      </c>
      <c r="BL3177" s="2">
        <v>62.59</v>
      </c>
      <c r="BM3177" s="2">
        <v>8.76</v>
      </c>
      <c r="BN3177" s="2">
        <v>71.349999999999994</v>
      </c>
      <c r="BO3177" s="2">
        <v>71.349999999999994</v>
      </c>
      <c r="BP3177" s="2"/>
      <c r="BQ3177" s="2" t="s">
        <v>83</v>
      </c>
      <c r="BR3177" s="2" t="s">
        <v>84</v>
      </c>
      <c r="BS3177" s="3">
        <v>42851</v>
      </c>
      <c r="BT3177" s="4">
        <v>0.40277777777777773</v>
      </c>
      <c r="BU3177" s="2" t="s">
        <v>3278</v>
      </c>
      <c r="BV3177" s="2" t="s">
        <v>111</v>
      </c>
      <c r="BW3177" s="2"/>
      <c r="BX3177" s="2"/>
      <c r="BY3177" s="2">
        <v>14655.82</v>
      </c>
      <c r="BZ3177" s="2"/>
      <c r="CA3177" s="2"/>
      <c r="CB3177" s="2"/>
      <c r="CC3177" s="2" t="s">
        <v>113</v>
      </c>
      <c r="CD3177" s="2">
        <v>3201</v>
      </c>
      <c r="CE3177" s="2" t="s">
        <v>89</v>
      </c>
      <c r="CF3177" s="2"/>
      <c r="CG3177" s="2"/>
      <c r="CH3177" s="2"/>
      <c r="CI3177" s="2">
        <v>1</v>
      </c>
      <c r="CJ3177" s="2">
        <v>1</v>
      </c>
      <c r="CK3177" s="2">
        <v>21</v>
      </c>
      <c r="CL3177" s="2" t="s">
        <v>86</v>
      </c>
      <c r="CM3177" s="2"/>
    </row>
    <row r="3178" spans="1:91">
      <c r="A3178" s="2" t="s">
        <v>71</v>
      </c>
      <c r="B3178" s="2" t="s">
        <v>72</v>
      </c>
      <c r="C3178" s="2" t="s">
        <v>73</v>
      </c>
      <c r="D3178" s="2"/>
      <c r="E3178" s="2" t="str">
        <f>"FES1162545241"</f>
        <v>FES1162545241</v>
      </c>
      <c r="F3178" s="3">
        <v>42850</v>
      </c>
      <c r="G3178" s="2">
        <v>201710</v>
      </c>
      <c r="H3178" s="2" t="s">
        <v>74</v>
      </c>
      <c r="I3178" s="2" t="s">
        <v>75</v>
      </c>
      <c r="J3178" s="2" t="s">
        <v>76</v>
      </c>
      <c r="K3178" s="2" t="s">
        <v>77</v>
      </c>
      <c r="L3178" s="2" t="s">
        <v>166</v>
      </c>
      <c r="M3178" s="2" t="s">
        <v>167</v>
      </c>
      <c r="N3178" s="2" t="s">
        <v>1507</v>
      </c>
      <c r="O3178" s="2" t="s">
        <v>115</v>
      </c>
      <c r="P3178" s="2" t="str">
        <f>"2170563722                    "</f>
        <v xml:space="preserve">2170563722 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3.75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8.5</v>
      </c>
      <c r="BJ3178" s="2">
        <v>8.9</v>
      </c>
      <c r="BK3178" s="2">
        <v>9</v>
      </c>
      <c r="BL3178" s="2">
        <v>36.51</v>
      </c>
      <c r="BM3178" s="2">
        <v>5.1100000000000003</v>
      </c>
      <c r="BN3178" s="2">
        <v>41.62</v>
      </c>
      <c r="BO3178" s="2">
        <v>41.62</v>
      </c>
      <c r="BP3178" s="2"/>
      <c r="BQ3178" s="2" t="s">
        <v>1571</v>
      </c>
      <c r="BR3178" s="2" t="s">
        <v>84</v>
      </c>
      <c r="BS3178" s="3">
        <v>42851</v>
      </c>
      <c r="BT3178" s="4">
        <v>0.41666666666666669</v>
      </c>
      <c r="BU3178" s="2" t="s">
        <v>290</v>
      </c>
      <c r="BV3178" s="2" t="s">
        <v>111</v>
      </c>
      <c r="BW3178" s="2"/>
      <c r="BX3178" s="2"/>
      <c r="BY3178" s="2">
        <v>44744.7</v>
      </c>
      <c r="BZ3178" s="2"/>
      <c r="CA3178" s="2"/>
      <c r="CB3178" s="2"/>
      <c r="CC3178" s="2" t="s">
        <v>167</v>
      </c>
      <c r="CD3178" s="2">
        <v>2091</v>
      </c>
      <c r="CE3178" s="2" t="s">
        <v>89</v>
      </c>
      <c r="CF3178" s="5">
        <v>42853</v>
      </c>
      <c r="CG3178" s="2"/>
      <c r="CH3178" s="2"/>
      <c r="CI3178" s="2">
        <v>1</v>
      </c>
      <c r="CJ3178" s="2">
        <v>1</v>
      </c>
      <c r="CK3178" s="2">
        <v>22</v>
      </c>
      <c r="CL3178" s="2" t="s">
        <v>86</v>
      </c>
      <c r="CM3178" s="2"/>
    </row>
    <row r="3179" spans="1:91">
      <c r="A3179" s="2" t="s">
        <v>71</v>
      </c>
      <c r="B3179" s="2" t="s">
        <v>72</v>
      </c>
      <c r="C3179" s="2" t="s">
        <v>73</v>
      </c>
      <c r="D3179" s="2"/>
      <c r="E3179" s="2" t="str">
        <f>"FES1162545369"</f>
        <v>FES1162545369</v>
      </c>
      <c r="F3179" s="3">
        <v>42850</v>
      </c>
      <c r="G3179" s="2">
        <v>201710</v>
      </c>
      <c r="H3179" s="2" t="s">
        <v>74</v>
      </c>
      <c r="I3179" s="2" t="s">
        <v>75</v>
      </c>
      <c r="J3179" s="2" t="s">
        <v>76</v>
      </c>
      <c r="K3179" s="2" t="s">
        <v>77</v>
      </c>
      <c r="L3179" s="2" t="s">
        <v>99</v>
      </c>
      <c r="M3179" s="2" t="s">
        <v>100</v>
      </c>
      <c r="N3179" s="2" t="s">
        <v>413</v>
      </c>
      <c r="O3179" s="2" t="s">
        <v>115</v>
      </c>
      <c r="P3179" s="2" t="str">
        <f>"2170563877                    "</f>
        <v xml:space="preserve">2170563877 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4.29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1.5</v>
      </c>
      <c r="BJ3179" s="2">
        <v>1</v>
      </c>
      <c r="BK3179" s="2">
        <v>1.5</v>
      </c>
      <c r="BL3179" s="2">
        <v>41.73</v>
      </c>
      <c r="BM3179" s="2">
        <v>5.84</v>
      </c>
      <c r="BN3179" s="2">
        <v>47.57</v>
      </c>
      <c r="BO3179" s="2">
        <v>47.57</v>
      </c>
      <c r="BP3179" s="2"/>
      <c r="BQ3179" s="2" t="s">
        <v>414</v>
      </c>
      <c r="BR3179" s="2" t="s">
        <v>84</v>
      </c>
      <c r="BS3179" s="3">
        <v>42851</v>
      </c>
      <c r="BT3179" s="4">
        <v>0.32500000000000001</v>
      </c>
      <c r="BU3179" s="2" t="s">
        <v>415</v>
      </c>
      <c r="BV3179" s="2" t="s">
        <v>111</v>
      </c>
      <c r="BW3179" s="2"/>
      <c r="BX3179" s="2"/>
      <c r="BY3179" s="2">
        <v>4857.8900000000003</v>
      </c>
      <c r="BZ3179" s="2"/>
      <c r="CA3179" s="2" t="s">
        <v>154</v>
      </c>
      <c r="CB3179" s="2"/>
      <c r="CC3179" s="2" t="s">
        <v>100</v>
      </c>
      <c r="CD3179" s="2">
        <v>6001</v>
      </c>
      <c r="CE3179" s="2" t="s">
        <v>89</v>
      </c>
      <c r="CF3179" s="5">
        <v>42851</v>
      </c>
      <c r="CG3179" s="2"/>
      <c r="CH3179" s="2"/>
      <c r="CI3179" s="2">
        <v>1</v>
      </c>
      <c r="CJ3179" s="2">
        <v>1</v>
      </c>
      <c r="CK3179" s="2">
        <v>21</v>
      </c>
      <c r="CL3179" s="2" t="s">
        <v>86</v>
      </c>
      <c r="CM3179" s="2"/>
    </row>
    <row r="3180" spans="1:91">
      <c r="A3180" s="2" t="s">
        <v>71</v>
      </c>
      <c r="B3180" s="2" t="s">
        <v>72</v>
      </c>
      <c r="C3180" s="2" t="s">
        <v>73</v>
      </c>
      <c r="D3180" s="2"/>
      <c r="E3180" s="2" t="str">
        <f>"FES1162545485"</f>
        <v>FES1162545485</v>
      </c>
      <c r="F3180" s="3">
        <v>42850</v>
      </c>
      <c r="G3180" s="2">
        <v>201710</v>
      </c>
      <c r="H3180" s="2" t="s">
        <v>74</v>
      </c>
      <c r="I3180" s="2" t="s">
        <v>75</v>
      </c>
      <c r="J3180" s="2" t="s">
        <v>76</v>
      </c>
      <c r="K3180" s="2" t="s">
        <v>77</v>
      </c>
      <c r="L3180" s="2" t="s">
        <v>99</v>
      </c>
      <c r="M3180" s="2" t="s">
        <v>100</v>
      </c>
      <c r="N3180" s="2" t="s">
        <v>108</v>
      </c>
      <c r="O3180" s="2" t="s">
        <v>115</v>
      </c>
      <c r="P3180" s="2" t="str">
        <f>"2170563999                    "</f>
        <v xml:space="preserve">2170563999 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7.5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3.5</v>
      </c>
      <c r="BJ3180" s="2">
        <v>1.6</v>
      </c>
      <c r="BK3180" s="2">
        <v>3.5</v>
      </c>
      <c r="BL3180" s="2">
        <v>73.02</v>
      </c>
      <c r="BM3180" s="2">
        <v>10.220000000000001</v>
      </c>
      <c r="BN3180" s="2">
        <v>83.24</v>
      </c>
      <c r="BO3180" s="2">
        <v>83.24</v>
      </c>
      <c r="BP3180" s="2"/>
      <c r="BQ3180" s="2" t="s">
        <v>109</v>
      </c>
      <c r="BR3180" s="2" t="s">
        <v>84</v>
      </c>
      <c r="BS3180" s="3">
        <v>42851</v>
      </c>
      <c r="BT3180" s="4">
        <v>0.3611111111111111</v>
      </c>
      <c r="BU3180" s="2" t="s">
        <v>109</v>
      </c>
      <c r="BV3180" s="2" t="s">
        <v>111</v>
      </c>
      <c r="BW3180" s="2"/>
      <c r="BX3180" s="2"/>
      <c r="BY3180" s="2">
        <v>8217.44</v>
      </c>
      <c r="BZ3180" s="2"/>
      <c r="CA3180" s="2" t="s">
        <v>106</v>
      </c>
      <c r="CB3180" s="2"/>
      <c r="CC3180" s="2" t="s">
        <v>100</v>
      </c>
      <c r="CD3180" s="2">
        <v>6001</v>
      </c>
      <c r="CE3180" s="2" t="s">
        <v>89</v>
      </c>
      <c r="CF3180" s="5">
        <v>42851</v>
      </c>
      <c r="CG3180" s="2"/>
      <c r="CH3180" s="2"/>
      <c r="CI3180" s="2">
        <v>1</v>
      </c>
      <c r="CJ3180" s="2">
        <v>1</v>
      </c>
      <c r="CK3180" s="2">
        <v>21</v>
      </c>
      <c r="CL3180" s="2" t="s">
        <v>86</v>
      </c>
      <c r="CM3180" s="2"/>
    </row>
    <row r="3181" spans="1:91">
      <c r="A3181" s="2" t="s">
        <v>71</v>
      </c>
      <c r="B3181" s="2" t="s">
        <v>72</v>
      </c>
      <c r="C3181" s="2" t="s">
        <v>73</v>
      </c>
      <c r="D3181" s="2"/>
      <c r="E3181" s="2" t="str">
        <f>"FES1162545468"</f>
        <v>FES1162545468</v>
      </c>
      <c r="F3181" s="3">
        <v>42850</v>
      </c>
      <c r="G3181" s="2">
        <v>201710</v>
      </c>
      <c r="H3181" s="2" t="s">
        <v>74</v>
      </c>
      <c r="I3181" s="2" t="s">
        <v>75</v>
      </c>
      <c r="J3181" s="2" t="s">
        <v>76</v>
      </c>
      <c r="K3181" s="2" t="s">
        <v>77</v>
      </c>
      <c r="L3181" s="2" t="s">
        <v>231</v>
      </c>
      <c r="M3181" s="2" t="s">
        <v>232</v>
      </c>
      <c r="N3181" s="2" t="s">
        <v>316</v>
      </c>
      <c r="O3181" s="2" t="s">
        <v>115</v>
      </c>
      <c r="P3181" s="2" t="str">
        <f>"2170563975                    "</f>
        <v xml:space="preserve">2170563975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6.03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1.2</v>
      </c>
      <c r="BJ3181" s="2">
        <v>0.8</v>
      </c>
      <c r="BK3181" s="2">
        <v>1.5</v>
      </c>
      <c r="BL3181" s="2">
        <v>58.68</v>
      </c>
      <c r="BM3181" s="2">
        <v>8.2200000000000006</v>
      </c>
      <c r="BN3181" s="2">
        <v>66.900000000000006</v>
      </c>
      <c r="BO3181" s="2">
        <v>66.900000000000006</v>
      </c>
      <c r="BP3181" s="2"/>
      <c r="BQ3181" s="2" t="s">
        <v>317</v>
      </c>
      <c r="BR3181" s="2" t="s">
        <v>84</v>
      </c>
      <c r="BS3181" s="3">
        <v>42851</v>
      </c>
      <c r="BT3181" s="4">
        <v>0.53472222222222221</v>
      </c>
      <c r="BU3181" s="2" t="s">
        <v>318</v>
      </c>
      <c r="BV3181" s="2" t="s">
        <v>111</v>
      </c>
      <c r="BW3181" s="2"/>
      <c r="BX3181" s="2"/>
      <c r="BY3181" s="2">
        <v>4231.5</v>
      </c>
      <c r="BZ3181" s="2"/>
      <c r="CA3181" s="2"/>
      <c r="CB3181" s="2"/>
      <c r="CC3181" s="2" t="s">
        <v>232</v>
      </c>
      <c r="CD3181" s="2">
        <v>250</v>
      </c>
      <c r="CE3181" s="2" t="s">
        <v>89</v>
      </c>
      <c r="CF3181" s="2"/>
      <c r="CG3181" s="2"/>
      <c r="CH3181" s="2"/>
      <c r="CI3181" s="2">
        <v>1</v>
      </c>
      <c r="CJ3181" s="2">
        <v>1</v>
      </c>
      <c r="CK3181" s="2">
        <v>24</v>
      </c>
      <c r="CL3181" s="2" t="s">
        <v>86</v>
      </c>
      <c r="CM3181" s="2"/>
    </row>
    <row r="3182" spans="1:91">
      <c r="A3182" s="2" t="s">
        <v>71</v>
      </c>
      <c r="B3182" s="2" t="s">
        <v>72</v>
      </c>
      <c r="C3182" s="2" t="s">
        <v>73</v>
      </c>
      <c r="D3182" s="2"/>
      <c r="E3182" s="2" t="str">
        <f>"FES1162545445"</f>
        <v>FES1162545445</v>
      </c>
      <c r="F3182" s="3">
        <v>42850</v>
      </c>
      <c r="G3182" s="2">
        <v>201710</v>
      </c>
      <c r="H3182" s="2" t="s">
        <v>74</v>
      </c>
      <c r="I3182" s="2" t="s">
        <v>75</v>
      </c>
      <c r="J3182" s="2" t="s">
        <v>76</v>
      </c>
      <c r="K3182" s="2" t="s">
        <v>77</v>
      </c>
      <c r="L3182" s="2" t="s">
        <v>160</v>
      </c>
      <c r="M3182" s="2" t="s">
        <v>161</v>
      </c>
      <c r="N3182" s="2" t="s">
        <v>907</v>
      </c>
      <c r="O3182" s="2" t="s">
        <v>115</v>
      </c>
      <c r="P3182" s="2" t="str">
        <f>"2170563953                    "</f>
        <v xml:space="preserve">2170563953 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68.59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27.7</v>
      </c>
      <c r="BJ3182" s="2">
        <v>31.8</v>
      </c>
      <c r="BK3182" s="2">
        <v>32</v>
      </c>
      <c r="BL3182" s="2">
        <v>667.63</v>
      </c>
      <c r="BM3182" s="2">
        <v>93.47</v>
      </c>
      <c r="BN3182" s="2">
        <v>761.1</v>
      </c>
      <c r="BO3182" s="2">
        <v>761.1</v>
      </c>
      <c r="BP3182" s="2"/>
      <c r="BQ3182" s="2" t="s">
        <v>908</v>
      </c>
      <c r="BR3182" s="2" t="s">
        <v>84</v>
      </c>
      <c r="BS3182" s="3">
        <v>42851</v>
      </c>
      <c r="BT3182" s="4">
        <v>0.5</v>
      </c>
      <c r="BU3182" s="2" t="s">
        <v>1658</v>
      </c>
      <c r="BV3182" s="2" t="s">
        <v>86</v>
      </c>
      <c r="BW3182" s="2"/>
      <c r="BX3182" s="2"/>
      <c r="BY3182" s="2">
        <v>158962.72</v>
      </c>
      <c r="BZ3182" s="2"/>
      <c r="CA3182" s="2"/>
      <c r="CB3182" s="2"/>
      <c r="CC3182" s="2" t="s">
        <v>161</v>
      </c>
      <c r="CD3182" s="2">
        <v>5200</v>
      </c>
      <c r="CE3182" s="2" t="s">
        <v>89</v>
      </c>
      <c r="CF3182" s="5">
        <v>42853</v>
      </c>
      <c r="CG3182" s="2"/>
      <c r="CH3182" s="2"/>
      <c r="CI3182" s="2">
        <v>1</v>
      </c>
      <c r="CJ3182" s="2">
        <v>1</v>
      </c>
      <c r="CK3182" s="2">
        <v>21</v>
      </c>
      <c r="CL3182" s="2" t="s">
        <v>86</v>
      </c>
      <c r="CM3182" s="2"/>
    </row>
    <row r="3183" spans="1:91">
      <c r="A3183" s="2" t="s">
        <v>71</v>
      </c>
      <c r="B3183" s="2" t="s">
        <v>72</v>
      </c>
      <c r="C3183" s="2" t="s">
        <v>73</v>
      </c>
      <c r="D3183" s="2"/>
      <c r="E3183" s="2" t="str">
        <f>"FES1162545446"</f>
        <v>FES1162545446</v>
      </c>
      <c r="F3183" s="3">
        <v>42850</v>
      </c>
      <c r="G3183" s="2">
        <v>201710</v>
      </c>
      <c r="H3183" s="2" t="s">
        <v>74</v>
      </c>
      <c r="I3183" s="2" t="s">
        <v>75</v>
      </c>
      <c r="J3183" s="2" t="s">
        <v>76</v>
      </c>
      <c r="K3183" s="2" t="s">
        <v>77</v>
      </c>
      <c r="L3183" s="2" t="s">
        <v>401</v>
      </c>
      <c r="M3183" s="2" t="s">
        <v>402</v>
      </c>
      <c r="N3183" s="2" t="s">
        <v>568</v>
      </c>
      <c r="O3183" s="2" t="s">
        <v>115</v>
      </c>
      <c r="P3183" s="2" t="str">
        <f>"2170569236                    "</f>
        <v xml:space="preserve">2170569236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5.36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2.1</v>
      </c>
      <c r="BJ3183" s="2">
        <v>1.2</v>
      </c>
      <c r="BK3183" s="2">
        <v>2.5</v>
      </c>
      <c r="BL3183" s="2">
        <v>52.16</v>
      </c>
      <c r="BM3183" s="2">
        <v>7.3</v>
      </c>
      <c r="BN3183" s="2">
        <v>59.46</v>
      </c>
      <c r="BO3183" s="2">
        <v>59.46</v>
      </c>
      <c r="BP3183" s="2"/>
      <c r="BQ3183" s="2" t="s">
        <v>569</v>
      </c>
      <c r="BR3183" s="2" t="s">
        <v>84</v>
      </c>
      <c r="BS3183" s="3">
        <v>42851</v>
      </c>
      <c r="BT3183" s="4">
        <v>0.41666666666666669</v>
      </c>
      <c r="BU3183" s="2" t="s">
        <v>524</v>
      </c>
      <c r="BV3183" s="2" t="s">
        <v>111</v>
      </c>
      <c r="BW3183" s="2"/>
      <c r="BX3183" s="2"/>
      <c r="BY3183" s="2">
        <v>6173.77</v>
      </c>
      <c r="BZ3183" s="2"/>
      <c r="CA3183" s="2"/>
      <c r="CB3183" s="2"/>
      <c r="CC3183" s="2" t="s">
        <v>402</v>
      </c>
      <c r="CD3183" s="2">
        <v>4133</v>
      </c>
      <c r="CE3183" s="2" t="s">
        <v>89</v>
      </c>
      <c r="CF3183" s="5">
        <v>42853</v>
      </c>
      <c r="CG3183" s="2"/>
      <c r="CH3183" s="2"/>
      <c r="CI3183" s="2">
        <v>1</v>
      </c>
      <c r="CJ3183" s="2">
        <v>1</v>
      </c>
      <c r="CK3183" s="2">
        <v>21</v>
      </c>
      <c r="CL3183" s="2" t="s">
        <v>86</v>
      </c>
      <c r="CM3183" s="2"/>
    </row>
    <row r="3184" spans="1:91">
      <c r="A3184" s="2" t="s">
        <v>71</v>
      </c>
      <c r="B3184" s="2" t="s">
        <v>72</v>
      </c>
      <c r="C3184" s="2" t="s">
        <v>73</v>
      </c>
      <c r="D3184" s="2"/>
      <c r="E3184" s="2" t="str">
        <f>"FES1162545477"</f>
        <v>FES1162545477</v>
      </c>
      <c r="F3184" s="3">
        <v>42850</v>
      </c>
      <c r="G3184" s="2">
        <v>201710</v>
      </c>
      <c r="H3184" s="2" t="s">
        <v>74</v>
      </c>
      <c r="I3184" s="2" t="s">
        <v>75</v>
      </c>
      <c r="J3184" s="2" t="s">
        <v>76</v>
      </c>
      <c r="K3184" s="2" t="s">
        <v>77</v>
      </c>
      <c r="L3184" s="2" t="s">
        <v>934</v>
      </c>
      <c r="M3184" s="2" t="s">
        <v>935</v>
      </c>
      <c r="N3184" s="2" t="s">
        <v>1656</v>
      </c>
      <c r="O3184" s="2" t="s">
        <v>115</v>
      </c>
      <c r="P3184" s="2" t="str">
        <f>"2170563986                    "</f>
        <v xml:space="preserve">2170563986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5.36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2.2999999999999998</v>
      </c>
      <c r="BJ3184" s="2">
        <v>1</v>
      </c>
      <c r="BK3184" s="2">
        <v>2.5</v>
      </c>
      <c r="BL3184" s="2">
        <v>52.16</v>
      </c>
      <c r="BM3184" s="2">
        <v>7.3</v>
      </c>
      <c r="BN3184" s="2">
        <v>59.46</v>
      </c>
      <c r="BO3184" s="2">
        <v>59.46</v>
      </c>
      <c r="BP3184" s="2"/>
      <c r="BQ3184" s="2" t="s">
        <v>129</v>
      </c>
      <c r="BR3184" s="2" t="s">
        <v>84</v>
      </c>
      <c r="BS3184" s="3">
        <v>42851</v>
      </c>
      <c r="BT3184" s="4">
        <v>0.5</v>
      </c>
      <c r="BU3184" s="2" t="s">
        <v>3279</v>
      </c>
      <c r="BV3184" s="2" t="s">
        <v>86</v>
      </c>
      <c r="BW3184" s="2"/>
      <c r="BX3184" s="2"/>
      <c r="BY3184" s="2">
        <v>5011.33</v>
      </c>
      <c r="BZ3184" s="2"/>
      <c r="CA3184" s="2" t="s">
        <v>159</v>
      </c>
      <c r="CB3184" s="2"/>
      <c r="CC3184" s="2" t="s">
        <v>935</v>
      </c>
      <c r="CD3184" s="2">
        <v>1871</v>
      </c>
      <c r="CE3184" s="2" t="s">
        <v>89</v>
      </c>
      <c r="CF3184" s="5">
        <v>42853</v>
      </c>
      <c r="CG3184" s="2"/>
      <c r="CH3184" s="2"/>
      <c r="CI3184" s="2">
        <v>1</v>
      </c>
      <c r="CJ3184" s="2">
        <v>1</v>
      </c>
      <c r="CK3184" s="2">
        <v>21</v>
      </c>
      <c r="CL3184" s="2" t="s">
        <v>86</v>
      </c>
      <c r="CM3184" s="2"/>
    </row>
    <row r="3185" spans="1:91">
      <c r="A3185" s="2" t="s">
        <v>71</v>
      </c>
      <c r="B3185" s="2" t="s">
        <v>72</v>
      </c>
      <c r="C3185" s="2" t="s">
        <v>73</v>
      </c>
      <c r="D3185" s="2"/>
      <c r="E3185" s="2" t="str">
        <f>"FES1162544829"</f>
        <v>FES1162544829</v>
      </c>
      <c r="F3185" s="3">
        <v>42850</v>
      </c>
      <c r="G3185" s="2">
        <v>201710</v>
      </c>
      <c r="H3185" s="2" t="s">
        <v>74</v>
      </c>
      <c r="I3185" s="2" t="s">
        <v>75</v>
      </c>
      <c r="J3185" s="2" t="s">
        <v>76</v>
      </c>
      <c r="K3185" s="2" t="s">
        <v>77</v>
      </c>
      <c r="L3185" s="2" t="s">
        <v>598</v>
      </c>
      <c r="M3185" s="2" t="s">
        <v>599</v>
      </c>
      <c r="N3185" s="2" t="s">
        <v>600</v>
      </c>
      <c r="O3185" s="2" t="s">
        <v>115</v>
      </c>
      <c r="P3185" s="2" t="str">
        <f>"2170563359                    "</f>
        <v xml:space="preserve">2170563359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21.43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2</v>
      </c>
      <c r="BJ3185" s="2">
        <v>5.4</v>
      </c>
      <c r="BK3185" s="2">
        <v>5.5</v>
      </c>
      <c r="BL3185" s="2">
        <v>208.63</v>
      </c>
      <c r="BM3185" s="2">
        <v>29.21</v>
      </c>
      <c r="BN3185" s="2">
        <v>237.84</v>
      </c>
      <c r="BO3185" s="2">
        <v>237.84</v>
      </c>
      <c r="BP3185" s="2"/>
      <c r="BQ3185" s="2" t="s">
        <v>601</v>
      </c>
      <c r="BR3185" s="2" t="s">
        <v>84</v>
      </c>
      <c r="BS3185" s="3">
        <v>42851</v>
      </c>
      <c r="BT3185" s="4">
        <v>0.62152777777777779</v>
      </c>
      <c r="BU3185" s="2" t="s">
        <v>602</v>
      </c>
      <c r="BV3185" s="2" t="s">
        <v>111</v>
      </c>
      <c r="BW3185" s="2"/>
      <c r="BX3185" s="2"/>
      <c r="BY3185" s="2">
        <v>26912</v>
      </c>
      <c r="BZ3185" s="2"/>
      <c r="CA3185" s="2"/>
      <c r="CB3185" s="2"/>
      <c r="CC3185" s="2" t="s">
        <v>599</v>
      </c>
      <c r="CD3185" s="2">
        <v>3370</v>
      </c>
      <c r="CE3185" s="2" t="s">
        <v>89</v>
      </c>
      <c r="CF3185" s="2"/>
      <c r="CG3185" s="2"/>
      <c r="CH3185" s="2"/>
      <c r="CI3185" s="2">
        <v>3</v>
      </c>
      <c r="CJ3185" s="2">
        <v>1</v>
      </c>
      <c r="CK3185" s="2">
        <v>23</v>
      </c>
      <c r="CL3185" s="2" t="s">
        <v>86</v>
      </c>
      <c r="CM3185" s="2"/>
    </row>
    <row r="3186" spans="1:91">
      <c r="A3186" s="2" t="s">
        <v>71</v>
      </c>
      <c r="B3186" s="2" t="s">
        <v>72</v>
      </c>
      <c r="C3186" s="2" t="s">
        <v>73</v>
      </c>
      <c r="D3186" s="2"/>
      <c r="E3186" s="2" t="str">
        <f>"FES1162545387"</f>
        <v>FES1162545387</v>
      </c>
      <c r="F3186" s="3">
        <v>42850</v>
      </c>
      <c r="G3186" s="2">
        <v>201710</v>
      </c>
      <c r="H3186" s="2" t="s">
        <v>74</v>
      </c>
      <c r="I3186" s="2" t="s">
        <v>75</v>
      </c>
      <c r="J3186" s="2" t="s">
        <v>76</v>
      </c>
      <c r="K3186" s="2" t="s">
        <v>77</v>
      </c>
      <c r="L3186" s="2" t="s">
        <v>119</v>
      </c>
      <c r="M3186" s="2" t="s">
        <v>120</v>
      </c>
      <c r="N3186" s="2" t="s">
        <v>3280</v>
      </c>
      <c r="O3186" s="2" t="s">
        <v>115</v>
      </c>
      <c r="P3186" s="2" t="str">
        <f>"2170563897                    "</f>
        <v xml:space="preserve">2170563897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3.35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1</v>
      </c>
      <c r="BJ3186" s="2">
        <v>0.2</v>
      </c>
      <c r="BK3186" s="2">
        <v>1</v>
      </c>
      <c r="BL3186" s="2">
        <v>32.6</v>
      </c>
      <c r="BM3186" s="2">
        <v>4.5599999999999996</v>
      </c>
      <c r="BN3186" s="2">
        <v>37.159999999999997</v>
      </c>
      <c r="BO3186" s="2">
        <v>37.159999999999997</v>
      </c>
      <c r="BP3186" s="2"/>
      <c r="BQ3186" s="2" t="s">
        <v>122</v>
      </c>
      <c r="BR3186" s="2" t="s">
        <v>84</v>
      </c>
      <c r="BS3186" s="3">
        <v>42851</v>
      </c>
      <c r="BT3186" s="4">
        <v>0.43124999999999997</v>
      </c>
      <c r="BU3186" s="2" t="s">
        <v>3281</v>
      </c>
      <c r="BV3186" s="2" t="s">
        <v>111</v>
      </c>
      <c r="BW3186" s="2"/>
      <c r="BX3186" s="2"/>
      <c r="BY3186" s="2">
        <v>1200</v>
      </c>
      <c r="BZ3186" s="2"/>
      <c r="CA3186" s="2" t="s">
        <v>125</v>
      </c>
      <c r="CB3186" s="2"/>
      <c r="CC3186" s="2" t="s">
        <v>120</v>
      </c>
      <c r="CD3186" s="2">
        <v>2163</v>
      </c>
      <c r="CE3186" s="2" t="s">
        <v>118</v>
      </c>
      <c r="CF3186" s="5">
        <v>42853</v>
      </c>
      <c r="CG3186" s="2"/>
      <c r="CH3186" s="2"/>
      <c r="CI3186" s="2">
        <v>1</v>
      </c>
      <c r="CJ3186" s="2">
        <v>1</v>
      </c>
      <c r="CK3186" s="2">
        <v>22</v>
      </c>
      <c r="CL3186" s="2" t="s">
        <v>86</v>
      </c>
      <c r="CM3186" s="2"/>
    </row>
    <row r="3187" spans="1:91">
      <c r="A3187" s="2" t="s">
        <v>71</v>
      </c>
      <c r="B3187" s="2" t="s">
        <v>72</v>
      </c>
      <c r="C3187" s="2" t="s">
        <v>73</v>
      </c>
      <c r="D3187" s="2"/>
      <c r="E3187" s="2" t="str">
        <f>"FES1162545388"</f>
        <v>FES1162545388</v>
      </c>
      <c r="F3187" s="3">
        <v>42850</v>
      </c>
      <c r="G3187" s="2">
        <v>201710</v>
      </c>
      <c r="H3187" s="2" t="s">
        <v>74</v>
      </c>
      <c r="I3187" s="2" t="s">
        <v>75</v>
      </c>
      <c r="J3187" s="2" t="s">
        <v>76</v>
      </c>
      <c r="K3187" s="2" t="s">
        <v>77</v>
      </c>
      <c r="L3187" s="2" t="s">
        <v>516</v>
      </c>
      <c r="M3187" s="2" t="s">
        <v>517</v>
      </c>
      <c r="N3187" s="2" t="s">
        <v>3282</v>
      </c>
      <c r="O3187" s="2" t="s">
        <v>115</v>
      </c>
      <c r="P3187" s="2" t="str">
        <f>"2170563899                    "</f>
        <v xml:space="preserve">2170563899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3.35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1</v>
      </c>
      <c r="BJ3187" s="2">
        <v>0.2</v>
      </c>
      <c r="BK3187" s="2">
        <v>1</v>
      </c>
      <c r="BL3187" s="2">
        <v>32.6</v>
      </c>
      <c r="BM3187" s="2">
        <v>4.5599999999999996</v>
      </c>
      <c r="BN3187" s="2">
        <v>37.159999999999997</v>
      </c>
      <c r="BO3187" s="2">
        <v>37.159999999999997</v>
      </c>
      <c r="BP3187" s="2"/>
      <c r="BQ3187" s="2"/>
      <c r="BR3187" s="2" t="s">
        <v>84</v>
      </c>
      <c r="BS3187" s="3">
        <v>42851</v>
      </c>
      <c r="BT3187" s="4">
        <v>0.34375</v>
      </c>
      <c r="BU3187" s="2" t="s">
        <v>3283</v>
      </c>
      <c r="BV3187" s="2" t="s">
        <v>111</v>
      </c>
      <c r="BW3187" s="2"/>
      <c r="BX3187" s="2"/>
      <c r="BY3187" s="2">
        <v>1200</v>
      </c>
      <c r="BZ3187" s="2"/>
      <c r="CA3187" s="2"/>
      <c r="CB3187" s="2"/>
      <c r="CC3187" s="2" t="s">
        <v>517</v>
      </c>
      <c r="CD3187" s="2">
        <v>1459</v>
      </c>
      <c r="CE3187" s="2" t="s">
        <v>118</v>
      </c>
      <c r="CF3187" s="5">
        <v>42853</v>
      </c>
      <c r="CG3187" s="2"/>
      <c r="CH3187" s="2"/>
      <c r="CI3187" s="2">
        <v>1</v>
      </c>
      <c r="CJ3187" s="2">
        <v>1</v>
      </c>
      <c r="CK3187" s="2">
        <v>22</v>
      </c>
      <c r="CL3187" s="2" t="s">
        <v>86</v>
      </c>
      <c r="CM3187" s="2"/>
    </row>
    <row r="3188" spans="1:91">
      <c r="A3188" s="2" t="s">
        <v>71</v>
      </c>
      <c r="B3188" s="2" t="s">
        <v>72</v>
      </c>
      <c r="C3188" s="2" t="s">
        <v>73</v>
      </c>
      <c r="D3188" s="2"/>
      <c r="E3188" s="2" t="str">
        <f>"FES1162545510"</f>
        <v>FES1162545510</v>
      </c>
      <c r="F3188" s="3">
        <v>42850</v>
      </c>
      <c r="G3188" s="2">
        <v>201710</v>
      </c>
      <c r="H3188" s="2" t="s">
        <v>74</v>
      </c>
      <c r="I3188" s="2" t="s">
        <v>75</v>
      </c>
      <c r="J3188" s="2" t="s">
        <v>76</v>
      </c>
      <c r="K3188" s="2" t="s">
        <v>77</v>
      </c>
      <c r="L3188" s="2" t="s">
        <v>131</v>
      </c>
      <c r="M3188" s="2" t="s">
        <v>132</v>
      </c>
      <c r="N3188" s="2" t="s">
        <v>744</v>
      </c>
      <c r="O3188" s="2" t="s">
        <v>115</v>
      </c>
      <c r="P3188" s="2" t="str">
        <f>"2170564032                    "</f>
        <v xml:space="preserve">2170564032 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4.29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1</v>
      </c>
      <c r="BJ3188" s="2">
        <v>0.2</v>
      </c>
      <c r="BK3188" s="2">
        <v>1</v>
      </c>
      <c r="BL3188" s="2">
        <v>41.73</v>
      </c>
      <c r="BM3188" s="2">
        <v>5.84</v>
      </c>
      <c r="BN3188" s="2">
        <v>47.57</v>
      </c>
      <c r="BO3188" s="2">
        <v>47.57</v>
      </c>
      <c r="BP3188" s="2"/>
      <c r="BQ3188" s="2" t="s">
        <v>138</v>
      </c>
      <c r="BR3188" s="2" t="s">
        <v>84</v>
      </c>
      <c r="BS3188" s="3">
        <v>42851</v>
      </c>
      <c r="BT3188" s="4">
        <v>0.41666666666666669</v>
      </c>
      <c r="BU3188" s="2" t="s">
        <v>2987</v>
      </c>
      <c r="BV3188" s="2" t="s">
        <v>111</v>
      </c>
      <c r="BW3188" s="2"/>
      <c r="BX3188" s="2"/>
      <c r="BY3188" s="2">
        <v>1200</v>
      </c>
      <c r="BZ3188" s="2"/>
      <c r="CA3188" s="2" t="s">
        <v>159</v>
      </c>
      <c r="CB3188" s="2"/>
      <c r="CC3188" s="2" t="s">
        <v>132</v>
      </c>
      <c r="CD3188" s="2">
        <v>7405</v>
      </c>
      <c r="CE3188" s="2" t="s">
        <v>118</v>
      </c>
      <c r="CF3188" s="5">
        <v>42853</v>
      </c>
      <c r="CG3188" s="2"/>
      <c r="CH3188" s="2"/>
      <c r="CI3188" s="2">
        <v>1</v>
      </c>
      <c r="CJ3188" s="2">
        <v>1</v>
      </c>
      <c r="CK3188" s="2">
        <v>21</v>
      </c>
      <c r="CL3188" s="2" t="s">
        <v>86</v>
      </c>
      <c r="CM3188" s="2"/>
    </row>
    <row r="3189" spans="1:91">
      <c r="A3189" s="2" t="s">
        <v>71</v>
      </c>
      <c r="B3189" s="2" t="s">
        <v>72</v>
      </c>
      <c r="C3189" s="2" t="s">
        <v>73</v>
      </c>
      <c r="D3189" s="2"/>
      <c r="E3189" s="2" t="str">
        <f>"FES1162545514"</f>
        <v>FES1162545514</v>
      </c>
      <c r="F3189" s="3">
        <v>42850</v>
      </c>
      <c r="G3189" s="2">
        <v>201710</v>
      </c>
      <c r="H3189" s="2" t="s">
        <v>74</v>
      </c>
      <c r="I3189" s="2" t="s">
        <v>75</v>
      </c>
      <c r="J3189" s="2" t="s">
        <v>76</v>
      </c>
      <c r="K3189" s="2" t="s">
        <v>77</v>
      </c>
      <c r="L3189" s="2" t="s">
        <v>126</v>
      </c>
      <c r="M3189" s="2" t="s">
        <v>127</v>
      </c>
      <c r="N3189" s="2" t="s">
        <v>3284</v>
      </c>
      <c r="O3189" s="2" t="s">
        <v>115</v>
      </c>
      <c r="P3189" s="2" t="str">
        <f>"2170564037                    "</f>
        <v xml:space="preserve">2170564037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4.29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1</v>
      </c>
      <c r="BJ3189" s="2">
        <v>0.2</v>
      </c>
      <c r="BK3189" s="2">
        <v>1</v>
      </c>
      <c r="BL3189" s="2">
        <v>41.73</v>
      </c>
      <c r="BM3189" s="2">
        <v>5.84</v>
      </c>
      <c r="BN3189" s="2">
        <v>47.57</v>
      </c>
      <c r="BO3189" s="2">
        <v>47.57</v>
      </c>
      <c r="BP3189" s="2"/>
      <c r="BQ3189" s="2" t="s">
        <v>129</v>
      </c>
      <c r="BR3189" s="2" t="s">
        <v>84</v>
      </c>
      <c r="BS3189" s="3">
        <v>42851</v>
      </c>
      <c r="BT3189" s="4">
        <v>0.43958333333333338</v>
      </c>
      <c r="BU3189" s="2" t="s">
        <v>130</v>
      </c>
      <c r="BV3189" s="2" t="s">
        <v>111</v>
      </c>
      <c r="BW3189" s="2"/>
      <c r="BX3189" s="2"/>
      <c r="BY3189" s="2">
        <v>1200</v>
      </c>
      <c r="BZ3189" s="2"/>
      <c r="CA3189" s="2"/>
      <c r="CB3189" s="2"/>
      <c r="CC3189" s="2" t="s">
        <v>127</v>
      </c>
      <c r="CD3189" s="2">
        <v>6850</v>
      </c>
      <c r="CE3189" s="2" t="s">
        <v>118</v>
      </c>
      <c r="CF3189" s="5">
        <v>42853</v>
      </c>
      <c r="CG3189" s="2"/>
      <c r="CH3189" s="2"/>
      <c r="CI3189" s="2">
        <v>3</v>
      </c>
      <c r="CJ3189" s="2">
        <v>1</v>
      </c>
      <c r="CK3189" s="2">
        <v>21</v>
      </c>
      <c r="CL3189" s="2" t="s">
        <v>86</v>
      </c>
      <c r="CM3189" s="2"/>
    </row>
    <row r="3190" spans="1:91">
      <c r="A3190" s="2" t="s">
        <v>71</v>
      </c>
      <c r="B3190" s="2" t="s">
        <v>72</v>
      </c>
      <c r="C3190" s="2" t="s">
        <v>73</v>
      </c>
      <c r="D3190" s="2"/>
      <c r="E3190" s="2" t="str">
        <f>"FES1162545515"</f>
        <v>FES1162545515</v>
      </c>
      <c r="F3190" s="3">
        <v>42850</v>
      </c>
      <c r="G3190" s="2">
        <v>201710</v>
      </c>
      <c r="H3190" s="2" t="s">
        <v>74</v>
      </c>
      <c r="I3190" s="2" t="s">
        <v>75</v>
      </c>
      <c r="J3190" s="2" t="s">
        <v>76</v>
      </c>
      <c r="K3190" s="2" t="s">
        <v>77</v>
      </c>
      <c r="L3190" s="2" t="s">
        <v>131</v>
      </c>
      <c r="M3190" s="2" t="s">
        <v>132</v>
      </c>
      <c r="N3190" s="2" t="s">
        <v>744</v>
      </c>
      <c r="O3190" s="2" t="s">
        <v>115</v>
      </c>
      <c r="P3190" s="2" t="str">
        <f>"2170564042                    "</f>
        <v xml:space="preserve">2170564042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4.29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1</v>
      </c>
      <c r="BJ3190" s="2">
        <v>0.2</v>
      </c>
      <c r="BK3190" s="2">
        <v>1</v>
      </c>
      <c r="BL3190" s="2">
        <v>41.73</v>
      </c>
      <c r="BM3190" s="2">
        <v>5.84</v>
      </c>
      <c r="BN3190" s="2">
        <v>47.57</v>
      </c>
      <c r="BO3190" s="2">
        <v>47.57</v>
      </c>
      <c r="BP3190" s="2"/>
      <c r="BQ3190" s="2" t="s">
        <v>138</v>
      </c>
      <c r="BR3190" s="2" t="s">
        <v>84</v>
      </c>
      <c r="BS3190" s="3">
        <v>42851</v>
      </c>
      <c r="BT3190" s="4">
        <v>0.41666666666666669</v>
      </c>
      <c r="BU3190" s="2" t="s">
        <v>2987</v>
      </c>
      <c r="BV3190" s="2" t="s">
        <v>111</v>
      </c>
      <c r="BW3190" s="2"/>
      <c r="BX3190" s="2"/>
      <c r="BY3190" s="2">
        <v>1200</v>
      </c>
      <c r="BZ3190" s="2"/>
      <c r="CA3190" s="2" t="s">
        <v>159</v>
      </c>
      <c r="CB3190" s="2"/>
      <c r="CC3190" s="2" t="s">
        <v>132</v>
      </c>
      <c r="CD3190" s="2">
        <v>7405</v>
      </c>
      <c r="CE3190" s="2" t="s">
        <v>118</v>
      </c>
      <c r="CF3190" s="5">
        <v>42853</v>
      </c>
      <c r="CG3190" s="2"/>
      <c r="CH3190" s="2"/>
      <c r="CI3190" s="2">
        <v>1</v>
      </c>
      <c r="CJ3190" s="2">
        <v>1</v>
      </c>
      <c r="CK3190" s="2">
        <v>21</v>
      </c>
      <c r="CL3190" s="2" t="s">
        <v>86</v>
      </c>
      <c r="CM3190" s="2"/>
    </row>
    <row r="3191" spans="1:91">
      <c r="A3191" s="2" t="s">
        <v>71</v>
      </c>
      <c r="B3191" s="2" t="s">
        <v>72</v>
      </c>
      <c r="C3191" s="2" t="s">
        <v>73</v>
      </c>
      <c r="D3191" s="2"/>
      <c r="E3191" s="2" t="str">
        <f>"FES1162545556"</f>
        <v>FES1162545556</v>
      </c>
      <c r="F3191" s="3">
        <v>42850</v>
      </c>
      <c r="G3191" s="2">
        <v>201710</v>
      </c>
      <c r="H3191" s="2" t="s">
        <v>74</v>
      </c>
      <c r="I3191" s="2" t="s">
        <v>75</v>
      </c>
      <c r="J3191" s="2" t="s">
        <v>76</v>
      </c>
      <c r="K3191" s="2" t="s">
        <v>77</v>
      </c>
      <c r="L3191" s="2" t="s">
        <v>2804</v>
      </c>
      <c r="M3191" s="2" t="s">
        <v>2805</v>
      </c>
      <c r="N3191" s="2" t="s">
        <v>3285</v>
      </c>
      <c r="O3191" s="2" t="s">
        <v>115</v>
      </c>
      <c r="P3191" s="2" t="str">
        <f>"2170564086                    "</f>
        <v xml:space="preserve">2170564086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6.03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1</v>
      </c>
      <c r="BJ3191" s="2">
        <v>0.2</v>
      </c>
      <c r="BK3191" s="2">
        <v>1</v>
      </c>
      <c r="BL3191" s="2">
        <v>58.68</v>
      </c>
      <c r="BM3191" s="2">
        <v>8.2200000000000006</v>
      </c>
      <c r="BN3191" s="2">
        <v>66.900000000000006</v>
      </c>
      <c r="BO3191" s="2">
        <v>66.900000000000006</v>
      </c>
      <c r="BP3191" s="2"/>
      <c r="BQ3191" s="2" t="s">
        <v>129</v>
      </c>
      <c r="BR3191" s="2" t="s">
        <v>84</v>
      </c>
      <c r="BS3191" s="3">
        <v>42851</v>
      </c>
      <c r="BT3191" s="4">
        <v>0.52430555555555558</v>
      </c>
      <c r="BU3191" s="2" t="s">
        <v>1518</v>
      </c>
      <c r="BV3191" s="2" t="s">
        <v>111</v>
      </c>
      <c r="BW3191" s="2"/>
      <c r="BX3191" s="2"/>
      <c r="BY3191" s="2">
        <v>1200</v>
      </c>
      <c r="BZ3191" s="2"/>
      <c r="CA3191" s="2"/>
      <c r="CB3191" s="2"/>
      <c r="CC3191" s="2" t="s">
        <v>2805</v>
      </c>
      <c r="CD3191" s="2">
        <v>1779</v>
      </c>
      <c r="CE3191" s="2" t="s">
        <v>118</v>
      </c>
      <c r="CF3191" s="5">
        <v>42853</v>
      </c>
      <c r="CG3191" s="2"/>
      <c r="CH3191" s="2"/>
      <c r="CI3191" s="2">
        <v>1</v>
      </c>
      <c r="CJ3191" s="2">
        <v>1</v>
      </c>
      <c r="CK3191" s="2">
        <v>24</v>
      </c>
      <c r="CL3191" s="2" t="s">
        <v>86</v>
      </c>
      <c r="CM3191" s="2"/>
    </row>
    <row r="3192" spans="1:91">
      <c r="A3192" s="2" t="s">
        <v>71</v>
      </c>
      <c r="B3192" s="2" t="s">
        <v>72</v>
      </c>
      <c r="C3192" s="2" t="s">
        <v>73</v>
      </c>
      <c r="D3192" s="2"/>
      <c r="E3192" s="2" t="str">
        <f>"FES1162545535"</f>
        <v>FES1162545535</v>
      </c>
      <c r="F3192" s="3">
        <v>42850</v>
      </c>
      <c r="G3192" s="2">
        <v>201710</v>
      </c>
      <c r="H3192" s="2" t="s">
        <v>74</v>
      </c>
      <c r="I3192" s="2" t="s">
        <v>75</v>
      </c>
      <c r="J3192" s="2" t="s">
        <v>76</v>
      </c>
      <c r="K3192" s="2" t="s">
        <v>77</v>
      </c>
      <c r="L3192" s="2" t="s">
        <v>99</v>
      </c>
      <c r="M3192" s="2" t="s">
        <v>100</v>
      </c>
      <c r="N3192" s="2" t="s">
        <v>876</v>
      </c>
      <c r="O3192" s="2" t="s">
        <v>115</v>
      </c>
      <c r="P3192" s="2" t="str">
        <f>"2170564063                    "</f>
        <v xml:space="preserve">2170564063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11.79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4</v>
      </c>
      <c r="BJ3192" s="2">
        <v>5.2</v>
      </c>
      <c r="BK3192" s="2">
        <v>5.5</v>
      </c>
      <c r="BL3192" s="2">
        <v>114.75</v>
      </c>
      <c r="BM3192" s="2">
        <v>16.07</v>
      </c>
      <c r="BN3192" s="2">
        <v>130.82</v>
      </c>
      <c r="BO3192" s="2">
        <v>130.82</v>
      </c>
      <c r="BP3192" s="2"/>
      <c r="BQ3192" s="2" t="s">
        <v>877</v>
      </c>
      <c r="BR3192" s="2" t="s">
        <v>84</v>
      </c>
      <c r="BS3192" s="3">
        <v>42851</v>
      </c>
      <c r="BT3192" s="4">
        <v>0.29166666666666669</v>
      </c>
      <c r="BU3192" s="2" t="s">
        <v>3286</v>
      </c>
      <c r="BV3192" s="2" t="s">
        <v>111</v>
      </c>
      <c r="BW3192" s="2"/>
      <c r="BX3192" s="2"/>
      <c r="BY3192" s="2">
        <v>26136</v>
      </c>
      <c r="BZ3192" s="2"/>
      <c r="CA3192" s="2" t="s">
        <v>106</v>
      </c>
      <c r="CB3192" s="2"/>
      <c r="CC3192" s="2" t="s">
        <v>100</v>
      </c>
      <c r="CD3192" s="2">
        <v>6012</v>
      </c>
      <c r="CE3192" s="2" t="s">
        <v>89</v>
      </c>
      <c r="CF3192" s="5">
        <v>42851</v>
      </c>
      <c r="CG3192" s="2"/>
      <c r="CH3192" s="2"/>
      <c r="CI3192" s="2">
        <v>1</v>
      </c>
      <c r="CJ3192" s="2">
        <v>1</v>
      </c>
      <c r="CK3192" s="2">
        <v>21</v>
      </c>
      <c r="CL3192" s="2" t="s">
        <v>86</v>
      </c>
      <c r="CM3192" s="2"/>
    </row>
    <row r="3193" spans="1:91">
      <c r="A3193" s="2" t="s">
        <v>71</v>
      </c>
      <c r="B3193" s="2" t="s">
        <v>72</v>
      </c>
      <c r="C3193" s="2" t="s">
        <v>73</v>
      </c>
      <c r="D3193" s="2"/>
      <c r="E3193" s="2" t="str">
        <f>"FES1162545537"</f>
        <v>FES1162545537</v>
      </c>
      <c r="F3193" s="3">
        <v>42850</v>
      </c>
      <c r="G3193" s="2">
        <v>201710</v>
      </c>
      <c r="H3193" s="2" t="s">
        <v>74</v>
      </c>
      <c r="I3193" s="2" t="s">
        <v>75</v>
      </c>
      <c r="J3193" s="2" t="s">
        <v>76</v>
      </c>
      <c r="K3193" s="2" t="s">
        <v>77</v>
      </c>
      <c r="L3193" s="2" t="s">
        <v>99</v>
      </c>
      <c r="M3193" s="2" t="s">
        <v>100</v>
      </c>
      <c r="N3193" s="2" t="s">
        <v>876</v>
      </c>
      <c r="O3193" s="2" t="s">
        <v>115</v>
      </c>
      <c r="P3193" s="2" t="str">
        <f>"2170564065                    "</f>
        <v xml:space="preserve">2170564065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4.29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1</v>
      </c>
      <c r="BJ3193" s="2">
        <v>0.2</v>
      </c>
      <c r="BK3193" s="2">
        <v>1</v>
      </c>
      <c r="BL3193" s="2">
        <v>41.73</v>
      </c>
      <c r="BM3193" s="2">
        <v>5.84</v>
      </c>
      <c r="BN3193" s="2">
        <v>47.57</v>
      </c>
      <c r="BO3193" s="2">
        <v>47.57</v>
      </c>
      <c r="BP3193" s="2"/>
      <c r="BQ3193" s="2" t="s">
        <v>877</v>
      </c>
      <c r="BR3193" s="2" t="s">
        <v>84</v>
      </c>
      <c r="BS3193" s="3">
        <v>42851</v>
      </c>
      <c r="BT3193" s="4">
        <v>0.29166666666666669</v>
      </c>
      <c r="BU3193" s="2" t="s">
        <v>3287</v>
      </c>
      <c r="BV3193" s="2" t="s">
        <v>111</v>
      </c>
      <c r="BW3193" s="2"/>
      <c r="BX3193" s="2"/>
      <c r="BY3193" s="2">
        <v>1200</v>
      </c>
      <c r="BZ3193" s="2"/>
      <c r="CA3193" s="2" t="s">
        <v>106</v>
      </c>
      <c r="CB3193" s="2"/>
      <c r="CC3193" s="2" t="s">
        <v>100</v>
      </c>
      <c r="CD3193" s="2">
        <v>6012</v>
      </c>
      <c r="CE3193" s="2" t="s">
        <v>118</v>
      </c>
      <c r="CF3193" s="5">
        <v>42851</v>
      </c>
      <c r="CG3193" s="2"/>
      <c r="CH3193" s="2"/>
      <c r="CI3193" s="2">
        <v>1</v>
      </c>
      <c r="CJ3193" s="2">
        <v>1</v>
      </c>
      <c r="CK3193" s="2">
        <v>21</v>
      </c>
      <c r="CL3193" s="2" t="s">
        <v>86</v>
      </c>
      <c r="CM3193" s="2"/>
    </row>
    <row r="3194" spans="1:91">
      <c r="A3194" s="2" t="s">
        <v>71</v>
      </c>
      <c r="B3194" s="2" t="s">
        <v>72</v>
      </c>
      <c r="C3194" s="2" t="s">
        <v>73</v>
      </c>
      <c r="D3194" s="2"/>
      <c r="E3194" s="2" t="str">
        <f>"FES1162545193"</f>
        <v>FES1162545193</v>
      </c>
      <c r="F3194" s="3">
        <v>42850</v>
      </c>
      <c r="G3194" s="2">
        <v>201710</v>
      </c>
      <c r="H3194" s="2" t="s">
        <v>74</v>
      </c>
      <c r="I3194" s="2" t="s">
        <v>75</v>
      </c>
      <c r="J3194" s="2" t="s">
        <v>76</v>
      </c>
      <c r="K3194" s="2" t="s">
        <v>77</v>
      </c>
      <c r="L3194" s="2" t="s">
        <v>119</v>
      </c>
      <c r="M3194" s="2" t="s">
        <v>120</v>
      </c>
      <c r="N3194" s="2" t="s">
        <v>121</v>
      </c>
      <c r="O3194" s="2" t="s">
        <v>115</v>
      </c>
      <c r="P3194" s="2" t="str">
        <f>"2170563679                    "</f>
        <v xml:space="preserve">2170563679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6.56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15.9</v>
      </c>
      <c r="BJ3194" s="2">
        <v>14.7</v>
      </c>
      <c r="BK3194" s="2">
        <v>16</v>
      </c>
      <c r="BL3194" s="2">
        <v>63.89</v>
      </c>
      <c r="BM3194" s="2">
        <v>8.94</v>
      </c>
      <c r="BN3194" s="2">
        <v>72.83</v>
      </c>
      <c r="BO3194" s="2">
        <v>72.83</v>
      </c>
      <c r="BP3194" s="2"/>
      <c r="BQ3194" s="2" t="s">
        <v>122</v>
      </c>
      <c r="BR3194" s="2" t="s">
        <v>84</v>
      </c>
      <c r="BS3194" s="3">
        <v>42851</v>
      </c>
      <c r="BT3194" s="4">
        <v>0.42291666666666666</v>
      </c>
      <c r="BU3194" s="2" t="s">
        <v>3239</v>
      </c>
      <c r="BV3194" s="2" t="s">
        <v>111</v>
      </c>
      <c r="BW3194" s="2"/>
      <c r="BX3194" s="2"/>
      <c r="BY3194" s="2">
        <v>73423.350000000006</v>
      </c>
      <c r="BZ3194" s="2"/>
      <c r="CA3194" s="2" t="s">
        <v>3240</v>
      </c>
      <c r="CB3194" s="2"/>
      <c r="CC3194" s="2" t="s">
        <v>120</v>
      </c>
      <c r="CD3194" s="2">
        <v>2163</v>
      </c>
      <c r="CE3194" s="2" t="s">
        <v>89</v>
      </c>
      <c r="CF3194" s="5">
        <v>42851</v>
      </c>
      <c r="CG3194" s="2"/>
      <c r="CH3194" s="2"/>
      <c r="CI3194" s="2">
        <v>1</v>
      </c>
      <c r="CJ3194" s="2">
        <v>1</v>
      </c>
      <c r="CK3194" s="2">
        <v>22</v>
      </c>
      <c r="CL3194" s="2" t="s">
        <v>86</v>
      </c>
      <c r="CM3194" s="2"/>
    </row>
    <row r="3195" spans="1:91">
      <c r="A3195" s="2" t="s">
        <v>71</v>
      </c>
      <c r="B3195" s="2" t="s">
        <v>72</v>
      </c>
      <c r="C3195" s="2" t="s">
        <v>73</v>
      </c>
      <c r="D3195" s="2"/>
      <c r="E3195" s="2" t="str">
        <f>"FES1162545425"</f>
        <v>FES1162545425</v>
      </c>
      <c r="F3195" s="3">
        <v>42850</v>
      </c>
      <c r="G3195" s="2">
        <v>201710</v>
      </c>
      <c r="H3195" s="2" t="s">
        <v>74</v>
      </c>
      <c r="I3195" s="2" t="s">
        <v>75</v>
      </c>
      <c r="J3195" s="2" t="s">
        <v>76</v>
      </c>
      <c r="K3195" s="2" t="s">
        <v>77</v>
      </c>
      <c r="L3195" s="2" t="s">
        <v>91</v>
      </c>
      <c r="M3195" s="2" t="s">
        <v>92</v>
      </c>
      <c r="N3195" s="2" t="s">
        <v>2141</v>
      </c>
      <c r="O3195" s="2" t="s">
        <v>115</v>
      </c>
      <c r="P3195" s="2" t="str">
        <f>"2170561615                    "</f>
        <v xml:space="preserve">2170561615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3.35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5.5</v>
      </c>
      <c r="BJ3195" s="2">
        <v>1.8</v>
      </c>
      <c r="BK3195" s="2">
        <v>6</v>
      </c>
      <c r="BL3195" s="2">
        <v>32.6</v>
      </c>
      <c r="BM3195" s="2">
        <v>4.5599999999999996</v>
      </c>
      <c r="BN3195" s="2">
        <v>37.159999999999997</v>
      </c>
      <c r="BO3195" s="2">
        <v>37.159999999999997</v>
      </c>
      <c r="BP3195" s="2"/>
      <c r="BQ3195" s="2"/>
      <c r="BR3195" s="2" t="s">
        <v>84</v>
      </c>
      <c r="BS3195" s="3">
        <v>42851</v>
      </c>
      <c r="BT3195" s="4">
        <v>0.41666666666666669</v>
      </c>
      <c r="BU3195" s="2" t="s">
        <v>3288</v>
      </c>
      <c r="BV3195" s="2" t="s">
        <v>111</v>
      </c>
      <c r="BW3195" s="2"/>
      <c r="BX3195" s="2"/>
      <c r="BY3195" s="2">
        <v>9212</v>
      </c>
      <c r="BZ3195" s="2"/>
      <c r="CA3195" s="2"/>
      <c r="CB3195" s="2"/>
      <c r="CC3195" s="2" t="s">
        <v>92</v>
      </c>
      <c r="CD3195" s="2">
        <v>1401</v>
      </c>
      <c r="CE3195" s="2" t="s">
        <v>89</v>
      </c>
      <c r="CF3195" s="5">
        <v>42853</v>
      </c>
      <c r="CG3195" s="2"/>
      <c r="CH3195" s="2"/>
      <c r="CI3195" s="2">
        <v>1</v>
      </c>
      <c r="CJ3195" s="2">
        <v>1</v>
      </c>
      <c r="CK3195" s="2">
        <v>22</v>
      </c>
      <c r="CL3195" s="2" t="s">
        <v>86</v>
      </c>
      <c r="CM3195" s="2"/>
    </row>
    <row r="3196" spans="1:91">
      <c r="A3196" s="2" t="s">
        <v>71</v>
      </c>
      <c r="B3196" s="2" t="s">
        <v>72</v>
      </c>
      <c r="C3196" s="2" t="s">
        <v>73</v>
      </c>
      <c r="D3196" s="2"/>
      <c r="E3196" s="2" t="str">
        <f>"FES1162545426"</f>
        <v>FES1162545426</v>
      </c>
      <c r="F3196" s="3">
        <v>42850</v>
      </c>
      <c r="G3196" s="2">
        <v>201710</v>
      </c>
      <c r="H3196" s="2" t="s">
        <v>74</v>
      </c>
      <c r="I3196" s="2" t="s">
        <v>75</v>
      </c>
      <c r="J3196" s="2" t="s">
        <v>76</v>
      </c>
      <c r="K3196" s="2" t="s">
        <v>77</v>
      </c>
      <c r="L3196" s="2" t="s">
        <v>516</v>
      </c>
      <c r="M3196" s="2" t="s">
        <v>517</v>
      </c>
      <c r="N3196" s="2" t="s">
        <v>1994</v>
      </c>
      <c r="O3196" s="2" t="s">
        <v>115</v>
      </c>
      <c r="P3196" s="2" t="str">
        <f>"2170563808                    "</f>
        <v xml:space="preserve">2170563808  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3.35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5.6</v>
      </c>
      <c r="BJ3196" s="2">
        <v>1.8</v>
      </c>
      <c r="BK3196" s="2">
        <v>6</v>
      </c>
      <c r="BL3196" s="2">
        <v>32.6</v>
      </c>
      <c r="BM3196" s="2">
        <v>4.5599999999999996</v>
      </c>
      <c r="BN3196" s="2">
        <v>37.159999999999997</v>
      </c>
      <c r="BO3196" s="2">
        <v>37.159999999999997</v>
      </c>
      <c r="BP3196" s="2"/>
      <c r="BQ3196" s="2" t="s">
        <v>1995</v>
      </c>
      <c r="BR3196" s="2" t="s">
        <v>84</v>
      </c>
      <c r="BS3196" s="3">
        <v>42851</v>
      </c>
      <c r="BT3196" s="4">
        <v>0.34166666666666662</v>
      </c>
      <c r="BU3196" s="2" t="s">
        <v>290</v>
      </c>
      <c r="BV3196" s="2" t="s">
        <v>111</v>
      </c>
      <c r="BW3196" s="2"/>
      <c r="BX3196" s="2"/>
      <c r="BY3196" s="2">
        <v>9212</v>
      </c>
      <c r="BZ3196" s="2"/>
      <c r="CA3196" s="2"/>
      <c r="CB3196" s="2"/>
      <c r="CC3196" s="2" t="s">
        <v>517</v>
      </c>
      <c r="CD3196" s="2">
        <v>1459</v>
      </c>
      <c r="CE3196" s="2" t="s">
        <v>89</v>
      </c>
      <c r="CF3196" s="5">
        <v>42853</v>
      </c>
      <c r="CG3196" s="2"/>
      <c r="CH3196" s="2"/>
      <c r="CI3196" s="2">
        <v>1</v>
      </c>
      <c r="CJ3196" s="2">
        <v>1</v>
      </c>
      <c r="CK3196" s="2">
        <v>22</v>
      </c>
      <c r="CL3196" s="2" t="s">
        <v>86</v>
      </c>
      <c r="CM3196" s="2"/>
    </row>
    <row r="3197" spans="1:91">
      <c r="A3197" s="2" t="s">
        <v>71</v>
      </c>
      <c r="B3197" s="2" t="s">
        <v>72</v>
      </c>
      <c r="C3197" s="2" t="s">
        <v>73</v>
      </c>
      <c r="D3197" s="2"/>
      <c r="E3197" s="2" t="str">
        <f>"FES1162545569"</f>
        <v>FES1162545569</v>
      </c>
      <c r="F3197" s="3">
        <v>42850</v>
      </c>
      <c r="G3197" s="2">
        <v>201710</v>
      </c>
      <c r="H3197" s="2" t="s">
        <v>74</v>
      </c>
      <c r="I3197" s="2" t="s">
        <v>75</v>
      </c>
      <c r="J3197" s="2" t="s">
        <v>76</v>
      </c>
      <c r="K3197" s="2" t="s">
        <v>77</v>
      </c>
      <c r="L3197" s="2" t="s">
        <v>358</v>
      </c>
      <c r="M3197" s="2" t="s">
        <v>359</v>
      </c>
      <c r="N3197" s="2" t="s">
        <v>1672</v>
      </c>
      <c r="O3197" s="2" t="s">
        <v>115</v>
      </c>
      <c r="P3197" s="2" t="str">
        <f>"2170564088                    "</f>
        <v xml:space="preserve">2170564088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4.29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1</v>
      </c>
      <c r="BJ3197" s="2">
        <v>0.2</v>
      </c>
      <c r="BK3197" s="2">
        <v>1</v>
      </c>
      <c r="BL3197" s="2">
        <v>41.73</v>
      </c>
      <c r="BM3197" s="2">
        <v>5.84</v>
      </c>
      <c r="BN3197" s="2">
        <v>47.57</v>
      </c>
      <c r="BO3197" s="2">
        <v>47.57</v>
      </c>
      <c r="BP3197" s="2"/>
      <c r="BQ3197" s="2" t="s">
        <v>2753</v>
      </c>
      <c r="BR3197" s="2" t="s">
        <v>84</v>
      </c>
      <c r="BS3197" s="3">
        <v>42851</v>
      </c>
      <c r="BT3197" s="4">
        <v>0.37361111111111112</v>
      </c>
      <c r="BU3197" s="2" t="s">
        <v>1673</v>
      </c>
      <c r="BV3197" s="2" t="s">
        <v>111</v>
      </c>
      <c r="BW3197" s="2"/>
      <c r="BX3197" s="2"/>
      <c r="BY3197" s="2">
        <v>1200</v>
      </c>
      <c r="BZ3197" s="2"/>
      <c r="CA3197" s="2"/>
      <c r="CB3197" s="2"/>
      <c r="CC3197" s="2" t="s">
        <v>359</v>
      </c>
      <c r="CD3197" s="2">
        <v>6230</v>
      </c>
      <c r="CE3197" s="2" t="s">
        <v>118</v>
      </c>
      <c r="CF3197" s="5">
        <v>42853</v>
      </c>
      <c r="CG3197" s="2"/>
      <c r="CH3197" s="2"/>
      <c r="CI3197" s="2">
        <v>1</v>
      </c>
      <c r="CJ3197" s="2">
        <v>1</v>
      </c>
      <c r="CK3197" s="2">
        <v>21</v>
      </c>
      <c r="CL3197" s="2" t="s">
        <v>86</v>
      </c>
      <c r="CM3197" s="2"/>
    </row>
    <row r="3198" spans="1:91">
      <c r="A3198" s="2" t="s">
        <v>71</v>
      </c>
      <c r="B3198" s="2" t="s">
        <v>72</v>
      </c>
      <c r="C3198" s="2" t="s">
        <v>73</v>
      </c>
      <c r="D3198" s="2"/>
      <c r="E3198" s="2" t="str">
        <f>"FES1162545548"</f>
        <v>FES1162545548</v>
      </c>
      <c r="F3198" s="3">
        <v>42850</v>
      </c>
      <c r="G3198" s="2">
        <v>201710</v>
      </c>
      <c r="H3198" s="2" t="s">
        <v>74</v>
      </c>
      <c r="I3198" s="2" t="s">
        <v>75</v>
      </c>
      <c r="J3198" s="2" t="s">
        <v>76</v>
      </c>
      <c r="K3198" s="2" t="s">
        <v>77</v>
      </c>
      <c r="L3198" s="2" t="s">
        <v>474</v>
      </c>
      <c r="M3198" s="2" t="s">
        <v>475</v>
      </c>
      <c r="N3198" s="2" t="s">
        <v>1001</v>
      </c>
      <c r="O3198" s="2" t="s">
        <v>115</v>
      </c>
      <c r="P3198" s="2" t="str">
        <f>"2170564068                    "</f>
        <v xml:space="preserve">2170564068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4.29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1.6</v>
      </c>
      <c r="BJ3198" s="2">
        <v>0.2</v>
      </c>
      <c r="BK3198" s="2">
        <v>2</v>
      </c>
      <c r="BL3198" s="2">
        <v>41.73</v>
      </c>
      <c r="BM3198" s="2">
        <v>5.84</v>
      </c>
      <c r="BN3198" s="2">
        <v>47.57</v>
      </c>
      <c r="BO3198" s="2">
        <v>47.57</v>
      </c>
      <c r="BP3198" s="2"/>
      <c r="BQ3198" s="2" t="s">
        <v>472</v>
      </c>
      <c r="BR3198" s="2" t="s">
        <v>84</v>
      </c>
      <c r="BS3198" s="3">
        <v>42851</v>
      </c>
      <c r="BT3198" s="4">
        <v>0.4284722222222222</v>
      </c>
      <c r="BU3198" s="2" t="s">
        <v>1738</v>
      </c>
      <c r="BV3198" s="2" t="s">
        <v>111</v>
      </c>
      <c r="BW3198" s="2"/>
      <c r="BX3198" s="2"/>
      <c r="BY3198" s="2">
        <v>1200</v>
      </c>
      <c r="BZ3198" s="2"/>
      <c r="CA3198" s="2"/>
      <c r="CB3198" s="2"/>
      <c r="CC3198" s="2" t="s">
        <v>475</v>
      </c>
      <c r="CD3198" s="2">
        <v>3290</v>
      </c>
      <c r="CE3198" s="2" t="s">
        <v>118</v>
      </c>
      <c r="CF3198" s="5">
        <v>42853</v>
      </c>
      <c r="CG3198" s="2"/>
      <c r="CH3198" s="2"/>
      <c r="CI3198" s="2">
        <v>1</v>
      </c>
      <c r="CJ3198" s="2">
        <v>1</v>
      </c>
      <c r="CK3198" s="2">
        <v>21</v>
      </c>
      <c r="CL3198" s="2" t="s">
        <v>86</v>
      </c>
      <c r="CM3198" s="2"/>
    </row>
    <row r="3199" spans="1:91">
      <c r="A3199" s="2" t="s">
        <v>71</v>
      </c>
      <c r="B3199" s="2" t="s">
        <v>72</v>
      </c>
      <c r="C3199" s="2" t="s">
        <v>73</v>
      </c>
      <c r="D3199" s="2"/>
      <c r="E3199" s="2" t="str">
        <f>"FES1162545571"</f>
        <v>FES1162545571</v>
      </c>
      <c r="F3199" s="3">
        <v>42850</v>
      </c>
      <c r="G3199" s="2">
        <v>201710</v>
      </c>
      <c r="H3199" s="2" t="s">
        <v>74</v>
      </c>
      <c r="I3199" s="2" t="s">
        <v>75</v>
      </c>
      <c r="J3199" s="2" t="s">
        <v>76</v>
      </c>
      <c r="K3199" s="2" t="s">
        <v>77</v>
      </c>
      <c r="L3199" s="2" t="s">
        <v>99</v>
      </c>
      <c r="M3199" s="2" t="s">
        <v>100</v>
      </c>
      <c r="N3199" s="2" t="s">
        <v>671</v>
      </c>
      <c r="O3199" s="2" t="s">
        <v>115</v>
      </c>
      <c r="P3199" s="2" t="str">
        <f>"2170564094                    "</f>
        <v xml:space="preserve">2170564094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4.29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1</v>
      </c>
      <c r="BJ3199" s="2">
        <v>0.2</v>
      </c>
      <c r="BK3199" s="2">
        <v>1</v>
      </c>
      <c r="BL3199" s="2">
        <v>41.73</v>
      </c>
      <c r="BM3199" s="2">
        <v>5.84</v>
      </c>
      <c r="BN3199" s="2">
        <v>47.57</v>
      </c>
      <c r="BO3199" s="2">
        <v>47.57</v>
      </c>
      <c r="BP3199" s="2"/>
      <c r="BQ3199" s="2" t="s">
        <v>672</v>
      </c>
      <c r="BR3199" s="2" t="s">
        <v>84</v>
      </c>
      <c r="BS3199" s="3">
        <v>42851</v>
      </c>
      <c r="BT3199" s="4">
        <v>0.3354166666666667</v>
      </c>
      <c r="BU3199" s="2" t="s">
        <v>672</v>
      </c>
      <c r="BV3199" s="2" t="s">
        <v>111</v>
      </c>
      <c r="BW3199" s="2"/>
      <c r="BX3199" s="2"/>
      <c r="BY3199" s="2">
        <v>1200</v>
      </c>
      <c r="BZ3199" s="2"/>
      <c r="CA3199" s="2" t="s">
        <v>106</v>
      </c>
      <c r="CB3199" s="2"/>
      <c r="CC3199" s="2" t="s">
        <v>100</v>
      </c>
      <c r="CD3199" s="2">
        <v>6001</v>
      </c>
      <c r="CE3199" s="2" t="s">
        <v>118</v>
      </c>
      <c r="CF3199" s="5">
        <v>42851</v>
      </c>
      <c r="CG3199" s="2"/>
      <c r="CH3199" s="2"/>
      <c r="CI3199" s="2">
        <v>1</v>
      </c>
      <c r="CJ3199" s="2">
        <v>1</v>
      </c>
      <c r="CK3199" s="2">
        <v>21</v>
      </c>
      <c r="CL3199" s="2" t="s">
        <v>86</v>
      </c>
      <c r="CM3199" s="2"/>
    </row>
    <row r="3200" spans="1:91">
      <c r="A3200" s="2" t="s">
        <v>71</v>
      </c>
      <c r="B3200" s="2" t="s">
        <v>72</v>
      </c>
      <c r="C3200" s="2" t="s">
        <v>73</v>
      </c>
      <c r="D3200" s="2"/>
      <c r="E3200" s="2" t="str">
        <f>"FES1162545215"</f>
        <v>FES1162545215</v>
      </c>
      <c r="F3200" s="3">
        <v>42850</v>
      </c>
      <c r="G3200" s="2">
        <v>201710</v>
      </c>
      <c r="H3200" s="2" t="s">
        <v>74</v>
      </c>
      <c r="I3200" s="2" t="s">
        <v>75</v>
      </c>
      <c r="J3200" s="2" t="s">
        <v>76</v>
      </c>
      <c r="K3200" s="2" t="s">
        <v>77</v>
      </c>
      <c r="L3200" s="2" t="s">
        <v>131</v>
      </c>
      <c r="M3200" s="2" t="s">
        <v>132</v>
      </c>
      <c r="N3200" s="2" t="s">
        <v>3289</v>
      </c>
      <c r="O3200" s="2" t="s">
        <v>115</v>
      </c>
      <c r="P3200" s="2" t="str">
        <f>"2170562359                    "</f>
        <v xml:space="preserve">2170562359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8.57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3.9</v>
      </c>
      <c r="BJ3200" s="2">
        <v>3</v>
      </c>
      <c r="BK3200" s="2">
        <v>4</v>
      </c>
      <c r="BL3200" s="2">
        <v>83.45</v>
      </c>
      <c r="BM3200" s="2">
        <v>11.68</v>
      </c>
      <c r="BN3200" s="2">
        <v>95.13</v>
      </c>
      <c r="BO3200" s="2">
        <v>95.13</v>
      </c>
      <c r="BP3200" s="2"/>
      <c r="BQ3200" s="2" t="s">
        <v>1913</v>
      </c>
      <c r="BR3200" s="2" t="s">
        <v>84</v>
      </c>
      <c r="BS3200" s="3">
        <v>42851</v>
      </c>
      <c r="BT3200" s="4">
        <v>0.34513888888888888</v>
      </c>
      <c r="BU3200" s="2" t="s">
        <v>3290</v>
      </c>
      <c r="BV3200" s="2" t="s">
        <v>111</v>
      </c>
      <c r="BW3200" s="2"/>
      <c r="BX3200" s="2"/>
      <c r="BY3200" s="2">
        <v>15224.83</v>
      </c>
      <c r="BZ3200" s="2"/>
      <c r="CA3200" s="2"/>
      <c r="CB3200" s="2"/>
      <c r="CC3200" s="2" t="s">
        <v>132</v>
      </c>
      <c r="CD3200" s="2">
        <v>8001</v>
      </c>
      <c r="CE3200" s="2" t="s">
        <v>89</v>
      </c>
      <c r="CF3200" s="5">
        <v>42853</v>
      </c>
      <c r="CG3200" s="2"/>
      <c r="CH3200" s="2"/>
      <c r="CI3200" s="2">
        <v>1</v>
      </c>
      <c r="CJ3200" s="2">
        <v>1</v>
      </c>
      <c r="CK3200" s="2">
        <v>21</v>
      </c>
      <c r="CL3200" s="2" t="s">
        <v>86</v>
      </c>
      <c r="CM3200" s="2"/>
    </row>
    <row r="3201" spans="1:91">
      <c r="A3201" s="2" t="s">
        <v>71</v>
      </c>
      <c r="B3201" s="2" t="s">
        <v>72</v>
      </c>
      <c r="C3201" s="2" t="s">
        <v>73</v>
      </c>
      <c r="D3201" s="2"/>
      <c r="E3201" s="2" t="str">
        <f>"FES1162545500"</f>
        <v>FES1162545500</v>
      </c>
      <c r="F3201" s="3">
        <v>42850</v>
      </c>
      <c r="G3201" s="2">
        <v>201710</v>
      </c>
      <c r="H3201" s="2" t="s">
        <v>74</v>
      </c>
      <c r="I3201" s="2" t="s">
        <v>75</v>
      </c>
      <c r="J3201" s="2" t="s">
        <v>76</v>
      </c>
      <c r="K3201" s="2" t="s">
        <v>77</v>
      </c>
      <c r="L3201" s="2" t="s">
        <v>139</v>
      </c>
      <c r="M3201" s="2" t="s">
        <v>140</v>
      </c>
      <c r="N3201" s="2" t="s">
        <v>141</v>
      </c>
      <c r="O3201" s="2" t="s">
        <v>115</v>
      </c>
      <c r="P3201" s="2" t="str">
        <f>"2170564016                    "</f>
        <v xml:space="preserve">2170564016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4.29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1</v>
      </c>
      <c r="BJ3201" s="2">
        <v>0.2</v>
      </c>
      <c r="BK3201" s="2">
        <v>1</v>
      </c>
      <c r="BL3201" s="2">
        <v>41.73</v>
      </c>
      <c r="BM3201" s="2">
        <v>5.84</v>
      </c>
      <c r="BN3201" s="2">
        <v>47.57</v>
      </c>
      <c r="BO3201" s="2">
        <v>47.57</v>
      </c>
      <c r="BP3201" s="2"/>
      <c r="BQ3201" s="2" t="s">
        <v>142</v>
      </c>
      <c r="BR3201" s="2" t="s">
        <v>84</v>
      </c>
      <c r="BS3201" s="3">
        <v>42851</v>
      </c>
      <c r="BT3201" s="4">
        <v>0.3833333333333333</v>
      </c>
      <c r="BU3201" s="2" t="s">
        <v>2531</v>
      </c>
      <c r="BV3201" s="2" t="s">
        <v>111</v>
      </c>
      <c r="BW3201" s="2"/>
      <c r="BX3201" s="2"/>
      <c r="BY3201" s="2">
        <v>1200</v>
      </c>
      <c r="BZ3201" s="2"/>
      <c r="CA3201" s="2"/>
      <c r="CB3201" s="2"/>
      <c r="CC3201" s="2" t="s">
        <v>140</v>
      </c>
      <c r="CD3201" s="2">
        <v>157</v>
      </c>
      <c r="CE3201" s="2" t="s">
        <v>118</v>
      </c>
      <c r="CF3201" s="2"/>
      <c r="CG3201" s="2"/>
      <c r="CH3201" s="2"/>
      <c r="CI3201" s="2">
        <v>0</v>
      </c>
      <c r="CJ3201" s="2">
        <v>0</v>
      </c>
      <c r="CK3201" s="2">
        <v>21</v>
      </c>
      <c r="CL3201" s="2" t="s">
        <v>86</v>
      </c>
      <c r="CM3201" s="2"/>
    </row>
    <row r="3202" spans="1:91">
      <c r="A3202" s="2" t="s">
        <v>71</v>
      </c>
      <c r="B3202" s="2" t="s">
        <v>72</v>
      </c>
      <c r="C3202" s="2" t="s">
        <v>73</v>
      </c>
      <c r="D3202" s="2"/>
      <c r="E3202" s="2" t="str">
        <f>"FES1162545522"</f>
        <v>FES1162545522</v>
      </c>
      <c r="F3202" s="3">
        <v>42850</v>
      </c>
      <c r="G3202" s="2">
        <v>201710</v>
      </c>
      <c r="H3202" s="2" t="s">
        <v>74</v>
      </c>
      <c r="I3202" s="2" t="s">
        <v>75</v>
      </c>
      <c r="J3202" s="2" t="s">
        <v>76</v>
      </c>
      <c r="K3202" s="2" t="s">
        <v>77</v>
      </c>
      <c r="L3202" s="2" t="s">
        <v>99</v>
      </c>
      <c r="M3202" s="2" t="s">
        <v>100</v>
      </c>
      <c r="N3202" s="2" t="s">
        <v>876</v>
      </c>
      <c r="O3202" s="2" t="s">
        <v>115</v>
      </c>
      <c r="P3202" s="2" t="str">
        <f>"2170564047                    "</f>
        <v xml:space="preserve">2170564047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4.29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1</v>
      </c>
      <c r="BJ3202" s="2">
        <v>0.2</v>
      </c>
      <c r="BK3202" s="2">
        <v>1</v>
      </c>
      <c r="BL3202" s="2">
        <v>41.73</v>
      </c>
      <c r="BM3202" s="2">
        <v>5.84</v>
      </c>
      <c r="BN3202" s="2">
        <v>47.57</v>
      </c>
      <c r="BO3202" s="2">
        <v>47.57</v>
      </c>
      <c r="BP3202" s="2"/>
      <c r="BQ3202" s="2" t="s">
        <v>877</v>
      </c>
      <c r="BR3202" s="2" t="s">
        <v>84</v>
      </c>
      <c r="BS3202" s="3">
        <v>42851</v>
      </c>
      <c r="BT3202" s="4">
        <v>0.29166666666666669</v>
      </c>
      <c r="BU3202" s="2" t="s">
        <v>3286</v>
      </c>
      <c r="BV3202" s="2" t="s">
        <v>111</v>
      </c>
      <c r="BW3202" s="2"/>
      <c r="BX3202" s="2"/>
      <c r="BY3202" s="2">
        <v>1200</v>
      </c>
      <c r="BZ3202" s="2"/>
      <c r="CA3202" s="2" t="s">
        <v>106</v>
      </c>
      <c r="CB3202" s="2"/>
      <c r="CC3202" s="2" t="s">
        <v>100</v>
      </c>
      <c r="CD3202" s="2">
        <v>6012</v>
      </c>
      <c r="CE3202" s="2" t="s">
        <v>118</v>
      </c>
      <c r="CF3202" s="5">
        <v>42851</v>
      </c>
      <c r="CG3202" s="2"/>
      <c r="CH3202" s="2"/>
      <c r="CI3202" s="2">
        <v>1</v>
      </c>
      <c r="CJ3202" s="2">
        <v>1</v>
      </c>
      <c r="CK3202" s="2">
        <v>21</v>
      </c>
      <c r="CL3202" s="2" t="s">
        <v>86</v>
      </c>
      <c r="CM3202" s="2"/>
    </row>
    <row r="3203" spans="1:91">
      <c r="A3203" s="2" t="s">
        <v>71</v>
      </c>
      <c r="B3203" s="2" t="s">
        <v>72</v>
      </c>
      <c r="C3203" s="2" t="s">
        <v>73</v>
      </c>
      <c r="D3203" s="2"/>
      <c r="E3203" s="2" t="str">
        <f>"FES1162545553"</f>
        <v>FES1162545553</v>
      </c>
      <c r="F3203" s="3">
        <v>42850</v>
      </c>
      <c r="G3203" s="2">
        <v>201710</v>
      </c>
      <c r="H3203" s="2" t="s">
        <v>74</v>
      </c>
      <c r="I3203" s="2" t="s">
        <v>75</v>
      </c>
      <c r="J3203" s="2" t="s">
        <v>76</v>
      </c>
      <c r="K3203" s="2" t="s">
        <v>77</v>
      </c>
      <c r="L3203" s="2" t="s">
        <v>131</v>
      </c>
      <c r="M3203" s="2" t="s">
        <v>132</v>
      </c>
      <c r="N3203" s="2" t="s">
        <v>3291</v>
      </c>
      <c r="O3203" s="2" t="s">
        <v>115</v>
      </c>
      <c r="P3203" s="2" t="str">
        <f>"2170564079                    "</f>
        <v xml:space="preserve">2170564079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4.29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1</v>
      </c>
      <c r="BJ3203" s="2">
        <v>0.2</v>
      </c>
      <c r="BK3203" s="2">
        <v>1</v>
      </c>
      <c r="BL3203" s="2">
        <v>41.73</v>
      </c>
      <c r="BM3203" s="2">
        <v>5.84</v>
      </c>
      <c r="BN3203" s="2">
        <v>47.57</v>
      </c>
      <c r="BO3203" s="2">
        <v>47.57</v>
      </c>
      <c r="BP3203" s="2"/>
      <c r="BQ3203" s="2" t="s">
        <v>122</v>
      </c>
      <c r="BR3203" s="2" t="s">
        <v>84</v>
      </c>
      <c r="BS3203" s="3">
        <v>42851</v>
      </c>
      <c r="BT3203" s="4">
        <v>0.42569444444444443</v>
      </c>
      <c r="BU3203" s="2" t="s">
        <v>3292</v>
      </c>
      <c r="BV3203" s="2" t="s">
        <v>111</v>
      </c>
      <c r="BW3203" s="2"/>
      <c r="BX3203" s="2"/>
      <c r="BY3203" s="2">
        <v>1200</v>
      </c>
      <c r="BZ3203" s="2"/>
      <c r="CA3203" s="2"/>
      <c r="CB3203" s="2"/>
      <c r="CC3203" s="2" t="s">
        <v>132</v>
      </c>
      <c r="CD3203" s="2">
        <v>7405</v>
      </c>
      <c r="CE3203" s="2" t="s">
        <v>118</v>
      </c>
      <c r="CF3203" s="5">
        <v>42853</v>
      </c>
      <c r="CG3203" s="2"/>
      <c r="CH3203" s="2"/>
      <c r="CI3203" s="2">
        <v>1</v>
      </c>
      <c r="CJ3203" s="2">
        <v>1</v>
      </c>
      <c r="CK3203" s="2">
        <v>21</v>
      </c>
      <c r="CL3203" s="2" t="s">
        <v>86</v>
      </c>
      <c r="CM3203" s="2"/>
    </row>
    <row r="3204" spans="1:91">
      <c r="A3204" s="2" t="s">
        <v>71</v>
      </c>
      <c r="B3204" s="2" t="s">
        <v>72</v>
      </c>
      <c r="C3204" s="2" t="s">
        <v>73</v>
      </c>
      <c r="D3204" s="2"/>
      <c r="E3204" s="2" t="str">
        <f>"FES1162545495"</f>
        <v>FES1162545495</v>
      </c>
      <c r="F3204" s="3">
        <v>42850</v>
      </c>
      <c r="G3204" s="2">
        <v>201710</v>
      </c>
      <c r="H3204" s="2" t="s">
        <v>74</v>
      </c>
      <c r="I3204" s="2" t="s">
        <v>75</v>
      </c>
      <c r="J3204" s="2" t="s">
        <v>76</v>
      </c>
      <c r="K3204" s="2" t="s">
        <v>77</v>
      </c>
      <c r="L3204" s="2" t="s">
        <v>112</v>
      </c>
      <c r="M3204" s="2" t="s">
        <v>113</v>
      </c>
      <c r="N3204" s="2" t="s">
        <v>114</v>
      </c>
      <c r="O3204" s="2" t="s">
        <v>115</v>
      </c>
      <c r="P3204" s="2" t="str">
        <f>"2170564012                    "</f>
        <v xml:space="preserve">2170564012 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20.36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7</v>
      </c>
      <c r="BJ3204" s="2">
        <v>9.1</v>
      </c>
      <c r="BK3204" s="2">
        <v>9.5</v>
      </c>
      <c r="BL3204" s="2">
        <v>198.2</v>
      </c>
      <c r="BM3204" s="2">
        <v>27.75</v>
      </c>
      <c r="BN3204" s="2">
        <v>225.95</v>
      </c>
      <c r="BO3204" s="2">
        <v>225.95</v>
      </c>
      <c r="BP3204" s="2"/>
      <c r="BQ3204" s="2" t="s">
        <v>116</v>
      </c>
      <c r="BR3204" s="2" t="s">
        <v>84</v>
      </c>
      <c r="BS3204" s="3">
        <v>42851</v>
      </c>
      <c r="BT3204" s="4">
        <v>0.39652777777777781</v>
      </c>
      <c r="BU3204" s="2" t="s">
        <v>117</v>
      </c>
      <c r="BV3204" s="2" t="s">
        <v>111</v>
      </c>
      <c r="BW3204" s="2"/>
      <c r="BX3204" s="2"/>
      <c r="BY3204" s="2">
        <v>45632</v>
      </c>
      <c r="BZ3204" s="2"/>
      <c r="CA3204" s="2"/>
      <c r="CB3204" s="2"/>
      <c r="CC3204" s="2" t="s">
        <v>113</v>
      </c>
      <c r="CD3204" s="2">
        <v>3201</v>
      </c>
      <c r="CE3204" s="2" t="s">
        <v>89</v>
      </c>
      <c r="CF3204" s="5">
        <v>42853</v>
      </c>
      <c r="CG3204" s="2"/>
      <c r="CH3204" s="2"/>
      <c r="CI3204" s="2">
        <v>1</v>
      </c>
      <c r="CJ3204" s="2">
        <v>1</v>
      </c>
      <c r="CK3204" s="2">
        <v>21</v>
      </c>
      <c r="CL3204" s="2" t="s">
        <v>86</v>
      </c>
      <c r="CM3204" s="2"/>
    </row>
    <row r="3205" spans="1:91">
      <c r="A3205" s="2" t="s">
        <v>71</v>
      </c>
      <c r="B3205" s="2" t="s">
        <v>72</v>
      </c>
      <c r="C3205" s="2" t="s">
        <v>73</v>
      </c>
      <c r="D3205" s="2"/>
      <c r="E3205" s="2" t="str">
        <f>"FES1162545516"</f>
        <v>FES1162545516</v>
      </c>
      <c r="F3205" s="3">
        <v>42850</v>
      </c>
      <c r="G3205" s="2">
        <v>201710</v>
      </c>
      <c r="H3205" s="2" t="s">
        <v>74</v>
      </c>
      <c r="I3205" s="2" t="s">
        <v>75</v>
      </c>
      <c r="J3205" s="2" t="s">
        <v>76</v>
      </c>
      <c r="K3205" s="2" t="s">
        <v>77</v>
      </c>
      <c r="L3205" s="2" t="s">
        <v>401</v>
      </c>
      <c r="M3205" s="2" t="s">
        <v>402</v>
      </c>
      <c r="N3205" s="2" t="s">
        <v>326</v>
      </c>
      <c r="O3205" s="2" t="s">
        <v>115</v>
      </c>
      <c r="P3205" s="2" t="str">
        <f>"2170564041                    "</f>
        <v xml:space="preserve">2170564041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4.29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1</v>
      </c>
      <c r="BI3205" s="2">
        <v>2</v>
      </c>
      <c r="BJ3205" s="2">
        <v>0.7</v>
      </c>
      <c r="BK3205" s="2">
        <v>2</v>
      </c>
      <c r="BL3205" s="2">
        <v>41.73</v>
      </c>
      <c r="BM3205" s="2">
        <v>5.84</v>
      </c>
      <c r="BN3205" s="2">
        <v>47.57</v>
      </c>
      <c r="BO3205" s="2">
        <v>47.57</v>
      </c>
      <c r="BP3205" s="2"/>
      <c r="BQ3205" s="2" t="s">
        <v>1951</v>
      </c>
      <c r="BR3205" s="2" t="s">
        <v>84</v>
      </c>
      <c r="BS3205" s="3">
        <v>42851</v>
      </c>
      <c r="BT3205" s="4">
        <v>0.41666666666666669</v>
      </c>
      <c r="BU3205" s="2" t="s">
        <v>2439</v>
      </c>
      <c r="BV3205" s="2" t="s">
        <v>111</v>
      </c>
      <c r="BW3205" s="2"/>
      <c r="BX3205" s="2"/>
      <c r="BY3205" s="2">
        <v>3630</v>
      </c>
      <c r="BZ3205" s="2"/>
      <c r="CA3205" s="2"/>
      <c r="CB3205" s="2"/>
      <c r="CC3205" s="2" t="s">
        <v>402</v>
      </c>
      <c r="CD3205" s="2">
        <v>4133</v>
      </c>
      <c r="CE3205" s="2" t="s">
        <v>89</v>
      </c>
      <c r="CF3205" s="5">
        <v>42853</v>
      </c>
      <c r="CG3205" s="2"/>
      <c r="CH3205" s="2"/>
      <c r="CI3205" s="2">
        <v>1</v>
      </c>
      <c r="CJ3205" s="2">
        <v>1</v>
      </c>
      <c r="CK3205" s="2">
        <v>21</v>
      </c>
      <c r="CL3205" s="2" t="s">
        <v>86</v>
      </c>
      <c r="CM3205" s="2"/>
    </row>
    <row r="3206" spans="1:91">
      <c r="A3206" s="2" t="s">
        <v>71</v>
      </c>
      <c r="B3206" s="2" t="s">
        <v>72</v>
      </c>
      <c r="C3206" s="2" t="s">
        <v>73</v>
      </c>
      <c r="D3206" s="2"/>
      <c r="E3206" s="2" t="str">
        <f>"FES1162545538"</f>
        <v>FES1162545538</v>
      </c>
      <c r="F3206" s="3">
        <v>42850</v>
      </c>
      <c r="G3206" s="2">
        <v>201710</v>
      </c>
      <c r="H3206" s="2" t="s">
        <v>74</v>
      </c>
      <c r="I3206" s="2" t="s">
        <v>75</v>
      </c>
      <c r="J3206" s="2" t="s">
        <v>76</v>
      </c>
      <c r="K3206" s="2" t="s">
        <v>77</v>
      </c>
      <c r="L3206" s="2" t="s">
        <v>74</v>
      </c>
      <c r="M3206" s="2" t="s">
        <v>75</v>
      </c>
      <c r="N3206" s="2" t="s">
        <v>2879</v>
      </c>
      <c r="O3206" s="2" t="s">
        <v>115</v>
      </c>
      <c r="P3206" s="2" t="str">
        <f>"2170564066                    "</f>
        <v xml:space="preserve">2170564066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3.35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1</v>
      </c>
      <c r="BI3206" s="2">
        <v>7.6</v>
      </c>
      <c r="BJ3206" s="2">
        <v>3.5</v>
      </c>
      <c r="BK3206" s="2">
        <v>8</v>
      </c>
      <c r="BL3206" s="2">
        <v>32.6</v>
      </c>
      <c r="BM3206" s="2">
        <v>4.5599999999999996</v>
      </c>
      <c r="BN3206" s="2">
        <v>37.159999999999997</v>
      </c>
      <c r="BO3206" s="2">
        <v>37.159999999999997</v>
      </c>
      <c r="BP3206" s="2"/>
      <c r="BQ3206" s="2" t="s">
        <v>2880</v>
      </c>
      <c r="BR3206" s="2" t="s">
        <v>84</v>
      </c>
      <c r="BS3206" s="3">
        <v>42851</v>
      </c>
      <c r="BT3206" s="4">
        <v>0.33333333333333331</v>
      </c>
      <c r="BU3206" s="2" t="s">
        <v>3293</v>
      </c>
      <c r="BV3206" s="2" t="s">
        <v>111</v>
      </c>
      <c r="BW3206" s="2"/>
      <c r="BX3206" s="2"/>
      <c r="BY3206" s="2">
        <v>17386.669999999998</v>
      </c>
      <c r="BZ3206" s="2"/>
      <c r="CA3206" s="2"/>
      <c r="CB3206" s="2"/>
      <c r="CC3206" s="2" t="s">
        <v>75</v>
      </c>
      <c r="CD3206" s="2">
        <v>1666</v>
      </c>
      <c r="CE3206" s="2" t="s">
        <v>89</v>
      </c>
      <c r="CF3206" s="5">
        <v>42853</v>
      </c>
      <c r="CG3206" s="2"/>
      <c r="CH3206" s="2"/>
      <c r="CI3206" s="2">
        <v>1</v>
      </c>
      <c r="CJ3206" s="2">
        <v>1</v>
      </c>
      <c r="CK3206" s="2">
        <v>22</v>
      </c>
      <c r="CL3206" s="2" t="s">
        <v>86</v>
      </c>
      <c r="CM3206" s="2"/>
    </row>
    <row r="3207" spans="1:91">
      <c r="A3207" s="2" t="s">
        <v>71</v>
      </c>
      <c r="B3207" s="2" t="s">
        <v>72</v>
      </c>
      <c r="C3207" s="2" t="s">
        <v>73</v>
      </c>
      <c r="D3207" s="2"/>
      <c r="E3207" s="2" t="str">
        <f>"FES1162545481"</f>
        <v>FES1162545481</v>
      </c>
      <c r="F3207" s="3">
        <v>42850</v>
      </c>
      <c r="G3207" s="2">
        <v>201710</v>
      </c>
      <c r="H3207" s="2" t="s">
        <v>74</v>
      </c>
      <c r="I3207" s="2" t="s">
        <v>75</v>
      </c>
      <c r="J3207" s="2" t="s">
        <v>76</v>
      </c>
      <c r="K3207" s="2" t="s">
        <v>77</v>
      </c>
      <c r="L3207" s="2" t="s">
        <v>112</v>
      </c>
      <c r="M3207" s="2" t="s">
        <v>113</v>
      </c>
      <c r="N3207" s="2" t="s">
        <v>336</v>
      </c>
      <c r="O3207" s="2" t="s">
        <v>115</v>
      </c>
      <c r="P3207" s="2" t="str">
        <f>"2170559472                    "</f>
        <v xml:space="preserve">2170559472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82.52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1</v>
      </c>
      <c r="BI3207" s="2">
        <v>28.4</v>
      </c>
      <c r="BJ3207" s="2">
        <v>38.4</v>
      </c>
      <c r="BK3207" s="2">
        <v>38.5</v>
      </c>
      <c r="BL3207" s="2">
        <v>803.24</v>
      </c>
      <c r="BM3207" s="2">
        <v>112.45</v>
      </c>
      <c r="BN3207" s="2">
        <v>915.69</v>
      </c>
      <c r="BO3207" s="2">
        <v>915.69</v>
      </c>
      <c r="BP3207" s="2"/>
      <c r="BQ3207" s="2" t="s">
        <v>449</v>
      </c>
      <c r="BR3207" s="2" t="s">
        <v>84</v>
      </c>
      <c r="BS3207" s="3">
        <v>42851</v>
      </c>
      <c r="BT3207" s="4">
        <v>0.35416666666666669</v>
      </c>
      <c r="BU3207" s="2" t="s">
        <v>3294</v>
      </c>
      <c r="BV3207" s="2" t="s">
        <v>111</v>
      </c>
      <c r="BW3207" s="2"/>
      <c r="BX3207" s="2"/>
      <c r="BY3207" s="2">
        <v>191936.55</v>
      </c>
      <c r="BZ3207" s="2"/>
      <c r="CA3207" s="2"/>
      <c r="CB3207" s="2"/>
      <c r="CC3207" s="2" t="s">
        <v>113</v>
      </c>
      <c r="CD3207" s="2">
        <v>3201</v>
      </c>
      <c r="CE3207" s="2" t="s">
        <v>89</v>
      </c>
      <c r="CF3207" s="5">
        <v>42853</v>
      </c>
      <c r="CG3207" s="2"/>
      <c r="CH3207" s="2"/>
      <c r="CI3207" s="2">
        <v>1</v>
      </c>
      <c r="CJ3207" s="2">
        <v>1</v>
      </c>
      <c r="CK3207" s="2">
        <v>21</v>
      </c>
      <c r="CL3207" s="2" t="s">
        <v>86</v>
      </c>
      <c r="CM3207" s="2"/>
    </row>
    <row r="3208" spans="1:91">
      <c r="A3208" s="2" t="s">
        <v>71</v>
      </c>
      <c r="B3208" s="2" t="s">
        <v>72</v>
      </c>
      <c r="C3208" s="2" t="s">
        <v>73</v>
      </c>
      <c r="D3208" s="2"/>
      <c r="E3208" s="2" t="str">
        <f>"FES1162545573"</f>
        <v>FES1162545573</v>
      </c>
      <c r="F3208" s="3">
        <v>42850</v>
      </c>
      <c r="G3208" s="2">
        <v>201710</v>
      </c>
      <c r="H3208" s="2" t="s">
        <v>74</v>
      </c>
      <c r="I3208" s="2" t="s">
        <v>75</v>
      </c>
      <c r="J3208" s="2" t="s">
        <v>76</v>
      </c>
      <c r="K3208" s="2" t="s">
        <v>77</v>
      </c>
      <c r="L3208" s="2" t="s">
        <v>131</v>
      </c>
      <c r="M3208" s="2" t="s">
        <v>132</v>
      </c>
      <c r="N3208" s="2" t="s">
        <v>363</v>
      </c>
      <c r="O3208" s="2" t="s">
        <v>115</v>
      </c>
      <c r="P3208" s="2" t="str">
        <f>"2170562881                    "</f>
        <v xml:space="preserve">2170562881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8.57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3.9</v>
      </c>
      <c r="BJ3208" s="2">
        <v>3.2</v>
      </c>
      <c r="BK3208" s="2">
        <v>4</v>
      </c>
      <c r="BL3208" s="2">
        <v>83.45</v>
      </c>
      <c r="BM3208" s="2">
        <v>11.68</v>
      </c>
      <c r="BN3208" s="2">
        <v>95.13</v>
      </c>
      <c r="BO3208" s="2">
        <v>95.13</v>
      </c>
      <c r="BP3208" s="2"/>
      <c r="BQ3208" s="2" t="s">
        <v>170</v>
      </c>
      <c r="BR3208" s="2" t="s">
        <v>84</v>
      </c>
      <c r="BS3208" s="3">
        <v>42851</v>
      </c>
      <c r="BT3208" s="4">
        <v>0.41666666666666669</v>
      </c>
      <c r="BU3208" s="2" t="s">
        <v>2676</v>
      </c>
      <c r="BV3208" s="2" t="s">
        <v>111</v>
      </c>
      <c r="BW3208" s="2"/>
      <c r="BX3208" s="2"/>
      <c r="BY3208" s="2">
        <v>15803.53</v>
      </c>
      <c r="BZ3208" s="2"/>
      <c r="CA3208" s="2"/>
      <c r="CB3208" s="2"/>
      <c r="CC3208" s="2" t="s">
        <v>132</v>
      </c>
      <c r="CD3208" s="2">
        <v>7441</v>
      </c>
      <c r="CE3208" s="2" t="s">
        <v>89</v>
      </c>
      <c r="CF3208" s="5">
        <v>42853</v>
      </c>
      <c r="CG3208" s="2"/>
      <c r="CH3208" s="2"/>
      <c r="CI3208" s="2">
        <v>1</v>
      </c>
      <c r="CJ3208" s="2">
        <v>1</v>
      </c>
      <c r="CK3208" s="2">
        <v>21</v>
      </c>
      <c r="CL3208" s="2" t="s">
        <v>86</v>
      </c>
      <c r="CM3208" s="2"/>
    </row>
    <row r="3209" spans="1:91">
      <c r="A3209" s="2" t="s">
        <v>71</v>
      </c>
      <c r="B3209" s="2" t="s">
        <v>72</v>
      </c>
      <c r="C3209" s="2" t="s">
        <v>73</v>
      </c>
      <c r="D3209" s="2"/>
      <c r="E3209" s="2" t="str">
        <f>"FES1162545509"</f>
        <v>FES1162545509</v>
      </c>
      <c r="F3209" s="3">
        <v>42850</v>
      </c>
      <c r="G3209" s="2">
        <v>201710</v>
      </c>
      <c r="H3209" s="2" t="s">
        <v>74</v>
      </c>
      <c r="I3209" s="2" t="s">
        <v>75</v>
      </c>
      <c r="J3209" s="2" t="s">
        <v>76</v>
      </c>
      <c r="K3209" s="2" t="s">
        <v>77</v>
      </c>
      <c r="L3209" s="2" t="s">
        <v>131</v>
      </c>
      <c r="M3209" s="2" t="s">
        <v>132</v>
      </c>
      <c r="N3209" s="2" t="s">
        <v>744</v>
      </c>
      <c r="O3209" s="2" t="s">
        <v>115</v>
      </c>
      <c r="P3209" s="2" t="str">
        <f>"2170564030                    "</f>
        <v xml:space="preserve">2170564030 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4.29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1</v>
      </c>
      <c r="BI3209" s="2">
        <v>1</v>
      </c>
      <c r="BJ3209" s="2">
        <v>0.2</v>
      </c>
      <c r="BK3209" s="2">
        <v>1</v>
      </c>
      <c r="BL3209" s="2">
        <v>41.73</v>
      </c>
      <c r="BM3209" s="2">
        <v>5.84</v>
      </c>
      <c r="BN3209" s="2">
        <v>47.57</v>
      </c>
      <c r="BO3209" s="2">
        <v>47.57</v>
      </c>
      <c r="BP3209" s="2"/>
      <c r="BQ3209" s="2" t="s">
        <v>138</v>
      </c>
      <c r="BR3209" s="2" t="s">
        <v>84</v>
      </c>
      <c r="BS3209" s="3">
        <v>42851</v>
      </c>
      <c r="BT3209" s="4">
        <v>0.41666666666666669</v>
      </c>
      <c r="BU3209" s="2" t="s">
        <v>2987</v>
      </c>
      <c r="BV3209" s="2" t="s">
        <v>111</v>
      </c>
      <c r="BW3209" s="2"/>
      <c r="BX3209" s="2"/>
      <c r="BY3209" s="2">
        <v>1200</v>
      </c>
      <c r="BZ3209" s="2"/>
      <c r="CA3209" s="2" t="s">
        <v>159</v>
      </c>
      <c r="CB3209" s="2"/>
      <c r="CC3209" s="2" t="s">
        <v>132</v>
      </c>
      <c r="CD3209" s="2">
        <v>7405</v>
      </c>
      <c r="CE3209" s="2" t="s">
        <v>118</v>
      </c>
      <c r="CF3209" s="5">
        <v>42853</v>
      </c>
      <c r="CG3209" s="2"/>
      <c r="CH3209" s="2"/>
      <c r="CI3209" s="2">
        <v>1</v>
      </c>
      <c r="CJ3209" s="2">
        <v>1</v>
      </c>
      <c r="CK3209" s="2">
        <v>21</v>
      </c>
      <c r="CL3209" s="2" t="s">
        <v>86</v>
      </c>
      <c r="CM3209" s="2"/>
    </row>
    <row r="3210" spans="1:91">
      <c r="A3210" s="2" t="s">
        <v>71</v>
      </c>
      <c r="B3210" s="2" t="s">
        <v>72</v>
      </c>
      <c r="C3210" s="2" t="s">
        <v>73</v>
      </c>
      <c r="D3210" s="2"/>
      <c r="E3210" s="2" t="str">
        <f>"FES1162545579"</f>
        <v>FES1162545579</v>
      </c>
      <c r="F3210" s="3">
        <v>42850</v>
      </c>
      <c r="G3210" s="2">
        <v>201710</v>
      </c>
      <c r="H3210" s="2" t="s">
        <v>74</v>
      </c>
      <c r="I3210" s="2" t="s">
        <v>75</v>
      </c>
      <c r="J3210" s="2" t="s">
        <v>76</v>
      </c>
      <c r="K3210" s="2" t="s">
        <v>77</v>
      </c>
      <c r="L3210" s="2" t="s">
        <v>126</v>
      </c>
      <c r="M3210" s="2" t="s">
        <v>127</v>
      </c>
      <c r="N3210" s="2" t="s">
        <v>3295</v>
      </c>
      <c r="O3210" s="2" t="s">
        <v>115</v>
      </c>
      <c r="P3210" s="2" t="str">
        <f>"2170564097                    "</f>
        <v xml:space="preserve">2170564097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4.29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1</v>
      </c>
      <c r="BI3210" s="2">
        <v>1</v>
      </c>
      <c r="BJ3210" s="2">
        <v>0.2</v>
      </c>
      <c r="BK3210" s="2">
        <v>1</v>
      </c>
      <c r="BL3210" s="2">
        <v>41.73</v>
      </c>
      <c r="BM3210" s="2">
        <v>5.84</v>
      </c>
      <c r="BN3210" s="2">
        <v>47.57</v>
      </c>
      <c r="BO3210" s="2">
        <v>47.57</v>
      </c>
      <c r="BP3210" s="2"/>
      <c r="BQ3210" s="2"/>
      <c r="BR3210" s="2" t="s">
        <v>84</v>
      </c>
      <c r="BS3210" s="3">
        <v>42851</v>
      </c>
      <c r="BT3210" s="4">
        <v>0.44722222222222219</v>
      </c>
      <c r="BU3210" s="2" t="s">
        <v>3296</v>
      </c>
      <c r="BV3210" s="2" t="s">
        <v>111</v>
      </c>
      <c r="BW3210" s="2"/>
      <c r="BX3210" s="2"/>
      <c r="BY3210" s="2">
        <v>1200</v>
      </c>
      <c r="BZ3210" s="2"/>
      <c r="CA3210" s="2"/>
      <c r="CB3210" s="2"/>
      <c r="CC3210" s="2" t="s">
        <v>127</v>
      </c>
      <c r="CD3210" s="2">
        <v>6849</v>
      </c>
      <c r="CE3210" s="2" t="s">
        <v>118</v>
      </c>
      <c r="CF3210" s="5">
        <v>42853</v>
      </c>
      <c r="CG3210" s="2"/>
      <c r="CH3210" s="2"/>
      <c r="CI3210" s="2">
        <v>3</v>
      </c>
      <c r="CJ3210" s="2">
        <v>1</v>
      </c>
      <c r="CK3210" s="2">
        <v>21</v>
      </c>
      <c r="CL3210" s="2" t="s">
        <v>86</v>
      </c>
      <c r="CM3210" s="2"/>
    </row>
    <row r="3211" spans="1:91">
      <c r="A3211" s="2" t="s">
        <v>71</v>
      </c>
      <c r="B3211" s="2" t="s">
        <v>72</v>
      </c>
      <c r="C3211" s="2" t="s">
        <v>73</v>
      </c>
      <c r="D3211" s="2"/>
      <c r="E3211" s="2" t="str">
        <f>"FES1162545544"</f>
        <v>FES1162545544</v>
      </c>
      <c r="F3211" s="3">
        <v>42850</v>
      </c>
      <c r="G3211" s="2">
        <v>201710</v>
      </c>
      <c r="H3211" s="2" t="s">
        <v>74</v>
      </c>
      <c r="I3211" s="2" t="s">
        <v>75</v>
      </c>
      <c r="J3211" s="2" t="s">
        <v>76</v>
      </c>
      <c r="K3211" s="2" t="s">
        <v>77</v>
      </c>
      <c r="L3211" s="2" t="s">
        <v>299</v>
      </c>
      <c r="M3211" s="2" t="s">
        <v>300</v>
      </c>
      <c r="N3211" s="2" t="s">
        <v>1613</v>
      </c>
      <c r="O3211" s="2" t="s">
        <v>115</v>
      </c>
      <c r="P3211" s="2" t="str">
        <f>"2170563551                    "</f>
        <v xml:space="preserve">2170563551 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6.03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1</v>
      </c>
      <c r="BI3211" s="2">
        <v>1</v>
      </c>
      <c r="BJ3211" s="2">
        <v>0.2</v>
      </c>
      <c r="BK3211" s="2">
        <v>1</v>
      </c>
      <c r="BL3211" s="2">
        <v>58.68</v>
      </c>
      <c r="BM3211" s="2">
        <v>8.2200000000000006</v>
      </c>
      <c r="BN3211" s="2">
        <v>66.900000000000006</v>
      </c>
      <c r="BO3211" s="2">
        <v>66.900000000000006</v>
      </c>
      <c r="BP3211" s="2"/>
      <c r="BQ3211" s="2" t="s">
        <v>122</v>
      </c>
      <c r="BR3211" s="2" t="s">
        <v>84</v>
      </c>
      <c r="BS3211" s="3">
        <v>42851</v>
      </c>
      <c r="BT3211" s="4">
        <v>0.52222222222222225</v>
      </c>
      <c r="BU3211" s="2" t="s">
        <v>2012</v>
      </c>
      <c r="BV3211" s="2" t="s">
        <v>111</v>
      </c>
      <c r="BW3211" s="2"/>
      <c r="BX3211" s="2"/>
      <c r="BY3211" s="2">
        <v>1200</v>
      </c>
      <c r="BZ3211" s="2"/>
      <c r="CA3211" s="2"/>
      <c r="CB3211" s="2"/>
      <c r="CC3211" s="2" t="s">
        <v>300</v>
      </c>
      <c r="CD3211" s="2">
        <v>407</v>
      </c>
      <c r="CE3211" s="2" t="s">
        <v>118</v>
      </c>
      <c r="CF3211" s="2"/>
      <c r="CG3211" s="2"/>
      <c r="CH3211" s="2"/>
      <c r="CI3211" s="2">
        <v>0</v>
      </c>
      <c r="CJ3211" s="2">
        <v>0</v>
      </c>
      <c r="CK3211" s="2">
        <v>24</v>
      </c>
      <c r="CL3211" s="2" t="s">
        <v>86</v>
      </c>
      <c r="CM3211" s="2"/>
    </row>
    <row r="3212" spans="1:91">
      <c r="A3212" s="2" t="s">
        <v>71</v>
      </c>
      <c r="B3212" s="2" t="s">
        <v>72</v>
      </c>
      <c r="C3212" s="2" t="s">
        <v>73</v>
      </c>
      <c r="D3212" s="2"/>
      <c r="E3212" s="2" t="str">
        <f>"FES1162545511"</f>
        <v>FES1162545511</v>
      </c>
      <c r="F3212" s="3">
        <v>42850</v>
      </c>
      <c r="G3212" s="2">
        <v>201710</v>
      </c>
      <c r="H3212" s="2" t="s">
        <v>74</v>
      </c>
      <c r="I3212" s="2" t="s">
        <v>75</v>
      </c>
      <c r="J3212" s="2" t="s">
        <v>76</v>
      </c>
      <c r="K3212" s="2" t="s">
        <v>77</v>
      </c>
      <c r="L3212" s="2" t="s">
        <v>187</v>
      </c>
      <c r="M3212" s="2" t="s">
        <v>146</v>
      </c>
      <c r="N3212" s="2" t="s">
        <v>147</v>
      </c>
      <c r="O3212" s="2" t="s">
        <v>115</v>
      </c>
      <c r="P3212" s="2" t="str">
        <f>"2170564033                    "</f>
        <v xml:space="preserve">2170564033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7.5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3.3</v>
      </c>
      <c r="BJ3212" s="2">
        <v>3.2</v>
      </c>
      <c r="BK3212" s="2">
        <v>3.5</v>
      </c>
      <c r="BL3212" s="2">
        <v>73.02</v>
      </c>
      <c r="BM3212" s="2">
        <v>10.220000000000001</v>
      </c>
      <c r="BN3212" s="2">
        <v>83.24</v>
      </c>
      <c r="BO3212" s="2">
        <v>83.24</v>
      </c>
      <c r="BP3212" s="2"/>
      <c r="BQ3212" s="2" t="s">
        <v>148</v>
      </c>
      <c r="BR3212" s="2" t="s">
        <v>84</v>
      </c>
      <c r="BS3212" s="3">
        <v>42851</v>
      </c>
      <c r="BT3212" s="4">
        <v>0.3298611111111111</v>
      </c>
      <c r="BU3212" s="2" t="s">
        <v>149</v>
      </c>
      <c r="BV3212" s="2" t="s">
        <v>111</v>
      </c>
      <c r="BW3212" s="2"/>
      <c r="BX3212" s="2"/>
      <c r="BY3212" s="2">
        <v>15876.88</v>
      </c>
      <c r="BZ3212" s="2"/>
      <c r="CA3212" s="2"/>
      <c r="CB3212" s="2"/>
      <c r="CC3212" s="2" t="s">
        <v>146</v>
      </c>
      <c r="CD3212" s="2">
        <v>1</v>
      </c>
      <c r="CE3212" s="2" t="s">
        <v>89</v>
      </c>
      <c r="CF3212" s="2"/>
      <c r="CG3212" s="2"/>
      <c r="CH3212" s="2"/>
      <c r="CI3212" s="2">
        <v>0</v>
      </c>
      <c r="CJ3212" s="2">
        <v>0</v>
      </c>
      <c r="CK3212" s="2">
        <v>21</v>
      </c>
      <c r="CL3212" s="2" t="s">
        <v>86</v>
      </c>
      <c r="CM3212" s="2"/>
    </row>
    <row r="3213" spans="1:91">
      <c r="A3213" s="2" t="s">
        <v>71</v>
      </c>
      <c r="B3213" s="2" t="s">
        <v>72</v>
      </c>
      <c r="C3213" s="2" t="s">
        <v>73</v>
      </c>
      <c r="D3213" s="2"/>
      <c r="E3213" s="2" t="str">
        <f>"FES1162545585"</f>
        <v>FES1162545585</v>
      </c>
      <c r="F3213" s="3">
        <v>42850</v>
      </c>
      <c r="G3213" s="2">
        <v>201710</v>
      </c>
      <c r="H3213" s="2" t="s">
        <v>74</v>
      </c>
      <c r="I3213" s="2" t="s">
        <v>75</v>
      </c>
      <c r="J3213" s="2" t="s">
        <v>76</v>
      </c>
      <c r="K3213" s="2" t="s">
        <v>77</v>
      </c>
      <c r="L3213" s="2" t="s">
        <v>99</v>
      </c>
      <c r="M3213" s="2" t="s">
        <v>100</v>
      </c>
      <c r="N3213" s="2" t="s">
        <v>375</v>
      </c>
      <c r="O3213" s="2" t="s">
        <v>115</v>
      </c>
      <c r="P3213" s="2" t="str">
        <f>"2170564104                    "</f>
        <v xml:space="preserve">2170564104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4.29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1</v>
      </c>
      <c r="BI3213" s="2">
        <v>1</v>
      </c>
      <c r="BJ3213" s="2">
        <v>0.2</v>
      </c>
      <c r="BK3213" s="2">
        <v>1</v>
      </c>
      <c r="BL3213" s="2">
        <v>41.73</v>
      </c>
      <c r="BM3213" s="2">
        <v>5.84</v>
      </c>
      <c r="BN3213" s="2">
        <v>47.57</v>
      </c>
      <c r="BO3213" s="2">
        <v>47.57</v>
      </c>
      <c r="BP3213" s="2"/>
      <c r="BQ3213" s="2" t="s">
        <v>376</v>
      </c>
      <c r="BR3213" s="2" t="s">
        <v>84</v>
      </c>
      <c r="BS3213" s="3">
        <v>42851</v>
      </c>
      <c r="BT3213" s="4">
        <v>0.38680555555555557</v>
      </c>
      <c r="BU3213" s="2" t="s">
        <v>245</v>
      </c>
      <c r="BV3213" s="2" t="s">
        <v>111</v>
      </c>
      <c r="BW3213" s="2"/>
      <c r="BX3213" s="2"/>
      <c r="BY3213" s="2">
        <v>1200</v>
      </c>
      <c r="BZ3213" s="2"/>
      <c r="CA3213" s="2"/>
      <c r="CB3213" s="2"/>
      <c r="CC3213" s="2" t="s">
        <v>100</v>
      </c>
      <c r="CD3213" s="2">
        <v>6070</v>
      </c>
      <c r="CE3213" s="2" t="s">
        <v>118</v>
      </c>
      <c r="CF3213" s="5">
        <v>42853</v>
      </c>
      <c r="CG3213" s="2"/>
      <c r="CH3213" s="2"/>
      <c r="CI3213" s="2">
        <v>1</v>
      </c>
      <c r="CJ3213" s="2">
        <v>1</v>
      </c>
      <c r="CK3213" s="2">
        <v>21</v>
      </c>
      <c r="CL3213" s="2" t="s">
        <v>86</v>
      </c>
      <c r="CM3213" s="2"/>
    </row>
    <row r="3214" spans="1:91">
      <c r="A3214" s="2" t="s">
        <v>71</v>
      </c>
      <c r="B3214" s="2" t="s">
        <v>72</v>
      </c>
      <c r="C3214" s="2" t="s">
        <v>73</v>
      </c>
      <c r="D3214" s="2"/>
      <c r="E3214" s="2" t="str">
        <f>"FES1162545533"</f>
        <v>FES1162545533</v>
      </c>
      <c r="F3214" s="3">
        <v>42850</v>
      </c>
      <c r="G3214" s="2">
        <v>201710</v>
      </c>
      <c r="H3214" s="2" t="s">
        <v>74</v>
      </c>
      <c r="I3214" s="2" t="s">
        <v>75</v>
      </c>
      <c r="J3214" s="2" t="s">
        <v>76</v>
      </c>
      <c r="K3214" s="2" t="s">
        <v>77</v>
      </c>
      <c r="L3214" s="2" t="s">
        <v>131</v>
      </c>
      <c r="M3214" s="2" t="s">
        <v>132</v>
      </c>
      <c r="N3214" s="2" t="s">
        <v>3297</v>
      </c>
      <c r="O3214" s="2" t="s">
        <v>115</v>
      </c>
      <c r="P3214" s="2" t="str">
        <f>"2170563919                    "</f>
        <v xml:space="preserve">2170563919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11.79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1</v>
      </c>
      <c r="BI3214" s="2">
        <v>5.3</v>
      </c>
      <c r="BJ3214" s="2">
        <v>1.7</v>
      </c>
      <c r="BK3214" s="2">
        <v>5.5</v>
      </c>
      <c r="BL3214" s="2">
        <v>114.75</v>
      </c>
      <c r="BM3214" s="2">
        <v>16.07</v>
      </c>
      <c r="BN3214" s="2">
        <v>130.82</v>
      </c>
      <c r="BO3214" s="2">
        <v>130.82</v>
      </c>
      <c r="BP3214" s="2"/>
      <c r="BQ3214" s="2" t="s">
        <v>122</v>
      </c>
      <c r="BR3214" s="2" t="s">
        <v>84</v>
      </c>
      <c r="BS3214" s="3">
        <v>42851</v>
      </c>
      <c r="BT3214" s="4">
        <v>0.41666666666666669</v>
      </c>
      <c r="BU3214" s="2" t="s">
        <v>3298</v>
      </c>
      <c r="BV3214" s="2" t="s">
        <v>111</v>
      </c>
      <c r="BW3214" s="2"/>
      <c r="BX3214" s="2"/>
      <c r="BY3214" s="2">
        <v>8275.76</v>
      </c>
      <c r="BZ3214" s="2"/>
      <c r="CA3214" s="2"/>
      <c r="CB3214" s="2"/>
      <c r="CC3214" s="2" t="s">
        <v>132</v>
      </c>
      <c r="CD3214" s="2">
        <v>7441</v>
      </c>
      <c r="CE3214" s="2" t="s">
        <v>89</v>
      </c>
      <c r="CF3214" s="5">
        <v>42853</v>
      </c>
      <c r="CG3214" s="2"/>
      <c r="CH3214" s="2"/>
      <c r="CI3214" s="2">
        <v>1</v>
      </c>
      <c r="CJ3214" s="2">
        <v>1</v>
      </c>
      <c r="CK3214" s="2">
        <v>21</v>
      </c>
      <c r="CL3214" s="2" t="s">
        <v>86</v>
      </c>
      <c r="CM3214" s="2"/>
    </row>
    <row r="3215" spans="1:91">
      <c r="A3215" s="2" t="s">
        <v>71</v>
      </c>
      <c r="B3215" s="2" t="s">
        <v>72</v>
      </c>
      <c r="C3215" s="2" t="s">
        <v>73</v>
      </c>
      <c r="D3215" s="2"/>
      <c r="E3215" s="2" t="str">
        <f>"FES1162545492"</f>
        <v>FES1162545492</v>
      </c>
      <c r="F3215" s="3">
        <v>42850</v>
      </c>
      <c r="G3215" s="2">
        <v>201710</v>
      </c>
      <c r="H3215" s="2" t="s">
        <v>74</v>
      </c>
      <c r="I3215" s="2" t="s">
        <v>75</v>
      </c>
      <c r="J3215" s="2" t="s">
        <v>76</v>
      </c>
      <c r="K3215" s="2" t="s">
        <v>77</v>
      </c>
      <c r="L3215" s="2" t="s">
        <v>112</v>
      </c>
      <c r="M3215" s="2" t="s">
        <v>113</v>
      </c>
      <c r="N3215" s="2" t="s">
        <v>3299</v>
      </c>
      <c r="O3215" s="2" t="s">
        <v>115</v>
      </c>
      <c r="P3215" s="2" t="str">
        <f>"2170564007                    "</f>
        <v xml:space="preserve">2170564007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4.29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1</v>
      </c>
      <c r="BI3215" s="2">
        <v>1</v>
      </c>
      <c r="BJ3215" s="2">
        <v>0.2</v>
      </c>
      <c r="BK3215" s="2">
        <v>1</v>
      </c>
      <c r="BL3215" s="2">
        <v>41.73</v>
      </c>
      <c r="BM3215" s="2">
        <v>5.84</v>
      </c>
      <c r="BN3215" s="2">
        <v>47.57</v>
      </c>
      <c r="BO3215" s="2">
        <v>47.57</v>
      </c>
      <c r="BP3215" s="2"/>
      <c r="BQ3215" s="2" t="s">
        <v>3300</v>
      </c>
      <c r="BR3215" s="2" t="s">
        <v>84</v>
      </c>
      <c r="BS3215" s="3">
        <v>42851</v>
      </c>
      <c r="BT3215" s="4">
        <v>0.37986111111111115</v>
      </c>
      <c r="BU3215" s="2" t="s">
        <v>3301</v>
      </c>
      <c r="BV3215" s="2" t="s">
        <v>111</v>
      </c>
      <c r="BW3215" s="2"/>
      <c r="BX3215" s="2"/>
      <c r="BY3215" s="2">
        <v>1200</v>
      </c>
      <c r="BZ3215" s="2"/>
      <c r="CA3215" s="2"/>
      <c r="CB3215" s="2"/>
      <c r="CC3215" s="2" t="s">
        <v>113</v>
      </c>
      <c r="CD3215" s="2">
        <v>3201</v>
      </c>
      <c r="CE3215" s="2" t="s">
        <v>118</v>
      </c>
      <c r="CF3215" s="2"/>
      <c r="CG3215" s="2"/>
      <c r="CH3215" s="2"/>
      <c r="CI3215" s="2">
        <v>1</v>
      </c>
      <c r="CJ3215" s="2">
        <v>1</v>
      </c>
      <c r="CK3215" s="2">
        <v>21</v>
      </c>
      <c r="CL3215" s="2" t="s">
        <v>86</v>
      </c>
      <c r="CM3215" s="2"/>
    </row>
    <row r="3216" spans="1:91">
      <c r="A3216" s="2" t="s">
        <v>71</v>
      </c>
      <c r="B3216" s="2" t="s">
        <v>72</v>
      </c>
      <c r="C3216" s="2" t="s">
        <v>73</v>
      </c>
      <c r="D3216" s="2"/>
      <c r="E3216" s="2" t="str">
        <f>"FES1162545513"</f>
        <v>FES1162545513</v>
      </c>
      <c r="F3216" s="3">
        <v>42850</v>
      </c>
      <c r="G3216" s="2">
        <v>201710</v>
      </c>
      <c r="H3216" s="2" t="s">
        <v>74</v>
      </c>
      <c r="I3216" s="2" t="s">
        <v>75</v>
      </c>
      <c r="J3216" s="2" t="s">
        <v>76</v>
      </c>
      <c r="K3216" s="2" t="s">
        <v>77</v>
      </c>
      <c r="L3216" s="2" t="s">
        <v>401</v>
      </c>
      <c r="M3216" s="2" t="s">
        <v>402</v>
      </c>
      <c r="N3216" s="2" t="s">
        <v>568</v>
      </c>
      <c r="O3216" s="2" t="s">
        <v>115</v>
      </c>
      <c r="P3216" s="2" t="str">
        <f>"2170564034                    "</f>
        <v xml:space="preserve">2170564034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4.29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1</v>
      </c>
      <c r="BJ3216" s="2">
        <v>0.2</v>
      </c>
      <c r="BK3216" s="2">
        <v>1</v>
      </c>
      <c r="BL3216" s="2">
        <v>41.73</v>
      </c>
      <c r="BM3216" s="2">
        <v>5.84</v>
      </c>
      <c r="BN3216" s="2">
        <v>47.57</v>
      </c>
      <c r="BO3216" s="2">
        <v>47.57</v>
      </c>
      <c r="BP3216" s="2"/>
      <c r="BQ3216" s="2" t="s">
        <v>569</v>
      </c>
      <c r="BR3216" s="2" t="s">
        <v>84</v>
      </c>
      <c r="BS3216" s="3">
        <v>42851</v>
      </c>
      <c r="BT3216" s="4">
        <v>0.41666666666666669</v>
      </c>
      <c r="BU3216" s="2" t="s">
        <v>524</v>
      </c>
      <c r="BV3216" s="2" t="s">
        <v>111</v>
      </c>
      <c r="BW3216" s="2"/>
      <c r="BX3216" s="2"/>
      <c r="BY3216" s="2">
        <v>1200</v>
      </c>
      <c r="BZ3216" s="2"/>
      <c r="CA3216" s="2"/>
      <c r="CB3216" s="2"/>
      <c r="CC3216" s="2" t="s">
        <v>402</v>
      </c>
      <c r="CD3216" s="2">
        <v>4133</v>
      </c>
      <c r="CE3216" s="2" t="s">
        <v>118</v>
      </c>
      <c r="CF3216" s="5">
        <v>42853</v>
      </c>
      <c r="CG3216" s="2"/>
      <c r="CH3216" s="2"/>
      <c r="CI3216" s="2">
        <v>1</v>
      </c>
      <c r="CJ3216" s="2">
        <v>1</v>
      </c>
      <c r="CK3216" s="2">
        <v>21</v>
      </c>
      <c r="CL3216" s="2" t="s">
        <v>86</v>
      </c>
      <c r="CM3216" s="2"/>
    </row>
    <row r="3217" spans="1:91">
      <c r="A3217" s="2" t="s">
        <v>71</v>
      </c>
      <c r="B3217" s="2" t="s">
        <v>72</v>
      </c>
      <c r="C3217" s="2" t="s">
        <v>73</v>
      </c>
      <c r="D3217" s="2"/>
      <c r="E3217" s="2" t="str">
        <f>"FES1162545504"</f>
        <v>FES1162545504</v>
      </c>
      <c r="F3217" s="3">
        <v>42850</v>
      </c>
      <c r="G3217" s="2">
        <v>201710</v>
      </c>
      <c r="H3217" s="2" t="s">
        <v>74</v>
      </c>
      <c r="I3217" s="2" t="s">
        <v>75</v>
      </c>
      <c r="J3217" s="2" t="s">
        <v>76</v>
      </c>
      <c r="K3217" s="2" t="s">
        <v>77</v>
      </c>
      <c r="L3217" s="2" t="s">
        <v>91</v>
      </c>
      <c r="M3217" s="2" t="s">
        <v>92</v>
      </c>
      <c r="N3217" s="2" t="s">
        <v>3302</v>
      </c>
      <c r="O3217" s="2" t="s">
        <v>115</v>
      </c>
      <c r="P3217" s="2" t="str">
        <f>"2170564022                    "</f>
        <v xml:space="preserve">2170564022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3.35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5.2</v>
      </c>
      <c r="BJ3217" s="2">
        <v>3.3</v>
      </c>
      <c r="BK3217" s="2">
        <v>6</v>
      </c>
      <c r="BL3217" s="2">
        <v>32.6</v>
      </c>
      <c r="BM3217" s="2">
        <v>4.5599999999999996</v>
      </c>
      <c r="BN3217" s="2">
        <v>37.159999999999997</v>
      </c>
      <c r="BO3217" s="2">
        <v>37.159999999999997</v>
      </c>
      <c r="BP3217" s="2"/>
      <c r="BQ3217" s="2"/>
      <c r="BR3217" s="2" t="s">
        <v>84</v>
      </c>
      <c r="BS3217" s="3">
        <v>42851</v>
      </c>
      <c r="BT3217" s="4">
        <v>0.41666666666666669</v>
      </c>
      <c r="BU3217" s="2" t="s">
        <v>2631</v>
      </c>
      <c r="BV3217" s="2" t="s">
        <v>111</v>
      </c>
      <c r="BW3217" s="2"/>
      <c r="BX3217" s="2"/>
      <c r="BY3217" s="2">
        <v>16424.45</v>
      </c>
      <c r="BZ3217" s="2"/>
      <c r="CA3217" s="2"/>
      <c r="CB3217" s="2"/>
      <c r="CC3217" s="2" t="s">
        <v>92</v>
      </c>
      <c r="CD3217" s="2">
        <v>1428</v>
      </c>
      <c r="CE3217" s="2" t="s">
        <v>89</v>
      </c>
      <c r="CF3217" s="5">
        <v>42853</v>
      </c>
      <c r="CG3217" s="2"/>
      <c r="CH3217" s="2"/>
      <c r="CI3217" s="2">
        <v>1</v>
      </c>
      <c r="CJ3217" s="2">
        <v>1</v>
      </c>
      <c r="CK3217" s="2">
        <v>22</v>
      </c>
      <c r="CL3217" s="2" t="s">
        <v>86</v>
      </c>
      <c r="CM3217" s="2"/>
    </row>
    <row r="3218" spans="1:91">
      <c r="A3218" s="2" t="s">
        <v>71</v>
      </c>
      <c r="B3218" s="2" t="s">
        <v>72</v>
      </c>
      <c r="C3218" s="2" t="s">
        <v>73</v>
      </c>
      <c r="D3218" s="2"/>
      <c r="E3218" s="2" t="str">
        <f>"FES1162545503"</f>
        <v>FES1162545503</v>
      </c>
      <c r="F3218" s="3">
        <v>42850</v>
      </c>
      <c r="G3218" s="2">
        <v>201710</v>
      </c>
      <c r="H3218" s="2" t="s">
        <v>74</v>
      </c>
      <c r="I3218" s="2" t="s">
        <v>75</v>
      </c>
      <c r="J3218" s="2" t="s">
        <v>76</v>
      </c>
      <c r="K3218" s="2" t="s">
        <v>77</v>
      </c>
      <c r="L3218" s="2" t="s">
        <v>190</v>
      </c>
      <c r="M3218" s="2" t="s">
        <v>191</v>
      </c>
      <c r="N3218" s="2" t="s">
        <v>870</v>
      </c>
      <c r="O3218" s="2" t="s">
        <v>115</v>
      </c>
      <c r="P3218" s="2" t="str">
        <f>"2170564020                    "</f>
        <v xml:space="preserve">2170564020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6.03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1</v>
      </c>
      <c r="BJ3218" s="2">
        <v>0.2</v>
      </c>
      <c r="BK3218" s="2">
        <v>1</v>
      </c>
      <c r="BL3218" s="2">
        <v>58.68</v>
      </c>
      <c r="BM3218" s="2">
        <v>8.2200000000000006</v>
      </c>
      <c r="BN3218" s="2">
        <v>66.900000000000006</v>
      </c>
      <c r="BO3218" s="2">
        <v>66.900000000000006</v>
      </c>
      <c r="BP3218" s="2"/>
      <c r="BQ3218" s="2" t="s">
        <v>871</v>
      </c>
      <c r="BR3218" s="2" t="s">
        <v>84</v>
      </c>
      <c r="BS3218" s="3">
        <v>42851</v>
      </c>
      <c r="BT3218" s="4">
        <v>0.29166666666666669</v>
      </c>
      <c r="BU3218" s="2" t="s">
        <v>1100</v>
      </c>
      <c r="BV3218" s="2" t="s">
        <v>111</v>
      </c>
      <c r="BW3218" s="2"/>
      <c r="BX3218" s="2"/>
      <c r="BY3218" s="2">
        <v>1200</v>
      </c>
      <c r="BZ3218" s="2"/>
      <c r="CA3218" s="2" t="s">
        <v>159</v>
      </c>
      <c r="CB3218" s="2"/>
      <c r="CC3218" s="2" t="s">
        <v>191</v>
      </c>
      <c r="CD3218" s="2">
        <v>1754</v>
      </c>
      <c r="CE3218" s="2" t="s">
        <v>118</v>
      </c>
      <c r="CF3218" s="5">
        <v>42853</v>
      </c>
      <c r="CG3218" s="2"/>
      <c r="CH3218" s="2"/>
      <c r="CI3218" s="2">
        <v>1</v>
      </c>
      <c r="CJ3218" s="2">
        <v>1</v>
      </c>
      <c r="CK3218" s="2">
        <v>24</v>
      </c>
      <c r="CL3218" s="2" t="s">
        <v>86</v>
      </c>
      <c r="CM3218" s="2"/>
    </row>
    <row r="3219" spans="1:91">
      <c r="A3219" s="2" t="s">
        <v>71</v>
      </c>
      <c r="B3219" s="2" t="s">
        <v>72</v>
      </c>
      <c r="C3219" s="2" t="s">
        <v>73</v>
      </c>
      <c r="D3219" s="2"/>
      <c r="E3219" s="2" t="str">
        <f>"FES1162545383"</f>
        <v>FES1162545383</v>
      </c>
      <c r="F3219" s="3">
        <v>42850</v>
      </c>
      <c r="G3219" s="2">
        <v>201710</v>
      </c>
      <c r="H3219" s="2" t="s">
        <v>74</v>
      </c>
      <c r="I3219" s="2" t="s">
        <v>75</v>
      </c>
      <c r="J3219" s="2" t="s">
        <v>76</v>
      </c>
      <c r="K3219" s="2" t="s">
        <v>77</v>
      </c>
      <c r="L3219" s="2" t="s">
        <v>74</v>
      </c>
      <c r="M3219" s="2" t="s">
        <v>75</v>
      </c>
      <c r="N3219" s="2" t="s">
        <v>436</v>
      </c>
      <c r="O3219" s="2" t="s">
        <v>115</v>
      </c>
      <c r="P3219" s="2" t="str">
        <f>"2170563889                    "</f>
        <v xml:space="preserve">2170563889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3.35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1.4</v>
      </c>
      <c r="BJ3219" s="2">
        <v>2.8</v>
      </c>
      <c r="BK3219" s="2">
        <v>3</v>
      </c>
      <c r="BL3219" s="2">
        <v>32.6</v>
      </c>
      <c r="BM3219" s="2">
        <v>4.5599999999999996</v>
      </c>
      <c r="BN3219" s="2">
        <v>37.159999999999997</v>
      </c>
      <c r="BO3219" s="2">
        <v>37.159999999999997</v>
      </c>
      <c r="BP3219" s="2"/>
      <c r="BQ3219" s="2" t="s">
        <v>437</v>
      </c>
      <c r="BR3219" s="2" t="s">
        <v>84</v>
      </c>
      <c r="BS3219" s="3">
        <v>42851</v>
      </c>
      <c r="BT3219" s="4">
        <v>0.41666666666666669</v>
      </c>
      <c r="BU3219" s="2" t="s">
        <v>2152</v>
      </c>
      <c r="BV3219" s="2" t="s">
        <v>111</v>
      </c>
      <c r="BW3219" s="2"/>
      <c r="BX3219" s="2"/>
      <c r="BY3219" s="2">
        <v>13764.48</v>
      </c>
      <c r="BZ3219" s="2"/>
      <c r="CA3219" s="2" t="s">
        <v>383</v>
      </c>
      <c r="CB3219" s="2"/>
      <c r="CC3219" s="2" t="s">
        <v>75</v>
      </c>
      <c r="CD3219" s="2">
        <v>1600</v>
      </c>
      <c r="CE3219" s="2" t="s">
        <v>172</v>
      </c>
      <c r="CF3219" s="5">
        <v>42851</v>
      </c>
      <c r="CG3219" s="2"/>
      <c r="CH3219" s="2"/>
      <c r="CI3219" s="2">
        <v>1</v>
      </c>
      <c r="CJ3219" s="2">
        <v>1</v>
      </c>
      <c r="CK3219" s="2">
        <v>22</v>
      </c>
      <c r="CL3219" s="2" t="s">
        <v>86</v>
      </c>
      <c r="CM3219" s="2"/>
    </row>
    <row r="3220" spans="1:91">
      <c r="A3220" s="2" t="s">
        <v>71</v>
      </c>
      <c r="B3220" s="2" t="s">
        <v>72</v>
      </c>
      <c r="C3220" s="2" t="s">
        <v>73</v>
      </c>
      <c r="D3220" s="2"/>
      <c r="E3220" s="2" t="str">
        <f>"FES1162545444"</f>
        <v>FES1162545444</v>
      </c>
      <c r="F3220" s="3">
        <v>42850</v>
      </c>
      <c r="G3220" s="2">
        <v>201710</v>
      </c>
      <c r="H3220" s="2" t="s">
        <v>74</v>
      </c>
      <c r="I3220" s="2" t="s">
        <v>75</v>
      </c>
      <c r="J3220" s="2" t="s">
        <v>76</v>
      </c>
      <c r="K3220" s="2" t="s">
        <v>77</v>
      </c>
      <c r="L3220" s="2" t="s">
        <v>74</v>
      </c>
      <c r="M3220" s="2" t="s">
        <v>75</v>
      </c>
      <c r="N3220" s="2" t="s">
        <v>3303</v>
      </c>
      <c r="O3220" s="2" t="s">
        <v>115</v>
      </c>
      <c r="P3220" s="2" t="str">
        <f>"2170563950                    "</f>
        <v xml:space="preserve">2170563950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3.35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1</v>
      </c>
      <c r="BJ3220" s="2">
        <v>0.2</v>
      </c>
      <c r="BK3220" s="2">
        <v>1</v>
      </c>
      <c r="BL3220" s="2">
        <v>32.6</v>
      </c>
      <c r="BM3220" s="2">
        <v>4.5599999999999996</v>
      </c>
      <c r="BN3220" s="2">
        <v>37.159999999999997</v>
      </c>
      <c r="BO3220" s="2">
        <v>37.159999999999997</v>
      </c>
      <c r="BP3220" s="2"/>
      <c r="BQ3220" s="2" t="s">
        <v>3304</v>
      </c>
      <c r="BR3220" s="2" t="s">
        <v>84</v>
      </c>
      <c r="BS3220" s="3">
        <v>42851</v>
      </c>
      <c r="BT3220" s="4">
        <v>0.40277777777777773</v>
      </c>
      <c r="BU3220" s="2" t="s">
        <v>290</v>
      </c>
      <c r="BV3220" s="2" t="s">
        <v>111</v>
      </c>
      <c r="BW3220" s="2"/>
      <c r="BX3220" s="2"/>
      <c r="BY3220" s="2">
        <v>1200</v>
      </c>
      <c r="BZ3220" s="2"/>
      <c r="CA3220" s="2"/>
      <c r="CB3220" s="2"/>
      <c r="CC3220" s="2" t="s">
        <v>75</v>
      </c>
      <c r="CD3220" s="2">
        <v>1600</v>
      </c>
      <c r="CE3220" s="2" t="s">
        <v>118</v>
      </c>
      <c r="CF3220" s="5">
        <v>42853</v>
      </c>
      <c r="CG3220" s="2"/>
      <c r="CH3220" s="2"/>
      <c r="CI3220" s="2">
        <v>1</v>
      </c>
      <c r="CJ3220" s="2">
        <v>1</v>
      </c>
      <c r="CK3220" s="2">
        <v>22</v>
      </c>
      <c r="CL3220" s="2" t="s">
        <v>86</v>
      </c>
      <c r="CM3220" s="2"/>
    </row>
    <row r="3221" spans="1:91">
      <c r="A3221" s="2" t="s">
        <v>71</v>
      </c>
      <c r="B3221" s="2" t="s">
        <v>72</v>
      </c>
      <c r="C3221" s="2" t="s">
        <v>73</v>
      </c>
      <c r="D3221" s="2"/>
      <c r="E3221" s="2" t="str">
        <f>"FES1162545475"</f>
        <v>FES1162545475</v>
      </c>
      <c r="F3221" s="3">
        <v>42850</v>
      </c>
      <c r="G3221" s="2">
        <v>201710</v>
      </c>
      <c r="H3221" s="2" t="s">
        <v>74</v>
      </c>
      <c r="I3221" s="2" t="s">
        <v>75</v>
      </c>
      <c r="J3221" s="2" t="s">
        <v>76</v>
      </c>
      <c r="K3221" s="2" t="s">
        <v>77</v>
      </c>
      <c r="L3221" s="2" t="s">
        <v>516</v>
      </c>
      <c r="M3221" s="2" t="s">
        <v>517</v>
      </c>
      <c r="N3221" s="2" t="s">
        <v>3282</v>
      </c>
      <c r="O3221" s="2" t="s">
        <v>115</v>
      </c>
      <c r="P3221" s="2" t="str">
        <f>"2170563899                    "</f>
        <v xml:space="preserve">2170563899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3.35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</v>
      </c>
      <c r="BJ3221" s="2">
        <v>0.2</v>
      </c>
      <c r="BK3221" s="2">
        <v>1</v>
      </c>
      <c r="BL3221" s="2">
        <v>32.6</v>
      </c>
      <c r="BM3221" s="2">
        <v>4.5599999999999996</v>
      </c>
      <c r="BN3221" s="2">
        <v>37.159999999999997</v>
      </c>
      <c r="BO3221" s="2">
        <v>37.159999999999997</v>
      </c>
      <c r="BP3221" s="2"/>
      <c r="BQ3221" s="2"/>
      <c r="BR3221" s="2" t="s">
        <v>84</v>
      </c>
      <c r="BS3221" s="3">
        <v>42851</v>
      </c>
      <c r="BT3221" s="4">
        <v>0.34375</v>
      </c>
      <c r="BU3221" s="2" t="s">
        <v>3283</v>
      </c>
      <c r="BV3221" s="2" t="s">
        <v>111</v>
      </c>
      <c r="BW3221" s="2"/>
      <c r="BX3221" s="2"/>
      <c r="BY3221" s="2">
        <v>1200</v>
      </c>
      <c r="BZ3221" s="2"/>
      <c r="CA3221" s="2"/>
      <c r="CB3221" s="2"/>
      <c r="CC3221" s="2" t="s">
        <v>517</v>
      </c>
      <c r="CD3221" s="2">
        <v>1459</v>
      </c>
      <c r="CE3221" s="2" t="s">
        <v>118</v>
      </c>
      <c r="CF3221" s="5">
        <v>42853</v>
      </c>
      <c r="CG3221" s="2"/>
      <c r="CH3221" s="2"/>
      <c r="CI3221" s="2">
        <v>1</v>
      </c>
      <c r="CJ3221" s="2">
        <v>1</v>
      </c>
      <c r="CK3221" s="2">
        <v>22</v>
      </c>
      <c r="CL3221" s="2" t="s">
        <v>86</v>
      </c>
      <c r="CM3221" s="2"/>
    </row>
    <row r="3222" spans="1:91">
      <c r="A3222" s="2" t="s">
        <v>71</v>
      </c>
      <c r="B3222" s="2" t="s">
        <v>72</v>
      </c>
      <c r="C3222" s="2" t="s">
        <v>73</v>
      </c>
      <c r="D3222" s="2"/>
      <c r="E3222" s="2" t="str">
        <f>"FES1162545456"</f>
        <v>FES1162545456</v>
      </c>
      <c r="F3222" s="3">
        <v>42850</v>
      </c>
      <c r="G3222" s="2">
        <v>201710</v>
      </c>
      <c r="H3222" s="2" t="s">
        <v>74</v>
      </c>
      <c r="I3222" s="2" t="s">
        <v>75</v>
      </c>
      <c r="J3222" s="2" t="s">
        <v>76</v>
      </c>
      <c r="K3222" s="2" t="s">
        <v>77</v>
      </c>
      <c r="L3222" s="2" t="s">
        <v>74</v>
      </c>
      <c r="M3222" s="2" t="s">
        <v>75</v>
      </c>
      <c r="N3222" s="2" t="s">
        <v>573</v>
      </c>
      <c r="O3222" s="2" t="s">
        <v>115</v>
      </c>
      <c r="P3222" s="2" t="str">
        <f>"2170563964                    "</f>
        <v xml:space="preserve">2170563964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3.35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1</v>
      </c>
      <c r="BI3222" s="2">
        <v>1</v>
      </c>
      <c r="BJ3222" s="2">
        <v>0.2</v>
      </c>
      <c r="BK3222" s="2">
        <v>1</v>
      </c>
      <c r="BL3222" s="2">
        <v>32.6</v>
      </c>
      <c r="BM3222" s="2">
        <v>4.5599999999999996</v>
      </c>
      <c r="BN3222" s="2">
        <v>37.159999999999997</v>
      </c>
      <c r="BO3222" s="2">
        <v>37.159999999999997</v>
      </c>
      <c r="BP3222" s="2"/>
      <c r="BQ3222" s="2" t="s">
        <v>574</v>
      </c>
      <c r="BR3222" s="2" t="s">
        <v>84</v>
      </c>
      <c r="BS3222" s="3">
        <v>42851</v>
      </c>
      <c r="BT3222" s="4">
        <v>0.41666666666666669</v>
      </c>
      <c r="BU3222" s="2" t="s">
        <v>3135</v>
      </c>
      <c r="BV3222" s="2" t="s">
        <v>111</v>
      </c>
      <c r="BW3222" s="2"/>
      <c r="BX3222" s="2"/>
      <c r="BY3222" s="2">
        <v>1200</v>
      </c>
      <c r="BZ3222" s="2"/>
      <c r="CA3222" s="2"/>
      <c r="CB3222" s="2"/>
      <c r="CC3222" s="2" t="s">
        <v>75</v>
      </c>
      <c r="CD3222" s="2">
        <v>1665</v>
      </c>
      <c r="CE3222" s="2" t="s">
        <v>118</v>
      </c>
      <c r="CF3222" s="5">
        <v>42853</v>
      </c>
      <c r="CG3222" s="2"/>
      <c r="CH3222" s="2"/>
      <c r="CI3222" s="2">
        <v>1</v>
      </c>
      <c r="CJ3222" s="2">
        <v>1</v>
      </c>
      <c r="CK3222" s="2">
        <v>22</v>
      </c>
      <c r="CL3222" s="2" t="s">
        <v>86</v>
      </c>
      <c r="CM3222" s="2"/>
    </row>
    <row r="3223" spans="1:91">
      <c r="A3223" s="2" t="s">
        <v>71</v>
      </c>
      <c r="B3223" s="2" t="s">
        <v>72</v>
      </c>
      <c r="C3223" s="2" t="s">
        <v>73</v>
      </c>
      <c r="D3223" s="2"/>
      <c r="E3223" s="2" t="str">
        <f>"FES1162545423"</f>
        <v>FES1162545423</v>
      </c>
      <c r="F3223" s="3">
        <v>42850</v>
      </c>
      <c r="G3223" s="2">
        <v>201710</v>
      </c>
      <c r="H3223" s="2" t="s">
        <v>74</v>
      </c>
      <c r="I3223" s="2" t="s">
        <v>75</v>
      </c>
      <c r="J3223" s="2" t="s">
        <v>76</v>
      </c>
      <c r="K3223" s="2" t="s">
        <v>77</v>
      </c>
      <c r="L3223" s="2" t="s">
        <v>166</v>
      </c>
      <c r="M3223" s="2" t="s">
        <v>167</v>
      </c>
      <c r="N3223" s="2" t="s">
        <v>168</v>
      </c>
      <c r="O3223" s="2" t="s">
        <v>115</v>
      </c>
      <c r="P3223" s="2" t="str">
        <f>"2170560911                    "</f>
        <v xml:space="preserve">2170560911 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3.35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1</v>
      </c>
      <c r="BJ3223" s="2">
        <v>0.2</v>
      </c>
      <c r="BK3223" s="2">
        <v>1</v>
      </c>
      <c r="BL3223" s="2">
        <v>32.6</v>
      </c>
      <c r="BM3223" s="2">
        <v>4.5599999999999996</v>
      </c>
      <c r="BN3223" s="2">
        <v>37.159999999999997</v>
      </c>
      <c r="BO3223" s="2">
        <v>37.159999999999997</v>
      </c>
      <c r="BP3223" s="2"/>
      <c r="BQ3223" s="2" t="s">
        <v>169</v>
      </c>
      <c r="BR3223" s="2" t="s">
        <v>84</v>
      </c>
      <c r="BS3223" s="3">
        <v>42851</v>
      </c>
      <c r="BT3223" s="4">
        <v>0.3888888888888889</v>
      </c>
      <c r="BU3223" s="2" t="s">
        <v>170</v>
      </c>
      <c r="BV3223" s="2" t="s">
        <v>111</v>
      </c>
      <c r="BW3223" s="2"/>
      <c r="BX3223" s="2"/>
      <c r="BY3223" s="2">
        <v>1200</v>
      </c>
      <c r="BZ3223" s="2"/>
      <c r="CA3223" s="2" t="s">
        <v>171</v>
      </c>
      <c r="CB3223" s="2"/>
      <c r="CC3223" s="2" t="s">
        <v>167</v>
      </c>
      <c r="CD3223" s="2">
        <v>2094</v>
      </c>
      <c r="CE3223" s="2" t="s">
        <v>118</v>
      </c>
      <c r="CF3223" s="5">
        <v>42851</v>
      </c>
      <c r="CG3223" s="2"/>
      <c r="CH3223" s="2"/>
      <c r="CI3223" s="2">
        <v>1</v>
      </c>
      <c r="CJ3223" s="2">
        <v>1</v>
      </c>
      <c r="CK3223" s="2">
        <v>22</v>
      </c>
      <c r="CL3223" s="2" t="s">
        <v>86</v>
      </c>
      <c r="CM3223" s="2"/>
    </row>
    <row r="3224" spans="1:91">
      <c r="A3224" s="2" t="s">
        <v>71</v>
      </c>
      <c r="B3224" s="2" t="s">
        <v>72</v>
      </c>
      <c r="C3224" s="2" t="s">
        <v>73</v>
      </c>
      <c r="D3224" s="2"/>
      <c r="E3224" s="2" t="str">
        <f>"FES1162545420"</f>
        <v>FES1162545420</v>
      </c>
      <c r="F3224" s="3">
        <v>42850</v>
      </c>
      <c r="G3224" s="2">
        <v>201710</v>
      </c>
      <c r="H3224" s="2" t="s">
        <v>74</v>
      </c>
      <c r="I3224" s="2" t="s">
        <v>75</v>
      </c>
      <c r="J3224" s="2" t="s">
        <v>76</v>
      </c>
      <c r="K3224" s="2" t="s">
        <v>77</v>
      </c>
      <c r="L3224" s="2" t="s">
        <v>516</v>
      </c>
      <c r="M3224" s="2" t="s">
        <v>517</v>
      </c>
      <c r="N3224" s="2" t="s">
        <v>1994</v>
      </c>
      <c r="O3224" s="2" t="s">
        <v>115</v>
      </c>
      <c r="P3224" s="2" t="str">
        <f>"2170560180                    "</f>
        <v xml:space="preserve">2170560180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3.35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1</v>
      </c>
      <c r="BI3224" s="2">
        <v>1</v>
      </c>
      <c r="BJ3224" s="2">
        <v>0.2</v>
      </c>
      <c r="BK3224" s="2">
        <v>1</v>
      </c>
      <c r="BL3224" s="2">
        <v>32.6</v>
      </c>
      <c r="BM3224" s="2">
        <v>4.5599999999999996</v>
      </c>
      <c r="BN3224" s="2">
        <v>37.159999999999997</v>
      </c>
      <c r="BO3224" s="2">
        <v>37.159999999999997</v>
      </c>
      <c r="BP3224" s="2"/>
      <c r="BQ3224" s="2" t="s">
        <v>1995</v>
      </c>
      <c r="BR3224" s="2" t="s">
        <v>84</v>
      </c>
      <c r="BS3224" s="3">
        <v>42851</v>
      </c>
      <c r="BT3224" s="4">
        <v>0.34166666666666662</v>
      </c>
      <c r="BU3224" s="2" t="s">
        <v>628</v>
      </c>
      <c r="BV3224" s="2" t="s">
        <v>111</v>
      </c>
      <c r="BW3224" s="2"/>
      <c r="BX3224" s="2"/>
      <c r="BY3224" s="2">
        <v>1200</v>
      </c>
      <c r="BZ3224" s="2"/>
      <c r="CA3224" s="2"/>
      <c r="CB3224" s="2"/>
      <c r="CC3224" s="2" t="s">
        <v>517</v>
      </c>
      <c r="CD3224" s="2">
        <v>1459</v>
      </c>
      <c r="CE3224" s="2" t="s">
        <v>118</v>
      </c>
      <c r="CF3224" s="5">
        <v>42853</v>
      </c>
      <c r="CG3224" s="2"/>
      <c r="CH3224" s="2"/>
      <c r="CI3224" s="2">
        <v>1</v>
      </c>
      <c r="CJ3224" s="2">
        <v>1</v>
      </c>
      <c r="CK3224" s="2">
        <v>22</v>
      </c>
      <c r="CL3224" s="2" t="s">
        <v>86</v>
      </c>
      <c r="CM3224" s="2"/>
    </row>
    <row r="3225" spans="1:91">
      <c r="A3225" s="2" t="s">
        <v>71</v>
      </c>
      <c r="B3225" s="2" t="s">
        <v>72</v>
      </c>
      <c r="C3225" s="2" t="s">
        <v>73</v>
      </c>
      <c r="D3225" s="2"/>
      <c r="E3225" s="2" t="str">
        <f>"FES1162545411"</f>
        <v>FES1162545411</v>
      </c>
      <c r="F3225" s="3">
        <v>42850</v>
      </c>
      <c r="G3225" s="2">
        <v>201710</v>
      </c>
      <c r="H3225" s="2" t="s">
        <v>74</v>
      </c>
      <c r="I3225" s="2" t="s">
        <v>75</v>
      </c>
      <c r="J3225" s="2" t="s">
        <v>76</v>
      </c>
      <c r="K3225" s="2" t="s">
        <v>77</v>
      </c>
      <c r="L3225" s="2" t="s">
        <v>190</v>
      </c>
      <c r="M3225" s="2" t="s">
        <v>191</v>
      </c>
      <c r="N3225" s="2" t="s">
        <v>192</v>
      </c>
      <c r="O3225" s="2" t="s">
        <v>115</v>
      </c>
      <c r="P3225" s="2" t="str">
        <f>"2170561619                    "</f>
        <v xml:space="preserve">2170561619 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6.03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1</v>
      </c>
      <c r="BI3225" s="2">
        <v>1</v>
      </c>
      <c r="BJ3225" s="2">
        <v>0.2</v>
      </c>
      <c r="BK3225" s="2">
        <v>1</v>
      </c>
      <c r="BL3225" s="2">
        <v>58.68</v>
      </c>
      <c r="BM3225" s="2">
        <v>8.2200000000000006</v>
      </c>
      <c r="BN3225" s="2">
        <v>66.900000000000006</v>
      </c>
      <c r="BO3225" s="2">
        <v>66.900000000000006</v>
      </c>
      <c r="BP3225" s="2"/>
      <c r="BQ3225" s="2" t="s">
        <v>193</v>
      </c>
      <c r="BR3225" s="2" t="s">
        <v>84</v>
      </c>
      <c r="BS3225" s="3">
        <v>42851</v>
      </c>
      <c r="BT3225" s="4">
        <v>0.38958333333333334</v>
      </c>
      <c r="BU3225" s="2" t="s">
        <v>2152</v>
      </c>
      <c r="BV3225" s="2" t="s">
        <v>111</v>
      </c>
      <c r="BW3225" s="2"/>
      <c r="BX3225" s="2"/>
      <c r="BY3225" s="2">
        <v>1200</v>
      </c>
      <c r="BZ3225" s="2"/>
      <c r="CA3225" s="2"/>
      <c r="CB3225" s="2"/>
      <c r="CC3225" s="2" t="s">
        <v>191</v>
      </c>
      <c r="CD3225" s="2">
        <v>1739</v>
      </c>
      <c r="CE3225" s="2" t="s">
        <v>118</v>
      </c>
      <c r="CF3225" s="5">
        <v>42853</v>
      </c>
      <c r="CG3225" s="2"/>
      <c r="CH3225" s="2"/>
      <c r="CI3225" s="2">
        <v>1</v>
      </c>
      <c r="CJ3225" s="2">
        <v>1</v>
      </c>
      <c r="CK3225" s="2">
        <v>24</v>
      </c>
      <c r="CL3225" s="2" t="s">
        <v>86</v>
      </c>
      <c r="CM3225" s="2"/>
    </row>
    <row r="3226" spans="1:91">
      <c r="A3226" s="2" t="s">
        <v>71</v>
      </c>
      <c r="B3226" s="2" t="s">
        <v>72</v>
      </c>
      <c r="C3226" s="2" t="s">
        <v>73</v>
      </c>
      <c r="D3226" s="2"/>
      <c r="E3226" s="2" t="str">
        <f>"FES1162545529"</f>
        <v>FES1162545529</v>
      </c>
      <c r="F3226" s="3">
        <v>42850</v>
      </c>
      <c r="G3226" s="2">
        <v>201710</v>
      </c>
      <c r="H3226" s="2" t="s">
        <v>74</v>
      </c>
      <c r="I3226" s="2" t="s">
        <v>75</v>
      </c>
      <c r="J3226" s="2" t="s">
        <v>76</v>
      </c>
      <c r="K3226" s="2" t="s">
        <v>77</v>
      </c>
      <c r="L3226" s="2" t="s">
        <v>396</v>
      </c>
      <c r="M3226" s="2" t="s">
        <v>397</v>
      </c>
      <c r="N3226" s="2" t="s">
        <v>398</v>
      </c>
      <c r="O3226" s="2" t="s">
        <v>115</v>
      </c>
      <c r="P3226" s="2" t="str">
        <f>"2170564059                    "</f>
        <v xml:space="preserve">2170564059 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4.29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1</v>
      </c>
      <c r="BJ3226" s="2">
        <v>0.2</v>
      </c>
      <c r="BK3226" s="2">
        <v>1</v>
      </c>
      <c r="BL3226" s="2">
        <v>41.73</v>
      </c>
      <c r="BM3226" s="2">
        <v>5.84</v>
      </c>
      <c r="BN3226" s="2">
        <v>47.57</v>
      </c>
      <c r="BO3226" s="2">
        <v>47.57</v>
      </c>
      <c r="BP3226" s="2"/>
      <c r="BQ3226" s="2" t="s">
        <v>399</v>
      </c>
      <c r="BR3226" s="2" t="s">
        <v>84</v>
      </c>
      <c r="BS3226" s="3">
        <v>42851</v>
      </c>
      <c r="BT3226" s="4">
        <v>0.41666666666666669</v>
      </c>
      <c r="BU3226" s="2" t="s">
        <v>3232</v>
      </c>
      <c r="BV3226" s="2" t="s">
        <v>111</v>
      </c>
      <c r="BW3226" s="2"/>
      <c r="BX3226" s="2"/>
      <c r="BY3226" s="2">
        <v>1200</v>
      </c>
      <c r="BZ3226" s="2"/>
      <c r="CA3226" s="2"/>
      <c r="CB3226" s="2"/>
      <c r="CC3226" s="2" t="s">
        <v>397</v>
      </c>
      <c r="CD3226" s="2">
        <v>4300</v>
      </c>
      <c r="CE3226" s="2" t="s">
        <v>118</v>
      </c>
      <c r="CF3226" s="5">
        <v>42853</v>
      </c>
      <c r="CG3226" s="2"/>
      <c r="CH3226" s="2"/>
      <c r="CI3226" s="2">
        <v>1</v>
      </c>
      <c r="CJ3226" s="2">
        <v>1</v>
      </c>
      <c r="CK3226" s="2">
        <v>21</v>
      </c>
      <c r="CL3226" s="2" t="s">
        <v>86</v>
      </c>
      <c r="CM3226" s="2"/>
    </row>
    <row r="3227" spans="1:91">
      <c r="A3227" s="2" t="s">
        <v>71</v>
      </c>
      <c r="B3227" s="2" t="s">
        <v>72</v>
      </c>
      <c r="C3227" s="2" t="s">
        <v>73</v>
      </c>
      <c r="D3227" s="2"/>
      <c r="E3227" s="2" t="str">
        <f>"FES1162545473"</f>
        <v>FES1162545473</v>
      </c>
      <c r="F3227" s="3">
        <v>42850</v>
      </c>
      <c r="G3227" s="2">
        <v>201710</v>
      </c>
      <c r="H3227" s="2" t="s">
        <v>74</v>
      </c>
      <c r="I3227" s="2" t="s">
        <v>75</v>
      </c>
      <c r="J3227" s="2" t="s">
        <v>76</v>
      </c>
      <c r="K3227" s="2" t="s">
        <v>77</v>
      </c>
      <c r="L3227" s="2" t="s">
        <v>74</v>
      </c>
      <c r="M3227" s="2" t="s">
        <v>75</v>
      </c>
      <c r="N3227" s="2" t="s">
        <v>3305</v>
      </c>
      <c r="O3227" s="2" t="s">
        <v>115</v>
      </c>
      <c r="P3227" s="2" t="str">
        <f>"2170563851                    "</f>
        <v xml:space="preserve">2170563851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3.75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1</v>
      </c>
      <c r="BI3227" s="2">
        <v>8.6</v>
      </c>
      <c r="BJ3227" s="2">
        <v>4.5</v>
      </c>
      <c r="BK3227" s="2">
        <v>9</v>
      </c>
      <c r="BL3227" s="2">
        <v>36.51</v>
      </c>
      <c r="BM3227" s="2">
        <v>5.1100000000000003</v>
      </c>
      <c r="BN3227" s="2">
        <v>41.62</v>
      </c>
      <c r="BO3227" s="2">
        <v>41.62</v>
      </c>
      <c r="BP3227" s="2"/>
      <c r="BQ3227" s="2"/>
      <c r="BR3227" s="2" t="s">
        <v>84</v>
      </c>
      <c r="BS3227" s="3">
        <v>42851</v>
      </c>
      <c r="BT3227" s="4">
        <v>0.41666666666666669</v>
      </c>
      <c r="BU3227" s="2" t="s">
        <v>863</v>
      </c>
      <c r="BV3227" s="2" t="s">
        <v>111</v>
      </c>
      <c r="BW3227" s="2"/>
      <c r="BX3227" s="2"/>
      <c r="BY3227" s="2">
        <v>22486.92</v>
      </c>
      <c r="BZ3227" s="2"/>
      <c r="CA3227" s="2" t="s">
        <v>2027</v>
      </c>
      <c r="CB3227" s="2"/>
      <c r="CC3227" s="2" t="s">
        <v>75</v>
      </c>
      <c r="CD3227" s="2">
        <v>1610</v>
      </c>
      <c r="CE3227" s="2" t="s">
        <v>172</v>
      </c>
      <c r="CF3227" s="5">
        <v>42853</v>
      </c>
      <c r="CG3227" s="2"/>
      <c r="CH3227" s="2"/>
      <c r="CI3227" s="2">
        <v>1</v>
      </c>
      <c r="CJ3227" s="2">
        <v>1</v>
      </c>
      <c r="CK3227" s="2">
        <v>22</v>
      </c>
      <c r="CL3227" s="2" t="s">
        <v>86</v>
      </c>
      <c r="CM3227" s="2"/>
    </row>
    <row r="3228" spans="1:91">
      <c r="A3228" s="2" t="s">
        <v>71</v>
      </c>
      <c r="B3228" s="2" t="s">
        <v>72</v>
      </c>
      <c r="C3228" s="2" t="s">
        <v>73</v>
      </c>
      <c r="D3228" s="2"/>
      <c r="E3228" s="2" t="str">
        <f>"FES1162545381"</f>
        <v>FES1162545381</v>
      </c>
      <c r="F3228" s="3">
        <v>42850</v>
      </c>
      <c r="G3228" s="2">
        <v>201710</v>
      </c>
      <c r="H3228" s="2" t="s">
        <v>74</v>
      </c>
      <c r="I3228" s="2" t="s">
        <v>75</v>
      </c>
      <c r="J3228" s="2" t="s">
        <v>76</v>
      </c>
      <c r="K3228" s="2" t="s">
        <v>77</v>
      </c>
      <c r="L3228" s="2" t="s">
        <v>74</v>
      </c>
      <c r="M3228" s="2" t="s">
        <v>75</v>
      </c>
      <c r="N3228" s="2" t="s">
        <v>488</v>
      </c>
      <c r="O3228" s="2" t="s">
        <v>115</v>
      </c>
      <c r="P3228" s="2" t="str">
        <f>"217063892                     "</f>
        <v xml:space="preserve">217063892   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3.35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6</v>
      </c>
      <c r="BJ3228" s="2">
        <v>1.6</v>
      </c>
      <c r="BK3228" s="2">
        <v>6</v>
      </c>
      <c r="BL3228" s="2">
        <v>32.6</v>
      </c>
      <c r="BM3228" s="2">
        <v>4.5599999999999996</v>
      </c>
      <c r="BN3228" s="2">
        <v>37.159999999999997</v>
      </c>
      <c r="BO3228" s="2">
        <v>37.159999999999997</v>
      </c>
      <c r="BP3228" s="2"/>
      <c r="BQ3228" s="2" t="s">
        <v>489</v>
      </c>
      <c r="BR3228" s="2" t="s">
        <v>84</v>
      </c>
      <c r="BS3228" s="3">
        <v>42851</v>
      </c>
      <c r="BT3228" s="4">
        <v>0.2986111111111111</v>
      </c>
      <c r="BU3228" s="2" t="s">
        <v>290</v>
      </c>
      <c r="BV3228" s="2" t="s">
        <v>111</v>
      </c>
      <c r="BW3228" s="2"/>
      <c r="BX3228" s="2"/>
      <c r="BY3228" s="2">
        <v>8183.51</v>
      </c>
      <c r="BZ3228" s="2"/>
      <c r="CA3228" s="2"/>
      <c r="CB3228" s="2"/>
      <c r="CC3228" s="2" t="s">
        <v>75</v>
      </c>
      <c r="CD3228" s="2">
        <v>1645</v>
      </c>
      <c r="CE3228" s="2" t="s">
        <v>172</v>
      </c>
      <c r="CF3228" s="5">
        <v>42853</v>
      </c>
      <c r="CG3228" s="2"/>
      <c r="CH3228" s="2"/>
      <c r="CI3228" s="2">
        <v>1</v>
      </c>
      <c r="CJ3228" s="2">
        <v>1</v>
      </c>
      <c r="CK3228" s="2">
        <v>22</v>
      </c>
      <c r="CL3228" s="2" t="s">
        <v>86</v>
      </c>
      <c r="CM3228" s="2"/>
    </row>
    <row r="3229" spans="1:91">
      <c r="A3229" s="2" t="s">
        <v>71</v>
      </c>
      <c r="B3229" s="2" t="s">
        <v>72</v>
      </c>
      <c r="C3229" s="2" t="s">
        <v>73</v>
      </c>
      <c r="D3229" s="2"/>
      <c r="E3229" s="2" t="str">
        <f>"FES1162545408"</f>
        <v>FES1162545408</v>
      </c>
      <c r="F3229" s="3">
        <v>42850</v>
      </c>
      <c r="G3229" s="2">
        <v>201710</v>
      </c>
      <c r="H3229" s="2" t="s">
        <v>74</v>
      </c>
      <c r="I3229" s="2" t="s">
        <v>75</v>
      </c>
      <c r="J3229" s="2" t="s">
        <v>76</v>
      </c>
      <c r="K3229" s="2" t="s">
        <v>77</v>
      </c>
      <c r="L3229" s="2" t="s">
        <v>496</v>
      </c>
      <c r="M3229" s="2" t="s">
        <v>497</v>
      </c>
      <c r="N3229" s="2" t="s">
        <v>498</v>
      </c>
      <c r="O3229" s="2" t="s">
        <v>115</v>
      </c>
      <c r="P3229" s="2" t="str">
        <f>"2170561328                    "</f>
        <v xml:space="preserve">2170561328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3.35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1</v>
      </c>
      <c r="BI3229" s="2">
        <v>2.5</v>
      </c>
      <c r="BJ3229" s="2">
        <v>0.8</v>
      </c>
      <c r="BK3229" s="2">
        <v>3</v>
      </c>
      <c r="BL3229" s="2">
        <v>32.6</v>
      </c>
      <c r="BM3229" s="2">
        <v>4.5599999999999996</v>
      </c>
      <c r="BN3229" s="2">
        <v>37.159999999999997</v>
      </c>
      <c r="BO3229" s="2">
        <v>37.159999999999997</v>
      </c>
      <c r="BP3229" s="2"/>
      <c r="BQ3229" s="2" t="s">
        <v>122</v>
      </c>
      <c r="BR3229" s="2" t="s">
        <v>84</v>
      </c>
      <c r="BS3229" s="3">
        <v>42851</v>
      </c>
      <c r="BT3229" s="4">
        <v>0.29166666666666669</v>
      </c>
      <c r="BU3229" s="2" t="s">
        <v>499</v>
      </c>
      <c r="BV3229" s="2" t="s">
        <v>111</v>
      </c>
      <c r="BW3229" s="2"/>
      <c r="BX3229" s="2"/>
      <c r="BY3229" s="2">
        <v>3851.38</v>
      </c>
      <c r="BZ3229" s="2"/>
      <c r="CA3229" s="2"/>
      <c r="CB3229" s="2"/>
      <c r="CC3229" s="2" t="s">
        <v>497</v>
      </c>
      <c r="CD3229" s="2">
        <v>1559</v>
      </c>
      <c r="CE3229" s="2" t="s">
        <v>172</v>
      </c>
      <c r="CF3229" s="5">
        <v>42853</v>
      </c>
      <c r="CG3229" s="2"/>
      <c r="CH3229" s="2"/>
      <c r="CI3229" s="2">
        <v>1</v>
      </c>
      <c r="CJ3229" s="2">
        <v>1</v>
      </c>
      <c r="CK3229" s="2">
        <v>22</v>
      </c>
      <c r="CL3229" s="2" t="s">
        <v>86</v>
      </c>
      <c r="CM3229" s="2"/>
    </row>
    <row r="3230" spans="1:91">
      <c r="A3230" s="2" t="s">
        <v>71</v>
      </c>
      <c r="B3230" s="2" t="s">
        <v>72</v>
      </c>
      <c r="C3230" s="2" t="s">
        <v>73</v>
      </c>
      <c r="D3230" s="2"/>
      <c r="E3230" s="2" t="str">
        <f>"FES1162545525"</f>
        <v>FES1162545525</v>
      </c>
      <c r="F3230" s="3">
        <v>42850</v>
      </c>
      <c r="G3230" s="2">
        <v>201710</v>
      </c>
      <c r="H3230" s="2" t="s">
        <v>74</v>
      </c>
      <c r="I3230" s="2" t="s">
        <v>75</v>
      </c>
      <c r="J3230" s="2" t="s">
        <v>76</v>
      </c>
      <c r="K3230" s="2" t="s">
        <v>77</v>
      </c>
      <c r="L3230" s="2" t="s">
        <v>396</v>
      </c>
      <c r="M3230" s="2" t="s">
        <v>397</v>
      </c>
      <c r="N3230" s="2" t="s">
        <v>500</v>
      </c>
      <c r="O3230" s="2" t="s">
        <v>115</v>
      </c>
      <c r="P3230" s="2" t="str">
        <f>"2170552173                    "</f>
        <v xml:space="preserve">2170552173           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6.43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2.7</v>
      </c>
      <c r="BJ3230" s="2">
        <v>1.6</v>
      </c>
      <c r="BK3230" s="2">
        <v>3</v>
      </c>
      <c r="BL3230" s="2">
        <v>62.59</v>
      </c>
      <c r="BM3230" s="2">
        <v>8.76</v>
      </c>
      <c r="BN3230" s="2">
        <v>71.349999999999994</v>
      </c>
      <c r="BO3230" s="2">
        <v>71.349999999999994</v>
      </c>
      <c r="BP3230" s="2"/>
      <c r="BQ3230" s="2" t="s">
        <v>501</v>
      </c>
      <c r="BR3230" s="2" t="s">
        <v>84</v>
      </c>
      <c r="BS3230" s="3">
        <v>42851</v>
      </c>
      <c r="BT3230" s="4">
        <v>0.33333333333333331</v>
      </c>
      <c r="BU3230" s="2" t="s">
        <v>835</v>
      </c>
      <c r="BV3230" s="2" t="s">
        <v>111</v>
      </c>
      <c r="BW3230" s="2"/>
      <c r="BX3230" s="2"/>
      <c r="BY3230" s="2">
        <v>8172.74</v>
      </c>
      <c r="BZ3230" s="2"/>
      <c r="CA3230" s="2"/>
      <c r="CB3230" s="2"/>
      <c r="CC3230" s="2" t="s">
        <v>397</v>
      </c>
      <c r="CD3230" s="2">
        <v>4302</v>
      </c>
      <c r="CE3230" s="2" t="s">
        <v>89</v>
      </c>
      <c r="CF3230" s="5">
        <v>42853</v>
      </c>
      <c r="CG3230" s="2"/>
      <c r="CH3230" s="2"/>
      <c r="CI3230" s="2">
        <v>1</v>
      </c>
      <c r="CJ3230" s="2">
        <v>1</v>
      </c>
      <c r="CK3230" s="2">
        <v>21</v>
      </c>
      <c r="CL3230" s="2" t="s">
        <v>86</v>
      </c>
      <c r="CM3230" s="2"/>
    </row>
    <row r="3231" spans="1:91">
      <c r="A3231" s="2" t="s">
        <v>71</v>
      </c>
      <c r="B3231" s="2" t="s">
        <v>72</v>
      </c>
      <c r="C3231" s="2" t="s">
        <v>73</v>
      </c>
      <c r="D3231" s="2"/>
      <c r="E3231" s="2" t="str">
        <f>"FES1162545578"</f>
        <v>FES1162545578</v>
      </c>
      <c r="F3231" s="3">
        <v>42850</v>
      </c>
      <c r="G3231" s="2">
        <v>201710</v>
      </c>
      <c r="H3231" s="2" t="s">
        <v>74</v>
      </c>
      <c r="I3231" s="2" t="s">
        <v>75</v>
      </c>
      <c r="J3231" s="2" t="s">
        <v>76</v>
      </c>
      <c r="K3231" s="2" t="s">
        <v>77</v>
      </c>
      <c r="L3231" s="2" t="s">
        <v>119</v>
      </c>
      <c r="M3231" s="2" t="s">
        <v>120</v>
      </c>
      <c r="N3231" s="2" t="s">
        <v>3306</v>
      </c>
      <c r="O3231" s="2" t="s">
        <v>115</v>
      </c>
      <c r="P3231" s="2" t="str">
        <f>"2170564096                    "</f>
        <v xml:space="preserve">2170564096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3.35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1</v>
      </c>
      <c r="BI3231" s="2">
        <v>1</v>
      </c>
      <c r="BJ3231" s="2">
        <v>0.2</v>
      </c>
      <c r="BK3231" s="2">
        <v>1</v>
      </c>
      <c r="BL3231" s="2">
        <v>32.6</v>
      </c>
      <c r="BM3231" s="2">
        <v>4.5599999999999996</v>
      </c>
      <c r="BN3231" s="2">
        <v>37.159999999999997</v>
      </c>
      <c r="BO3231" s="2">
        <v>37.159999999999997</v>
      </c>
      <c r="BP3231" s="2"/>
      <c r="BQ3231" s="2" t="s">
        <v>2253</v>
      </c>
      <c r="BR3231" s="2" t="s">
        <v>84</v>
      </c>
      <c r="BS3231" s="3">
        <v>42851</v>
      </c>
      <c r="BT3231" s="4">
        <v>0.43402777777777773</v>
      </c>
      <c r="BU3231" s="2" t="s">
        <v>3307</v>
      </c>
      <c r="BV3231" s="2" t="s">
        <v>111</v>
      </c>
      <c r="BW3231" s="2"/>
      <c r="BX3231" s="2"/>
      <c r="BY3231" s="2">
        <v>1200</v>
      </c>
      <c r="BZ3231" s="2"/>
      <c r="CA3231" s="2" t="s">
        <v>125</v>
      </c>
      <c r="CB3231" s="2"/>
      <c r="CC3231" s="2" t="s">
        <v>120</v>
      </c>
      <c r="CD3231" s="2">
        <v>2163</v>
      </c>
      <c r="CE3231" s="2" t="s">
        <v>118</v>
      </c>
      <c r="CF3231" s="5">
        <v>42853</v>
      </c>
      <c r="CG3231" s="2"/>
      <c r="CH3231" s="2"/>
      <c r="CI3231" s="2">
        <v>1</v>
      </c>
      <c r="CJ3231" s="2">
        <v>1</v>
      </c>
      <c r="CK3231" s="2">
        <v>22</v>
      </c>
      <c r="CL3231" s="2" t="s">
        <v>86</v>
      </c>
      <c r="CM3231" s="2"/>
    </row>
    <row r="3232" spans="1:91">
      <c r="A3232" s="2" t="s">
        <v>71</v>
      </c>
      <c r="B3232" s="2" t="s">
        <v>72</v>
      </c>
      <c r="C3232" s="2" t="s">
        <v>73</v>
      </c>
      <c r="D3232" s="2"/>
      <c r="E3232" s="2" t="str">
        <f>"FES1162545545"</f>
        <v>FES1162545545</v>
      </c>
      <c r="F3232" s="3">
        <v>42850</v>
      </c>
      <c r="G3232" s="2">
        <v>201710</v>
      </c>
      <c r="H3232" s="2" t="s">
        <v>74</v>
      </c>
      <c r="I3232" s="2" t="s">
        <v>75</v>
      </c>
      <c r="J3232" s="2" t="s">
        <v>76</v>
      </c>
      <c r="K3232" s="2" t="s">
        <v>77</v>
      </c>
      <c r="L3232" s="2" t="s">
        <v>112</v>
      </c>
      <c r="M3232" s="2" t="s">
        <v>113</v>
      </c>
      <c r="N3232" s="2" t="s">
        <v>366</v>
      </c>
      <c r="O3232" s="2" t="s">
        <v>115</v>
      </c>
      <c r="P3232" s="2" t="str">
        <f>"2170563678                    "</f>
        <v xml:space="preserve">2170563678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10.72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5</v>
      </c>
      <c r="BJ3232" s="2">
        <v>2.4</v>
      </c>
      <c r="BK3232" s="2">
        <v>5</v>
      </c>
      <c r="BL3232" s="2">
        <v>104.32</v>
      </c>
      <c r="BM3232" s="2">
        <v>14.6</v>
      </c>
      <c r="BN3232" s="2">
        <v>118.92</v>
      </c>
      <c r="BO3232" s="2">
        <v>118.92</v>
      </c>
      <c r="BP3232" s="2"/>
      <c r="BQ3232" s="2" t="s">
        <v>367</v>
      </c>
      <c r="BR3232" s="2" t="s">
        <v>84</v>
      </c>
      <c r="BS3232" s="3">
        <v>42851</v>
      </c>
      <c r="BT3232" s="4">
        <v>0.41666666666666669</v>
      </c>
      <c r="BU3232" s="2" t="s">
        <v>3308</v>
      </c>
      <c r="BV3232" s="2" t="s">
        <v>111</v>
      </c>
      <c r="BW3232" s="2"/>
      <c r="BX3232" s="2"/>
      <c r="BY3232" s="2">
        <v>12240</v>
      </c>
      <c r="BZ3232" s="2"/>
      <c r="CA3232" s="2" t="s">
        <v>3309</v>
      </c>
      <c r="CB3232" s="2"/>
      <c r="CC3232" s="2" t="s">
        <v>113</v>
      </c>
      <c r="CD3232" s="2">
        <v>3201</v>
      </c>
      <c r="CE3232" s="2" t="s">
        <v>89</v>
      </c>
      <c r="CF3232" s="5">
        <v>42851</v>
      </c>
      <c r="CG3232" s="2"/>
      <c r="CH3232" s="2"/>
      <c r="CI3232" s="2">
        <v>1</v>
      </c>
      <c r="CJ3232" s="2">
        <v>1</v>
      </c>
      <c r="CK3232" s="2">
        <v>21</v>
      </c>
      <c r="CL3232" s="2" t="s">
        <v>86</v>
      </c>
      <c r="CM3232" s="2"/>
    </row>
    <row r="3233" spans="1:91">
      <c r="A3233" s="2" t="s">
        <v>71</v>
      </c>
      <c r="B3233" s="2" t="s">
        <v>72</v>
      </c>
      <c r="C3233" s="2" t="s">
        <v>73</v>
      </c>
      <c r="D3233" s="2"/>
      <c r="E3233" s="2" t="str">
        <f>"FES1162545584"</f>
        <v>FES1162545584</v>
      </c>
      <c r="F3233" s="3">
        <v>42850</v>
      </c>
      <c r="G3233" s="2">
        <v>201710</v>
      </c>
      <c r="H3233" s="2" t="s">
        <v>74</v>
      </c>
      <c r="I3233" s="2" t="s">
        <v>75</v>
      </c>
      <c r="J3233" s="2" t="s">
        <v>76</v>
      </c>
      <c r="K3233" s="2" t="s">
        <v>77</v>
      </c>
      <c r="L3233" s="2" t="s">
        <v>99</v>
      </c>
      <c r="M3233" s="2" t="s">
        <v>100</v>
      </c>
      <c r="N3233" s="2" t="s">
        <v>375</v>
      </c>
      <c r="O3233" s="2" t="s">
        <v>115</v>
      </c>
      <c r="P3233" s="2" t="str">
        <f>"2170564102                    "</f>
        <v xml:space="preserve">2170564102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10.72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4.9000000000000004</v>
      </c>
      <c r="BJ3233" s="2">
        <v>3.5</v>
      </c>
      <c r="BK3233" s="2">
        <v>5</v>
      </c>
      <c r="BL3233" s="2">
        <v>104.32</v>
      </c>
      <c r="BM3233" s="2">
        <v>14.6</v>
      </c>
      <c r="BN3233" s="2">
        <v>118.92</v>
      </c>
      <c r="BO3233" s="2">
        <v>118.92</v>
      </c>
      <c r="BP3233" s="2"/>
      <c r="BQ3233" s="2" t="s">
        <v>376</v>
      </c>
      <c r="BR3233" s="2" t="s">
        <v>84</v>
      </c>
      <c r="BS3233" s="3">
        <v>42851</v>
      </c>
      <c r="BT3233" s="4">
        <v>0.38680555555555557</v>
      </c>
      <c r="BU3233" s="2" t="s">
        <v>245</v>
      </c>
      <c r="BV3233" s="2" t="s">
        <v>111</v>
      </c>
      <c r="BW3233" s="2"/>
      <c r="BX3233" s="2"/>
      <c r="BY3233" s="2">
        <v>17617.599999999999</v>
      </c>
      <c r="BZ3233" s="2"/>
      <c r="CA3233" s="2"/>
      <c r="CB3233" s="2"/>
      <c r="CC3233" s="2" t="s">
        <v>100</v>
      </c>
      <c r="CD3233" s="2">
        <v>6070</v>
      </c>
      <c r="CE3233" s="2" t="s">
        <v>89</v>
      </c>
      <c r="CF3233" s="5">
        <v>42853</v>
      </c>
      <c r="CG3233" s="2"/>
      <c r="CH3233" s="2"/>
      <c r="CI3233" s="2">
        <v>1</v>
      </c>
      <c r="CJ3233" s="2">
        <v>1</v>
      </c>
      <c r="CK3233" s="2">
        <v>21</v>
      </c>
      <c r="CL3233" s="2" t="s">
        <v>86</v>
      </c>
      <c r="CM3233" s="2"/>
    </row>
    <row r="3234" spans="1:91">
      <c r="A3234" s="2" t="s">
        <v>71</v>
      </c>
      <c r="B3234" s="2" t="s">
        <v>72</v>
      </c>
      <c r="C3234" s="2" t="s">
        <v>73</v>
      </c>
      <c r="D3234" s="2"/>
      <c r="E3234" s="2" t="str">
        <f>"FES1162545549"</f>
        <v>FES1162545549</v>
      </c>
      <c r="F3234" s="3">
        <v>42850</v>
      </c>
      <c r="G3234" s="2">
        <v>201710</v>
      </c>
      <c r="H3234" s="2" t="s">
        <v>74</v>
      </c>
      <c r="I3234" s="2" t="s">
        <v>75</v>
      </c>
      <c r="J3234" s="2" t="s">
        <v>76</v>
      </c>
      <c r="K3234" s="2" t="s">
        <v>77</v>
      </c>
      <c r="L3234" s="2" t="s">
        <v>91</v>
      </c>
      <c r="M3234" s="2" t="s">
        <v>92</v>
      </c>
      <c r="N3234" s="2" t="s">
        <v>195</v>
      </c>
      <c r="O3234" s="2" t="s">
        <v>115</v>
      </c>
      <c r="P3234" s="2" t="str">
        <f>"2170564069                    "</f>
        <v xml:space="preserve">2170564069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3.35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1</v>
      </c>
      <c r="BJ3234" s="2">
        <v>0.2</v>
      </c>
      <c r="BK3234" s="2">
        <v>1</v>
      </c>
      <c r="BL3234" s="2">
        <v>32.6</v>
      </c>
      <c r="BM3234" s="2">
        <v>4.5599999999999996</v>
      </c>
      <c r="BN3234" s="2">
        <v>37.159999999999997</v>
      </c>
      <c r="BO3234" s="2">
        <v>37.159999999999997</v>
      </c>
      <c r="BP3234" s="2"/>
      <c r="BQ3234" s="2"/>
      <c r="BR3234" s="2" t="s">
        <v>84</v>
      </c>
      <c r="BS3234" s="3">
        <v>42851</v>
      </c>
      <c r="BT3234" s="4">
        <v>0.38055555555555554</v>
      </c>
      <c r="BU3234" s="2" t="s">
        <v>3310</v>
      </c>
      <c r="BV3234" s="2" t="s">
        <v>111</v>
      </c>
      <c r="BW3234" s="2"/>
      <c r="BX3234" s="2"/>
      <c r="BY3234" s="2">
        <v>1200</v>
      </c>
      <c r="BZ3234" s="2"/>
      <c r="CA3234" s="2"/>
      <c r="CB3234" s="2"/>
      <c r="CC3234" s="2" t="s">
        <v>92</v>
      </c>
      <c r="CD3234" s="2">
        <v>1401</v>
      </c>
      <c r="CE3234" s="2" t="s">
        <v>118</v>
      </c>
      <c r="CF3234" s="5">
        <v>42853</v>
      </c>
      <c r="CG3234" s="2"/>
      <c r="CH3234" s="2"/>
      <c r="CI3234" s="2">
        <v>1</v>
      </c>
      <c r="CJ3234" s="2">
        <v>1</v>
      </c>
      <c r="CK3234" s="2">
        <v>22</v>
      </c>
      <c r="CL3234" s="2" t="s">
        <v>86</v>
      </c>
      <c r="CM3234" s="2"/>
    </row>
    <row r="3235" spans="1:91">
      <c r="A3235" s="2" t="s">
        <v>71</v>
      </c>
      <c r="B3235" s="2" t="s">
        <v>72</v>
      </c>
      <c r="C3235" s="2" t="s">
        <v>73</v>
      </c>
      <c r="D3235" s="2"/>
      <c r="E3235" s="2" t="str">
        <f>"FES1162545562"</f>
        <v>FES1162545562</v>
      </c>
      <c r="F3235" s="3">
        <v>42850</v>
      </c>
      <c r="G3235" s="2">
        <v>201710</v>
      </c>
      <c r="H3235" s="2" t="s">
        <v>74</v>
      </c>
      <c r="I3235" s="2" t="s">
        <v>75</v>
      </c>
      <c r="J3235" s="2" t="s">
        <v>76</v>
      </c>
      <c r="K3235" s="2" t="s">
        <v>77</v>
      </c>
      <c r="L3235" s="2" t="s">
        <v>304</v>
      </c>
      <c r="M3235" s="2" t="s">
        <v>305</v>
      </c>
      <c r="N3235" s="2" t="s">
        <v>3311</v>
      </c>
      <c r="O3235" s="2" t="s">
        <v>115</v>
      </c>
      <c r="P3235" s="2" t="str">
        <f>"2170562744                    "</f>
        <v xml:space="preserve">2170562744 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6.03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2</v>
      </c>
      <c r="BJ3235" s="2">
        <v>0.2</v>
      </c>
      <c r="BK3235" s="2">
        <v>2</v>
      </c>
      <c r="BL3235" s="2">
        <v>58.68</v>
      </c>
      <c r="BM3235" s="2">
        <v>8.2200000000000006</v>
      </c>
      <c r="BN3235" s="2">
        <v>66.900000000000006</v>
      </c>
      <c r="BO3235" s="2">
        <v>66.900000000000006</v>
      </c>
      <c r="BP3235" s="2"/>
      <c r="BQ3235" s="2" t="s">
        <v>129</v>
      </c>
      <c r="BR3235" s="2" t="s">
        <v>84</v>
      </c>
      <c r="BS3235" s="3">
        <v>42853</v>
      </c>
      <c r="BT3235" s="4">
        <v>0.52430555555555558</v>
      </c>
      <c r="BU3235" s="2" t="s">
        <v>1418</v>
      </c>
      <c r="BV3235" s="2" t="s">
        <v>86</v>
      </c>
      <c r="BW3235" s="2" t="s">
        <v>164</v>
      </c>
      <c r="BX3235" s="2" t="s">
        <v>2240</v>
      </c>
      <c r="BY3235" s="2">
        <v>1200</v>
      </c>
      <c r="BZ3235" s="2"/>
      <c r="CA3235" s="2"/>
      <c r="CB3235" s="2"/>
      <c r="CC3235" s="2" t="s">
        <v>305</v>
      </c>
      <c r="CD3235" s="2">
        <v>1438</v>
      </c>
      <c r="CE3235" s="2" t="s">
        <v>118</v>
      </c>
      <c r="CF3235" s="5">
        <v>42853</v>
      </c>
      <c r="CG3235" s="2"/>
      <c r="CH3235" s="2"/>
      <c r="CI3235" s="2">
        <v>1</v>
      </c>
      <c r="CJ3235" s="2">
        <v>3</v>
      </c>
      <c r="CK3235" s="2">
        <v>24</v>
      </c>
      <c r="CL3235" s="2" t="s">
        <v>86</v>
      </c>
      <c r="CM3235" s="2"/>
    </row>
    <row r="3236" spans="1:91">
      <c r="A3236" s="2" t="s">
        <v>71</v>
      </c>
      <c r="B3236" s="2" t="s">
        <v>72</v>
      </c>
      <c r="C3236" s="2" t="s">
        <v>73</v>
      </c>
      <c r="D3236" s="2"/>
      <c r="E3236" s="2" t="str">
        <f>"FES1162545588"</f>
        <v>FES1162545588</v>
      </c>
      <c r="F3236" s="3">
        <v>42850</v>
      </c>
      <c r="G3236" s="2">
        <v>201710</v>
      </c>
      <c r="H3236" s="2" t="s">
        <v>74</v>
      </c>
      <c r="I3236" s="2" t="s">
        <v>75</v>
      </c>
      <c r="J3236" s="2" t="s">
        <v>76</v>
      </c>
      <c r="K3236" s="2" t="s">
        <v>77</v>
      </c>
      <c r="L3236" s="2" t="s">
        <v>474</v>
      </c>
      <c r="M3236" s="2" t="s">
        <v>475</v>
      </c>
      <c r="N3236" s="2" t="s">
        <v>1001</v>
      </c>
      <c r="O3236" s="2" t="s">
        <v>115</v>
      </c>
      <c r="P3236" s="2" t="str">
        <f>"2170564108                    "</f>
        <v xml:space="preserve">2170564108 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4.29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1</v>
      </c>
      <c r="BJ3236" s="2">
        <v>0.2</v>
      </c>
      <c r="BK3236" s="2">
        <v>1</v>
      </c>
      <c r="BL3236" s="2">
        <v>41.73</v>
      </c>
      <c r="BM3236" s="2">
        <v>5.84</v>
      </c>
      <c r="BN3236" s="2">
        <v>47.57</v>
      </c>
      <c r="BO3236" s="2">
        <v>47.57</v>
      </c>
      <c r="BP3236" s="2"/>
      <c r="BQ3236" s="2" t="s">
        <v>472</v>
      </c>
      <c r="BR3236" s="2" t="s">
        <v>84</v>
      </c>
      <c r="BS3236" s="3">
        <v>42851</v>
      </c>
      <c r="BT3236" s="4">
        <v>0.4284722222222222</v>
      </c>
      <c r="BU3236" s="2" t="s">
        <v>1738</v>
      </c>
      <c r="BV3236" s="2" t="s">
        <v>111</v>
      </c>
      <c r="BW3236" s="2"/>
      <c r="BX3236" s="2"/>
      <c r="BY3236" s="2">
        <v>1200</v>
      </c>
      <c r="BZ3236" s="2"/>
      <c r="CA3236" s="2"/>
      <c r="CB3236" s="2"/>
      <c r="CC3236" s="2" t="s">
        <v>475</v>
      </c>
      <c r="CD3236" s="2">
        <v>3290</v>
      </c>
      <c r="CE3236" s="2" t="s">
        <v>118</v>
      </c>
      <c r="CF3236" s="5">
        <v>42853</v>
      </c>
      <c r="CG3236" s="2"/>
      <c r="CH3236" s="2"/>
      <c r="CI3236" s="2">
        <v>1</v>
      </c>
      <c r="CJ3236" s="2">
        <v>1</v>
      </c>
      <c r="CK3236" s="2">
        <v>21</v>
      </c>
      <c r="CL3236" s="2" t="s">
        <v>86</v>
      </c>
      <c r="CM3236" s="2"/>
    </row>
    <row r="3237" spans="1:91">
      <c r="A3237" s="2" t="s">
        <v>71</v>
      </c>
      <c r="B3237" s="2" t="s">
        <v>72</v>
      </c>
      <c r="C3237" s="2" t="s">
        <v>73</v>
      </c>
      <c r="D3237" s="2"/>
      <c r="E3237" s="2" t="str">
        <f>"FES1162545559"</f>
        <v>FES1162545559</v>
      </c>
      <c r="F3237" s="3">
        <v>42850</v>
      </c>
      <c r="G3237" s="2">
        <v>201710</v>
      </c>
      <c r="H3237" s="2" t="s">
        <v>74</v>
      </c>
      <c r="I3237" s="2" t="s">
        <v>75</v>
      </c>
      <c r="J3237" s="2" t="s">
        <v>76</v>
      </c>
      <c r="K3237" s="2" t="s">
        <v>77</v>
      </c>
      <c r="L3237" s="2" t="s">
        <v>299</v>
      </c>
      <c r="M3237" s="2" t="s">
        <v>300</v>
      </c>
      <c r="N3237" s="2" t="s">
        <v>345</v>
      </c>
      <c r="O3237" s="2" t="s">
        <v>115</v>
      </c>
      <c r="P3237" s="2" t="str">
        <f>"2170558331                    "</f>
        <v xml:space="preserve">2170558331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6.03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1</v>
      </c>
      <c r="BJ3237" s="2">
        <v>0.2</v>
      </c>
      <c r="BK3237" s="2">
        <v>1</v>
      </c>
      <c r="BL3237" s="2">
        <v>58.68</v>
      </c>
      <c r="BM3237" s="2">
        <v>8.2200000000000006</v>
      </c>
      <c r="BN3237" s="2">
        <v>66.900000000000006</v>
      </c>
      <c r="BO3237" s="2">
        <v>66.900000000000006</v>
      </c>
      <c r="BP3237" s="2"/>
      <c r="BQ3237" s="2" t="s">
        <v>346</v>
      </c>
      <c r="BR3237" s="2" t="s">
        <v>84</v>
      </c>
      <c r="BS3237" s="3">
        <v>42853</v>
      </c>
      <c r="BT3237" s="4">
        <v>0.41666666666666669</v>
      </c>
      <c r="BU3237" s="2" t="s">
        <v>3312</v>
      </c>
      <c r="BV3237" s="2"/>
      <c r="BW3237" s="2"/>
      <c r="BX3237" s="2"/>
      <c r="BY3237" s="2">
        <v>1200</v>
      </c>
      <c r="BZ3237" s="2"/>
      <c r="CA3237" s="2"/>
      <c r="CB3237" s="2"/>
      <c r="CC3237" s="2" t="s">
        <v>300</v>
      </c>
      <c r="CD3237" s="2">
        <v>208</v>
      </c>
      <c r="CE3237" s="2" t="s">
        <v>118</v>
      </c>
      <c r="CF3237" s="2"/>
      <c r="CG3237" s="2"/>
      <c r="CH3237" s="2"/>
      <c r="CI3237" s="2">
        <v>0</v>
      </c>
      <c r="CJ3237" s="2">
        <v>0</v>
      </c>
      <c r="CK3237" s="2">
        <v>24</v>
      </c>
      <c r="CL3237" s="2" t="s">
        <v>86</v>
      </c>
      <c r="CM3237" s="2"/>
    </row>
    <row r="3238" spans="1:91">
      <c r="A3238" s="2" t="s">
        <v>71</v>
      </c>
      <c r="B3238" s="2" t="s">
        <v>72</v>
      </c>
      <c r="C3238" s="2" t="s">
        <v>73</v>
      </c>
      <c r="D3238" s="2"/>
      <c r="E3238" s="2" t="str">
        <f>"FES1162545526"</f>
        <v>FES1162545526</v>
      </c>
      <c r="F3238" s="3">
        <v>42850</v>
      </c>
      <c r="G3238" s="2">
        <v>201710</v>
      </c>
      <c r="H3238" s="2" t="s">
        <v>74</v>
      </c>
      <c r="I3238" s="2" t="s">
        <v>75</v>
      </c>
      <c r="J3238" s="2" t="s">
        <v>76</v>
      </c>
      <c r="K3238" s="2" t="s">
        <v>77</v>
      </c>
      <c r="L3238" s="2" t="s">
        <v>126</v>
      </c>
      <c r="M3238" s="2" t="s">
        <v>127</v>
      </c>
      <c r="N3238" s="2" t="s">
        <v>718</v>
      </c>
      <c r="O3238" s="2" t="s">
        <v>115</v>
      </c>
      <c r="P3238" s="2" t="str">
        <f>"2170564050                    "</f>
        <v xml:space="preserve">2170564050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4.29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1</v>
      </c>
      <c r="BJ3238" s="2">
        <v>0.2</v>
      </c>
      <c r="BK3238" s="2">
        <v>1</v>
      </c>
      <c r="BL3238" s="2">
        <v>41.73</v>
      </c>
      <c r="BM3238" s="2">
        <v>5.84</v>
      </c>
      <c r="BN3238" s="2">
        <v>47.57</v>
      </c>
      <c r="BO3238" s="2">
        <v>47.57</v>
      </c>
      <c r="BP3238" s="2"/>
      <c r="BQ3238" s="2" t="s">
        <v>719</v>
      </c>
      <c r="BR3238" s="2" t="s">
        <v>84</v>
      </c>
      <c r="BS3238" s="3">
        <v>42851</v>
      </c>
      <c r="BT3238" s="4">
        <v>0.44722222222222219</v>
      </c>
      <c r="BU3238" s="2" t="s">
        <v>3296</v>
      </c>
      <c r="BV3238" s="2" t="s">
        <v>111</v>
      </c>
      <c r="BW3238" s="2"/>
      <c r="BX3238" s="2"/>
      <c r="BY3238" s="2">
        <v>1200</v>
      </c>
      <c r="BZ3238" s="2"/>
      <c r="CA3238" s="2"/>
      <c r="CB3238" s="2"/>
      <c r="CC3238" s="2" t="s">
        <v>127</v>
      </c>
      <c r="CD3238" s="2">
        <v>6850</v>
      </c>
      <c r="CE3238" s="2" t="s">
        <v>118</v>
      </c>
      <c r="CF3238" s="5">
        <v>42853</v>
      </c>
      <c r="CG3238" s="2"/>
      <c r="CH3238" s="2"/>
      <c r="CI3238" s="2">
        <v>3</v>
      </c>
      <c r="CJ3238" s="2">
        <v>1</v>
      </c>
      <c r="CK3238" s="2">
        <v>21</v>
      </c>
      <c r="CL3238" s="2" t="s">
        <v>86</v>
      </c>
      <c r="CM3238" s="2"/>
    </row>
    <row r="3239" spans="1:91">
      <c r="A3239" s="2" t="s">
        <v>71</v>
      </c>
      <c r="B3239" s="2" t="s">
        <v>72</v>
      </c>
      <c r="C3239" s="2" t="s">
        <v>73</v>
      </c>
      <c r="D3239" s="2"/>
      <c r="E3239" s="2" t="str">
        <f>"FES1162545561"</f>
        <v>FES1162545561</v>
      </c>
      <c r="F3239" s="3">
        <v>42850</v>
      </c>
      <c r="G3239" s="2">
        <v>201710</v>
      </c>
      <c r="H3239" s="2" t="s">
        <v>74</v>
      </c>
      <c r="I3239" s="2" t="s">
        <v>75</v>
      </c>
      <c r="J3239" s="2" t="s">
        <v>76</v>
      </c>
      <c r="K3239" s="2" t="s">
        <v>77</v>
      </c>
      <c r="L3239" s="2" t="s">
        <v>78</v>
      </c>
      <c r="M3239" s="2" t="s">
        <v>79</v>
      </c>
      <c r="N3239" s="2" t="s">
        <v>80</v>
      </c>
      <c r="O3239" s="2" t="s">
        <v>115</v>
      </c>
      <c r="P3239" s="2" t="str">
        <f>"2170562221                    "</f>
        <v xml:space="preserve">2170562221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8.31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1</v>
      </c>
      <c r="BJ3239" s="2">
        <v>0.2</v>
      </c>
      <c r="BK3239" s="2">
        <v>1</v>
      </c>
      <c r="BL3239" s="2">
        <v>80.849999999999994</v>
      </c>
      <c r="BM3239" s="2">
        <v>11.32</v>
      </c>
      <c r="BN3239" s="2">
        <v>92.17</v>
      </c>
      <c r="BO3239" s="2">
        <v>92.17</v>
      </c>
      <c r="BP3239" s="2"/>
      <c r="BQ3239" s="2" t="s">
        <v>83</v>
      </c>
      <c r="BR3239" s="2" t="s">
        <v>84</v>
      </c>
      <c r="BS3239" s="3">
        <v>42851</v>
      </c>
      <c r="BT3239" s="4">
        <v>0.4375</v>
      </c>
      <c r="BU3239" s="2" t="s">
        <v>2389</v>
      </c>
      <c r="BV3239" s="2" t="s">
        <v>111</v>
      </c>
      <c r="BW3239" s="2"/>
      <c r="BX3239" s="2"/>
      <c r="BY3239" s="2">
        <v>1200</v>
      </c>
      <c r="BZ3239" s="2"/>
      <c r="CA3239" s="2"/>
      <c r="CB3239" s="2"/>
      <c r="CC3239" s="2" t="s">
        <v>79</v>
      </c>
      <c r="CD3239" s="2">
        <v>4276</v>
      </c>
      <c r="CE3239" s="2" t="s">
        <v>118</v>
      </c>
      <c r="CF3239" s="2"/>
      <c r="CG3239" s="2"/>
      <c r="CH3239" s="2"/>
      <c r="CI3239" s="2">
        <v>1</v>
      </c>
      <c r="CJ3239" s="2">
        <v>1</v>
      </c>
      <c r="CK3239" s="2">
        <v>23</v>
      </c>
      <c r="CL3239" s="2" t="s">
        <v>86</v>
      </c>
      <c r="CM3239" s="2"/>
    </row>
    <row r="3240" spans="1:91">
      <c r="A3240" s="2" t="s">
        <v>71</v>
      </c>
      <c r="B3240" s="2" t="s">
        <v>72</v>
      </c>
      <c r="C3240" s="2" t="s">
        <v>73</v>
      </c>
      <c r="D3240" s="2"/>
      <c r="E3240" s="2" t="str">
        <f>"FES1162545564"</f>
        <v>FES1162545564</v>
      </c>
      <c r="F3240" s="3">
        <v>42850</v>
      </c>
      <c r="G3240" s="2">
        <v>201710</v>
      </c>
      <c r="H3240" s="2" t="s">
        <v>74</v>
      </c>
      <c r="I3240" s="2" t="s">
        <v>75</v>
      </c>
      <c r="J3240" s="2" t="s">
        <v>76</v>
      </c>
      <c r="K3240" s="2" t="s">
        <v>77</v>
      </c>
      <c r="L3240" s="2" t="s">
        <v>160</v>
      </c>
      <c r="M3240" s="2" t="s">
        <v>161</v>
      </c>
      <c r="N3240" s="2" t="s">
        <v>2985</v>
      </c>
      <c r="O3240" s="2" t="s">
        <v>115</v>
      </c>
      <c r="P3240" s="2" t="str">
        <f>"2170563103                    "</f>
        <v xml:space="preserve">2170563103 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4.29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1</v>
      </c>
      <c r="BJ3240" s="2">
        <v>0.2</v>
      </c>
      <c r="BK3240" s="2">
        <v>1</v>
      </c>
      <c r="BL3240" s="2">
        <v>41.73</v>
      </c>
      <c r="BM3240" s="2">
        <v>5.84</v>
      </c>
      <c r="BN3240" s="2">
        <v>47.57</v>
      </c>
      <c r="BO3240" s="2">
        <v>47.57</v>
      </c>
      <c r="BP3240" s="2"/>
      <c r="BQ3240" s="2"/>
      <c r="BR3240" s="2" t="s">
        <v>84</v>
      </c>
      <c r="BS3240" s="3">
        <v>42851</v>
      </c>
      <c r="BT3240" s="4">
        <v>0.45833333333333331</v>
      </c>
      <c r="BU3240" s="2" t="s">
        <v>2986</v>
      </c>
      <c r="BV3240" s="2" t="s">
        <v>86</v>
      </c>
      <c r="BW3240" s="2" t="s">
        <v>157</v>
      </c>
      <c r="BX3240" s="2" t="s">
        <v>251</v>
      </c>
      <c r="BY3240" s="2">
        <v>1200</v>
      </c>
      <c r="BZ3240" s="2"/>
      <c r="CA3240" s="2"/>
      <c r="CB3240" s="2"/>
      <c r="CC3240" s="2" t="s">
        <v>161</v>
      </c>
      <c r="CD3240" s="2">
        <v>5201</v>
      </c>
      <c r="CE3240" s="2" t="s">
        <v>118</v>
      </c>
      <c r="CF3240" s="5">
        <v>42853</v>
      </c>
      <c r="CG3240" s="2"/>
      <c r="CH3240" s="2"/>
      <c r="CI3240" s="2">
        <v>1</v>
      </c>
      <c r="CJ3240" s="2">
        <v>1</v>
      </c>
      <c r="CK3240" s="2">
        <v>21</v>
      </c>
      <c r="CL3240" s="2" t="s">
        <v>86</v>
      </c>
      <c r="CM3240" s="2"/>
    </row>
    <row r="3241" spans="1:91">
      <c r="A3241" s="2" t="s">
        <v>71</v>
      </c>
      <c r="B3241" s="2" t="s">
        <v>72</v>
      </c>
      <c r="C3241" s="2" t="s">
        <v>73</v>
      </c>
      <c r="D3241" s="2"/>
      <c r="E3241" s="2" t="str">
        <f>"FES1162545547"</f>
        <v>FES1162545547</v>
      </c>
      <c r="F3241" s="3">
        <v>42850</v>
      </c>
      <c r="G3241" s="2">
        <v>201710</v>
      </c>
      <c r="H3241" s="2" t="s">
        <v>74</v>
      </c>
      <c r="I3241" s="2" t="s">
        <v>75</v>
      </c>
      <c r="J3241" s="2" t="s">
        <v>76</v>
      </c>
      <c r="K3241" s="2" t="s">
        <v>77</v>
      </c>
      <c r="L3241" s="2" t="s">
        <v>131</v>
      </c>
      <c r="M3241" s="2" t="s">
        <v>132</v>
      </c>
      <c r="N3241" s="2" t="s">
        <v>1269</v>
      </c>
      <c r="O3241" s="2" t="s">
        <v>115</v>
      </c>
      <c r="P3241" s="2" t="str">
        <f>"2170563853                    "</f>
        <v xml:space="preserve">2170563853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9.65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3.2</v>
      </c>
      <c r="BJ3241" s="2">
        <v>4.0999999999999996</v>
      </c>
      <c r="BK3241" s="2">
        <v>4.5</v>
      </c>
      <c r="BL3241" s="2">
        <v>93.89</v>
      </c>
      <c r="BM3241" s="2">
        <v>13.14</v>
      </c>
      <c r="BN3241" s="2">
        <v>107.03</v>
      </c>
      <c r="BO3241" s="2">
        <v>107.03</v>
      </c>
      <c r="BP3241" s="2"/>
      <c r="BQ3241" s="2" t="s">
        <v>129</v>
      </c>
      <c r="BR3241" s="2" t="s">
        <v>84</v>
      </c>
      <c r="BS3241" s="3">
        <v>42851</v>
      </c>
      <c r="BT3241" s="4">
        <v>0.42708333333333331</v>
      </c>
      <c r="BU3241" s="2" t="s">
        <v>1620</v>
      </c>
      <c r="BV3241" s="2" t="s">
        <v>111</v>
      </c>
      <c r="BW3241" s="2"/>
      <c r="BX3241" s="2"/>
      <c r="BY3241" s="2">
        <v>20506.28</v>
      </c>
      <c r="BZ3241" s="2"/>
      <c r="CA3241" s="2"/>
      <c r="CB3241" s="2"/>
      <c r="CC3241" s="2" t="s">
        <v>132</v>
      </c>
      <c r="CD3241" s="2">
        <v>7800</v>
      </c>
      <c r="CE3241" s="2" t="s">
        <v>89</v>
      </c>
      <c r="CF3241" s="5">
        <v>42853</v>
      </c>
      <c r="CG3241" s="2"/>
      <c r="CH3241" s="2"/>
      <c r="CI3241" s="2">
        <v>1</v>
      </c>
      <c r="CJ3241" s="2">
        <v>1</v>
      </c>
      <c r="CK3241" s="2">
        <v>21</v>
      </c>
      <c r="CL3241" s="2" t="s">
        <v>86</v>
      </c>
      <c r="CM3241" s="2"/>
    </row>
    <row r="3242" spans="1:91">
      <c r="A3242" s="2" t="s">
        <v>71</v>
      </c>
      <c r="B3242" s="2" t="s">
        <v>72</v>
      </c>
      <c r="C3242" s="2" t="s">
        <v>73</v>
      </c>
      <c r="D3242" s="2"/>
      <c r="E3242" s="2" t="str">
        <f>"FES1162545541"</f>
        <v>FES1162545541</v>
      </c>
      <c r="F3242" s="3">
        <v>42850</v>
      </c>
      <c r="G3242" s="2">
        <v>201710</v>
      </c>
      <c r="H3242" s="2" t="s">
        <v>74</v>
      </c>
      <c r="I3242" s="2" t="s">
        <v>75</v>
      </c>
      <c r="J3242" s="2" t="s">
        <v>76</v>
      </c>
      <c r="K3242" s="2" t="s">
        <v>77</v>
      </c>
      <c r="L3242" s="2" t="s">
        <v>99</v>
      </c>
      <c r="M3242" s="2" t="s">
        <v>100</v>
      </c>
      <c r="N3242" s="2" t="s">
        <v>375</v>
      </c>
      <c r="O3242" s="2" t="s">
        <v>115</v>
      </c>
      <c r="P3242" s="2" t="str">
        <f>"2170564078                    "</f>
        <v xml:space="preserve">2170564078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7.5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3.3</v>
      </c>
      <c r="BJ3242" s="2">
        <v>3.3</v>
      </c>
      <c r="BK3242" s="2">
        <v>3.5</v>
      </c>
      <c r="BL3242" s="2">
        <v>73.02</v>
      </c>
      <c r="BM3242" s="2">
        <v>10.220000000000001</v>
      </c>
      <c r="BN3242" s="2">
        <v>83.24</v>
      </c>
      <c r="BO3242" s="2">
        <v>83.24</v>
      </c>
      <c r="BP3242" s="2"/>
      <c r="BQ3242" s="2" t="s">
        <v>376</v>
      </c>
      <c r="BR3242" s="2" t="s">
        <v>84</v>
      </c>
      <c r="BS3242" s="3">
        <v>42851</v>
      </c>
      <c r="BT3242" s="4">
        <v>0.38680555555555557</v>
      </c>
      <c r="BU3242" s="2" t="s">
        <v>3313</v>
      </c>
      <c r="BV3242" s="2" t="s">
        <v>111</v>
      </c>
      <c r="BW3242" s="2"/>
      <c r="BX3242" s="2"/>
      <c r="BY3242" s="2">
        <v>16606.939999999999</v>
      </c>
      <c r="BZ3242" s="2"/>
      <c r="CA3242" s="2"/>
      <c r="CB3242" s="2"/>
      <c r="CC3242" s="2" t="s">
        <v>100</v>
      </c>
      <c r="CD3242" s="2">
        <v>6070</v>
      </c>
      <c r="CE3242" s="2" t="s">
        <v>89</v>
      </c>
      <c r="CF3242" s="5">
        <v>42853</v>
      </c>
      <c r="CG3242" s="2"/>
      <c r="CH3242" s="2"/>
      <c r="CI3242" s="2">
        <v>1</v>
      </c>
      <c r="CJ3242" s="2">
        <v>1</v>
      </c>
      <c r="CK3242" s="2">
        <v>21</v>
      </c>
      <c r="CL3242" s="2" t="s">
        <v>86</v>
      </c>
      <c r="CM3242" s="2"/>
    </row>
    <row r="3243" spans="1:91">
      <c r="A3243" s="2" t="s">
        <v>71</v>
      </c>
      <c r="B3243" s="2" t="s">
        <v>72</v>
      </c>
      <c r="C3243" s="2" t="s">
        <v>73</v>
      </c>
      <c r="D3243" s="2"/>
      <c r="E3243" s="2" t="str">
        <f>"FES1162545580"</f>
        <v>FES1162545580</v>
      </c>
      <c r="F3243" s="3">
        <v>42850</v>
      </c>
      <c r="G3243" s="2">
        <v>201710</v>
      </c>
      <c r="H3243" s="2" t="s">
        <v>74</v>
      </c>
      <c r="I3243" s="2" t="s">
        <v>75</v>
      </c>
      <c r="J3243" s="2" t="s">
        <v>76</v>
      </c>
      <c r="K3243" s="2" t="s">
        <v>77</v>
      </c>
      <c r="L3243" s="2" t="s">
        <v>275</v>
      </c>
      <c r="M3243" s="2" t="s">
        <v>276</v>
      </c>
      <c r="N3243" s="2" t="s">
        <v>277</v>
      </c>
      <c r="O3243" s="2" t="s">
        <v>115</v>
      </c>
      <c r="P3243" s="2" t="str">
        <f>"2170562475                    "</f>
        <v xml:space="preserve">2170562475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9.65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4.3</v>
      </c>
      <c r="BJ3243" s="2">
        <v>1.7</v>
      </c>
      <c r="BK3243" s="2">
        <v>4.5</v>
      </c>
      <c r="BL3243" s="2">
        <v>93.89</v>
      </c>
      <c r="BM3243" s="2">
        <v>13.14</v>
      </c>
      <c r="BN3243" s="2">
        <v>107.03</v>
      </c>
      <c r="BO3243" s="2">
        <v>107.03</v>
      </c>
      <c r="BP3243" s="2"/>
      <c r="BQ3243" s="2" t="s">
        <v>278</v>
      </c>
      <c r="BR3243" s="2" t="s">
        <v>84</v>
      </c>
      <c r="BS3243" s="3">
        <v>42851</v>
      </c>
      <c r="BT3243" s="4">
        <v>0.36805555555555558</v>
      </c>
      <c r="BU3243" s="2" t="s">
        <v>1831</v>
      </c>
      <c r="BV3243" s="2" t="s">
        <v>111</v>
      </c>
      <c r="BW3243" s="2"/>
      <c r="BX3243" s="2"/>
      <c r="BY3243" s="2">
        <v>8372.16</v>
      </c>
      <c r="BZ3243" s="2"/>
      <c r="CA3243" s="2"/>
      <c r="CB3243" s="2"/>
      <c r="CC3243" s="2" t="s">
        <v>276</v>
      </c>
      <c r="CD3243" s="2">
        <v>4126</v>
      </c>
      <c r="CE3243" s="2" t="s">
        <v>89</v>
      </c>
      <c r="CF3243" s="5">
        <v>42853</v>
      </c>
      <c r="CG3243" s="2"/>
      <c r="CH3243" s="2"/>
      <c r="CI3243" s="2">
        <v>1</v>
      </c>
      <c r="CJ3243" s="2">
        <v>1</v>
      </c>
      <c r="CK3243" s="2">
        <v>21</v>
      </c>
      <c r="CL3243" s="2" t="s">
        <v>86</v>
      </c>
      <c r="CM3243" s="2"/>
    </row>
    <row r="3244" spans="1:91">
      <c r="A3244" s="2" t="s">
        <v>71</v>
      </c>
      <c r="B3244" s="2" t="s">
        <v>72</v>
      </c>
      <c r="C3244" s="2" t="s">
        <v>73</v>
      </c>
      <c r="D3244" s="2"/>
      <c r="E3244" s="2" t="str">
        <f>"FES1162545566"</f>
        <v>FES1162545566</v>
      </c>
      <c r="F3244" s="3">
        <v>42850</v>
      </c>
      <c r="G3244" s="2">
        <v>201710</v>
      </c>
      <c r="H3244" s="2" t="s">
        <v>74</v>
      </c>
      <c r="I3244" s="2" t="s">
        <v>75</v>
      </c>
      <c r="J3244" s="2" t="s">
        <v>76</v>
      </c>
      <c r="K3244" s="2" t="s">
        <v>77</v>
      </c>
      <c r="L3244" s="2" t="s">
        <v>180</v>
      </c>
      <c r="M3244" s="2" t="s">
        <v>181</v>
      </c>
      <c r="N3244" s="2" t="s">
        <v>605</v>
      </c>
      <c r="O3244" s="2" t="s">
        <v>115</v>
      </c>
      <c r="P3244" s="2" t="str">
        <f>"2170564056                    "</f>
        <v xml:space="preserve">2170564056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4.29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1</v>
      </c>
      <c r="BJ3244" s="2">
        <v>0.2</v>
      </c>
      <c r="BK3244" s="2">
        <v>1</v>
      </c>
      <c r="BL3244" s="2">
        <v>41.73</v>
      </c>
      <c r="BM3244" s="2">
        <v>5.84</v>
      </c>
      <c r="BN3244" s="2">
        <v>47.57</v>
      </c>
      <c r="BO3244" s="2">
        <v>47.57</v>
      </c>
      <c r="BP3244" s="2"/>
      <c r="BQ3244" s="2" t="s">
        <v>606</v>
      </c>
      <c r="BR3244" s="2" t="s">
        <v>84</v>
      </c>
      <c r="BS3244" s="3">
        <v>42851</v>
      </c>
      <c r="BT3244" s="4">
        <v>0.39583333333333331</v>
      </c>
      <c r="BU3244" s="2" t="s">
        <v>607</v>
      </c>
      <c r="BV3244" s="2" t="s">
        <v>111</v>
      </c>
      <c r="BW3244" s="2"/>
      <c r="BX3244" s="2"/>
      <c r="BY3244" s="2">
        <v>1200</v>
      </c>
      <c r="BZ3244" s="2"/>
      <c r="CA3244" s="2"/>
      <c r="CB3244" s="2"/>
      <c r="CC3244" s="2" t="s">
        <v>181</v>
      </c>
      <c r="CD3244" s="2">
        <v>4001</v>
      </c>
      <c r="CE3244" s="2" t="s">
        <v>118</v>
      </c>
      <c r="CF3244" s="5">
        <v>42853</v>
      </c>
      <c r="CG3244" s="2"/>
      <c r="CH3244" s="2"/>
      <c r="CI3244" s="2">
        <v>1</v>
      </c>
      <c r="CJ3244" s="2">
        <v>1</v>
      </c>
      <c r="CK3244" s="2">
        <v>21</v>
      </c>
      <c r="CL3244" s="2" t="s">
        <v>86</v>
      </c>
      <c r="CM3244" s="2"/>
    </row>
    <row r="3245" spans="1:91">
      <c r="A3245" s="2" t="s">
        <v>71</v>
      </c>
      <c r="B3245" s="2" t="s">
        <v>72</v>
      </c>
      <c r="C3245" s="2" t="s">
        <v>73</v>
      </c>
      <c r="D3245" s="2"/>
      <c r="E3245" s="2" t="str">
        <f>"FES1162545568"</f>
        <v>FES1162545568</v>
      </c>
      <c r="F3245" s="3">
        <v>42850</v>
      </c>
      <c r="G3245" s="2">
        <v>201710</v>
      </c>
      <c r="H3245" s="2" t="s">
        <v>74</v>
      </c>
      <c r="I3245" s="2" t="s">
        <v>75</v>
      </c>
      <c r="J3245" s="2" t="s">
        <v>76</v>
      </c>
      <c r="K3245" s="2" t="s">
        <v>77</v>
      </c>
      <c r="L3245" s="2" t="s">
        <v>99</v>
      </c>
      <c r="M3245" s="2" t="s">
        <v>100</v>
      </c>
      <c r="N3245" s="2" t="s">
        <v>876</v>
      </c>
      <c r="O3245" s="2" t="s">
        <v>115</v>
      </c>
      <c r="P3245" s="2" t="str">
        <f>"`2170564087                   "</f>
        <v xml:space="preserve">`2170564087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4.29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1</v>
      </c>
      <c r="BJ3245" s="2">
        <v>0.2</v>
      </c>
      <c r="BK3245" s="2">
        <v>1</v>
      </c>
      <c r="BL3245" s="2">
        <v>41.73</v>
      </c>
      <c r="BM3245" s="2">
        <v>5.84</v>
      </c>
      <c r="BN3245" s="2">
        <v>47.57</v>
      </c>
      <c r="BO3245" s="2">
        <v>47.57</v>
      </c>
      <c r="BP3245" s="2"/>
      <c r="BQ3245" s="2" t="s">
        <v>877</v>
      </c>
      <c r="BR3245" s="2" t="s">
        <v>84</v>
      </c>
      <c r="BS3245" s="3">
        <v>42851</v>
      </c>
      <c r="BT3245" s="4">
        <v>0.29166666666666669</v>
      </c>
      <c r="BU3245" s="2" t="s">
        <v>3286</v>
      </c>
      <c r="BV3245" s="2" t="s">
        <v>111</v>
      </c>
      <c r="BW3245" s="2"/>
      <c r="BX3245" s="2"/>
      <c r="BY3245" s="2">
        <v>1200</v>
      </c>
      <c r="BZ3245" s="2"/>
      <c r="CA3245" s="2" t="s">
        <v>106</v>
      </c>
      <c r="CB3245" s="2"/>
      <c r="CC3245" s="2" t="s">
        <v>100</v>
      </c>
      <c r="CD3245" s="2">
        <v>6012</v>
      </c>
      <c r="CE3245" s="2" t="s">
        <v>118</v>
      </c>
      <c r="CF3245" s="5">
        <v>42851</v>
      </c>
      <c r="CG3245" s="2"/>
      <c r="CH3245" s="2"/>
      <c r="CI3245" s="2">
        <v>1</v>
      </c>
      <c r="CJ3245" s="2">
        <v>1</v>
      </c>
      <c r="CK3245" s="2">
        <v>21</v>
      </c>
      <c r="CL3245" s="2" t="s">
        <v>86</v>
      </c>
      <c r="CM3245" s="2"/>
    </row>
    <row r="3246" spans="1:91">
      <c r="A3246" s="2" t="s">
        <v>71</v>
      </c>
      <c r="B3246" s="2" t="s">
        <v>72</v>
      </c>
      <c r="C3246" s="2" t="s">
        <v>73</v>
      </c>
      <c r="D3246" s="2"/>
      <c r="E3246" s="2" t="str">
        <f>"FES1162545557"</f>
        <v>FES1162545557</v>
      </c>
      <c r="F3246" s="3">
        <v>42850</v>
      </c>
      <c r="G3246" s="2">
        <v>201710</v>
      </c>
      <c r="H3246" s="2" t="s">
        <v>74</v>
      </c>
      <c r="I3246" s="2" t="s">
        <v>75</v>
      </c>
      <c r="J3246" s="2" t="s">
        <v>76</v>
      </c>
      <c r="K3246" s="2" t="s">
        <v>77</v>
      </c>
      <c r="L3246" s="2" t="s">
        <v>74</v>
      </c>
      <c r="M3246" s="2" t="s">
        <v>75</v>
      </c>
      <c r="N3246" s="2" t="s">
        <v>436</v>
      </c>
      <c r="O3246" s="2" t="s">
        <v>115</v>
      </c>
      <c r="P3246" s="2" t="str">
        <f>"2170564090                    "</f>
        <v xml:space="preserve">2170564090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3.35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1</v>
      </c>
      <c r="BJ3246" s="2">
        <v>0.2</v>
      </c>
      <c r="BK3246" s="2">
        <v>1</v>
      </c>
      <c r="BL3246" s="2">
        <v>32.6</v>
      </c>
      <c r="BM3246" s="2">
        <v>4.5599999999999996</v>
      </c>
      <c r="BN3246" s="2">
        <v>37.159999999999997</v>
      </c>
      <c r="BO3246" s="2">
        <v>37.159999999999997</v>
      </c>
      <c r="BP3246" s="2"/>
      <c r="BQ3246" s="2" t="s">
        <v>437</v>
      </c>
      <c r="BR3246" s="2" t="s">
        <v>84</v>
      </c>
      <c r="BS3246" s="3">
        <v>42851</v>
      </c>
      <c r="BT3246" s="4">
        <v>0.41666666666666669</v>
      </c>
      <c r="BU3246" s="2" t="s">
        <v>2152</v>
      </c>
      <c r="BV3246" s="2" t="s">
        <v>111</v>
      </c>
      <c r="BW3246" s="2"/>
      <c r="BX3246" s="2"/>
      <c r="BY3246" s="2">
        <v>1200</v>
      </c>
      <c r="BZ3246" s="2"/>
      <c r="CA3246" s="2" t="s">
        <v>383</v>
      </c>
      <c r="CB3246" s="2"/>
      <c r="CC3246" s="2" t="s">
        <v>75</v>
      </c>
      <c r="CD3246" s="2">
        <v>1600</v>
      </c>
      <c r="CE3246" s="2" t="s">
        <v>118</v>
      </c>
      <c r="CF3246" s="5">
        <v>42851</v>
      </c>
      <c r="CG3246" s="2"/>
      <c r="CH3246" s="2"/>
      <c r="CI3246" s="2">
        <v>1</v>
      </c>
      <c r="CJ3246" s="2">
        <v>1</v>
      </c>
      <c r="CK3246" s="2">
        <v>22</v>
      </c>
      <c r="CL3246" s="2" t="s">
        <v>86</v>
      </c>
      <c r="CM3246" s="2"/>
    </row>
    <row r="3247" spans="1:91">
      <c r="A3247" s="2" t="s">
        <v>71</v>
      </c>
      <c r="B3247" s="2" t="s">
        <v>72</v>
      </c>
      <c r="C3247" s="2" t="s">
        <v>73</v>
      </c>
      <c r="D3247" s="2"/>
      <c r="E3247" s="2" t="str">
        <f>"FES1162545520"</f>
        <v>FES1162545520</v>
      </c>
      <c r="F3247" s="3">
        <v>42850</v>
      </c>
      <c r="G3247" s="2">
        <v>201710</v>
      </c>
      <c r="H3247" s="2" t="s">
        <v>74</v>
      </c>
      <c r="I3247" s="2" t="s">
        <v>75</v>
      </c>
      <c r="J3247" s="2" t="s">
        <v>76</v>
      </c>
      <c r="K3247" s="2" t="s">
        <v>77</v>
      </c>
      <c r="L3247" s="2" t="s">
        <v>119</v>
      </c>
      <c r="M3247" s="2" t="s">
        <v>120</v>
      </c>
      <c r="N3247" s="2" t="s">
        <v>3314</v>
      </c>
      <c r="O3247" s="2" t="s">
        <v>115</v>
      </c>
      <c r="P3247" s="2" t="str">
        <f>"2170564044                    "</f>
        <v xml:space="preserve">2170564044 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3.35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1</v>
      </c>
      <c r="BJ3247" s="2">
        <v>0.2</v>
      </c>
      <c r="BK3247" s="2">
        <v>1</v>
      </c>
      <c r="BL3247" s="2">
        <v>32.6</v>
      </c>
      <c r="BM3247" s="2">
        <v>4.5599999999999996</v>
      </c>
      <c r="BN3247" s="2">
        <v>37.159999999999997</v>
      </c>
      <c r="BO3247" s="2">
        <v>37.159999999999997</v>
      </c>
      <c r="BP3247" s="2"/>
      <c r="BQ3247" s="2" t="s">
        <v>3315</v>
      </c>
      <c r="BR3247" s="2" t="s">
        <v>84</v>
      </c>
      <c r="BS3247" s="3">
        <v>42851</v>
      </c>
      <c r="BT3247" s="4">
        <v>0.34722222222222227</v>
      </c>
      <c r="BU3247" s="2" t="s">
        <v>977</v>
      </c>
      <c r="BV3247" s="2" t="s">
        <v>111</v>
      </c>
      <c r="BW3247" s="2"/>
      <c r="BX3247" s="2"/>
      <c r="BY3247" s="2">
        <v>1200</v>
      </c>
      <c r="BZ3247" s="2"/>
      <c r="CA3247" s="2" t="s">
        <v>125</v>
      </c>
      <c r="CB3247" s="2"/>
      <c r="CC3247" s="2" t="s">
        <v>120</v>
      </c>
      <c r="CD3247" s="2">
        <v>2163</v>
      </c>
      <c r="CE3247" s="2" t="s">
        <v>118</v>
      </c>
      <c r="CF3247" s="5">
        <v>42853</v>
      </c>
      <c r="CG3247" s="2"/>
      <c r="CH3247" s="2"/>
      <c r="CI3247" s="2">
        <v>1</v>
      </c>
      <c r="CJ3247" s="2">
        <v>1</v>
      </c>
      <c r="CK3247" s="2">
        <v>22</v>
      </c>
      <c r="CL3247" s="2" t="s">
        <v>86</v>
      </c>
      <c r="CM3247" s="2"/>
    </row>
    <row r="3248" spans="1:91">
      <c r="A3248" s="2" t="s">
        <v>71</v>
      </c>
      <c r="B3248" s="2" t="s">
        <v>72</v>
      </c>
      <c r="C3248" s="2" t="s">
        <v>73</v>
      </c>
      <c r="D3248" s="2"/>
      <c r="E3248" s="2" t="str">
        <f>"FES1162545550"</f>
        <v>FES1162545550</v>
      </c>
      <c r="F3248" s="3">
        <v>42850</v>
      </c>
      <c r="G3248" s="2">
        <v>201710</v>
      </c>
      <c r="H3248" s="2" t="s">
        <v>74</v>
      </c>
      <c r="I3248" s="2" t="s">
        <v>75</v>
      </c>
      <c r="J3248" s="2" t="s">
        <v>76</v>
      </c>
      <c r="K3248" s="2" t="s">
        <v>77</v>
      </c>
      <c r="L3248" s="2" t="s">
        <v>74</v>
      </c>
      <c r="M3248" s="2" t="s">
        <v>75</v>
      </c>
      <c r="N3248" s="2" t="s">
        <v>3316</v>
      </c>
      <c r="O3248" s="2" t="s">
        <v>115</v>
      </c>
      <c r="P3248" s="2" t="str">
        <f>"21705604070                   "</f>
        <v xml:space="preserve">21705604070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3.35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1</v>
      </c>
      <c r="BJ3248" s="2">
        <v>0.2</v>
      </c>
      <c r="BK3248" s="2">
        <v>1</v>
      </c>
      <c r="BL3248" s="2">
        <v>32.6</v>
      </c>
      <c r="BM3248" s="2">
        <v>4.5599999999999996</v>
      </c>
      <c r="BN3248" s="2">
        <v>37.159999999999997</v>
      </c>
      <c r="BO3248" s="2">
        <v>37.159999999999997</v>
      </c>
      <c r="BP3248" s="2"/>
      <c r="BQ3248" s="2" t="s">
        <v>3317</v>
      </c>
      <c r="BR3248" s="2" t="s">
        <v>84</v>
      </c>
      <c r="BS3248" s="3">
        <v>42851</v>
      </c>
      <c r="BT3248" s="4">
        <v>0.38541666666666669</v>
      </c>
      <c r="BU3248" s="2" t="s">
        <v>148</v>
      </c>
      <c r="BV3248" s="2" t="s">
        <v>111</v>
      </c>
      <c r="BW3248" s="2"/>
      <c r="BX3248" s="2"/>
      <c r="BY3248" s="2">
        <v>1200</v>
      </c>
      <c r="BZ3248" s="2"/>
      <c r="CA3248" s="2"/>
      <c r="CB3248" s="2"/>
      <c r="CC3248" s="2" t="s">
        <v>75</v>
      </c>
      <c r="CD3248" s="2">
        <v>1645</v>
      </c>
      <c r="CE3248" s="2" t="s">
        <v>118</v>
      </c>
      <c r="CF3248" s="5">
        <v>42853</v>
      </c>
      <c r="CG3248" s="2"/>
      <c r="CH3248" s="2"/>
      <c r="CI3248" s="2">
        <v>1</v>
      </c>
      <c r="CJ3248" s="2">
        <v>1</v>
      </c>
      <c r="CK3248" s="2">
        <v>22</v>
      </c>
      <c r="CL3248" s="2" t="s">
        <v>86</v>
      </c>
      <c r="CM3248" s="2"/>
    </row>
    <row r="3249" spans="1:91">
      <c r="A3249" s="2" t="s">
        <v>71</v>
      </c>
      <c r="B3249" s="2" t="s">
        <v>72</v>
      </c>
      <c r="C3249" s="2" t="s">
        <v>73</v>
      </c>
      <c r="D3249" s="2"/>
      <c r="E3249" s="2" t="str">
        <f>"FES1162545552"</f>
        <v>FES1162545552</v>
      </c>
      <c r="F3249" s="3">
        <v>42850</v>
      </c>
      <c r="G3249" s="2">
        <v>201710</v>
      </c>
      <c r="H3249" s="2" t="s">
        <v>74</v>
      </c>
      <c r="I3249" s="2" t="s">
        <v>75</v>
      </c>
      <c r="J3249" s="2" t="s">
        <v>76</v>
      </c>
      <c r="K3249" s="2" t="s">
        <v>77</v>
      </c>
      <c r="L3249" s="2" t="s">
        <v>91</v>
      </c>
      <c r="M3249" s="2" t="s">
        <v>92</v>
      </c>
      <c r="N3249" s="2" t="s">
        <v>577</v>
      </c>
      <c r="O3249" s="2" t="s">
        <v>115</v>
      </c>
      <c r="P3249" s="2" t="str">
        <f>"2170564077                    "</f>
        <v xml:space="preserve">2170564077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3.35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1</v>
      </c>
      <c r="BJ3249" s="2">
        <v>0.2</v>
      </c>
      <c r="BK3249" s="2">
        <v>1</v>
      </c>
      <c r="BL3249" s="2">
        <v>32.6</v>
      </c>
      <c r="BM3249" s="2">
        <v>4.5599999999999996</v>
      </c>
      <c r="BN3249" s="2">
        <v>37.159999999999997</v>
      </c>
      <c r="BO3249" s="2">
        <v>37.159999999999997</v>
      </c>
      <c r="BP3249" s="2"/>
      <c r="BQ3249" s="2" t="s">
        <v>578</v>
      </c>
      <c r="BR3249" s="2" t="s">
        <v>84</v>
      </c>
      <c r="BS3249" s="3">
        <v>42851</v>
      </c>
      <c r="BT3249" s="4">
        <v>0.41666666666666669</v>
      </c>
      <c r="BU3249" s="2" t="s">
        <v>3318</v>
      </c>
      <c r="BV3249" s="2" t="s">
        <v>111</v>
      </c>
      <c r="BW3249" s="2"/>
      <c r="BX3249" s="2"/>
      <c r="BY3249" s="2">
        <v>1200</v>
      </c>
      <c r="BZ3249" s="2"/>
      <c r="CA3249" s="2"/>
      <c r="CB3249" s="2"/>
      <c r="CC3249" s="2" t="s">
        <v>92</v>
      </c>
      <c r="CD3249" s="2">
        <v>1428</v>
      </c>
      <c r="CE3249" s="2" t="s">
        <v>118</v>
      </c>
      <c r="CF3249" s="5">
        <v>42853</v>
      </c>
      <c r="CG3249" s="2"/>
      <c r="CH3249" s="2"/>
      <c r="CI3249" s="2">
        <v>1</v>
      </c>
      <c r="CJ3249" s="2">
        <v>1</v>
      </c>
      <c r="CK3249" s="2">
        <v>22</v>
      </c>
      <c r="CL3249" s="2" t="s">
        <v>86</v>
      </c>
      <c r="CM3249" s="2"/>
    </row>
    <row r="3250" spans="1:91">
      <c r="A3250" s="2" t="s">
        <v>71</v>
      </c>
      <c r="B3250" s="2" t="s">
        <v>72</v>
      </c>
      <c r="C3250" s="2" t="s">
        <v>73</v>
      </c>
      <c r="D3250" s="2"/>
      <c r="E3250" s="2" t="str">
        <f>"FES116254583"</f>
        <v>FES116254583</v>
      </c>
      <c r="F3250" s="3">
        <v>42850</v>
      </c>
      <c r="G3250" s="2">
        <v>201710</v>
      </c>
      <c r="H3250" s="2" t="s">
        <v>74</v>
      </c>
      <c r="I3250" s="2" t="s">
        <v>75</v>
      </c>
      <c r="J3250" s="2" t="s">
        <v>76</v>
      </c>
      <c r="K3250" s="2" t="s">
        <v>77</v>
      </c>
      <c r="L3250" s="2" t="s">
        <v>900</v>
      </c>
      <c r="M3250" s="2" t="s">
        <v>901</v>
      </c>
      <c r="N3250" s="2" t="s">
        <v>902</v>
      </c>
      <c r="O3250" s="2" t="s">
        <v>115</v>
      </c>
      <c r="P3250" s="2" t="str">
        <f>"2170564035                    "</f>
        <v xml:space="preserve">2170564035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4.29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1</v>
      </c>
      <c r="BJ3250" s="2">
        <v>0.2</v>
      </c>
      <c r="BK3250" s="2">
        <v>1</v>
      </c>
      <c r="BL3250" s="2">
        <v>41.73</v>
      </c>
      <c r="BM3250" s="2">
        <v>5.84</v>
      </c>
      <c r="BN3250" s="2">
        <v>47.57</v>
      </c>
      <c r="BO3250" s="2">
        <v>47.57</v>
      </c>
      <c r="BP3250" s="2"/>
      <c r="BQ3250" s="2" t="s">
        <v>903</v>
      </c>
      <c r="BR3250" s="2" t="s">
        <v>84</v>
      </c>
      <c r="BS3250" s="3">
        <v>42851</v>
      </c>
      <c r="BT3250" s="4">
        <v>0.3215277777777778</v>
      </c>
      <c r="BU3250" s="2" t="s">
        <v>1278</v>
      </c>
      <c r="BV3250" s="2" t="s">
        <v>111</v>
      </c>
      <c r="BW3250" s="2"/>
      <c r="BX3250" s="2"/>
      <c r="BY3250" s="2">
        <v>1200</v>
      </c>
      <c r="BZ3250" s="2"/>
      <c r="CA3250" s="2"/>
      <c r="CB3250" s="2"/>
      <c r="CC3250" s="2" t="s">
        <v>901</v>
      </c>
      <c r="CD3250" s="2">
        <v>4026</v>
      </c>
      <c r="CE3250" s="2" t="s">
        <v>118</v>
      </c>
      <c r="CF3250" s="2"/>
      <c r="CG3250" s="2"/>
      <c r="CH3250" s="2"/>
      <c r="CI3250" s="2">
        <v>1</v>
      </c>
      <c r="CJ3250" s="2">
        <v>1</v>
      </c>
      <c r="CK3250" s="2">
        <v>21</v>
      </c>
      <c r="CL3250" s="2" t="s">
        <v>86</v>
      </c>
      <c r="CM3250" s="2"/>
    </row>
    <row r="3251" spans="1:91">
      <c r="A3251" s="2" t="s">
        <v>71</v>
      </c>
      <c r="B3251" s="2" t="s">
        <v>72</v>
      </c>
      <c r="C3251" s="2" t="s">
        <v>73</v>
      </c>
      <c r="D3251" s="2"/>
      <c r="E3251" s="2" t="str">
        <f>"FES1162545576"</f>
        <v>FES1162545576</v>
      </c>
      <c r="F3251" s="3">
        <v>42850</v>
      </c>
      <c r="G3251" s="2">
        <v>201710</v>
      </c>
      <c r="H3251" s="2" t="s">
        <v>74</v>
      </c>
      <c r="I3251" s="2" t="s">
        <v>75</v>
      </c>
      <c r="J3251" s="2" t="s">
        <v>76</v>
      </c>
      <c r="K3251" s="2" t="s">
        <v>77</v>
      </c>
      <c r="L3251" s="2" t="s">
        <v>598</v>
      </c>
      <c r="M3251" s="2" t="s">
        <v>599</v>
      </c>
      <c r="N3251" s="2" t="s">
        <v>600</v>
      </c>
      <c r="O3251" s="2" t="s">
        <v>115</v>
      </c>
      <c r="P3251" s="2" t="str">
        <f>"2170564092                    "</f>
        <v xml:space="preserve">2170564092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8.31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1</v>
      </c>
      <c r="BJ3251" s="2">
        <v>0.2</v>
      </c>
      <c r="BK3251" s="2">
        <v>1</v>
      </c>
      <c r="BL3251" s="2">
        <v>80.849999999999994</v>
      </c>
      <c r="BM3251" s="2">
        <v>11.32</v>
      </c>
      <c r="BN3251" s="2">
        <v>92.17</v>
      </c>
      <c r="BO3251" s="2">
        <v>92.17</v>
      </c>
      <c r="BP3251" s="2"/>
      <c r="BQ3251" s="2" t="s">
        <v>601</v>
      </c>
      <c r="BR3251" s="2" t="s">
        <v>84</v>
      </c>
      <c r="BS3251" s="3">
        <v>42851</v>
      </c>
      <c r="BT3251" s="4">
        <v>0.59861111111111109</v>
      </c>
      <c r="BU3251" s="2" t="s">
        <v>602</v>
      </c>
      <c r="BV3251" s="2" t="s">
        <v>111</v>
      </c>
      <c r="BW3251" s="2"/>
      <c r="BX3251" s="2"/>
      <c r="BY3251" s="2">
        <v>1200</v>
      </c>
      <c r="BZ3251" s="2"/>
      <c r="CA3251" s="2"/>
      <c r="CB3251" s="2"/>
      <c r="CC3251" s="2" t="s">
        <v>599</v>
      </c>
      <c r="CD3251" s="2">
        <v>3370</v>
      </c>
      <c r="CE3251" s="2" t="s">
        <v>118</v>
      </c>
      <c r="CF3251" s="2"/>
      <c r="CG3251" s="2"/>
      <c r="CH3251" s="2"/>
      <c r="CI3251" s="2">
        <v>3</v>
      </c>
      <c r="CJ3251" s="2">
        <v>1</v>
      </c>
      <c r="CK3251" s="2">
        <v>23</v>
      </c>
      <c r="CL3251" s="2" t="s">
        <v>86</v>
      </c>
      <c r="CM3251" s="2"/>
    </row>
    <row r="3252" spans="1:91">
      <c r="A3252" s="2" t="s">
        <v>71</v>
      </c>
      <c r="B3252" s="2" t="s">
        <v>72</v>
      </c>
      <c r="C3252" s="2" t="s">
        <v>73</v>
      </c>
      <c r="D3252" s="2"/>
      <c r="E3252" s="2" t="str">
        <f>"FES1162545531"</f>
        <v>FES1162545531</v>
      </c>
      <c r="F3252" s="3">
        <v>42850</v>
      </c>
      <c r="G3252" s="2">
        <v>201710</v>
      </c>
      <c r="H3252" s="2" t="s">
        <v>74</v>
      </c>
      <c r="I3252" s="2" t="s">
        <v>75</v>
      </c>
      <c r="J3252" s="2" t="s">
        <v>76</v>
      </c>
      <c r="K3252" s="2" t="s">
        <v>77</v>
      </c>
      <c r="L3252" s="2" t="s">
        <v>234</v>
      </c>
      <c r="M3252" s="2" t="s">
        <v>235</v>
      </c>
      <c r="N3252" s="2" t="s">
        <v>236</v>
      </c>
      <c r="O3252" s="2" t="s">
        <v>115</v>
      </c>
      <c r="P3252" s="2" t="str">
        <f>"2170560870                    "</f>
        <v xml:space="preserve">2170560870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16.079999999999998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7.3</v>
      </c>
      <c r="BJ3252" s="2">
        <v>4.8</v>
      </c>
      <c r="BK3252" s="2">
        <v>7.5</v>
      </c>
      <c r="BL3252" s="2">
        <v>156.47999999999999</v>
      </c>
      <c r="BM3252" s="2">
        <v>21.91</v>
      </c>
      <c r="BN3252" s="2">
        <v>178.39</v>
      </c>
      <c r="BO3252" s="2">
        <v>178.39</v>
      </c>
      <c r="BP3252" s="2"/>
      <c r="BQ3252" s="2" t="s">
        <v>285</v>
      </c>
      <c r="BR3252" s="2" t="s">
        <v>84</v>
      </c>
      <c r="BS3252" s="3">
        <v>42851</v>
      </c>
      <c r="BT3252" s="4">
        <v>0.28958333333333336</v>
      </c>
      <c r="BU3252" s="2" t="s">
        <v>544</v>
      </c>
      <c r="BV3252" s="2" t="s">
        <v>111</v>
      </c>
      <c r="BW3252" s="2"/>
      <c r="BX3252" s="2"/>
      <c r="BY3252" s="2">
        <v>24231.74</v>
      </c>
      <c r="BZ3252" s="2"/>
      <c r="CA3252" s="2"/>
      <c r="CB3252" s="2"/>
      <c r="CC3252" s="2" t="s">
        <v>235</v>
      </c>
      <c r="CD3252" s="2">
        <v>6220</v>
      </c>
      <c r="CE3252" s="2" t="s">
        <v>89</v>
      </c>
      <c r="CF3252" s="5">
        <v>42853</v>
      </c>
      <c r="CG3252" s="2"/>
      <c r="CH3252" s="2"/>
      <c r="CI3252" s="2">
        <v>1</v>
      </c>
      <c r="CJ3252" s="2">
        <v>1</v>
      </c>
      <c r="CK3252" s="2">
        <v>21</v>
      </c>
      <c r="CL3252" s="2" t="s">
        <v>86</v>
      </c>
      <c r="CM3252" s="2"/>
    </row>
    <row r="3253" spans="1:91">
      <c r="A3253" s="2" t="s">
        <v>71</v>
      </c>
      <c r="B3253" s="2" t="s">
        <v>72</v>
      </c>
      <c r="C3253" s="2" t="s">
        <v>73</v>
      </c>
      <c r="D3253" s="2"/>
      <c r="E3253" s="2" t="str">
        <f>"FES1162545530"</f>
        <v>FES1162545530</v>
      </c>
      <c r="F3253" s="3">
        <v>42850</v>
      </c>
      <c r="G3253" s="2">
        <v>201710</v>
      </c>
      <c r="H3253" s="2" t="s">
        <v>74</v>
      </c>
      <c r="I3253" s="2" t="s">
        <v>75</v>
      </c>
      <c r="J3253" s="2" t="s">
        <v>76</v>
      </c>
      <c r="K3253" s="2" t="s">
        <v>77</v>
      </c>
      <c r="L3253" s="2" t="s">
        <v>3319</v>
      </c>
      <c r="M3253" s="2" t="s">
        <v>3319</v>
      </c>
      <c r="N3253" s="2" t="s">
        <v>3320</v>
      </c>
      <c r="O3253" s="2" t="s">
        <v>81</v>
      </c>
      <c r="P3253" s="2" t="str">
        <f>"2170560452                    "</f>
        <v xml:space="preserve">2170560452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24.62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37.200000000000003</v>
      </c>
      <c r="BJ3253" s="2">
        <v>17.3</v>
      </c>
      <c r="BK3253" s="2">
        <v>38</v>
      </c>
      <c r="BL3253" s="2">
        <v>244.62</v>
      </c>
      <c r="BM3253" s="2">
        <v>34.25</v>
      </c>
      <c r="BN3253" s="2">
        <v>278.87</v>
      </c>
      <c r="BO3253" s="2">
        <v>278.87</v>
      </c>
      <c r="BP3253" s="2"/>
      <c r="BQ3253" s="2" t="s">
        <v>3321</v>
      </c>
      <c r="BR3253" s="2" t="s">
        <v>84</v>
      </c>
      <c r="BS3253" s="1" t="s">
        <v>1744</v>
      </c>
      <c r="BT3253" s="2"/>
      <c r="BU3253" s="2"/>
      <c r="BV3253" s="2"/>
      <c r="BW3253" s="2"/>
      <c r="BX3253" s="2"/>
      <c r="BY3253" s="2">
        <v>86689.48</v>
      </c>
      <c r="BZ3253" s="2"/>
      <c r="CA3253" s="2"/>
      <c r="CB3253" s="2"/>
      <c r="CC3253" s="2" t="s">
        <v>3319</v>
      </c>
      <c r="CD3253" s="2">
        <v>8446</v>
      </c>
      <c r="CE3253" s="2" t="s">
        <v>89</v>
      </c>
      <c r="CF3253" s="2"/>
      <c r="CG3253" s="2"/>
      <c r="CH3253" s="2"/>
      <c r="CI3253" s="2">
        <v>0</v>
      </c>
      <c r="CJ3253" s="2">
        <v>0</v>
      </c>
      <c r="CK3253" s="2" t="s">
        <v>3322</v>
      </c>
      <c r="CL3253" s="2" t="s">
        <v>86</v>
      </c>
      <c r="CM3253" s="2"/>
    </row>
    <row r="3254" spans="1:91">
      <c r="A3254" s="2" t="s">
        <v>71</v>
      </c>
      <c r="B3254" s="2" t="s">
        <v>72</v>
      </c>
      <c r="C3254" s="2" t="s">
        <v>73</v>
      </c>
      <c r="D3254" s="2"/>
      <c r="E3254" s="2" t="str">
        <f>"FES1162545575"</f>
        <v>FES1162545575</v>
      </c>
      <c r="F3254" s="3">
        <v>42850</v>
      </c>
      <c r="G3254" s="2">
        <v>201710</v>
      </c>
      <c r="H3254" s="2" t="s">
        <v>74</v>
      </c>
      <c r="I3254" s="2" t="s">
        <v>75</v>
      </c>
      <c r="J3254" s="2" t="s">
        <v>76</v>
      </c>
      <c r="K3254" s="2" t="s">
        <v>77</v>
      </c>
      <c r="L3254" s="2" t="s">
        <v>633</v>
      </c>
      <c r="M3254" s="2" t="s">
        <v>634</v>
      </c>
      <c r="N3254" s="2" t="s">
        <v>635</v>
      </c>
      <c r="O3254" s="2" t="s">
        <v>81</v>
      </c>
      <c r="P3254" s="2" t="str">
        <f>"2170564089                    "</f>
        <v xml:space="preserve">2170564089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6.03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4.2</v>
      </c>
      <c r="BJ3254" s="2">
        <v>8.8000000000000007</v>
      </c>
      <c r="BK3254" s="2">
        <v>9</v>
      </c>
      <c r="BL3254" s="2">
        <v>63.68</v>
      </c>
      <c r="BM3254" s="2">
        <v>8.92</v>
      </c>
      <c r="BN3254" s="2">
        <v>72.599999999999994</v>
      </c>
      <c r="BO3254" s="2">
        <v>72.599999999999994</v>
      </c>
      <c r="BP3254" s="2"/>
      <c r="BQ3254" s="2" t="s">
        <v>636</v>
      </c>
      <c r="BR3254" s="2" t="s">
        <v>84</v>
      </c>
      <c r="BS3254" s="3">
        <v>42851</v>
      </c>
      <c r="BT3254" s="4">
        <v>0.5</v>
      </c>
      <c r="BU3254" s="2" t="s">
        <v>2274</v>
      </c>
      <c r="BV3254" s="2" t="s">
        <v>111</v>
      </c>
      <c r="BW3254" s="2"/>
      <c r="BX3254" s="2"/>
      <c r="BY3254" s="2">
        <v>44243.1</v>
      </c>
      <c r="BZ3254" s="2"/>
      <c r="CA3254" s="2"/>
      <c r="CB3254" s="2"/>
      <c r="CC3254" s="2" t="s">
        <v>634</v>
      </c>
      <c r="CD3254" s="2">
        <v>1759</v>
      </c>
      <c r="CE3254" s="2" t="s">
        <v>89</v>
      </c>
      <c r="CF3254" s="5">
        <v>42853</v>
      </c>
      <c r="CG3254" s="2"/>
      <c r="CH3254" s="2"/>
      <c r="CI3254" s="2">
        <v>0</v>
      </c>
      <c r="CJ3254" s="2">
        <v>0</v>
      </c>
      <c r="CK3254" s="2" t="s">
        <v>98</v>
      </c>
      <c r="CL3254" s="2" t="s">
        <v>86</v>
      </c>
      <c r="CM3254" s="2"/>
    </row>
    <row r="3255" spans="1:91">
      <c r="A3255" s="2" t="s">
        <v>71</v>
      </c>
      <c r="B3255" s="2" t="s">
        <v>72</v>
      </c>
      <c r="C3255" s="2" t="s">
        <v>73</v>
      </c>
      <c r="D3255" s="2"/>
      <c r="E3255" s="2" t="str">
        <f>"FES1162545554"</f>
        <v>FES1162545554</v>
      </c>
      <c r="F3255" s="3">
        <v>42850</v>
      </c>
      <c r="G3255" s="2">
        <v>201710</v>
      </c>
      <c r="H3255" s="2" t="s">
        <v>74</v>
      </c>
      <c r="I3255" s="2" t="s">
        <v>75</v>
      </c>
      <c r="J3255" s="2" t="s">
        <v>76</v>
      </c>
      <c r="K3255" s="2" t="s">
        <v>77</v>
      </c>
      <c r="L3255" s="2" t="s">
        <v>609</v>
      </c>
      <c r="M3255" s="2" t="s">
        <v>610</v>
      </c>
      <c r="N3255" s="2" t="s">
        <v>982</v>
      </c>
      <c r="O3255" s="2" t="s">
        <v>81</v>
      </c>
      <c r="P3255" s="2" t="str">
        <f>"2170564080                    "</f>
        <v xml:space="preserve">2170564080  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7.37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4</v>
      </c>
      <c r="BJ3255" s="2">
        <v>6.9</v>
      </c>
      <c r="BK3255" s="2">
        <v>7</v>
      </c>
      <c r="BL3255" s="2">
        <v>76.72</v>
      </c>
      <c r="BM3255" s="2">
        <v>10.74</v>
      </c>
      <c r="BN3255" s="2">
        <v>87.46</v>
      </c>
      <c r="BO3255" s="2">
        <v>87.46</v>
      </c>
      <c r="BP3255" s="2"/>
      <c r="BQ3255" s="2" t="s">
        <v>129</v>
      </c>
      <c r="BR3255" s="2" t="s">
        <v>84</v>
      </c>
      <c r="BS3255" s="3">
        <v>42851</v>
      </c>
      <c r="BT3255" s="4">
        <v>0.41666666666666669</v>
      </c>
      <c r="BU3255" s="2" t="s">
        <v>3323</v>
      </c>
      <c r="BV3255" s="2" t="s">
        <v>111</v>
      </c>
      <c r="BW3255" s="2"/>
      <c r="BX3255" s="2"/>
      <c r="BY3255" s="2">
        <v>34656</v>
      </c>
      <c r="BZ3255" s="2"/>
      <c r="CA3255" s="2" t="s">
        <v>159</v>
      </c>
      <c r="CB3255" s="2"/>
      <c r="CC3255" s="2" t="s">
        <v>610</v>
      </c>
      <c r="CD3255" s="2">
        <v>1911</v>
      </c>
      <c r="CE3255" s="2" t="s">
        <v>89</v>
      </c>
      <c r="CF3255" s="5">
        <v>42853</v>
      </c>
      <c r="CG3255" s="2"/>
      <c r="CH3255" s="2"/>
      <c r="CI3255" s="2">
        <v>0</v>
      </c>
      <c r="CJ3255" s="2">
        <v>0</v>
      </c>
      <c r="CK3255" s="2" t="s">
        <v>150</v>
      </c>
      <c r="CL3255" s="2" t="s">
        <v>86</v>
      </c>
      <c r="CM3255" s="2"/>
    </row>
    <row r="3256" spans="1:91">
      <c r="A3256" s="2" t="s">
        <v>71</v>
      </c>
      <c r="B3256" s="2" t="s">
        <v>72</v>
      </c>
      <c r="C3256" s="2" t="s">
        <v>73</v>
      </c>
      <c r="D3256" s="2"/>
      <c r="E3256" s="2" t="str">
        <f>"FES1162545574"</f>
        <v>FES1162545574</v>
      </c>
      <c r="F3256" s="3">
        <v>42850</v>
      </c>
      <c r="G3256" s="2">
        <v>201710</v>
      </c>
      <c r="H3256" s="2" t="s">
        <v>74</v>
      </c>
      <c r="I3256" s="2" t="s">
        <v>75</v>
      </c>
      <c r="J3256" s="2" t="s">
        <v>76</v>
      </c>
      <c r="K3256" s="2" t="s">
        <v>77</v>
      </c>
      <c r="L3256" s="2" t="s">
        <v>3324</v>
      </c>
      <c r="M3256" s="2" t="s">
        <v>3325</v>
      </c>
      <c r="N3256" s="2" t="s">
        <v>3320</v>
      </c>
      <c r="O3256" s="2" t="s">
        <v>81</v>
      </c>
      <c r="P3256" s="2" t="str">
        <f>"2170564082                    "</f>
        <v xml:space="preserve">2170564082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12.91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17</v>
      </c>
      <c r="BJ3256" s="2">
        <v>18.3</v>
      </c>
      <c r="BK3256" s="2">
        <v>19</v>
      </c>
      <c r="BL3256" s="2">
        <v>130.69</v>
      </c>
      <c r="BM3256" s="2">
        <v>18.3</v>
      </c>
      <c r="BN3256" s="2">
        <v>148.99</v>
      </c>
      <c r="BO3256" s="2">
        <v>148.99</v>
      </c>
      <c r="BP3256" s="2" t="s">
        <v>3326</v>
      </c>
      <c r="BQ3256" s="2" t="s">
        <v>122</v>
      </c>
      <c r="BR3256" s="2" t="s">
        <v>84</v>
      </c>
      <c r="BS3256" s="3">
        <v>42853</v>
      </c>
      <c r="BT3256" s="4">
        <v>0.41666666666666669</v>
      </c>
      <c r="BU3256" s="2" t="s">
        <v>3327</v>
      </c>
      <c r="BV3256" s="2"/>
      <c r="BW3256" s="2" t="s">
        <v>87</v>
      </c>
      <c r="BX3256" s="2" t="s">
        <v>3328</v>
      </c>
      <c r="BY3256" s="2">
        <v>91264</v>
      </c>
      <c r="BZ3256" s="2"/>
      <c r="CA3256" s="2"/>
      <c r="CB3256" s="2"/>
      <c r="CC3256" s="2" t="s">
        <v>3325</v>
      </c>
      <c r="CD3256" s="2">
        <v>8420</v>
      </c>
      <c r="CE3256" s="2" t="s">
        <v>89</v>
      </c>
      <c r="CF3256" s="2"/>
      <c r="CG3256" s="2"/>
      <c r="CH3256" s="2"/>
      <c r="CI3256" s="2">
        <v>0</v>
      </c>
      <c r="CJ3256" s="2">
        <v>0</v>
      </c>
      <c r="CK3256" s="2" t="s">
        <v>3322</v>
      </c>
      <c r="CL3256" s="2" t="s">
        <v>86</v>
      </c>
      <c r="CM3256" s="2"/>
    </row>
    <row r="3257" spans="1:91">
      <c r="A3257" s="2" t="s">
        <v>71</v>
      </c>
      <c r="B3257" s="2" t="s">
        <v>72</v>
      </c>
      <c r="C3257" s="2" t="s">
        <v>73</v>
      </c>
      <c r="D3257" s="2"/>
      <c r="E3257" s="2" t="str">
        <f>"FES1162545199"</f>
        <v>FES1162545199</v>
      </c>
      <c r="F3257" s="3">
        <v>42850</v>
      </c>
      <c r="G3257" s="2">
        <v>201710</v>
      </c>
      <c r="H3257" s="2" t="s">
        <v>74</v>
      </c>
      <c r="I3257" s="2" t="s">
        <v>75</v>
      </c>
      <c r="J3257" s="2" t="s">
        <v>76</v>
      </c>
      <c r="K3257" s="2" t="s">
        <v>77</v>
      </c>
      <c r="L3257" s="2" t="s">
        <v>166</v>
      </c>
      <c r="M3257" s="2" t="s">
        <v>167</v>
      </c>
      <c r="N3257" s="2" t="s">
        <v>168</v>
      </c>
      <c r="O3257" s="2" t="s">
        <v>81</v>
      </c>
      <c r="P3257" s="2" t="str">
        <f>"2170563688                    "</f>
        <v xml:space="preserve">2170563688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10.26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2</v>
      </c>
      <c r="BI3257" s="2">
        <v>35.4</v>
      </c>
      <c r="BJ3257" s="2">
        <v>28.1</v>
      </c>
      <c r="BK3257" s="2">
        <v>36</v>
      </c>
      <c r="BL3257" s="2">
        <v>104.87</v>
      </c>
      <c r="BM3257" s="2">
        <v>14.68</v>
      </c>
      <c r="BN3257" s="2">
        <v>119.55</v>
      </c>
      <c r="BO3257" s="2">
        <v>119.55</v>
      </c>
      <c r="BP3257" s="2"/>
      <c r="BQ3257" s="2" t="s">
        <v>169</v>
      </c>
      <c r="BR3257" s="2" t="s">
        <v>84</v>
      </c>
      <c r="BS3257" s="3">
        <v>42851</v>
      </c>
      <c r="BT3257" s="4">
        <v>0.64166666666666672</v>
      </c>
      <c r="BU3257" s="2" t="s">
        <v>198</v>
      </c>
      <c r="BV3257" s="2" t="s">
        <v>111</v>
      </c>
      <c r="BW3257" s="2"/>
      <c r="BX3257" s="2"/>
      <c r="BY3257" s="2">
        <v>140300.46</v>
      </c>
      <c r="BZ3257" s="2"/>
      <c r="CA3257" s="2"/>
      <c r="CB3257" s="2"/>
      <c r="CC3257" s="2" t="s">
        <v>167</v>
      </c>
      <c r="CD3257" s="2">
        <v>2094</v>
      </c>
      <c r="CE3257" s="2" t="s">
        <v>89</v>
      </c>
      <c r="CF3257" s="5">
        <v>42853</v>
      </c>
      <c r="CG3257" s="2"/>
      <c r="CH3257" s="2"/>
      <c r="CI3257" s="2">
        <v>0</v>
      </c>
      <c r="CJ3257" s="2">
        <v>0</v>
      </c>
      <c r="CK3257" s="2" t="s">
        <v>98</v>
      </c>
      <c r="CL3257" s="2" t="s">
        <v>86</v>
      </c>
      <c r="CM3257" s="2"/>
    </row>
    <row r="3258" spans="1:91">
      <c r="A3258" s="2" t="s">
        <v>71</v>
      </c>
      <c r="B3258" s="2" t="s">
        <v>72</v>
      </c>
      <c r="C3258" s="2" t="s">
        <v>73</v>
      </c>
      <c r="D3258" s="2"/>
      <c r="E3258" s="2" t="str">
        <f>"019910524280"</f>
        <v>019910524280</v>
      </c>
      <c r="F3258" s="3">
        <v>42850</v>
      </c>
      <c r="G3258" s="2">
        <v>201710</v>
      </c>
      <c r="H3258" s="2" t="s">
        <v>131</v>
      </c>
      <c r="I3258" s="2" t="s">
        <v>132</v>
      </c>
      <c r="J3258" s="2" t="s">
        <v>3329</v>
      </c>
      <c r="K3258" s="2" t="s">
        <v>77</v>
      </c>
      <c r="L3258" s="2" t="s">
        <v>74</v>
      </c>
      <c r="M3258" s="2" t="s">
        <v>75</v>
      </c>
      <c r="N3258" s="2" t="s">
        <v>200</v>
      </c>
      <c r="O3258" s="2" t="s">
        <v>115</v>
      </c>
      <c r="P3258" s="2" t="str">
        <f>"                              "</f>
        <v xml:space="preserve">           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6.43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0.4</v>
      </c>
      <c r="BJ3258" s="2">
        <v>2.7</v>
      </c>
      <c r="BK3258" s="2">
        <v>3</v>
      </c>
      <c r="BL3258" s="2">
        <v>62.59</v>
      </c>
      <c r="BM3258" s="2">
        <v>8.76</v>
      </c>
      <c r="BN3258" s="2">
        <v>71.349999999999994</v>
      </c>
      <c r="BO3258" s="2">
        <v>71.349999999999994</v>
      </c>
      <c r="BP3258" s="2"/>
      <c r="BQ3258" s="2" t="s">
        <v>201</v>
      </c>
      <c r="BR3258" s="2" t="s">
        <v>138</v>
      </c>
      <c r="BS3258" s="3">
        <v>42851</v>
      </c>
      <c r="BT3258" s="4">
        <v>0.38541666666666669</v>
      </c>
      <c r="BU3258" s="2" t="s">
        <v>134</v>
      </c>
      <c r="BV3258" s="2" t="s">
        <v>111</v>
      </c>
      <c r="BW3258" s="2"/>
      <c r="BX3258" s="2"/>
      <c r="BY3258" s="2">
        <v>13622.4</v>
      </c>
      <c r="BZ3258" s="2" t="s">
        <v>27</v>
      </c>
      <c r="CA3258" s="2"/>
      <c r="CB3258" s="2"/>
      <c r="CC3258" s="2" t="s">
        <v>75</v>
      </c>
      <c r="CD3258" s="2">
        <v>1600</v>
      </c>
      <c r="CE3258" s="2" t="s">
        <v>89</v>
      </c>
      <c r="CF3258" s="5">
        <v>42853</v>
      </c>
      <c r="CG3258" s="2"/>
      <c r="CH3258" s="2"/>
      <c r="CI3258" s="2">
        <v>1</v>
      </c>
      <c r="CJ3258" s="2">
        <v>1</v>
      </c>
      <c r="CK3258" s="2">
        <v>21</v>
      </c>
      <c r="CL3258" s="2" t="s">
        <v>86</v>
      </c>
      <c r="CM3258" s="2"/>
    </row>
    <row r="3259" spans="1:91">
      <c r="A3259" s="2" t="s">
        <v>71</v>
      </c>
      <c r="B3259" s="2" t="s">
        <v>72</v>
      </c>
      <c r="C3259" s="2" t="s">
        <v>73</v>
      </c>
      <c r="D3259" s="2"/>
      <c r="E3259" s="2" t="str">
        <f>"FES1162545512"</f>
        <v>FES1162545512</v>
      </c>
      <c r="F3259" s="3">
        <v>42850</v>
      </c>
      <c r="G3259" s="2">
        <v>201710</v>
      </c>
      <c r="H3259" s="2" t="s">
        <v>74</v>
      </c>
      <c r="I3259" s="2" t="s">
        <v>75</v>
      </c>
      <c r="J3259" s="2" t="s">
        <v>76</v>
      </c>
      <c r="K3259" s="2" t="s">
        <v>77</v>
      </c>
      <c r="L3259" s="2" t="s">
        <v>131</v>
      </c>
      <c r="M3259" s="2" t="s">
        <v>132</v>
      </c>
      <c r="N3259" s="2" t="s">
        <v>1439</v>
      </c>
      <c r="O3259" s="2" t="s">
        <v>115</v>
      </c>
      <c r="P3259" s="2" t="str">
        <f>"2170551432                    "</f>
        <v xml:space="preserve">2170551432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8.57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3.8</v>
      </c>
      <c r="BJ3259" s="2">
        <v>1.6</v>
      </c>
      <c r="BK3259" s="2">
        <v>4</v>
      </c>
      <c r="BL3259" s="2">
        <v>83.45</v>
      </c>
      <c r="BM3259" s="2">
        <v>11.68</v>
      </c>
      <c r="BN3259" s="2">
        <v>95.13</v>
      </c>
      <c r="BO3259" s="2">
        <v>95.13</v>
      </c>
      <c r="BP3259" s="2"/>
      <c r="BQ3259" s="2" t="s">
        <v>1440</v>
      </c>
      <c r="BR3259" s="2" t="s">
        <v>84</v>
      </c>
      <c r="BS3259" s="3">
        <v>42851</v>
      </c>
      <c r="BT3259" s="4">
        <v>0.4069444444444445</v>
      </c>
      <c r="BU3259" s="2" t="s">
        <v>3111</v>
      </c>
      <c r="BV3259" s="2" t="s">
        <v>111</v>
      </c>
      <c r="BW3259" s="2"/>
      <c r="BX3259" s="2"/>
      <c r="BY3259" s="2">
        <v>8119.71</v>
      </c>
      <c r="BZ3259" s="2"/>
      <c r="CA3259" s="2" t="s">
        <v>3008</v>
      </c>
      <c r="CB3259" s="2"/>
      <c r="CC3259" s="2" t="s">
        <v>132</v>
      </c>
      <c r="CD3259" s="2">
        <v>7490</v>
      </c>
      <c r="CE3259" s="2" t="s">
        <v>89</v>
      </c>
      <c r="CF3259" s="5">
        <v>42851</v>
      </c>
      <c r="CG3259" s="2"/>
      <c r="CH3259" s="2"/>
      <c r="CI3259" s="2">
        <v>1</v>
      </c>
      <c r="CJ3259" s="2">
        <v>1</v>
      </c>
      <c r="CK3259" s="2">
        <v>21</v>
      </c>
      <c r="CL3259" s="2" t="s">
        <v>86</v>
      </c>
      <c r="CM3259" s="2"/>
    </row>
    <row r="3260" spans="1:91">
      <c r="A3260" s="2" t="s">
        <v>71</v>
      </c>
      <c r="B3260" s="2" t="s">
        <v>72</v>
      </c>
      <c r="C3260" s="2" t="s">
        <v>73</v>
      </c>
      <c r="D3260" s="2"/>
      <c r="E3260" s="2" t="str">
        <f>"FES1162545672"</f>
        <v>FES1162545672</v>
      </c>
      <c r="F3260" s="3">
        <v>42851</v>
      </c>
      <c r="G3260" s="2">
        <v>201710</v>
      </c>
      <c r="H3260" s="2" t="s">
        <v>74</v>
      </c>
      <c r="I3260" s="2" t="s">
        <v>75</v>
      </c>
      <c r="J3260" s="2" t="s">
        <v>76</v>
      </c>
      <c r="K3260" s="2" t="s">
        <v>77</v>
      </c>
      <c r="L3260" s="2" t="s">
        <v>99</v>
      </c>
      <c r="M3260" s="2" t="s">
        <v>100</v>
      </c>
      <c r="N3260" s="2" t="s">
        <v>433</v>
      </c>
      <c r="O3260" s="2" t="s">
        <v>115</v>
      </c>
      <c r="P3260" s="2" t="str">
        <f>"2170564125                    "</f>
        <v xml:space="preserve">2170564125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4.29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1</v>
      </c>
      <c r="BJ3260" s="2">
        <v>0.2</v>
      </c>
      <c r="BK3260" s="2">
        <v>1</v>
      </c>
      <c r="BL3260" s="2">
        <v>41.73</v>
      </c>
      <c r="BM3260" s="2">
        <v>5.84</v>
      </c>
      <c r="BN3260" s="2">
        <v>47.57</v>
      </c>
      <c r="BO3260" s="2">
        <v>47.57</v>
      </c>
      <c r="BP3260" s="2"/>
      <c r="BQ3260" s="2" t="s">
        <v>434</v>
      </c>
      <c r="BR3260" s="2" t="s">
        <v>84</v>
      </c>
      <c r="BS3260" s="3">
        <v>42851</v>
      </c>
      <c r="BT3260" s="4">
        <v>0.36805555555555558</v>
      </c>
      <c r="BU3260" s="2" t="s">
        <v>3330</v>
      </c>
      <c r="BV3260" s="2" t="s">
        <v>111</v>
      </c>
      <c r="BW3260" s="2"/>
      <c r="BX3260" s="2"/>
      <c r="BY3260" s="2">
        <v>1200</v>
      </c>
      <c r="BZ3260" s="2"/>
      <c r="CA3260" s="2"/>
      <c r="CB3260" s="2"/>
      <c r="CC3260" s="2" t="s">
        <v>100</v>
      </c>
      <c r="CD3260" s="2">
        <v>6001</v>
      </c>
      <c r="CE3260" s="2" t="s">
        <v>118</v>
      </c>
      <c r="CF3260" s="2"/>
      <c r="CG3260" s="2"/>
      <c r="CH3260" s="2"/>
      <c r="CI3260" s="2">
        <v>1</v>
      </c>
      <c r="CJ3260" s="2">
        <v>0</v>
      </c>
      <c r="CK3260" s="2">
        <v>21</v>
      </c>
      <c r="CL3260" s="2" t="s">
        <v>86</v>
      </c>
      <c r="CM3260" s="2"/>
    </row>
    <row r="3261" spans="1:91">
      <c r="A3261" s="2" t="s">
        <v>71</v>
      </c>
      <c r="B3261" s="2" t="s">
        <v>72</v>
      </c>
      <c r="C3261" s="2" t="s">
        <v>73</v>
      </c>
      <c r="D3261" s="2"/>
      <c r="E3261" s="2" t="str">
        <f>"Rfes1162541566"</f>
        <v>Rfes1162541566</v>
      </c>
      <c r="F3261" s="3">
        <v>42851</v>
      </c>
      <c r="G3261" s="2">
        <v>201710</v>
      </c>
      <c r="H3261" s="2" t="s">
        <v>166</v>
      </c>
      <c r="I3261" s="2" t="s">
        <v>167</v>
      </c>
      <c r="J3261" s="2" t="s">
        <v>1146</v>
      </c>
      <c r="K3261" s="2" t="s">
        <v>77</v>
      </c>
      <c r="L3261" s="2" t="s">
        <v>74</v>
      </c>
      <c r="M3261" s="2" t="s">
        <v>75</v>
      </c>
      <c r="N3261" s="2" t="s">
        <v>76</v>
      </c>
      <c r="O3261" s="2" t="s">
        <v>115</v>
      </c>
      <c r="P3261" s="2" t="str">
        <f>"2170560657                    "</f>
        <v xml:space="preserve">2170560657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3.35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1</v>
      </c>
      <c r="BJ3261" s="2">
        <v>0.2</v>
      </c>
      <c r="BK3261" s="2">
        <v>1</v>
      </c>
      <c r="BL3261" s="2">
        <v>32.6</v>
      </c>
      <c r="BM3261" s="2">
        <v>4.5599999999999996</v>
      </c>
      <c r="BN3261" s="2">
        <v>37.159999999999997</v>
      </c>
      <c r="BO3261" s="2">
        <v>37.159999999999997</v>
      </c>
      <c r="BP3261" s="2"/>
      <c r="BQ3261" s="2" t="s">
        <v>123</v>
      </c>
      <c r="BR3261" s="2" t="s">
        <v>1147</v>
      </c>
      <c r="BS3261" s="1" t="s">
        <v>1744</v>
      </c>
      <c r="BT3261" s="2"/>
      <c r="BU3261" s="2"/>
      <c r="BV3261" s="2"/>
      <c r="BW3261" s="2"/>
      <c r="BX3261" s="2"/>
      <c r="BY3261" s="2">
        <v>1200</v>
      </c>
      <c r="BZ3261" s="2"/>
      <c r="CA3261" s="2"/>
      <c r="CB3261" s="2"/>
      <c r="CC3261" s="2" t="s">
        <v>75</v>
      </c>
      <c r="CD3261" s="2">
        <v>1600</v>
      </c>
      <c r="CE3261" s="2" t="s">
        <v>1452</v>
      </c>
      <c r="CF3261" s="2"/>
      <c r="CG3261" s="2"/>
      <c r="CH3261" s="2"/>
      <c r="CI3261" s="2">
        <v>1</v>
      </c>
      <c r="CJ3261" s="2" t="s">
        <v>1744</v>
      </c>
      <c r="CK3261" s="2">
        <v>22</v>
      </c>
      <c r="CL3261" s="2" t="s">
        <v>86</v>
      </c>
      <c r="CM3261" s="2"/>
    </row>
    <row r="3262" spans="1:91">
      <c r="A3262" s="2" t="s">
        <v>71</v>
      </c>
      <c r="B3262" s="2" t="s">
        <v>72</v>
      </c>
      <c r="C3262" s="2" t="s">
        <v>73</v>
      </c>
      <c r="D3262" s="2"/>
      <c r="E3262" s="2" t="str">
        <f>"RFES1162544953"</f>
        <v>RFES1162544953</v>
      </c>
      <c r="F3262" s="3">
        <v>42851</v>
      </c>
      <c r="G3262" s="2">
        <v>201710</v>
      </c>
      <c r="H3262" s="2" t="s">
        <v>260</v>
      </c>
      <c r="I3262" s="2" t="s">
        <v>261</v>
      </c>
      <c r="J3262" s="2" t="s">
        <v>1371</v>
      </c>
      <c r="K3262" s="2" t="s">
        <v>77</v>
      </c>
      <c r="L3262" s="2" t="s">
        <v>74</v>
      </c>
      <c r="M3262" s="2" t="s">
        <v>75</v>
      </c>
      <c r="N3262" s="2" t="s">
        <v>76</v>
      </c>
      <c r="O3262" s="2" t="s">
        <v>115</v>
      </c>
      <c r="P3262" s="2" t="str">
        <f>"2170563443                    "</f>
        <v xml:space="preserve">2170563443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3.35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3</v>
      </c>
      <c r="BJ3262" s="2">
        <v>4.5999999999999996</v>
      </c>
      <c r="BK3262" s="2">
        <v>5</v>
      </c>
      <c r="BL3262" s="2">
        <v>32.6</v>
      </c>
      <c r="BM3262" s="2">
        <v>4.5599999999999996</v>
      </c>
      <c r="BN3262" s="2">
        <v>37.159999999999997</v>
      </c>
      <c r="BO3262" s="2">
        <v>37.159999999999997</v>
      </c>
      <c r="BP3262" s="2"/>
      <c r="BQ3262" s="2" t="s">
        <v>84</v>
      </c>
      <c r="BR3262" s="2" t="s">
        <v>1372</v>
      </c>
      <c r="BS3262" s="1" t="s">
        <v>1744</v>
      </c>
      <c r="BT3262" s="2"/>
      <c r="BU3262" s="2"/>
      <c r="BV3262" s="2"/>
      <c r="BW3262" s="2"/>
      <c r="BX3262" s="2"/>
      <c r="BY3262" s="2">
        <v>22869</v>
      </c>
      <c r="BZ3262" s="2"/>
      <c r="CA3262" s="2"/>
      <c r="CB3262" s="2"/>
      <c r="CC3262" s="2" t="s">
        <v>75</v>
      </c>
      <c r="CD3262" s="2">
        <v>1600</v>
      </c>
      <c r="CE3262" s="2" t="s">
        <v>89</v>
      </c>
      <c r="CF3262" s="2"/>
      <c r="CG3262" s="2"/>
      <c r="CH3262" s="2"/>
      <c r="CI3262" s="2">
        <v>1</v>
      </c>
      <c r="CJ3262" s="2" t="s">
        <v>1744</v>
      </c>
      <c r="CK3262" s="2">
        <v>22</v>
      </c>
      <c r="CL3262" s="2" t="s">
        <v>86</v>
      </c>
      <c r="CM3262" s="2"/>
    </row>
    <row r="3263" spans="1:91">
      <c r="A3263" s="2" t="s">
        <v>71</v>
      </c>
      <c r="B3263" s="2" t="s">
        <v>72</v>
      </c>
      <c r="C3263" s="2" t="s">
        <v>73</v>
      </c>
      <c r="D3263" s="2"/>
      <c r="E3263" s="2" t="str">
        <f>"FES1162544659"</f>
        <v>FES1162544659</v>
      </c>
      <c r="F3263" s="3">
        <v>42845</v>
      </c>
      <c r="G3263" s="2">
        <v>201710</v>
      </c>
      <c r="H3263" s="2" t="s">
        <v>74</v>
      </c>
      <c r="I3263" s="2" t="s">
        <v>75</v>
      </c>
      <c r="J3263" s="2" t="s">
        <v>200</v>
      </c>
      <c r="K3263" s="2" t="s">
        <v>77</v>
      </c>
      <c r="L3263" s="2" t="s">
        <v>516</v>
      </c>
      <c r="M3263" s="2" t="s">
        <v>517</v>
      </c>
      <c r="N3263" s="2" t="s">
        <v>3019</v>
      </c>
      <c r="O3263" s="2" t="s">
        <v>1014</v>
      </c>
      <c r="P3263" s="2" t="str">
        <f>"2170561217                    "</f>
        <v xml:space="preserve">2170561217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4.0999999999999996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10</v>
      </c>
      <c r="BJ3263" s="2">
        <v>7.4</v>
      </c>
      <c r="BK3263" s="2">
        <v>10</v>
      </c>
      <c r="BL3263" s="2">
        <v>39.909999999999997</v>
      </c>
      <c r="BM3263" s="2">
        <v>5.59</v>
      </c>
      <c r="BN3263" s="2">
        <v>45.5</v>
      </c>
      <c r="BO3263" s="2">
        <v>45.5</v>
      </c>
      <c r="BP3263" s="2"/>
      <c r="BQ3263" s="2" t="s">
        <v>3020</v>
      </c>
      <c r="BR3263" s="2" t="s">
        <v>2287</v>
      </c>
      <c r="BS3263" s="3">
        <v>42846</v>
      </c>
      <c r="BT3263" s="4">
        <v>0.39930555555555558</v>
      </c>
      <c r="BU3263" s="2" t="s">
        <v>3021</v>
      </c>
      <c r="BV3263" s="2" t="s">
        <v>111</v>
      </c>
      <c r="BW3263" s="2"/>
      <c r="BX3263" s="2"/>
      <c r="BY3263" s="2">
        <v>36923.800000000003</v>
      </c>
      <c r="BZ3263" s="2" t="s">
        <v>27</v>
      </c>
      <c r="CA3263" s="2"/>
      <c r="CB3263" s="2"/>
      <c r="CC3263" s="2" t="s">
        <v>517</v>
      </c>
      <c r="CD3263" s="2">
        <v>1459</v>
      </c>
      <c r="CE3263" s="2" t="s">
        <v>172</v>
      </c>
      <c r="CF3263" s="5">
        <v>42849</v>
      </c>
      <c r="CG3263" s="2"/>
      <c r="CH3263" s="2"/>
      <c r="CI3263" s="2">
        <v>1</v>
      </c>
      <c r="CJ3263" s="2">
        <v>1</v>
      </c>
      <c r="CK3263" s="2">
        <v>32</v>
      </c>
      <c r="CL3263" s="2" t="s">
        <v>86</v>
      </c>
      <c r="CM3263" s="2"/>
    </row>
    <row r="3264" spans="1:91">
      <c r="A3264" s="2" t="s">
        <v>71</v>
      </c>
      <c r="B3264" s="2" t="s">
        <v>72</v>
      </c>
      <c r="C3264" s="2" t="s">
        <v>73</v>
      </c>
      <c r="D3264" s="2"/>
      <c r="E3264" s="2" t="str">
        <f>"FES1162544729"</f>
        <v>FES1162544729</v>
      </c>
      <c r="F3264" s="3">
        <v>42845</v>
      </c>
      <c r="G3264" s="2">
        <v>201710</v>
      </c>
      <c r="H3264" s="2" t="s">
        <v>74</v>
      </c>
      <c r="I3264" s="2" t="s">
        <v>75</v>
      </c>
      <c r="J3264" s="2" t="s">
        <v>200</v>
      </c>
      <c r="K3264" s="2" t="s">
        <v>77</v>
      </c>
      <c r="L3264" s="2" t="s">
        <v>231</v>
      </c>
      <c r="M3264" s="2" t="s">
        <v>232</v>
      </c>
      <c r="N3264" s="2" t="s">
        <v>316</v>
      </c>
      <c r="O3264" s="2" t="s">
        <v>1014</v>
      </c>
      <c r="P3264" s="2" t="str">
        <f>"2170563285                    "</f>
        <v xml:space="preserve">2170563285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6.03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6.1</v>
      </c>
      <c r="BJ3264" s="2">
        <v>7.5</v>
      </c>
      <c r="BK3264" s="2">
        <v>8</v>
      </c>
      <c r="BL3264" s="2">
        <v>58.68</v>
      </c>
      <c r="BM3264" s="2">
        <v>8.2200000000000006</v>
      </c>
      <c r="BN3264" s="2">
        <v>66.900000000000006</v>
      </c>
      <c r="BO3264" s="2">
        <v>66.900000000000006</v>
      </c>
      <c r="BP3264" s="2"/>
      <c r="BQ3264" s="2" t="s">
        <v>317</v>
      </c>
      <c r="BR3264" s="2" t="s">
        <v>2287</v>
      </c>
      <c r="BS3264" s="3">
        <v>42846</v>
      </c>
      <c r="BT3264" s="4">
        <v>0.48958333333333331</v>
      </c>
      <c r="BU3264" s="2" t="s">
        <v>761</v>
      </c>
      <c r="BV3264" s="2" t="s">
        <v>111</v>
      </c>
      <c r="BW3264" s="2"/>
      <c r="BX3264" s="2"/>
      <c r="BY3264" s="2">
        <v>37637.69</v>
      </c>
      <c r="BZ3264" s="2" t="s">
        <v>27</v>
      </c>
      <c r="CA3264" s="2"/>
      <c r="CB3264" s="2"/>
      <c r="CC3264" s="2" t="s">
        <v>232</v>
      </c>
      <c r="CD3264" s="2">
        <v>250</v>
      </c>
      <c r="CE3264" s="2" t="s">
        <v>89</v>
      </c>
      <c r="CF3264" s="5">
        <v>42850</v>
      </c>
      <c r="CG3264" s="2"/>
      <c r="CH3264" s="2"/>
      <c r="CI3264" s="2">
        <v>1</v>
      </c>
      <c r="CJ3264" s="2">
        <v>1</v>
      </c>
      <c r="CK3264" s="2">
        <v>34</v>
      </c>
      <c r="CL3264" s="2" t="s">
        <v>86</v>
      </c>
      <c r="CM3264" s="2"/>
    </row>
    <row r="3265" spans="1:91">
      <c r="A3265" s="2" t="s">
        <v>71</v>
      </c>
      <c r="B3265" s="2" t="s">
        <v>72</v>
      </c>
      <c r="C3265" s="2" t="s">
        <v>73</v>
      </c>
      <c r="D3265" s="2"/>
      <c r="E3265" s="2" t="str">
        <f>"FES1162544217"</f>
        <v>FES1162544217</v>
      </c>
      <c r="F3265" s="3">
        <v>42845</v>
      </c>
      <c r="G3265" s="2">
        <v>201710</v>
      </c>
      <c r="H3265" s="2" t="s">
        <v>74</v>
      </c>
      <c r="I3265" s="2" t="s">
        <v>75</v>
      </c>
      <c r="J3265" s="2" t="s">
        <v>200</v>
      </c>
      <c r="K3265" s="2" t="s">
        <v>77</v>
      </c>
      <c r="L3265" s="2" t="s">
        <v>267</v>
      </c>
      <c r="M3265" s="2" t="s">
        <v>268</v>
      </c>
      <c r="N3265" s="2" t="s">
        <v>3331</v>
      </c>
      <c r="O3265" s="2" t="s">
        <v>1014</v>
      </c>
      <c r="P3265" s="2" t="str">
        <f>"2170562816                    "</f>
        <v xml:space="preserve">2170562816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4.4800000000000004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5.6</v>
      </c>
      <c r="BJ3265" s="2">
        <v>10.1</v>
      </c>
      <c r="BK3265" s="2">
        <v>11</v>
      </c>
      <c r="BL3265" s="2">
        <v>43.57</v>
      </c>
      <c r="BM3265" s="2">
        <v>6.1</v>
      </c>
      <c r="BN3265" s="2">
        <v>49.67</v>
      </c>
      <c r="BO3265" s="2">
        <v>49.67</v>
      </c>
      <c r="BP3265" s="2"/>
      <c r="BQ3265" s="2" t="s">
        <v>122</v>
      </c>
      <c r="BR3265" s="2" t="s">
        <v>2287</v>
      </c>
      <c r="BS3265" s="3">
        <v>42846</v>
      </c>
      <c r="BT3265" s="4">
        <v>0.41666666666666669</v>
      </c>
      <c r="BU3265" s="2" t="s">
        <v>290</v>
      </c>
      <c r="BV3265" s="2" t="s">
        <v>111</v>
      </c>
      <c r="BW3265" s="2"/>
      <c r="BX3265" s="2"/>
      <c r="BY3265" s="2">
        <v>50490</v>
      </c>
      <c r="BZ3265" s="2" t="s">
        <v>27</v>
      </c>
      <c r="CA3265" s="2"/>
      <c r="CB3265" s="2"/>
      <c r="CC3265" s="2" t="s">
        <v>268</v>
      </c>
      <c r="CD3265" s="2">
        <v>1724</v>
      </c>
      <c r="CE3265" s="2" t="s">
        <v>89</v>
      </c>
      <c r="CF3265" s="5">
        <v>42849</v>
      </c>
      <c r="CG3265" s="2"/>
      <c r="CH3265" s="2"/>
      <c r="CI3265" s="2">
        <v>1</v>
      </c>
      <c r="CJ3265" s="2">
        <v>1</v>
      </c>
      <c r="CK3265" s="2">
        <v>32</v>
      </c>
      <c r="CL3265" s="2" t="s">
        <v>86</v>
      </c>
      <c r="CM3265" s="2"/>
    </row>
    <row r="3266" spans="1:91">
      <c r="A3266" s="2" t="s">
        <v>71</v>
      </c>
      <c r="B3266" s="2" t="s">
        <v>72</v>
      </c>
      <c r="C3266" s="2" t="s">
        <v>73</v>
      </c>
      <c r="D3266" s="2"/>
      <c r="E3266" s="2" t="str">
        <f>"FES1162544008"</f>
        <v>FES1162544008</v>
      </c>
      <c r="F3266" s="3">
        <v>42845</v>
      </c>
      <c r="G3266" s="2">
        <v>201710</v>
      </c>
      <c r="H3266" s="2" t="s">
        <v>74</v>
      </c>
      <c r="I3266" s="2" t="s">
        <v>75</v>
      </c>
      <c r="J3266" s="2" t="s">
        <v>200</v>
      </c>
      <c r="K3266" s="2" t="s">
        <v>77</v>
      </c>
      <c r="L3266" s="2" t="s">
        <v>260</v>
      </c>
      <c r="M3266" s="2" t="s">
        <v>261</v>
      </c>
      <c r="N3266" s="2" t="s">
        <v>2182</v>
      </c>
      <c r="O3266" s="2" t="s">
        <v>1014</v>
      </c>
      <c r="P3266" s="2" t="str">
        <f>"2170562601                    "</f>
        <v xml:space="preserve">2170562601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3.72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8.4</v>
      </c>
      <c r="BJ3266" s="2">
        <v>3.1</v>
      </c>
      <c r="BK3266" s="2">
        <v>9</v>
      </c>
      <c r="BL3266" s="2">
        <v>36.25</v>
      </c>
      <c r="BM3266" s="2">
        <v>5.08</v>
      </c>
      <c r="BN3266" s="2">
        <v>41.33</v>
      </c>
      <c r="BO3266" s="2">
        <v>41.33</v>
      </c>
      <c r="BP3266" s="2"/>
      <c r="BQ3266" s="2" t="s">
        <v>2100</v>
      </c>
      <c r="BR3266" s="2" t="s">
        <v>2287</v>
      </c>
      <c r="BS3266" s="3">
        <v>42846</v>
      </c>
      <c r="BT3266" s="4">
        <v>0.4284722222222222</v>
      </c>
      <c r="BU3266" s="2" t="s">
        <v>2100</v>
      </c>
      <c r="BV3266" s="2" t="s">
        <v>111</v>
      </c>
      <c r="BW3266" s="2"/>
      <c r="BX3266" s="2"/>
      <c r="BY3266" s="2">
        <v>15730.76</v>
      </c>
      <c r="BZ3266" s="2" t="s">
        <v>27</v>
      </c>
      <c r="CA3266" s="2"/>
      <c r="CB3266" s="2"/>
      <c r="CC3266" s="2" t="s">
        <v>261</v>
      </c>
      <c r="CD3266" s="2">
        <v>1451</v>
      </c>
      <c r="CE3266" s="2" t="s">
        <v>89</v>
      </c>
      <c r="CF3266" s="5">
        <v>42849</v>
      </c>
      <c r="CG3266" s="2"/>
      <c r="CH3266" s="2"/>
      <c r="CI3266" s="2">
        <v>1</v>
      </c>
      <c r="CJ3266" s="2">
        <v>1</v>
      </c>
      <c r="CK3266" s="2">
        <v>32</v>
      </c>
      <c r="CL3266" s="2" t="s">
        <v>86</v>
      </c>
      <c r="CM3266" s="2"/>
    </row>
    <row r="3267" spans="1:91">
      <c r="A3267" s="2" t="s">
        <v>71</v>
      </c>
      <c r="B3267" s="2" t="s">
        <v>72</v>
      </c>
      <c r="C3267" s="2" t="s">
        <v>73</v>
      </c>
      <c r="D3267" s="2"/>
      <c r="E3267" s="2" t="str">
        <f>"FES1162544401"</f>
        <v>FES1162544401</v>
      </c>
      <c r="F3267" s="3">
        <v>42844</v>
      </c>
      <c r="G3267" s="2">
        <v>201710</v>
      </c>
      <c r="H3267" s="2" t="s">
        <v>74</v>
      </c>
      <c r="I3267" s="2" t="s">
        <v>75</v>
      </c>
      <c r="J3267" s="2" t="s">
        <v>200</v>
      </c>
      <c r="K3267" s="2" t="s">
        <v>77</v>
      </c>
      <c r="L3267" s="2" t="s">
        <v>212</v>
      </c>
      <c r="M3267" s="2" t="s">
        <v>213</v>
      </c>
      <c r="N3267" s="2" t="s">
        <v>509</v>
      </c>
      <c r="O3267" s="2" t="s">
        <v>1014</v>
      </c>
      <c r="P3267" s="2" t="str">
        <f>"2170562760                    "</f>
        <v xml:space="preserve">2170562760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6.03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1</v>
      </c>
      <c r="BI3267" s="2">
        <v>3</v>
      </c>
      <c r="BJ3267" s="2">
        <v>5.0999999999999996</v>
      </c>
      <c r="BK3267" s="2">
        <v>6</v>
      </c>
      <c r="BL3267" s="2">
        <v>58.68</v>
      </c>
      <c r="BM3267" s="2">
        <v>8.2200000000000006</v>
      </c>
      <c r="BN3267" s="2">
        <v>66.900000000000006</v>
      </c>
      <c r="BO3267" s="2">
        <v>66.900000000000006</v>
      </c>
      <c r="BP3267" s="2"/>
      <c r="BQ3267" s="2" t="s">
        <v>510</v>
      </c>
      <c r="BR3267" s="2" t="s">
        <v>2287</v>
      </c>
      <c r="BS3267" s="3">
        <v>42845</v>
      </c>
      <c r="BT3267" s="4">
        <v>0.5</v>
      </c>
      <c r="BU3267" s="2" t="s">
        <v>3332</v>
      </c>
      <c r="BV3267" s="2" t="s">
        <v>111</v>
      </c>
      <c r="BW3267" s="2"/>
      <c r="BX3267" s="2"/>
      <c r="BY3267" s="2">
        <v>25344</v>
      </c>
      <c r="BZ3267" s="2" t="s">
        <v>27</v>
      </c>
      <c r="CA3267" s="2"/>
      <c r="CB3267" s="2"/>
      <c r="CC3267" s="2" t="s">
        <v>213</v>
      </c>
      <c r="CD3267" s="2">
        <v>1001</v>
      </c>
      <c r="CE3267" s="2" t="s">
        <v>89</v>
      </c>
      <c r="CF3267" s="5">
        <v>42851</v>
      </c>
      <c r="CG3267" s="2"/>
      <c r="CH3267" s="2"/>
      <c r="CI3267" s="2">
        <v>0</v>
      </c>
      <c r="CJ3267" s="2">
        <v>0</v>
      </c>
      <c r="CK3267" s="2">
        <v>34</v>
      </c>
      <c r="CL3267" s="2" t="s">
        <v>86</v>
      </c>
      <c r="CM3267" s="2"/>
    </row>
    <row r="3268" spans="1:91">
      <c r="A3268" s="2" t="s">
        <v>71</v>
      </c>
      <c r="B3268" s="2" t="s">
        <v>72</v>
      </c>
      <c r="C3268" s="2" t="s">
        <v>73</v>
      </c>
      <c r="D3268" s="2"/>
      <c r="E3268" s="2" t="str">
        <f>"FES1162544371"</f>
        <v>FES1162544371</v>
      </c>
      <c r="F3268" s="3">
        <v>42844</v>
      </c>
      <c r="G3268" s="2">
        <v>201710</v>
      </c>
      <c r="H3268" s="2" t="s">
        <v>74</v>
      </c>
      <c r="I3268" s="2" t="s">
        <v>75</v>
      </c>
      <c r="J3268" s="2" t="s">
        <v>200</v>
      </c>
      <c r="K3268" s="2" t="s">
        <v>77</v>
      </c>
      <c r="L3268" s="2" t="s">
        <v>166</v>
      </c>
      <c r="M3268" s="2" t="s">
        <v>167</v>
      </c>
      <c r="N3268" s="2" t="s">
        <v>272</v>
      </c>
      <c r="O3268" s="2" t="s">
        <v>1014</v>
      </c>
      <c r="P3268" s="2" t="str">
        <f>"2170558082                    "</f>
        <v xml:space="preserve">2170558082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5.23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2</v>
      </c>
      <c r="BI3268" s="2">
        <v>7.6</v>
      </c>
      <c r="BJ3268" s="2">
        <v>12.4</v>
      </c>
      <c r="BK3268" s="2">
        <v>13</v>
      </c>
      <c r="BL3268" s="2">
        <v>50.88</v>
      </c>
      <c r="BM3268" s="2">
        <v>7.12</v>
      </c>
      <c r="BN3268" s="2">
        <v>58</v>
      </c>
      <c r="BO3268" s="2">
        <v>58</v>
      </c>
      <c r="BP3268" s="2"/>
      <c r="BQ3268" s="2" t="s">
        <v>273</v>
      </c>
      <c r="BR3268" s="2" t="s">
        <v>2287</v>
      </c>
      <c r="BS3268" s="3">
        <v>42845</v>
      </c>
      <c r="BT3268" s="4">
        <v>0.41666666666666669</v>
      </c>
      <c r="BU3268" s="2" t="s">
        <v>3333</v>
      </c>
      <c r="BV3268" s="2" t="s">
        <v>111</v>
      </c>
      <c r="BW3268" s="2"/>
      <c r="BX3268" s="2"/>
      <c r="BY3268" s="2">
        <v>61883.360000000001</v>
      </c>
      <c r="BZ3268" s="2" t="s">
        <v>27</v>
      </c>
      <c r="CA3268" s="2" t="s">
        <v>159</v>
      </c>
      <c r="CB3268" s="2"/>
      <c r="CC3268" s="2" t="s">
        <v>167</v>
      </c>
      <c r="CD3268" s="2">
        <v>2042</v>
      </c>
      <c r="CE3268" s="2" t="s">
        <v>89</v>
      </c>
      <c r="CF3268" s="5">
        <v>42846</v>
      </c>
      <c r="CG3268" s="2"/>
      <c r="CH3268" s="2"/>
      <c r="CI3268" s="2">
        <v>1</v>
      </c>
      <c r="CJ3268" s="2">
        <v>1</v>
      </c>
      <c r="CK3268" s="2">
        <v>32</v>
      </c>
      <c r="CL3268" s="2" t="s">
        <v>86</v>
      </c>
      <c r="CM3268" s="2"/>
    </row>
    <row r="3269" spans="1:91">
      <c r="A3269" s="2" t="s">
        <v>71</v>
      </c>
      <c r="B3269" s="2" t="s">
        <v>72</v>
      </c>
      <c r="C3269" s="2" t="s">
        <v>73</v>
      </c>
      <c r="D3269" s="2"/>
      <c r="E3269" s="2" t="str">
        <f>"FES1162544308"</f>
        <v>FES1162544308</v>
      </c>
      <c r="F3269" s="3">
        <v>42844</v>
      </c>
      <c r="G3269" s="2">
        <v>201710</v>
      </c>
      <c r="H3269" s="2" t="s">
        <v>74</v>
      </c>
      <c r="I3269" s="2" t="s">
        <v>75</v>
      </c>
      <c r="J3269" s="2" t="s">
        <v>200</v>
      </c>
      <c r="K3269" s="2" t="s">
        <v>77</v>
      </c>
      <c r="L3269" s="2" t="s">
        <v>119</v>
      </c>
      <c r="M3269" s="2" t="s">
        <v>120</v>
      </c>
      <c r="N3269" s="2" t="s">
        <v>725</v>
      </c>
      <c r="O3269" s="2" t="s">
        <v>1014</v>
      </c>
      <c r="P3269" s="2" t="str">
        <f>"2170558870                    "</f>
        <v xml:space="preserve">2170558870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4.4800000000000004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10.1</v>
      </c>
      <c r="BJ3269" s="2">
        <v>1.7</v>
      </c>
      <c r="BK3269" s="2">
        <v>11</v>
      </c>
      <c r="BL3269" s="2">
        <v>43.57</v>
      </c>
      <c r="BM3269" s="2">
        <v>6.1</v>
      </c>
      <c r="BN3269" s="2">
        <v>49.67</v>
      </c>
      <c r="BO3269" s="2">
        <v>49.67</v>
      </c>
      <c r="BP3269" s="2"/>
      <c r="BQ3269" s="2" t="s">
        <v>726</v>
      </c>
      <c r="BR3269" s="2" t="s">
        <v>2287</v>
      </c>
      <c r="BS3269" s="3">
        <v>42845</v>
      </c>
      <c r="BT3269" s="4">
        <v>0.36805555555555558</v>
      </c>
      <c r="BU3269" s="2" t="s">
        <v>3334</v>
      </c>
      <c r="BV3269" s="2" t="s">
        <v>111</v>
      </c>
      <c r="BW3269" s="2"/>
      <c r="BX3269" s="2"/>
      <c r="BY3269" s="2">
        <v>8318.7000000000007</v>
      </c>
      <c r="BZ3269" s="2" t="s">
        <v>27</v>
      </c>
      <c r="CA3269" s="2" t="s">
        <v>395</v>
      </c>
      <c r="CB3269" s="2"/>
      <c r="CC3269" s="2" t="s">
        <v>120</v>
      </c>
      <c r="CD3269" s="2">
        <v>2162</v>
      </c>
      <c r="CE3269" s="2" t="s">
        <v>89</v>
      </c>
      <c r="CF3269" s="5">
        <v>42846</v>
      </c>
      <c r="CG3269" s="2"/>
      <c r="CH3269" s="2"/>
      <c r="CI3269" s="2">
        <v>1</v>
      </c>
      <c r="CJ3269" s="2">
        <v>1</v>
      </c>
      <c r="CK3269" s="2">
        <v>32</v>
      </c>
      <c r="CL3269" s="2" t="s">
        <v>86</v>
      </c>
      <c r="CM3269" s="2"/>
    </row>
    <row r="3270" spans="1:91">
      <c r="A3270" s="2" t="s">
        <v>71</v>
      </c>
      <c r="B3270" s="2" t="s">
        <v>72</v>
      </c>
      <c r="C3270" s="2" t="s">
        <v>73</v>
      </c>
      <c r="D3270" s="2"/>
      <c r="E3270" s="2" t="str">
        <f>"FES1162544068"</f>
        <v>FES1162544068</v>
      </c>
      <c r="F3270" s="3">
        <v>42844</v>
      </c>
      <c r="G3270" s="2">
        <v>201710</v>
      </c>
      <c r="H3270" s="2" t="s">
        <v>74</v>
      </c>
      <c r="I3270" s="2" t="s">
        <v>75</v>
      </c>
      <c r="J3270" s="2" t="s">
        <v>200</v>
      </c>
      <c r="K3270" s="2" t="s">
        <v>77</v>
      </c>
      <c r="L3270" s="2" t="s">
        <v>74</v>
      </c>
      <c r="M3270" s="2" t="s">
        <v>75</v>
      </c>
      <c r="N3270" s="2" t="s">
        <v>1157</v>
      </c>
      <c r="O3270" s="2" t="s">
        <v>1014</v>
      </c>
      <c r="P3270" s="2" t="str">
        <f>"2170562664                    "</f>
        <v xml:space="preserve">2170562664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4.4800000000000004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10.8</v>
      </c>
      <c r="BJ3270" s="2">
        <v>3.7</v>
      </c>
      <c r="BK3270" s="2">
        <v>11</v>
      </c>
      <c r="BL3270" s="2">
        <v>43.57</v>
      </c>
      <c r="BM3270" s="2">
        <v>6.1</v>
      </c>
      <c r="BN3270" s="2">
        <v>49.67</v>
      </c>
      <c r="BO3270" s="2">
        <v>49.67</v>
      </c>
      <c r="BP3270" s="2"/>
      <c r="BQ3270" s="2" t="s">
        <v>1158</v>
      </c>
      <c r="BR3270" s="2" t="s">
        <v>2287</v>
      </c>
      <c r="BS3270" s="3">
        <v>42845</v>
      </c>
      <c r="BT3270" s="4">
        <v>0.41666666666666669</v>
      </c>
      <c r="BU3270" s="2" t="s">
        <v>3335</v>
      </c>
      <c r="BV3270" s="2" t="s">
        <v>111</v>
      </c>
      <c r="BW3270" s="2"/>
      <c r="BX3270" s="2"/>
      <c r="BY3270" s="2">
        <v>18579.72</v>
      </c>
      <c r="BZ3270" s="2" t="s">
        <v>27</v>
      </c>
      <c r="CA3270" s="2" t="s">
        <v>159</v>
      </c>
      <c r="CB3270" s="2"/>
      <c r="CC3270" s="2" t="s">
        <v>75</v>
      </c>
      <c r="CD3270" s="2">
        <v>1666</v>
      </c>
      <c r="CE3270" s="2" t="s">
        <v>89</v>
      </c>
      <c r="CF3270" s="5">
        <v>42846</v>
      </c>
      <c r="CG3270" s="2"/>
      <c r="CH3270" s="2"/>
      <c r="CI3270" s="2">
        <v>1</v>
      </c>
      <c r="CJ3270" s="2">
        <v>1</v>
      </c>
      <c r="CK3270" s="2">
        <v>32</v>
      </c>
      <c r="CL3270" s="2" t="s">
        <v>86</v>
      </c>
      <c r="CM3270" s="2"/>
    </row>
    <row r="3271" spans="1:91">
      <c r="A3271" s="2" t="s">
        <v>71</v>
      </c>
      <c r="B3271" s="2" t="s">
        <v>72</v>
      </c>
      <c r="C3271" s="2" t="s">
        <v>73</v>
      </c>
      <c r="D3271" s="2"/>
      <c r="E3271" s="2" t="str">
        <f>"FES1162544146"</f>
        <v>FES1162544146</v>
      </c>
      <c r="F3271" s="3">
        <v>42844</v>
      </c>
      <c r="G3271" s="2">
        <v>201710</v>
      </c>
      <c r="H3271" s="2" t="s">
        <v>74</v>
      </c>
      <c r="I3271" s="2" t="s">
        <v>75</v>
      </c>
      <c r="J3271" s="2" t="s">
        <v>200</v>
      </c>
      <c r="K3271" s="2" t="s">
        <v>77</v>
      </c>
      <c r="L3271" s="2" t="s">
        <v>260</v>
      </c>
      <c r="M3271" s="2" t="s">
        <v>261</v>
      </c>
      <c r="N3271" s="2" t="s">
        <v>326</v>
      </c>
      <c r="O3271" s="2" t="s">
        <v>1014</v>
      </c>
      <c r="P3271" s="2" t="str">
        <f>"2170562736                    "</f>
        <v xml:space="preserve">2170562736 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4.0999999999999996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2</v>
      </c>
      <c r="BI3271" s="2">
        <v>9.8000000000000007</v>
      </c>
      <c r="BJ3271" s="2">
        <v>2.2000000000000002</v>
      </c>
      <c r="BK3271" s="2">
        <v>10</v>
      </c>
      <c r="BL3271" s="2">
        <v>39.909999999999997</v>
      </c>
      <c r="BM3271" s="2">
        <v>5.59</v>
      </c>
      <c r="BN3271" s="2">
        <v>45.5</v>
      </c>
      <c r="BO3271" s="2">
        <v>45.5</v>
      </c>
      <c r="BP3271" s="2"/>
      <c r="BQ3271" s="2"/>
      <c r="BR3271" s="2" t="s">
        <v>2287</v>
      </c>
      <c r="BS3271" s="3">
        <v>42845</v>
      </c>
      <c r="BT3271" s="4">
        <v>0.41666666666666669</v>
      </c>
      <c r="BU3271" s="2" t="s">
        <v>1373</v>
      </c>
      <c r="BV3271" s="2" t="s">
        <v>111</v>
      </c>
      <c r="BW3271" s="2"/>
      <c r="BX3271" s="2"/>
      <c r="BY3271" s="2">
        <v>11171</v>
      </c>
      <c r="BZ3271" s="2" t="s">
        <v>27</v>
      </c>
      <c r="CA3271" s="2"/>
      <c r="CB3271" s="2"/>
      <c r="CC3271" s="2" t="s">
        <v>261</v>
      </c>
      <c r="CD3271" s="2">
        <v>1451</v>
      </c>
      <c r="CE3271" s="2" t="s">
        <v>89</v>
      </c>
      <c r="CF3271" s="5">
        <v>42846</v>
      </c>
      <c r="CG3271" s="2"/>
      <c r="CH3271" s="2"/>
      <c r="CI3271" s="2">
        <v>1</v>
      </c>
      <c r="CJ3271" s="2">
        <v>1</v>
      </c>
      <c r="CK3271" s="2">
        <v>32</v>
      </c>
      <c r="CL3271" s="2" t="s">
        <v>86</v>
      </c>
      <c r="CM3271" s="2"/>
    </row>
    <row r="3272" spans="1:91">
      <c r="A3272" s="2" t="s">
        <v>71</v>
      </c>
      <c r="B3272" s="2" t="s">
        <v>72</v>
      </c>
      <c r="C3272" s="2" t="s">
        <v>73</v>
      </c>
      <c r="D3272" s="2"/>
      <c r="E3272" s="2" t="str">
        <f>"FES1162544281"</f>
        <v>FES1162544281</v>
      </c>
      <c r="F3272" s="3">
        <v>42844</v>
      </c>
      <c r="G3272" s="2">
        <v>201710</v>
      </c>
      <c r="H3272" s="2" t="s">
        <v>74</v>
      </c>
      <c r="I3272" s="2" t="s">
        <v>75</v>
      </c>
      <c r="J3272" s="2" t="s">
        <v>200</v>
      </c>
      <c r="K3272" s="2" t="s">
        <v>77</v>
      </c>
      <c r="L3272" s="2" t="s">
        <v>1161</v>
      </c>
      <c r="M3272" s="2" t="s">
        <v>1162</v>
      </c>
      <c r="N3272" s="2" t="s">
        <v>1163</v>
      </c>
      <c r="O3272" s="2" t="s">
        <v>1014</v>
      </c>
      <c r="P3272" s="2" t="str">
        <f>"2170562887                    "</f>
        <v xml:space="preserve">2170562887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6.03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1</v>
      </c>
      <c r="BI3272" s="2">
        <v>3</v>
      </c>
      <c r="BJ3272" s="2">
        <v>3.5</v>
      </c>
      <c r="BK3272" s="2">
        <v>4</v>
      </c>
      <c r="BL3272" s="2">
        <v>58.68</v>
      </c>
      <c r="BM3272" s="2">
        <v>8.2200000000000006</v>
      </c>
      <c r="BN3272" s="2">
        <v>66.900000000000006</v>
      </c>
      <c r="BO3272" s="2">
        <v>66.900000000000006</v>
      </c>
      <c r="BP3272" s="2"/>
      <c r="BQ3272" s="2" t="s">
        <v>122</v>
      </c>
      <c r="BR3272" s="2" t="s">
        <v>2287</v>
      </c>
      <c r="BS3272" s="3">
        <v>42845</v>
      </c>
      <c r="BT3272" s="4">
        <v>0.57291666666666663</v>
      </c>
      <c r="BU3272" s="2" t="s">
        <v>2737</v>
      </c>
      <c r="BV3272" s="2" t="s">
        <v>111</v>
      </c>
      <c r="BW3272" s="2"/>
      <c r="BX3272" s="2"/>
      <c r="BY3272" s="2">
        <v>17661</v>
      </c>
      <c r="BZ3272" s="2" t="s">
        <v>27</v>
      </c>
      <c r="CA3272" s="2" t="s">
        <v>159</v>
      </c>
      <c r="CB3272" s="2"/>
      <c r="CC3272" s="2" t="s">
        <v>1162</v>
      </c>
      <c r="CD3272" s="2">
        <v>1028</v>
      </c>
      <c r="CE3272" s="2" t="s">
        <v>172</v>
      </c>
      <c r="CF3272" s="5">
        <v>42851</v>
      </c>
      <c r="CG3272" s="2"/>
      <c r="CH3272" s="2"/>
      <c r="CI3272" s="2">
        <v>0</v>
      </c>
      <c r="CJ3272" s="2">
        <v>0</v>
      </c>
      <c r="CK3272" s="2">
        <v>34</v>
      </c>
      <c r="CL3272" s="2" t="s">
        <v>86</v>
      </c>
      <c r="CM3272" s="2"/>
    </row>
    <row r="3273" spans="1:91">
      <c r="A3273" s="2" t="s">
        <v>71</v>
      </c>
      <c r="B3273" s="2" t="s">
        <v>72</v>
      </c>
      <c r="C3273" s="2" t="s">
        <v>73</v>
      </c>
      <c r="D3273" s="2"/>
      <c r="E3273" s="2" t="str">
        <f>"FES1162544098"</f>
        <v>FES1162544098</v>
      </c>
      <c r="F3273" s="3">
        <v>42844</v>
      </c>
      <c r="G3273" s="2">
        <v>201710</v>
      </c>
      <c r="H3273" s="2" t="s">
        <v>74</v>
      </c>
      <c r="I3273" s="2" t="s">
        <v>75</v>
      </c>
      <c r="J3273" s="2" t="s">
        <v>200</v>
      </c>
      <c r="K3273" s="2" t="s">
        <v>77</v>
      </c>
      <c r="L3273" s="2" t="s">
        <v>231</v>
      </c>
      <c r="M3273" s="2" t="s">
        <v>232</v>
      </c>
      <c r="N3273" s="2" t="s">
        <v>3336</v>
      </c>
      <c r="O3273" s="2" t="s">
        <v>1014</v>
      </c>
      <c r="P3273" s="2" t="str">
        <f>"2170562715                    "</f>
        <v xml:space="preserve">2170562715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6.03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1.7</v>
      </c>
      <c r="BJ3273" s="2">
        <v>2.6</v>
      </c>
      <c r="BK3273" s="2">
        <v>3</v>
      </c>
      <c r="BL3273" s="2">
        <v>58.68</v>
      </c>
      <c r="BM3273" s="2">
        <v>8.2200000000000006</v>
      </c>
      <c r="BN3273" s="2">
        <v>66.900000000000006</v>
      </c>
      <c r="BO3273" s="2">
        <v>66.900000000000006</v>
      </c>
      <c r="BP3273" s="2"/>
      <c r="BQ3273" s="2" t="s">
        <v>3337</v>
      </c>
      <c r="BR3273" s="2" t="s">
        <v>2287</v>
      </c>
      <c r="BS3273" s="3">
        <v>42845</v>
      </c>
      <c r="BT3273" s="4">
        <v>0.52083333333333337</v>
      </c>
      <c r="BU3273" s="2" t="s">
        <v>3138</v>
      </c>
      <c r="BV3273" s="2" t="s">
        <v>111</v>
      </c>
      <c r="BW3273" s="2"/>
      <c r="BX3273" s="2"/>
      <c r="BY3273" s="2">
        <v>12844.3</v>
      </c>
      <c r="BZ3273" s="2" t="s">
        <v>27</v>
      </c>
      <c r="CA3273" s="2"/>
      <c r="CB3273" s="2"/>
      <c r="CC3273" s="2" t="s">
        <v>232</v>
      </c>
      <c r="CD3273" s="2">
        <v>216</v>
      </c>
      <c r="CE3273" s="2" t="s">
        <v>172</v>
      </c>
      <c r="CF3273" s="5">
        <v>42849</v>
      </c>
      <c r="CG3273" s="2"/>
      <c r="CH3273" s="2"/>
      <c r="CI3273" s="2">
        <v>1</v>
      </c>
      <c r="CJ3273" s="2">
        <v>1</v>
      </c>
      <c r="CK3273" s="2">
        <v>34</v>
      </c>
      <c r="CL3273" s="2" t="s">
        <v>86</v>
      </c>
      <c r="CM3273" s="2"/>
    </row>
    <row r="3274" spans="1:91">
      <c r="A3274" s="2" t="s">
        <v>71</v>
      </c>
      <c r="B3274" s="2" t="s">
        <v>72</v>
      </c>
      <c r="C3274" s="2" t="s">
        <v>73</v>
      </c>
      <c r="D3274" s="2"/>
      <c r="E3274" s="2" t="str">
        <f>"FES1162544144"</f>
        <v>FES1162544144</v>
      </c>
      <c r="F3274" s="3">
        <v>42844</v>
      </c>
      <c r="G3274" s="2">
        <v>201710</v>
      </c>
      <c r="H3274" s="2" t="s">
        <v>74</v>
      </c>
      <c r="I3274" s="2" t="s">
        <v>75</v>
      </c>
      <c r="J3274" s="2" t="s">
        <v>200</v>
      </c>
      <c r="K3274" s="2" t="s">
        <v>77</v>
      </c>
      <c r="L3274" s="2" t="s">
        <v>496</v>
      </c>
      <c r="M3274" s="2" t="s">
        <v>497</v>
      </c>
      <c r="N3274" s="2" t="s">
        <v>3338</v>
      </c>
      <c r="O3274" s="2" t="s">
        <v>1014</v>
      </c>
      <c r="P3274" s="2" t="str">
        <f>"2170562733                    "</f>
        <v xml:space="preserve">2170562733 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3.72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8.8000000000000007</v>
      </c>
      <c r="BJ3274" s="2">
        <v>9</v>
      </c>
      <c r="BK3274" s="2">
        <v>9</v>
      </c>
      <c r="BL3274" s="2">
        <v>36.25</v>
      </c>
      <c r="BM3274" s="2">
        <v>5.08</v>
      </c>
      <c r="BN3274" s="2">
        <v>41.33</v>
      </c>
      <c r="BO3274" s="2">
        <v>41.33</v>
      </c>
      <c r="BP3274" s="2"/>
      <c r="BQ3274" s="2"/>
      <c r="BR3274" s="2" t="s">
        <v>2287</v>
      </c>
      <c r="BS3274" s="3">
        <v>42845</v>
      </c>
      <c r="BT3274" s="4">
        <v>0.40277777777777773</v>
      </c>
      <c r="BU3274" s="2" t="s">
        <v>266</v>
      </c>
      <c r="BV3274" s="2" t="s">
        <v>111</v>
      </c>
      <c r="BW3274" s="2"/>
      <c r="BX3274" s="2"/>
      <c r="BY3274" s="2">
        <v>44818.62</v>
      </c>
      <c r="BZ3274" s="2" t="s">
        <v>27</v>
      </c>
      <c r="CA3274" s="2"/>
      <c r="CB3274" s="2"/>
      <c r="CC3274" s="2" t="s">
        <v>497</v>
      </c>
      <c r="CD3274" s="2">
        <v>1559</v>
      </c>
      <c r="CE3274" s="2" t="s">
        <v>89</v>
      </c>
      <c r="CF3274" s="5">
        <v>42846</v>
      </c>
      <c r="CG3274" s="2"/>
      <c r="CH3274" s="2"/>
      <c r="CI3274" s="2">
        <v>1</v>
      </c>
      <c r="CJ3274" s="2">
        <v>1</v>
      </c>
      <c r="CK3274" s="2">
        <v>32</v>
      </c>
      <c r="CL3274" s="2" t="s">
        <v>86</v>
      </c>
      <c r="CM3274" s="2"/>
    </row>
    <row r="3275" spans="1:91">
      <c r="A3275" s="2" t="s">
        <v>71</v>
      </c>
      <c r="B3275" s="2" t="s">
        <v>72</v>
      </c>
      <c r="C3275" s="2" t="s">
        <v>73</v>
      </c>
      <c r="D3275" s="2"/>
      <c r="E3275" s="2" t="str">
        <f>"FES1162544095"</f>
        <v>FES1162544095</v>
      </c>
      <c r="F3275" s="3">
        <v>42844</v>
      </c>
      <c r="G3275" s="2">
        <v>201710</v>
      </c>
      <c r="H3275" s="2" t="s">
        <v>74</v>
      </c>
      <c r="I3275" s="2" t="s">
        <v>75</v>
      </c>
      <c r="J3275" s="2" t="s">
        <v>200</v>
      </c>
      <c r="K3275" s="2" t="s">
        <v>77</v>
      </c>
      <c r="L3275" s="2" t="s">
        <v>74</v>
      </c>
      <c r="M3275" s="2" t="s">
        <v>75</v>
      </c>
      <c r="N3275" s="2" t="s">
        <v>1684</v>
      </c>
      <c r="O3275" s="2" t="s">
        <v>1014</v>
      </c>
      <c r="P3275" s="2" t="str">
        <f>"2170562703                    "</f>
        <v xml:space="preserve">2170562703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4.8499999999999996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1</v>
      </c>
      <c r="BI3275" s="2">
        <v>12</v>
      </c>
      <c r="BJ3275" s="2">
        <v>5.4</v>
      </c>
      <c r="BK3275" s="2">
        <v>12</v>
      </c>
      <c r="BL3275" s="2">
        <v>47.22</v>
      </c>
      <c r="BM3275" s="2">
        <v>6.61</v>
      </c>
      <c r="BN3275" s="2">
        <v>53.83</v>
      </c>
      <c r="BO3275" s="2">
        <v>53.83</v>
      </c>
      <c r="BP3275" s="2"/>
      <c r="BQ3275" s="2" t="s">
        <v>1685</v>
      </c>
      <c r="BR3275" s="2" t="s">
        <v>2287</v>
      </c>
      <c r="BS3275" s="3">
        <v>42845</v>
      </c>
      <c r="BT3275" s="4">
        <v>0.3430555555555555</v>
      </c>
      <c r="BU3275" s="2" t="s">
        <v>2662</v>
      </c>
      <c r="BV3275" s="2" t="s">
        <v>111</v>
      </c>
      <c r="BW3275" s="2"/>
      <c r="BX3275" s="2"/>
      <c r="BY3275" s="2">
        <v>27000</v>
      </c>
      <c r="BZ3275" s="2" t="s">
        <v>27</v>
      </c>
      <c r="CA3275" s="2" t="s">
        <v>1687</v>
      </c>
      <c r="CB3275" s="2"/>
      <c r="CC3275" s="2" t="s">
        <v>75</v>
      </c>
      <c r="CD3275" s="2">
        <v>1609</v>
      </c>
      <c r="CE3275" s="2" t="s">
        <v>172</v>
      </c>
      <c r="CF3275" s="5">
        <v>42845</v>
      </c>
      <c r="CG3275" s="2"/>
      <c r="CH3275" s="2"/>
      <c r="CI3275" s="2">
        <v>1</v>
      </c>
      <c r="CJ3275" s="2">
        <v>1</v>
      </c>
      <c r="CK3275" s="2">
        <v>32</v>
      </c>
      <c r="CL3275" s="2" t="s">
        <v>86</v>
      </c>
      <c r="CM3275" s="2"/>
    </row>
    <row r="3276" spans="1:91">
      <c r="A3276" s="2" t="s">
        <v>71</v>
      </c>
      <c r="B3276" s="2" t="s">
        <v>72</v>
      </c>
      <c r="C3276" s="2" t="s">
        <v>73</v>
      </c>
      <c r="D3276" s="2"/>
      <c r="E3276" s="2" t="str">
        <f>"FES1162543636"</f>
        <v>FES1162543636</v>
      </c>
      <c r="F3276" s="3">
        <v>42838</v>
      </c>
      <c r="G3276" s="2">
        <v>201710</v>
      </c>
      <c r="H3276" s="2" t="s">
        <v>74</v>
      </c>
      <c r="I3276" s="2" t="s">
        <v>75</v>
      </c>
      <c r="J3276" s="2" t="s">
        <v>200</v>
      </c>
      <c r="K3276" s="2" t="s">
        <v>77</v>
      </c>
      <c r="L3276" s="2" t="s">
        <v>934</v>
      </c>
      <c r="M3276" s="2" t="s">
        <v>935</v>
      </c>
      <c r="N3276" s="2" t="s">
        <v>3339</v>
      </c>
      <c r="O3276" s="2" t="s">
        <v>1014</v>
      </c>
      <c r="P3276" s="2" t="str">
        <f>"2107559521                    "</f>
        <v xml:space="preserve">2107559521 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6.03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4</v>
      </c>
      <c r="BJ3276" s="2">
        <v>3.6</v>
      </c>
      <c r="BK3276" s="2">
        <v>4</v>
      </c>
      <c r="BL3276" s="2">
        <v>58.68</v>
      </c>
      <c r="BM3276" s="2">
        <v>8.2200000000000006</v>
      </c>
      <c r="BN3276" s="2">
        <v>66.900000000000006</v>
      </c>
      <c r="BO3276" s="2">
        <v>66.900000000000006</v>
      </c>
      <c r="BP3276" s="2"/>
      <c r="BQ3276" s="2" t="s">
        <v>3340</v>
      </c>
      <c r="BR3276" s="2" t="s">
        <v>2287</v>
      </c>
      <c r="BS3276" s="3">
        <v>42844</v>
      </c>
      <c r="BT3276" s="4">
        <v>0.41666666666666669</v>
      </c>
      <c r="BU3276" s="2" t="s">
        <v>3341</v>
      </c>
      <c r="BV3276" s="2" t="s">
        <v>86</v>
      </c>
      <c r="BW3276" s="2" t="s">
        <v>96</v>
      </c>
      <c r="BX3276" s="2" t="s">
        <v>97</v>
      </c>
      <c r="BY3276" s="2">
        <v>18000</v>
      </c>
      <c r="BZ3276" s="2" t="s">
        <v>27</v>
      </c>
      <c r="CA3276" s="2"/>
      <c r="CB3276" s="2"/>
      <c r="CC3276" s="2" t="s">
        <v>935</v>
      </c>
      <c r="CD3276" s="2">
        <v>1939</v>
      </c>
      <c r="CE3276" s="2" t="s">
        <v>89</v>
      </c>
      <c r="CF3276" s="5">
        <v>42846</v>
      </c>
      <c r="CG3276" s="2"/>
      <c r="CH3276" s="2"/>
      <c r="CI3276" s="2">
        <v>1</v>
      </c>
      <c r="CJ3276" s="2">
        <v>4</v>
      </c>
      <c r="CK3276" s="2">
        <v>34</v>
      </c>
      <c r="CL3276" s="2" t="s">
        <v>86</v>
      </c>
      <c r="CM3276" s="2"/>
    </row>
    <row r="3277" spans="1:91">
      <c r="A3277" s="2" t="s">
        <v>71</v>
      </c>
      <c r="B3277" s="2" t="s">
        <v>72</v>
      </c>
      <c r="C3277" s="2" t="s">
        <v>73</v>
      </c>
      <c r="D3277" s="2"/>
      <c r="E3277" s="2" t="str">
        <f>"FES1162543568"</f>
        <v>FES1162543568</v>
      </c>
      <c r="F3277" s="3">
        <v>42838</v>
      </c>
      <c r="G3277" s="2">
        <v>201710</v>
      </c>
      <c r="H3277" s="2" t="s">
        <v>74</v>
      </c>
      <c r="I3277" s="2" t="s">
        <v>75</v>
      </c>
      <c r="J3277" s="2" t="s">
        <v>200</v>
      </c>
      <c r="K3277" s="2" t="s">
        <v>77</v>
      </c>
      <c r="L3277" s="2" t="s">
        <v>74</v>
      </c>
      <c r="M3277" s="2" t="s">
        <v>75</v>
      </c>
      <c r="N3277" s="2" t="s">
        <v>436</v>
      </c>
      <c r="O3277" s="2" t="s">
        <v>1014</v>
      </c>
      <c r="P3277" s="2" t="str">
        <f>"2170562238                    "</f>
        <v xml:space="preserve">2170562238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4.4800000000000004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7.1</v>
      </c>
      <c r="BJ3277" s="2">
        <v>10.3</v>
      </c>
      <c r="BK3277" s="2">
        <v>11</v>
      </c>
      <c r="BL3277" s="2">
        <v>43.57</v>
      </c>
      <c r="BM3277" s="2">
        <v>6.1</v>
      </c>
      <c r="BN3277" s="2">
        <v>49.67</v>
      </c>
      <c r="BO3277" s="2">
        <v>49.67</v>
      </c>
      <c r="BP3277" s="2"/>
      <c r="BQ3277" s="2" t="s">
        <v>437</v>
      </c>
      <c r="BR3277" s="2" t="s">
        <v>2287</v>
      </c>
      <c r="BS3277" s="3">
        <v>42843</v>
      </c>
      <c r="BT3277" s="4">
        <v>0.31944444444444448</v>
      </c>
      <c r="BU3277" s="2" t="s">
        <v>3342</v>
      </c>
      <c r="BV3277" s="2" t="s">
        <v>86</v>
      </c>
      <c r="BW3277" s="2" t="s">
        <v>164</v>
      </c>
      <c r="BX3277" s="2" t="s">
        <v>618</v>
      </c>
      <c r="BY3277" s="2">
        <v>51434.22</v>
      </c>
      <c r="BZ3277" s="2" t="s">
        <v>27</v>
      </c>
      <c r="CA3277" s="2"/>
      <c r="CB3277" s="2"/>
      <c r="CC3277" s="2" t="s">
        <v>75</v>
      </c>
      <c r="CD3277" s="2">
        <v>1600</v>
      </c>
      <c r="CE3277" s="2" t="s">
        <v>89</v>
      </c>
      <c r="CF3277" s="5">
        <v>42844</v>
      </c>
      <c r="CG3277" s="2"/>
      <c r="CH3277" s="2"/>
      <c r="CI3277" s="2">
        <v>1</v>
      </c>
      <c r="CJ3277" s="2">
        <v>3</v>
      </c>
      <c r="CK3277" s="2">
        <v>32</v>
      </c>
      <c r="CL3277" s="2" t="s">
        <v>86</v>
      </c>
      <c r="CM3277" s="2"/>
    </row>
    <row r="3278" spans="1:91">
      <c r="A3278" s="2" t="s">
        <v>71</v>
      </c>
      <c r="B3278" s="2" t="s">
        <v>72</v>
      </c>
      <c r="C3278" s="2" t="s">
        <v>73</v>
      </c>
      <c r="D3278" s="2"/>
      <c r="E3278" s="2" t="str">
        <f>"FES1162544533"</f>
        <v>FES1162544533</v>
      </c>
      <c r="F3278" s="3">
        <v>42845</v>
      </c>
      <c r="G3278" s="2">
        <v>201710</v>
      </c>
      <c r="H3278" s="2" t="s">
        <v>74</v>
      </c>
      <c r="I3278" s="2" t="s">
        <v>75</v>
      </c>
      <c r="J3278" s="2" t="s">
        <v>200</v>
      </c>
      <c r="K3278" s="2" t="s">
        <v>77</v>
      </c>
      <c r="L3278" s="2" t="s">
        <v>166</v>
      </c>
      <c r="M3278" s="2" t="s">
        <v>167</v>
      </c>
      <c r="N3278" s="2" t="s">
        <v>283</v>
      </c>
      <c r="O3278" s="2" t="s">
        <v>1014</v>
      </c>
      <c r="P3278" s="2" t="str">
        <f>"2170560875                    "</f>
        <v xml:space="preserve">2170560875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4.0999999999999996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10</v>
      </c>
      <c r="BJ3278" s="2">
        <v>4.0999999999999996</v>
      </c>
      <c r="BK3278" s="2">
        <v>10</v>
      </c>
      <c r="BL3278" s="2">
        <v>39.909999999999997</v>
      </c>
      <c r="BM3278" s="2">
        <v>5.59</v>
      </c>
      <c r="BN3278" s="2">
        <v>45.5</v>
      </c>
      <c r="BO3278" s="2">
        <v>45.5</v>
      </c>
      <c r="BP3278" s="2"/>
      <c r="BQ3278" s="2" t="s">
        <v>122</v>
      </c>
      <c r="BR3278" s="2" t="s">
        <v>2287</v>
      </c>
      <c r="BS3278" s="3">
        <v>42846</v>
      </c>
      <c r="BT3278" s="4">
        <v>0.40625</v>
      </c>
      <c r="BU3278" s="2" t="s">
        <v>290</v>
      </c>
      <c r="BV3278" s="2" t="s">
        <v>111</v>
      </c>
      <c r="BW3278" s="2"/>
      <c r="BX3278" s="2"/>
      <c r="BY3278" s="2">
        <v>20358</v>
      </c>
      <c r="BZ3278" s="2" t="s">
        <v>27</v>
      </c>
      <c r="CA3278" s="2" t="s">
        <v>171</v>
      </c>
      <c r="CB3278" s="2"/>
      <c r="CC3278" s="2" t="s">
        <v>167</v>
      </c>
      <c r="CD3278" s="2">
        <v>2011</v>
      </c>
      <c r="CE3278" s="2" t="s">
        <v>89</v>
      </c>
      <c r="CF3278" s="5">
        <v>42846</v>
      </c>
      <c r="CG3278" s="2"/>
      <c r="CH3278" s="2"/>
      <c r="CI3278" s="2">
        <v>1</v>
      </c>
      <c r="CJ3278" s="2">
        <v>1</v>
      </c>
      <c r="CK3278" s="2">
        <v>32</v>
      </c>
      <c r="CL3278" s="2" t="s">
        <v>86</v>
      </c>
      <c r="CM3278" s="2"/>
    </row>
    <row r="3279" spans="1:91">
      <c r="A3279" s="2" t="s">
        <v>71</v>
      </c>
      <c r="B3279" s="2" t="s">
        <v>72</v>
      </c>
      <c r="C3279" s="2" t="s">
        <v>73</v>
      </c>
      <c r="D3279" s="2"/>
      <c r="E3279" s="2" t="str">
        <f>"FES1162543905"</f>
        <v>FES1162543905</v>
      </c>
      <c r="F3279" s="3">
        <v>42843</v>
      </c>
      <c r="G3279" s="2">
        <v>201710</v>
      </c>
      <c r="H3279" s="2" t="s">
        <v>74</v>
      </c>
      <c r="I3279" s="2" t="s">
        <v>75</v>
      </c>
      <c r="J3279" s="2" t="s">
        <v>200</v>
      </c>
      <c r="K3279" s="2" t="s">
        <v>77</v>
      </c>
      <c r="L3279" s="2" t="s">
        <v>934</v>
      </c>
      <c r="M3279" s="2" t="s">
        <v>935</v>
      </c>
      <c r="N3279" s="2" t="s">
        <v>1652</v>
      </c>
      <c r="O3279" s="2" t="s">
        <v>1014</v>
      </c>
      <c r="P3279" s="2" t="str">
        <f>"2170560625                    "</f>
        <v xml:space="preserve">2170560625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6.03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3.4</v>
      </c>
      <c r="BJ3279" s="2">
        <v>1.7</v>
      </c>
      <c r="BK3279" s="2">
        <v>4</v>
      </c>
      <c r="BL3279" s="2">
        <v>58.68</v>
      </c>
      <c r="BM3279" s="2">
        <v>8.2200000000000006</v>
      </c>
      <c r="BN3279" s="2">
        <v>66.900000000000006</v>
      </c>
      <c r="BO3279" s="2">
        <v>66.900000000000006</v>
      </c>
      <c r="BP3279" s="2"/>
      <c r="BQ3279" s="2" t="s">
        <v>129</v>
      </c>
      <c r="BR3279" s="2" t="s">
        <v>2287</v>
      </c>
      <c r="BS3279" s="3">
        <v>42844</v>
      </c>
      <c r="BT3279" s="4">
        <v>0.41666666666666669</v>
      </c>
      <c r="BU3279" s="2" t="s">
        <v>1653</v>
      </c>
      <c r="BV3279" s="2" t="s">
        <v>111</v>
      </c>
      <c r="BW3279" s="2"/>
      <c r="BX3279" s="2"/>
      <c r="BY3279" s="2">
        <v>8490.4599999999991</v>
      </c>
      <c r="BZ3279" s="2" t="s">
        <v>27</v>
      </c>
      <c r="CA3279" s="2"/>
      <c r="CB3279" s="2"/>
      <c r="CC3279" s="2" t="s">
        <v>935</v>
      </c>
      <c r="CD3279" s="2">
        <v>1939</v>
      </c>
      <c r="CE3279" s="2" t="s">
        <v>89</v>
      </c>
      <c r="CF3279" s="5">
        <v>42846</v>
      </c>
      <c r="CG3279" s="2"/>
      <c r="CH3279" s="2"/>
      <c r="CI3279" s="2">
        <v>1</v>
      </c>
      <c r="CJ3279" s="2">
        <v>1</v>
      </c>
      <c r="CK3279" s="2">
        <v>34</v>
      </c>
      <c r="CL3279" s="2" t="s">
        <v>86</v>
      </c>
      <c r="CM3279" s="2"/>
    </row>
    <row r="3280" spans="1:91">
      <c r="A3280" s="2" t="s">
        <v>71</v>
      </c>
      <c r="B3280" s="2" t="s">
        <v>72</v>
      </c>
      <c r="C3280" s="2" t="s">
        <v>73</v>
      </c>
      <c r="D3280" s="2"/>
      <c r="E3280" s="2" t="str">
        <f>"FES1162543903"</f>
        <v>FES1162543903</v>
      </c>
      <c r="F3280" s="3">
        <v>42843</v>
      </c>
      <c r="G3280" s="2">
        <v>201710</v>
      </c>
      <c r="H3280" s="2" t="s">
        <v>74</v>
      </c>
      <c r="I3280" s="2" t="s">
        <v>75</v>
      </c>
      <c r="J3280" s="2" t="s">
        <v>200</v>
      </c>
      <c r="K3280" s="2" t="s">
        <v>77</v>
      </c>
      <c r="L3280" s="2" t="s">
        <v>934</v>
      </c>
      <c r="M3280" s="2" t="s">
        <v>935</v>
      </c>
      <c r="N3280" s="2" t="s">
        <v>1652</v>
      </c>
      <c r="O3280" s="2" t="s">
        <v>1014</v>
      </c>
      <c r="P3280" s="2" t="str">
        <f>"2170560625                    "</f>
        <v xml:space="preserve">2170560625 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6.03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3.1</v>
      </c>
      <c r="BJ3280" s="2">
        <v>0.9</v>
      </c>
      <c r="BK3280" s="2">
        <v>4</v>
      </c>
      <c r="BL3280" s="2">
        <v>58.68</v>
      </c>
      <c r="BM3280" s="2">
        <v>8.2200000000000006</v>
      </c>
      <c r="BN3280" s="2">
        <v>66.900000000000006</v>
      </c>
      <c r="BO3280" s="2">
        <v>66.900000000000006</v>
      </c>
      <c r="BP3280" s="2"/>
      <c r="BQ3280" s="2" t="s">
        <v>129</v>
      </c>
      <c r="BR3280" s="2" t="s">
        <v>2287</v>
      </c>
      <c r="BS3280" s="3">
        <v>42844</v>
      </c>
      <c r="BT3280" s="4">
        <v>0.41666666666666669</v>
      </c>
      <c r="BU3280" s="2" t="s">
        <v>1653</v>
      </c>
      <c r="BV3280" s="2" t="s">
        <v>111</v>
      </c>
      <c r="BW3280" s="2"/>
      <c r="BX3280" s="2"/>
      <c r="BY3280" s="2">
        <v>4713.93</v>
      </c>
      <c r="BZ3280" s="2" t="s">
        <v>27</v>
      </c>
      <c r="CA3280" s="2"/>
      <c r="CB3280" s="2"/>
      <c r="CC3280" s="2" t="s">
        <v>935</v>
      </c>
      <c r="CD3280" s="2">
        <v>1939</v>
      </c>
      <c r="CE3280" s="2" t="s">
        <v>89</v>
      </c>
      <c r="CF3280" s="5">
        <v>42846</v>
      </c>
      <c r="CG3280" s="2"/>
      <c r="CH3280" s="2"/>
      <c r="CI3280" s="2">
        <v>1</v>
      </c>
      <c r="CJ3280" s="2">
        <v>1</v>
      </c>
      <c r="CK3280" s="2">
        <v>34</v>
      </c>
      <c r="CL3280" s="2" t="s">
        <v>86</v>
      </c>
      <c r="CM3280" s="2"/>
    </row>
    <row r="3281" spans="1:91">
      <c r="A3281" s="2" t="s">
        <v>71</v>
      </c>
      <c r="B3281" s="2" t="s">
        <v>72</v>
      </c>
      <c r="C3281" s="2" t="s">
        <v>73</v>
      </c>
      <c r="D3281" s="2"/>
      <c r="E3281" s="2" t="str">
        <f>"FES1162541071"</f>
        <v>FES1162541071</v>
      </c>
      <c r="F3281" s="3">
        <v>42828</v>
      </c>
      <c r="G3281" s="2">
        <v>201710</v>
      </c>
      <c r="H3281" s="2" t="s">
        <v>74</v>
      </c>
      <c r="I3281" s="2" t="s">
        <v>75</v>
      </c>
      <c r="J3281" s="2" t="s">
        <v>200</v>
      </c>
      <c r="K3281" s="2" t="s">
        <v>77</v>
      </c>
      <c r="L3281" s="2" t="s">
        <v>609</v>
      </c>
      <c r="M3281" s="2" t="s">
        <v>610</v>
      </c>
      <c r="N3281" s="2" t="s">
        <v>1263</v>
      </c>
      <c r="O3281" s="2" t="s">
        <v>115</v>
      </c>
      <c r="P3281" s="2" t="str">
        <f>"2170556515                    "</f>
        <v xml:space="preserve">2170556515 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4.42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1.7</v>
      </c>
      <c r="BJ3281" s="2">
        <v>1.3</v>
      </c>
      <c r="BK3281" s="2">
        <v>2</v>
      </c>
      <c r="BL3281" s="2">
        <v>41.86</v>
      </c>
      <c r="BM3281" s="2">
        <v>5.86</v>
      </c>
      <c r="BN3281" s="2">
        <v>47.72</v>
      </c>
      <c r="BO3281" s="2">
        <v>47.72</v>
      </c>
      <c r="BP3281" s="2"/>
      <c r="BQ3281" s="2" t="s">
        <v>3343</v>
      </c>
      <c r="BR3281" s="2" t="s">
        <v>204</v>
      </c>
      <c r="BS3281" s="3">
        <v>42829</v>
      </c>
      <c r="BT3281" s="4">
        <v>0.54166666666666663</v>
      </c>
      <c r="BU3281" s="2" t="s">
        <v>983</v>
      </c>
      <c r="BV3281" s="2" t="s">
        <v>86</v>
      </c>
      <c r="BW3281" s="2"/>
      <c r="BX3281" s="2"/>
      <c r="BY3281" s="2">
        <v>6531.84</v>
      </c>
      <c r="BZ3281" s="2" t="s">
        <v>27</v>
      </c>
      <c r="CA3281" s="2"/>
      <c r="CB3281" s="2"/>
      <c r="CC3281" s="2" t="s">
        <v>610</v>
      </c>
      <c r="CD3281" s="2">
        <v>1900</v>
      </c>
      <c r="CE3281" s="2" t="s">
        <v>135</v>
      </c>
      <c r="CF3281" s="5">
        <v>42831</v>
      </c>
      <c r="CG3281" s="2"/>
      <c r="CH3281" s="2"/>
      <c r="CI3281" s="2">
        <v>1</v>
      </c>
      <c r="CJ3281" s="2">
        <v>1</v>
      </c>
      <c r="CK3281" s="2">
        <v>21</v>
      </c>
      <c r="CL3281" s="2" t="s">
        <v>86</v>
      </c>
      <c r="CM3281" s="2"/>
    </row>
    <row r="3282" spans="1:91">
      <c r="A3282" s="2" t="s">
        <v>71</v>
      </c>
      <c r="B3282" s="2" t="s">
        <v>72</v>
      </c>
      <c r="C3282" s="2" t="s">
        <v>73</v>
      </c>
      <c r="D3282" s="2"/>
      <c r="E3282" s="2" t="str">
        <f>"FES1162545755"</f>
        <v>FES1162545755</v>
      </c>
      <c r="F3282" s="3">
        <v>42851</v>
      </c>
      <c r="G3282" s="2">
        <v>201710</v>
      </c>
      <c r="H3282" s="2" t="s">
        <v>74</v>
      </c>
      <c r="I3282" s="2" t="s">
        <v>75</v>
      </c>
      <c r="J3282" s="2" t="s">
        <v>76</v>
      </c>
      <c r="K3282" s="2" t="s">
        <v>77</v>
      </c>
      <c r="L3282" s="2" t="s">
        <v>131</v>
      </c>
      <c r="M3282" s="2" t="s">
        <v>132</v>
      </c>
      <c r="N3282" s="2" t="s">
        <v>3344</v>
      </c>
      <c r="O3282" s="2" t="s">
        <v>115</v>
      </c>
      <c r="P3282" s="2" t="str">
        <f>"2170561773                    "</f>
        <v xml:space="preserve">2170561773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4.29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1</v>
      </c>
      <c r="BJ3282" s="2">
        <v>0.2</v>
      </c>
      <c r="BK3282" s="2">
        <v>1</v>
      </c>
      <c r="BL3282" s="2">
        <v>41.73</v>
      </c>
      <c r="BM3282" s="2">
        <v>5.84</v>
      </c>
      <c r="BN3282" s="2">
        <v>47.57</v>
      </c>
      <c r="BO3282" s="2">
        <v>47.57</v>
      </c>
      <c r="BP3282" s="2"/>
      <c r="BQ3282" s="2" t="s">
        <v>3345</v>
      </c>
      <c r="BR3282" s="2" t="s">
        <v>84</v>
      </c>
      <c r="BS3282" s="3">
        <v>42853</v>
      </c>
      <c r="BT3282" s="4">
        <v>0.34027777777777773</v>
      </c>
      <c r="BU3282" s="2" t="s">
        <v>3346</v>
      </c>
      <c r="BV3282" s="2" t="s">
        <v>86</v>
      </c>
      <c r="BW3282" s="2" t="s">
        <v>157</v>
      </c>
      <c r="BX3282" s="2" t="s">
        <v>1537</v>
      </c>
      <c r="BY3282" s="2">
        <v>1200</v>
      </c>
      <c r="BZ3282" s="2"/>
      <c r="CA3282" s="2"/>
      <c r="CB3282" s="2"/>
      <c r="CC3282" s="2" t="s">
        <v>132</v>
      </c>
      <c r="CD3282" s="2">
        <v>7493</v>
      </c>
      <c r="CE3282" s="2" t="s">
        <v>118</v>
      </c>
      <c r="CF3282" s="2"/>
      <c r="CG3282" s="2"/>
      <c r="CH3282" s="2"/>
      <c r="CI3282" s="2">
        <v>1</v>
      </c>
      <c r="CJ3282" s="2">
        <v>2</v>
      </c>
      <c r="CK3282" s="2">
        <v>21</v>
      </c>
      <c r="CL3282" s="2" t="s">
        <v>86</v>
      </c>
      <c r="CM3282" s="2"/>
    </row>
    <row r="3283" spans="1:91">
      <c r="A3283" s="2" t="s">
        <v>71</v>
      </c>
      <c r="B3283" s="2" t="s">
        <v>72</v>
      </c>
      <c r="C3283" s="2" t="s">
        <v>73</v>
      </c>
      <c r="D3283" s="2"/>
      <c r="E3283" s="2" t="str">
        <f>"FES1162545845"</f>
        <v>FES1162545845</v>
      </c>
      <c r="F3283" s="3">
        <v>42851</v>
      </c>
      <c r="G3283" s="2">
        <v>201710</v>
      </c>
      <c r="H3283" s="2" t="s">
        <v>74</v>
      </c>
      <c r="I3283" s="2" t="s">
        <v>75</v>
      </c>
      <c r="J3283" s="2" t="s">
        <v>76</v>
      </c>
      <c r="K3283" s="2" t="s">
        <v>77</v>
      </c>
      <c r="L3283" s="2" t="s">
        <v>234</v>
      </c>
      <c r="M3283" s="2" t="s">
        <v>235</v>
      </c>
      <c r="N3283" s="2" t="s">
        <v>236</v>
      </c>
      <c r="O3283" s="2" t="s">
        <v>115</v>
      </c>
      <c r="P3283" s="2" t="str">
        <f>"2170564297                    "</f>
        <v xml:space="preserve">2170564297 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4.29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2</v>
      </c>
      <c r="BJ3283" s="2">
        <v>0.2</v>
      </c>
      <c r="BK3283" s="2">
        <v>2</v>
      </c>
      <c r="BL3283" s="2">
        <v>41.73</v>
      </c>
      <c r="BM3283" s="2">
        <v>5.84</v>
      </c>
      <c r="BN3283" s="2">
        <v>47.57</v>
      </c>
      <c r="BO3283" s="2">
        <v>47.57</v>
      </c>
      <c r="BP3283" s="2"/>
      <c r="BQ3283" s="2" t="s">
        <v>285</v>
      </c>
      <c r="BR3283" s="2" t="s">
        <v>84</v>
      </c>
      <c r="BS3283" s="3">
        <v>42851</v>
      </c>
      <c r="BT3283" s="4">
        <v>0.3298611111111111</v>
      </c>
      <c r="BU3283" s="2" t="s">
        <v>3294</v>
      </c>
      <c r="BV3283" s="2" t="s">
        <v>111</v>
      </c>
      <c r="BW3283" s="2"/>
      <c r="BX3283" s="2"/>
      <c r="BY3283" s="2">
        <v>1200</v>
      </c>
      <c r="BZ3283" s="2"/>
      <c r="CA3283" s="2"/>
      <c r="CB3283" s="2"/>
      <c r="CC3283" s="2" t="s">
        <v>235</v>
      </c>
      <c r="CD3283" s="2">
        <v>6220</v>
      </c>
      <c r="CE3283" s="2" t="s">
        <v>118</v>
      </c>
      <c r="CF3283" s="2"/>
      <c r="CG3283" s="2"/>
      <c r="CH3283" s="2"/>
      <c r="CI3283" s="2">
        <v>1</v>
      </c>
      <c r="CJ3283" s="2">
        <v>0</v>
      </c>
      <c r="CK3283" s="2">
        <v>21</v>
      </c>
      <c r="CL3283" s="2" t="s">
        <v>86</v>
      </c>
      <c r="CM3283" s="2"/>
    </row>
    <row r="3284" spans="1:91">
      <c r="A3284" s="2" t="s">
        <v>71</v>
      </c>
      <c r="B3284" s="2" t="s">
        <v>72</v>
      </c>
      <c r="C3284" s="2" t="s">
        <v>73</v>
      </c>
      <c r="D3284" s="2"/>
      <c r="E3284" s="2" t="str">
        <f>"FES1162545701"</f>
        <v>FES1162545701</v>
      </c>
      <c r="F3284" s="3">
        <v>42851</v>
      </c>
      <c r="G3284" s="2">
        <v>201710</v>
      </c>
      <c r="H3284" s="2" t="s">
        <v>74</v>
      </c>
      <c r="I3284" s="2" t="s">
        <v>75</v>
      </c>
      <c r="J3284" s="2" t="s">
        <v>76</v>
      </c>
      <c r="K3284" s="2" t="s">
        <v>77</v>
      </c>
      <c r="L3284" s="2" t="s">
        <v>99</v>
      </c>
      <c r="M3284" s="2" t="s">
        <v>100</v>
      </c>
      <c r="N3284" s="2" t="s">
        <v>848</v>
      </c>
      <c r="O3284" s="2" t="s">
        <v>115</v>
      </c>
      <c r="P3284" s="2" t="str">
        <f>"2170564166                    "</f>
        <v xml:space="preserve">2170564166  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4.29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1</v>
      </c>
      <c r="BJ3284" s="2">
        <v>0.2</v>
      </c>
      <c r="BK3284" s="2">
        <v>1</v>
      </c>
      <c r="BL3284" s="2">
        <v>41.73</v>
      </c>
      <c r="BM3284" s="2">
        <v>5.84</v>
      </c>
      <c r="BN3284" s="2">
        <v>47.57</v>
      </c>
      <c r="BO3284" s="2">
        <v>47.57</v>
      </c>
      <c r="BP3284" s="2"/>
      <c r="BQ3284" s="2" t="s">
        <v>849</v>
      </c>
      <c r="BR3284" s="2" t="s">
        <v>84</v>
      </c>
      <c r="BS3284" s="3">
        <v>42853</v>
      </c>
      <c r="BT3284" s="4">
        <v>0.3125</v>
      </c>
      <c r="BU3284" s="2" t="s">
        <v>3347</v>
      </c>
      <c r="BV3284" s="2" t="s">
        <v>86</v>
      </c>
      <c r="BW3284" s="2"/>
      <c r="BX3284" s="2"/>
      <c r="BY3284" s="2">
        <v>1200</v>
      </c>
      <c r="BZ3284" s="2"/>
      <c r="CA3284" s="2" t="s">
        <v>106</v>
      </c>
      <c r="CB3284" s="2"/>
      <c r="CC3284" s="2" t="s">
        <v>100</v>
      </c>
      <c r="CD3284" s="2">
        <v>6012</v>
      </c>
      <c r="CE3284" s="2" t="s">
        <v>118</v>
      </c>
      <c r="CF3284" s="5">
        <v>42853</v>
      </c>
      <c r="CG3284" s="2"/>
      <c r="CH3284" s="2"/>
      <c r="CI3284" s="2">
        <v>1</v>
      </c>
      <c r="CJ3284" s="2">
        <v>2</v>
      </c>
      <c r="CK3284" s="2">
        <v>21</v>
      </c>
      <c r="CL3284" s="2" t="s">
        <v>86</v>
      </c>
      <c r="CM3284" s="2"/>
    </row>
    <row r="3285" spans="1:91">
      <c r="A3285" s="2" t="s">
        <v>71</v>
      </c>
      <c r="B3285" s="2" t="s">
        <v>72</v>
      </c>
      <c r="C3285" s="2" t="s">
        <v>73</v>
      </c>
      <c r="D3285" s="2"/>
      <c r="E3285" s="2" t="str">
        <f>"FES1162545774"</f>
        <v>FES1162545774</v>
      </c>
      <c r="F3285" s="3">
        <v>42851</v>
      </c>
      <c r="G3285" s="2">
        <v>201710</v>
      </c>
      <c r="H3285" s="2" t="s">
        <v>74</v>
      </c>
      <c r="I3285" s="2" t="s">
        <v>75</v>
      </c>
      <c r="J3285" s="2" t="s">
        <v>76</v>
      </c>
      <c r="K3285" s="2" t="s">
        <v>77</v>
      </c>
      <c r="L3285" s="2" t="s">
        <v>166</v>
      </c>
      <c r="M3285" s="2" t="s">
        <v>167</v>
      </c>
      <c r="N3285" s="2" t="s">
        <v>168</v>
      </c>
      <c r="O3285" s="2" t="s">
        <v>115</v>
      </c>
      <c r="P3285" s="2" t="str">
        <f>"2170563093                    "</f>
        <v xml:space="preserve">2170563093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3.35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1</v>
      </c>
      <c r="BJ3285" s="2">
        <v>0.2</v>
      </c>
      <c r="BK3285" s="2">
        <v>1</v>
      </c>
      <c r="BL3285" s="2">
        <v>32.6</v>
      </c>
      <c r="BM3285" s="2">
        <v>4.5599999999999996</v>
      </c>
      <c r="BN3285" s="2">
        <v>37.159999999999997</v>
      </c>
      <c r="BO3285" s="2">
        <v>37.159999999999997</v>
      </c>
      <c r="BP3285" s="2"/>
      <c r="BQ3285" s="2" t="s">
        <v>169</v>
      </c>
      <c r="BR3285" s="2" t="s">
        <v>84</v>
      </c>
      <c r="BS3285" s="3">
        <v>42853</v>
      </c>
      <c r="BT3285" s="4">
        <v>0.38958333333333334</v>
      </c>
      <c r="BU3285" s="2" t="s">
        <v>1317</v>
      </c>
      <c r="BV3285" s="2" t="s">
        <v>86</v>
      </c>
      <c r="BW3285" s="2" t="s">
        <v>164</v>
      </c>
      <c r="BX3285" s="2" t="s">
        <v>309</v>
      </c>
      <c r="BY3285" s="2">
        <v>1200</v>
      </c>
      <c r="BZ3285" s="2"/>
      <c r="CA3285" s="2" t="s">
        <v>171</v>
      </c>
      <c r="CB3285" s="2"/>
      <c r="CC3285" s="2" t="s">
        <v>167</v>
      </c>
      <c r="CD3285" s="2">
        <v>2094</v>
      </c>
      <c r="CE3285" s="2" t="s">
        <v>118</v>
      </c>
      <c r="CF3285" s="5">
        <v>42853</v>
      </c>
      <c r="CG3285" s="2"/>
      <c r="CH3285" s="2"/>
      <c r="CI3285" s="2">
        <v>1</v>
      </c>
      <c r="CJ3285" s="2">
        <v>2</v>
      </c>
      <c r="CK3285" s="2">
        <v>22</v>
      </c>
      <c r="CL3285" s="2" t="s">
        <v>86</v>
      </c>
      <c r="CM3285" s="2"/>
    </row>
    <row r="3286" spans="1:91">
      <c r="A3286" s="2" t="s">
        <v>71</v>
      </c>
      <c r="B3286" s="2" t="s">
        <v>72</v>
      </c>
      <c r="C3286" s="2" t="s">
        <v>73</v>
      </c>
      <c r="D3286" s="2"/>
      <c r="E3286" s="2" t="str">
        <f>"FES1162545611"</f>
        <v>FES1162545611</v>
      </c>
      <c r="F3286" s="3">
        <v>42851</v>
      </c>
      <c r="G3286" s="2">
        <v>201710</v>
      </c>
      <c r="H3286" s="2" t="s">
        <v>74</v>
      </c>
      <c r="I3286" s="2" t="s">
        <v>75</v>
      </c>
      <c r="J3286" s="2" t="s">
        <v>76</v>
      </c>
      <c r="K3286" s="2" t="s">
        <v>77</v>
      </c>
      <c r="L3286" s="2" t="s">
        <v>99</v>
      </c>
      <c r="M3286" s="2" t="s">
        <v>100</v>
      </c>
      <c r="N3286" s="2" t="s">
        <v>108</v>
      </c>
      <c r="O3286" s="2" t="s">
        <v>115</v>
      </c>
      <c r="P3286" s="2" t="str">
        <f>"2170560243                    "</f>
        <v xml:space="preserve">2170560243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6.43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3</v>
      </c>
      <c r="BJ3286" s="2">
        <v>1.8</v>
      </c>
      <c r="BK3286" s="2">
        <v>3</v>
      </c>
      <c r="BL3286" s="2">
        <v>62.59</v>
      </c>
      <c r="BM3286" s="2">
        <v>8.76</v>
      </c>
      <c r="BN3286" s="2">
        <v>71.349999999999994</v>
      </c>
      <c r="BO3286" s="2">
        <v>71.349999999999994</v>
      </c>
      <c r="BP3286" s="2"/>
      <c r="BQ3286" s="2" t="s">
        <v>109</v>
      </c>
      <c r="BR3286" s="2" t="s">
        <v>84</v>
      </c>
      <c r="BS3286" s="3">
        <v>42853</v>
      </c>
      <c r="BT3286" s="4">
        <v>0.375</v>
      </c>
      <c r="BU3286" s="2" t="s">
        <v>3001</v>
      </c>
      <c r="BV3286" s="2" t="s">
        <v>86</v>
      </c>
      <c r="BW3286" s="2"/>
      <c r="BX3286" s="2"/>
      <c r="BY3286" s="2">
        <v>8816</v>
      </c>
      <c r="BZ3286" s="2"/>
      <c r="CA3286" s="2" t="s">
        <v>106</v>
      </c>
      <c r="CB3286" s="2"/>
      <c r="CC3286" s="2" t="s">
        <v>100</v>
      </c>
      <c r="CD3286" s="2">
        <v>6001</v>
      </c>
      <c r="CE3286" s="2" t="s">
        <v>89</v>
      </c>
      <c r="CF3286" s="5">
        <v>42853</v>
      </c>
      <c r="CG3286" s="2"/>
      <c r="CH3286" s="2"/>
      <c r="CI3286" s="2">
        <v>1</v>
      </c>
      <c r="CJ3286" s="2">
        <v>2</v>
      </c>
      <c r="CK3286" s="2">
        <v>21</v>
      </c>
      <c r="CL3286" s="2" t="s">
        <v>86</v>
      </c>
      <c r="CM3286" s="2"/>
    </row>
    <row r="3287" spans="1:91">
      <c r="A3287" s="2" t="s">
        <v>71</v>
      </c>
      <c r="B3287" s="2" t="s">
        <v>72</v>
      </c>
      <c r="C3287" s="2" t="s">
        <v>73</v>
      </c>
      <c r="D3287" s="2"/>
      <c r="E3287" s="2" t="str">
        <f>"FES1162545803"</f>
        <v>FES1162545803</v>
      </c>
      <c r="F3287" s="3">
        <v>42851</v>
      </c>
      <c r="G3287" s="2">
        <v>201710</v>
      </c>
      <c r="H3287" s="2" t="s">
        <v>74</v>
      </c>
      <c r="I3287" s="2" t="s">
        <v>75</v>
      </c>
      <c r="J3287" s="2" t="s">
        <v>76</v>
      </c>
      <c r="K3287" s="2" t="s">
        <v>77</v>
      </c>
      <c r="L3287" s="2" t="s">
        <v>503</v>
      </c>
      <c r="M3287" s="2" t="s">
        <v>504</v>
      </c>
      <c r="N3287" s="2" t="s">
        <v>764</v>
      </c>
      <c r="O3287" s="2" t="s">
        <v>115</v>
      </c>
      <c r="P3287" s="2" t="str">
        <f>"2170564244                    "</f>
        <v xml:space="preserve">2170564244  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3.35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1</v>
      </c>
      <c r="BI3287" s="2">
        <v>1</v>
      </c>
      <c r="BJ3287" s="2">
        <v>0.2</v>
      </c>
      <c r="BK3287" s="2">
        <v>1</v>
      </c>
      <c r="BL3287" s="2">
        <v>32.6</v>
      </c>
      <c r="BM3287" s="2">
        <v>4.5599999999999996</v>
      </c>
      <c r="BN3287" s="2">
        <v>37.159999999999997</v>
      </c>
      <c r="BO3287" s="2">
        <v>37.159999999999997</v>
      </c>
      <c r="BP3287" s="2"/>
      <c r="BQ3287" s="2" t="s">
        <v>765</v>
      </c>
      <c r="BR3287" s="2" t="s">
        <v>84</v>
      </c>
      <c r="BS3287" s="3">
        <v>42853</v>
      </c>
      <c r="BT3287" s="4">
        <v>0.45833333333333331</v>
      </c>
      <c r="BU3287" s="2" t="s">
        <v>1159</v>
      </c>
      <c r="BV3287" s="2" t="s">
        <v>86</v>
      </c>
      <c r="BW3287" s="2" t="s">
        <v>164</v>
      </c>
      <c r="BX3287" s="2" t="s">
        <v>309</v>
      </c>
      <c r="BY3287" s="2">
        <v>1200</v>
      </c>
      <c r="BZ3287" s="2"/>
      <c r="CA3287" s="2" t="s">
        <v>159</v>
      </c>
      <c r="CB3287" s="2"/>
      <c r="CC3287" s="2" t="s">
        <v>504</v>
      </c>
      <c r="CD3287" s="2">
        <v>1501</v>
      </c>
      <c r="CE3287" s="2" t="s">
        <v>118</v>
      </c>
      <c r="CF3287" s="2"/>
      <c r="CG3287" s="2"/>
      <c r="CH3287" s="2"/>
      <c r="CI3287" s="2">
        <v>1</v>
      </c>
      <c r="CJ3287" s="2">
        <v>2</v>
      </c>
      <c r="CK3287" s="2">
        <v>22</v>
      </c>
      <c r="CL3287" s="2" t="s">
        <v>86</v>
      </c>
      <c r="CM3287" s="2"/>
    </row>
    <row r="3288" spans="1:91">
      <c r="A3288" s="2" t="s">
        <v>71</v>
      </c>
      <c r="B3288" s="2" t="s">
        <v>72</v>
      </c>
      <c r="C3288" s="2" t="s">
        <v>73</v>
      </c>
      <c r="D3288" s="2"/>
      <c r="E3288" s="2" t="str">
        <f>"FES1162545797"</f>
        <v>FES1162545797</v>
      </c>
      <c r="F3288" s="3">
        <v>42851</v>
      </c>
      <c r="G3288" s="2">
        <v>201710</v>
      </c>
      <c r="H3288" s="2" t="s">
        <v>74</v>
      </c>
      <c r="I3288" s="2" t="s">
        <v>75</v>
      </c>
      <c r="J3288" s="2" t="s">
        <v>76</v>
      </c>
      <c r="K3288" s="2" t="s">
        <v>77</v>
      </c>
      <c r="L3288" s="2" t="s">
        <v>131</v>
      </c>
      <c r="M3288" s="2" t="s">
        <v>132</v>
      </c>
      <c r="N3288" s="2" t="s">
        <v>2139</v>
      </c>
      <c r="O3288" s="2" t="s">
        <v>115</v>
      </c>
      <c r="P3288" s="2" t="str">
        <f>"2170564129                    "</f>
        <v xml:space="preserve">2170564129            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4.29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1</v>
      </c>
      <c r="BI3288" s="2">
        <v>1</v>
      </c>
      <c r="BJ3288" s="2">
        <v>0.2</v>
      </c>
      <c r="BK3288" s="2">
        <v>1</v>
      </c>
      <c r="BL3288" s="2">
        <v>41.73</v>
      </c>
      <c r="BM3288" s="2">
        <v>5.84</v>
      </c>
      <c r="BN3288" s="2">
        <v>47.57</v>
      </c>
      <c r="BO3288" s="2">
        <v>47.57</v>
      </c>
      <c r="BP3288" s="2"/>
      <c r="BQ3288" s="2" t="s">
        <v>122</v>
      </c>
      <c r="BR3288" s="2" t="s">
        <v>84</v>
      </c>
      <c r="BS3288" s="1" t="s">
        <v>1744</v>
      </c>
      <c r="BT3288" s="2"/>
      <c r="BU3288" s="2"/>
      <c r="BV3288" s="2"/>
      <c r="BW3288" s="2"/>
      <c r="BX3288" s="2"/>
      <c r="BY3288" s="2">
        <v>1200</v>
      </c>
      <c r="BZ3288" s="2"/>
      <c r="CA3288" s="2"/>
      <c r="CB3288" s="2"/>
      <c r="CC3288" s="2" t="s">
        <v>132</v>
      </c>
      <c r="CD3288" s="2">
        <v>7441</v>
      </c>
      <c r="CE3288" s="2" t="s">
        <v>118</v>
      </c>
      <c r="CF3288" s="2"/>
      <c r="CG3288" s="2"/>
      <c r="CH3288" s="2"/>
      <c r="CI3288" s="2">
        <v>1</v>
      </c>
      <c r="CJ3288" s="2" t="s">
        <v>1744</v>
      </c>
      <c r="CK3288" s="2">
        <v>21</v>
      </c>
      <c r="CL3288" s="2" t="s">
        <v>86</v>
      </c>
      <c r="CM3288" s="2"/>
    </row>
    <row r="3289" spans="1:91">
      <c r="A3289" s="2" t="s">
        <v>71</v>
      </c>
      <c r="B3289" s="2" t="s">
        <v>72</v>
      </c>
      <c r="C3289" s="2" t="s">
        <v>73</v>
      </c>
      <c r="D3289" s="2"/>
      <c r="E3289" s="2" t="str">
        <f>"FES1162545773"</f>
        <v>FES1162545773</v>
      </c>
      <c r="F3289" s="3">
        <v>42851</v>
      </c>
      <c r="G3289" s="2">
        <v>201710</v>
      </c>
      <c r="H3289" s="2" t="s">
        <v>74</v>
      </c>
      <c r="I3289" s="2" t="s">
        <v>75</v>
      </c>
      <c r="J3289" s="2" t="s">
        <v>76</v>
      </c>
      <c r="K3289" s="2" t="s">
        <v>77</v>
      </c>
      <c r="L3289" s="2" t="s">
        <v>166</v>
      </c>
      <c r="M3289" s="2" t="s">
        <v>167</v>
      </c>
      <c r="N3289" s="2" t="s">
        <v>3348</v>
      </c>
      <c r="O3289" s="2" t="s">
        <v>115</v>
      </c>
      <c r="P3289" s="2" t="str">
        <f>"2170562975                    "</f>
        <v xml:space="preserve">2170562975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3.35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1</v>
      </c>
      <c r="BJ3289" s="2">
        <v>0.2</v>
      </c>
      <c r="BK3289" s="2">
        <v>1</v>
      </c>
      <c r="BL3289" s="2">
        <v>32.6</v>
      </c>
      <c r="BM3289" s="2">
        <v>4.5599999999999996</v>
      </c>
      <c r="BN3289" s="2">
        <v>37.159999999999997</v>
      </c>
      <c r="BO3289" s="2">
        <v>37.159999999999997</v>
      </c>
      <c r="BP3289" s="2"/>
      <c r="BQ3289" s="2"/>
      <c r="BR3289" s="2" t="s">
        <v>84</v>
      </c>
      <c r="BS3289" s="1" t="s">
        <v>1744</v>
      </c>
      <c r="BT3289" s="2"/>
      <c r="BU3289" s="2"/>
      <c r="BV3289" s="2"/>
      <c r="BW3289" s="2"/>
      <c r="BX3289" s="2"/>
      <c r="BY3289" s="2">
        <v>1200</v>
      </c>
      <c r="BZ3289" s="2"/>
      <c r="CA3289" s="2"/>
      <c r="CB3289" s="2"/>
      <c r="CC3289" s="2" t="s">
        <v>167</v>
      </c>
      <c r="CD3289" s="2">
        <v>2001</v>
      </c>
      <c r="CE3289" s="2" t="s">
        <v>118</v>
      </c>
      <c r="CF3289" s="2"/>
      <c r="CG3289" s="2"/>
      <c r="CH3289" s="2"/>
      <c r="CI3289" s="2">
        <v>1</v>
      </c>
      <c r="CJ3289" s="2" t="s">
        <v>1744</v>
      </c>
      <c r="CK3289" s="2">
        <v>22</v>
      </c>
      <c r="CL3289" s="2" t="s">
        <v>86</v>
      </c>
      <c r="CM3289" s="2"/>
    </row>
    <row r="3290" spans="1:91">
      <c r="A3290" s="2" t="s">
        <v>71</v>
      </c>
      <c r="B3290" s="2" t="s">
        <v>72</v>
      </c>
      <c r="C3290" s="2" t="s">
        <v>73</v>
      </c>
      <c r="D3290" s="2"/>
      <c r="E3290" s="2" t="str">
        <f>"FES1162545799"</f>
        <v>FES1162545799</v>
      </c>
      <c r="F3290" s="3">
        <v>42851</v>
      </c>
      <c r="G3290" s="2">
        <v>201710</v>
      </c>
      <c r="H3290" s="2" t="s">
        <v>74</v>
      </c>
      <c r="I3290" s="2" t="s">
        <v>75</v>
      </c>
      <c r="J3290" s="2" t="s">
        <v>76</v>
      </c>
      <c r="K3290" s="2" t="s">
        <v>77</v>
      </c>
      <c r="L3290" s="2" t="s">
        <v>131</v>
      </c>
      <c r="M3290" s="2" t="s">
        <v>132</v>
      </c>
      <c r="N3290" s="2" t="s">
        <v>1220</v>
      </c>
      <c r="O3290" s="2" t="s">
        <v>115</v>
      </c>
      <c r="P3290" s="2" t="str">
        <f>"2170564242                    "</f>
        <v xml:space="preserve">2170564242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4.29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1</v>
      </c>
      <c r="BJ3290" s="2">
        <v>0.2</v>
      </c>
      <c r="BK3290" s="2">
        <v>1</v>
      </c>
      <c r="BL3290" s="2">
        <v>41.73</v>
      </c>
      <c r="BM3290" s="2">
        <v>5.84</v>
      </c>
      <c r="BN3290" s="2">
        <v>47.57</v>
      </c>
      <c r="BO3290" s="2">
        <v>47.57</v>
      </c>
      <c r="BP3290" s="2"/>
      <c r="BQ3290" s="2" t="s">
        <v>122</v>
      </c>
      <c r="BR3290" s="2" t="s">
        <v>84</v>
      </c>
      <c r="BS3290" s="3">
        <v>42853</v>
      </c>
      <c r="BT3290" s="4">
        <v>0.40972222222222227</v>
      </c>
      <c r="BU3290" s="2" t="s">
        <v>1201</v>
      </c>
      <c r="BV3290" s="2" t="s">
        <v>86</v>
      </c>
      <c r="BW3290" s="2" t="s">
        <v>484</v>
      </c>
      <c r="BX3290" s="2" t="s">
        <v>1370</v>
      </c>
      <c r="BY3290" s="2">
        <v>1200</v>
      </c>
      <c r="BZ3290" s="2"/>
      <c r="CA3290" s="2"/>
      <c r="CB3290" s="2"/>
      <c r="CC3290" s="2" t="s">
        <v>132</v>
      </c>
      <c r="CD3290" s="2">
        <v>7500</v>
      </c>
      <c r="CE3290" s="2" t="s">
        <v>118</v>
      </c>
      <c r="CF3290" s="2"/>
      <c r="CG3290" s="2"/>
      <c r="CH3290" s="2"/>
      <c r="CI3290" s="2">
        <v>1</v>
      </c>
      <c r="CJ3290" s="2">
        <v>2</v>
      </c>
      <c r="CK3290" s="2">
        <v>21</v>
      </c>
      <c r="CL3290" s="2" t="s">
        <v>86</v>
      </c>
      <c r="CM3290" s="2"/>
    </row>
    <row r="3291" spans="1:91">
      <c r="A3291" s="2" t="s">
        <v>71</v>
      </c>
      <c r="B3291" s="2" t="s">
        <v>72</v>
      </c>
      <c r="C3291" s="2" t="s">
        <v>73</v>
      </c>
      <c r="D3291" s="2"/>
      <c r="E3291" s="2" t="str">
        <f>"FES1162545780"</f>
        <v>FES1162545780</v>
      </c>
      <c r="F3291" s="3">
        <v>42851</v>
      </c>
      <c r="G3291" s="2">
        <v>201710</v>
      </c>
      <c r="H3291" s="2" t="s">
        <v>74</v>
      </c>
      <c r="I3291" s="2" t="s">
        <v>75</v>
      </c>
      <c r="J3291" s="2" t="s">
        <v>76</v>
      </c>
      <c r="K3291" s="2" t="s">
        <v>77</v>
      </c>
      <c r="L3291" s="2" t="s">
        <v>187</v>
      </c>
      <c r="M3291" s="2" t="s">
        <v>146</v>
      </c>
      <c r="N3291" s="2" t="s">
        <v>141</v>
      </c>
      <c r="O3291" s="2" t="s">
        <v>115</v>
      </c>
      <c r="P3291" s="2" t="str">
        <f>"2170564224                    "</f>
        <v xml:space="preserve">2170564224 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4.29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1</v>
      </c>
      <c r="BJ3291" s="2">
        <v>0.2</v>
      </c>
      <c r="BK3291" s="2">
        <v>1</v>
      </c>
      <c r="BL3291" s="2">
        <v>41.73</v>
      </c>
      <c r="BM3291" s="2">
        <v>5.84</v>
      </c>
      <c r="BN3291" s="2">
        <v>47.57</v>
      </c>
      <c r="BO3291" s="2">
        <v>47.57</v>
      </c>
      <c r="BP3291" s="2"/>
      <c r="BQ3291" s="2" t="s">
        <v>142</v>
      </c>
      <c r="BR3291" s="2" t="s">
        <v>84</v>
      </c>
      <c r="BS3291" s="3">
        <v>42853</v>
      </c>
      <c r="BT3291" s="4">
        <v>0.38194444444444442</v>
      </c>
      <c r="BU3291" s="2" t="s">
        <v>3176</v>
      </c>
      <c r="BV3291" s="2" t="s">
        <v>86</v>
      </c>
      <c r="BW3291" s="2"/>
      <c r="BX3291" s="2"/>
      <c r="BY3291" s="2">
        <v>1200</v>
      </c>
      <c r="BZ3291" s="2"/>
      <c r="CA3291" s="2"/>
      <c r="CB3291" s="2"/>
      <c r="CC3291" s="2" t="s">
        <v>146</v>
      </c>
      <c r="CD3291" s="2">
        <v>157</v>
      </c>
      <c r="CE3291" s="2" t="s">
        <v>118</v>
      </c>
      <c r="CF3291" s="2"/>
      <c r="CG3291" s="2"/>
      <c r="CH3291" s="2"/>
      <c r="CI3291" s="2">
        <v>1</v>
      </c>
      <c r="CJ3291" s="2">
        <v>2</v>
      </c>
      <c r="CK3291" s="2">
        <v>21</v>
      </c>
      <c r="CL3291" s="2" t="s">
        <v>86</v>
      </c>
      <c r="CM3291" s="2"/>
    </row>
    <row r="3292" spans="1:91">
      <c r="A3292" s="2" t="s">
        <v>71</v>
      </c>
      <c r="B3292" s="2" t="s">
        <v>72</v>
      </c>
      <c r="C3292" s="2" t="s">
        <v>73</v>
      </c>
      <c r="D3292" s="2"/>
      <c r="E3292" s="2" t="str">
        <f>"FES1162545798"</f>
        <v>FES1162545798</v>
      </c>
      <c r="F3292" s="3">
        <v>42851</v>
      </c>
      <c r="G3292" s="2">
        <v>201710</v>
      </c>
      <c r="H3292" s="2" t="s">
        <v>74</v>
      </c>
      <c r="I3292" s="2" t="s">
        <v>75</v>
      </c>
      <c r="J3292" s="2" t="s">
        <v>76</v>
      </c>
      <c r="K3292" s="2" t="s">
        <v>77</v>
      </c>
      <c r="L3292" s="2" t="s">
        <v>131</v>
      </c>
      <c r="M3292" s="2" t="s">
        <v>132</v>
      </c>
      <c r="N3292" s="2" t="s">
        <v>3060</v>
      </c>
      <c r="O3292" s="2" t="s">
        <v>115</v>
      </c>
      <c r="P3292" s="2" t="str">
        <f>"2170564167                    "</f>
        <v xml:space="preserve">2170564167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4.29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1</v>
      </c>
      <c r="BJ3292" s="2">
        <v>0.2</v>
      </c>
      <c r="BK3292" s="2">
        <v>1</v>
      </c>
      <c r="BL3292" s="2">
        <v>41.73</v>
      </c>
      <c r="BM3292" s="2">
        <v>5.84</v>
      </c>
      <c r="BN3292" s="2">
        <v>47.57</v>
      </c>
      <c r="BO3292" s="2">
        <v>47.57</v>
      </c>
      <c r="BP3292" s="2"/>
      <c r="BQ3292" s="2"/>
      <c r="BR3292" s="2" t="s">
        <v>84</v>
      </c>
      <c r="BS3292" s="3">
        <v>42853</v>
      </c>
      <c r="BT3292" s="4">
        <v>0.39861111111111108</v>
      </c>
      <c r="BU3292" s="2" t="s">
        <v>3349</v>
      </c>
      <c r="BV3292" s="2" t="s">
        <v>86</v>
      </c>
      <c r="BW3292" s="2" t="s">
        <v>157</v>
      </c>
      <c r="BX3292" s="2" t="s">
        <v>1537</v>
      </c>
      <c r="BY3292" s="2">
        <v>1200</v>
      </c>
      <c r="BZ3292" s="2"/>
      <c r="CA3292" s="2"/>
      <c r="CB3292" s="2"/>
      <c r="CC3292" s="2" t="s">
        <v>132</v>
      </c>
      <c r="CD3292" s="2">
        <v>7764</v>
      </c>
      <c r="CE3292" s="2" t="s">
        <v>118</v>
      </c>
      <c r="CF3292" s="2"/>
      <c r="CG3292" s="2"/>
      <c r="CH3292" s="2"/>
      <c r="CI3292" s="2">
        <v>1</v>
      </c>
      <c r="CJ3292" s="2">
        <v>2</v>
      </c>
      <c r="CK3292" s="2">
        <v>21</v>
      </c>
      <c r="CL3292" s="2" t="s">
        <v>86</v>
      </c>
      <c r="CM3292" s="2"/>
    </row>
    <row r="3293" spans="1:91">
      <c r="A3293" s="2" t="s">
        <v>71</v>
      </c>
      <c r="B3293" s="2" t="s">
        <v>72</v>
      </c>
      <c r="C3293" s="2" t="s">
        <v>73</v>
      </c>
      <c r="D3293" s="2"/>
      <c r="E3293" s="2" t="str">
        <f>"FES1162545715"</f>
        <v>FES1162545715</v>
      </c>
      <c r="F3293" s="3">
        <v>42851</v>
      </c>
      <c r="G3293" s="2">
        <v>201710</v>
      </c>
      <c r="H3293" s="2" t="s">
        <v>74</v>
      </c>
      <c r="I3293" s="2" t="s">
        <v>75</v>
      </c>
      <c r="J3293" s="2" t="s">
        <v>76</v>
      </c>
      <c r="K3293" s="2" t="s">
        <v>77</v>
      </c>
      <c r="L3293" s="2" t="s">
        <v>2649</v>
      </c>
      <c r="M3293" s="2" t="s">
        <v>2650</v>
      </c>
      <c r="N3293" s="2" t="s">
        <v>2651</v>
      </c>
      <c r="O3293" s="2" t="s">
        <v>115</v>
      </c>
      <c r="P3293" s="2" t="str">
        <f>"2170564192                    "</f>
        <v xml:space="preserve">2170564192 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8.31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1</v>
      </c>
      <c r="BJ3293" s="2">
        <v>0.2</v>
      </c>
      <c r="BK3293" s="2">
        <v>1</v>
      </c>
      <c r="BL3293" s="2">
        <v>80.849999999999994</v>
      </c>
      <c r="BM3293" s="2">
        <v>11.32</v>
      </c>
      <c r="BN3293" s="2">
        <v>92.17</v>
      </c>
      <c r="BO3293" s="2">
        <v>92.17</v>
      </c>
      <c r="BP3293" s="2"/>
      <c r="BQ3293" s="2" t="s">
        <v>116</v>
      </c>
      <c r="BR3293" s="2" t="s">
        <v>84</v>
      </c>
      <c r="BS3293" s="1" t="s">
        <v>1744</v>
      </c>
      <c r="BT3293" s="2"/>
      <c r="BU3293" s="2"/>
      <c r="BV3293" s="2"/>
      <c r="BW3293" s="2"/>
      <c r="BX3293" s="2"/>
      <c r="BY3293" s="2">
        <v>1200</v>
      </c>
      <c r="BZ3293" s="2"/>
      <c r="CA3293" s="2"/>
      <c r="CB3293" s="2"/>
      <c r="CC3293" s="2" t="s">
        <v>2650</v>
      </c>
      <c r="CD3293" s="2">
        <v>5850</v>
      </c>
      <c r="CE3293" s="2" t="s">
        <v>118</v>
      </c>
      <c r="CF3293" s="2"/>
      <c r="CG3293" s="2"/>
      <c r="CH3293" s="2"/>
      <c r="CI3293" s="2">
        <v>3</v>
      </c>
      <c r="CJ3293" s="2" t="s">
        <v>1744</v>
      </c>
      <c r="CK3293" s="2">
        <v>23</v>
      </c>
      <c r="CL3293" s="2" t="s">
        <v>86</v>
      </c>
      <c r="CM3293" s="2"/>
    </row>
    <row r="3294" spans="1:91">
      <c r="A3294" s="2" t="s">
        <v>71</v>
      </c>
      <c r="B3294" s="2" t="s">
        <v>72</v>
      </c>
      <c r="C3294" s="2" t="s">
        <v>73</v>
      </c>
      <c r="D3294" s="2"/>
      <c r="E3294" s="2" t="str">
        <f>"FES1162545749"</f>
        <v>FES1162545749</v>
      </c>
      <c r="F3294" s="3">
        <v>42851</v>
      </c>
      <c r="G3294" s="2">
        <v>201710</v>
      </c>
      <c r="H3294" s="2" t="s">
        <v>74</v>
      </c>
      <c r="I3294" s="2" t="s">
        <v>75</v>
      </c>
      <c r="J3294" s="2" t="s">
        <v>76</v>
      </c>
      <c r="K3294" s="2" t="s">
        <v>77</v>
      </c>
      <c r="L3294" s="2" t="s">
        <v>166</v>
      </c>
      <c r="M3294" s="2" t="s">
        <v>167</v>
      </c>
      <c r="N3294" s="2" t="s">
        <v>861</v>
      </c>
      <c r="O3294" s="2" t="s">
        <v>115</v>
      </c>
      <c r="P3294" s="2" t="str">
        <f>"2170561679                    "</f>
        <v xml:space="preserve">2170561679 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3.35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1</v>
      </c>
      <c r="BJ3294" s="2">
        <v>0.2</v>
      </c>
      <c r="BK3294" s="2">
        <v>1</v>
      </c>
      <c r="BL3294" s="2">
        <v>32.6</v>
      </c>
      <c r="BM3294" s="2">
        <v>4.5599999999999996</v>
      </c>
      <c r="BN3294" s="2">
        <v>37.159999999999997</v>
      </c>
      <c r="BO3294" s="2">
        <v>37.159999999999997</v>
      </c>
      <c r="BP3294" s="2"/>
      <c r="BQ3294" s="2" t="s">
        <v>862</v>
      </c>
      <c r="BR3294" s="2" t="s">
        <v>84</v>
      </c>
      <c r="BS3294" s="1" t="s">
        <v>1744</v>
      </c>
      <c r="BT3294" s="2"/>
      <c r="BU3294" s="2"/>
      <c r="BV3294" s="2"/>
      <c r="BW3294" s="2"/>
      <c r="BX3294" s="2"/>
      <c r="BY3294" s="2">
        <v>1200</v>
      </c>
      <c r="BZ3294" s="2"/>
      <c r="CA3294" s="2"/>
      <c r="CB3294" s="2"/>
      <c r="CC3294" s="2" t="s">
        <v>167</v>
      </c>
      <c r="CD3294" s="2">
        <v>2091</v>
      </c>
      <c r="CE3294" s="2" t="s">
        <v>118</v>
      </c>
      <c r="CF3294" s="2"/>
      <c r="CG3294" s="2"/>
      <c r="CH3294" s="2"/>
      <c r="CI3294" s="2">
        <v>1</v>
      </c>
      <c r="CJ3294" s="2" t="s">
        <v>1744</v>
      </c>
      <c r="CK3294" s="2">
        <v>22</v>
      </c>
      <c r="CL3294" s="2" t="s">
        <v>86</v>
      </c>
      <c r="CM3294" s="2"/>
    </row>
    <row r="3295" spans="1:91">
      <c r="A3295" s="2" t="s">
        <v>71</v>
      </c>
      <c r="B3295" s="2" t="s">
        <v>72</v>
      </c>
      <c r="C3295" s="2" t="s">
        <v>73</v>
      </c>
      <c r="D3295" s="2"/>
      <c r="E3295" s="2" t="str">
        <f>"FES1162545733"</f>
        <v>FES1162545733</v>
      </c>
      <c r="F3295" s="3">
        <v>42851</v>
      </c>
      <c r="G3295" s="2">
        <v>201710</v>
      </c>
      <c r="H3295" s="2" t="s">
        <v>74</v>
      </c>
      <c r="I3295" s="2" t="s">
        <v>75</v>
      </c>
      <c r="J3295" s="2" t="s">
        <v>76</v>
      </c>
      <c r="K3295" s="2" t="s">
        <v>77</v>
      </c>
      <c r="L3295" s="2" t="s">
        <v>187</v>
      </c>
      <c r="M3295" s="2" t="s">
        <v>146</v>
      </c>
      <c r="N3295" s="2" t="s">
        <v>1733</v>
      </c>
      <c r="O3295" s="2" t="s">
        <v>115</v>
      </c>
      <c r="P3295" s="2" t="str">
        <f>"2170556065                    "</f>
        <v xml:space="preserve">2170556065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4.29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1</v>
      </c>
      <c r="BI3295" s="2">
        <v>1</v>
      </c>
      <c r="BJ3295" s="2">
        <v>0.2</v>
      </c>
      <c r="BK3295" s="2">
        <v>1</v>
      </c>
      <c r="BL3295" s="2">
        <v>41.73</v>
      </c>
      <c r="BM3295" s="2">
        <v>5.84</v>
      </c>
      <c r="BN3295" s="2">
        <v>47.57</v>
      </c>
      <c r="BO3295" s="2">
        <v>47.57</v>
      </c>
      <c r="BP3295" s="2"/>
      <c r="BQ3295" s="2" t="s">
        <v>122</v>
      </c>
      <c r="BR3295" s="2" t="s">
        <v>84</v>
      </c>
      <c r="BS3295" s="3">
        <v>42853</v>
      </c>
      <c r="BT3295" s="4">
        <v>0.4375</v>
      </c>
      <c r="BU3295" s="2" t="s">
        <v>3350</v>
      </c>
      <c r="BV3295" s="2" t="s">
        <v>86</v>
      </c>
      <c r="BW3295" s="2"/>
      <c r="BX3295" s="2"/>
      <c r="BY3295" s="2">
        <v>1200</v>
      </c>
      <c r="BZ3295" s="2"/>
      <c r="CA3295" s="2"/>
      <c r="CB3295" s="2"/>
      <c r="CC3295" s="2" t="s">
        <v>146</v>
      </c>
      <c r="CD3295" s="2">
        <v>200</v>
      </c>
      <c r="CE3295" s="2" t="s">
        <v>118</v>
      </c>
      <c r="CF3295" s="2"/>
      <c r="CG3295" s="2"/>
      <c r="CH3295" s="2"/>
      <c r="CI3295" s="2">
        <v>1</v>
      </c>
      <c r="CJ3295" s="2">
        <v>2</v>
      </c>
      <c r="CK3295" s="2">
        <v>21</v>
      </c>
      <c r="CL3295" s="2" t="s">
        <v>86</v>
      </c>
      <c r="CM3295" s="2"/>
    </row>
    <row r="3296" spans="1:91">
      <c r="A3296" s="2" t="s">
        <v>71</v>
      </c>
      <c r="B3296" s="2" t="s">
        <v>72</v>
      </c>
      <c r="C3296" s="2" t="s">
        <v>73</v>
      </c>
      <c r="D3296" s="2"/>
      <c r="E3296" s="2" t="str">
        <f>"FES1162545723"</f>
        <v>FES1162545723</v>
      </c>
      <c r="F3296" s="3">
        <v>42851</v>
      </c>
      <c r="G3296" s="2">
        <v>201710</v>
      </c>
      <c r="H3296" s="2" t="s">
        <v>74</v>
      </c>
      <c r="I3296" s="2" t="s">
        <v>75</v>
      </c>
      <c r="J3296" s="2" t="s">
        <v>76</v>
      </c>
      <c r="K3296" s="2" t="s">
        <v>77</v>
      </c>
      <c r="L3296" s="2" t="s">
        <v>231</v>
      </c>
      <c r="M3296" s="2" t="s">
        <v>232</v>
      </c>
      <c r="N3296" s="2" t="s">
        <v>316</v>
      </c>
      <c r="O3296" s="2" t="s">
        <v>115</v>
      </c>
      <c r="P3296" s="2" t="str">
        <f>"2170564206                    "</f>
        <v xml:space="preserve">2170564206  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6.03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1</v>
      </c>
      <c r="BI3296" s="2">
        <v>1</v>
      </c>
      <c r="BJ3296" s="2">
        <v>0.2</v>
      </c>
      <c r="BK3296" s="2">
        <v>1</v>
      </c>
      <c r="BL3296" s="2">
        <v>58.68</v>
      </c>
      <c r="BM3296" s="2">
        <v>8.2200000000000006</v>
      </c>
      <c r="BN3296" s="2">
        <v>66.900000000000006</v>
      </c>
      <c r="BO3296" s="2">
        <v>66.900000000000006</v>
      </c>
      <c r="BP3296" s="2"/>
      <c r="BQ3296" s="2" t="s">
        <v>317</v>
      </c>
      <c r="BR3296" s="2" t="s">
        <v>84</v>
      </c>
      <c r="BS3296" s="3">
        <v>42853</v>
      </c>
      <c r="BT3296" s="4">
        <v>0.45555555555555555</v>
      </c>
      <c r="BU3296" s="2" t="s">
        <v>318</v>
      </c>
      <c r="BV3296" s="2" t="s">
        <v>86</v>
      </c>
      <c r="BW3296" s="2"/>
      <c r="BX3296" s="2"/>
      <c r="BY3296" s="2">
        <v>1200</v>
      </c>
      <c r="BZ3296" s="2"/>
      <c r="CA3296" s="2"/>
      <c r="CB3296" s="2"/>
      <c r="CC3296" s="2" t="s">
        <v>232</v>
      </c>
      <c r="CD3296" s="2">
        <v>250</v>
      </c>
      <c r="CE3296" s="2" t="s">
        <v>118</v>
      </c>
      <c r="CF3296" s="2"/>
      <c r="CG3296" s="2"/>
      <c r="CH3296" s="2"/>
      <c r="CI3296" s="2">
        <v>1</v>
      </c>
      <c r="CJ3296" s="2">
        <v>2</v>
      </c>
      <c r="CK3296" s="2">
        <v>24</v>
      </c>
      <c r="CL3296" s="2" t="s">
        <v>86</v>
      </c>
      <c r="CM3296" s="2"/>
    </row>
    <row r="3297" spans="1:91">
      <c r="A3297" s="2" t="s">
        <v>71</v>
      </c>
      <c r="B3297" s="2" t="s">
        <v>72</v>
      </c>
      <c r="C3297" s="2" t="s">
        <v>73</v>
      </c>
      <c r="D3297" s="2"/>
      <c r="E3297" s="2" t="str">
        <f>"FES1162545778"</f>
        <v>FES1162545778</v>
      </c>
      <c r="F3297" s="3">
        <v>42851</v>
      </c>
      <c r="G3297" s="2">
        <v>201710</v>
      </c>
      <c r="H3297" s="2" t="s">
        <v>74</v>
      </c>
      <c r="I3297" s="2" t="s">
        <v>75</v>
      </c>
      <c r="J3297" s="2" t="s">
        <v>76</v>
      </c>
      <c r="K3297" s="2" t="s">
        <v>77</v>
      </c>
      <c r="L3297" s="2" t="s">
        <v>187</v>
      </c>
      <c r="M3297" s="2" t="s">
        <v>146</v>
      </c>
      <c r="N3297" s="2" t="s">
        <v>573</v>
      </c>
      <c r="O3297" s="2" t="s">
        <v>115</v>
      </c>
      <c r="P3297" s="2" t="str">
        <f>"2170564218                    "</f>
        <v xml:space="preserve">2170564218  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4.29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1</v>
      </c>
      <c r="BJ3297" s="2">
        <v>0.2</v>
      </c>
      <c r="BK3297" s="2">
        <v>1</v>
      </c>
      <c r="BL3297" s="2">
        <v>41.73</v>
      </c>
      <c r="BM3297" s="2">
        <v>5.84</v>
      </c>
      <c r="BN3297" s="2">
        <v>47.57</v>
      </c>
      <c r="BO3297" s="2">
        <v>47.57</v>
      </c>
      <c r="BP3297" s="2"/>
      <c r="BQ3297" s="2" t="s">
        <v>750</v>
      </c>
      <c r="BR3297" s="2" t="s">
        <v>84</v>
      </c>
      <c r="BS3297" s="3">
        <v>42853</v>
      </c>
      <c r="BT3297" s="4">
        <v>0.40763888888888888</v>
      </c>
      <c r="BU3297" s="2" t="s">
        <v>1655</v>
      </c>
      <c r="BV3297" s="2" t="s">
        <v>86</v>
      </c>
      <c r="BW3297" s="2"/>
      <c r="BX3297" s="2"/>
      <c r="BY3297" s="2">
        <v>1200</v>
      </c>
      <c r="BZ3297" s="2"/>
      <c r="CA3297" s="2"/>
      <c r="CB3297" s="2"/>
      <c r="CC3297" s="2" t="s">
        <v>146</v>
      </c>
      <c r="CD3297" s="2">
        <v>82</v>
      </c>
      <c r="CE3297" s="2" t="s">
        <v>118</v>
      </c>
      <c r="CF3297" s="2"/>
      <c r="CG3297" s="2"/>
      <c r="CH3297" s="2"/>
      <c r="CI3297" s="2">
        <v>1</v>
      </c>
      <c r="CJ3297" s="2">
        <v>2</v>
      </c>
      <c r="CK3297" s="2">
        <v>21</v>
      </c>
      <c r="CL3297" s="2" t="s">
        <v>86</v>
      </c>
      <c r="CM3297" s="2"/>
    </row>
    <row r="3298" spans="1:91">
      <c r="A3298" s="2" t="s">
        <v>71</v>
      </c>
      <c r="B3298" s="2" t="s">
        <v>72</v>
      </c>
      <c r="C3298" s="2" t="s">
        <v>73</v>
      </c>
      <c r="D3298" s="2"/>
      <c r="E3298" s="2" t="str">
        <f>"FES1162545678"</f>
        <v>FES1162545678</v>
      </c>
      <c r="F3298" s="3">
        <v>42851</v>
      </c>
      <c r="G3298" s="2">
        <v>201710</v>
      </c>
      <c r="H3298" s="2" t="s">
        <v>74</v>
      </c>
      <c r="I3298" s="2" t="s">
        <v>75</v>
      </c>
      <c r="J3298" s="2" t="s">
        <v>76</v>
      </c>
      <c r="K3298" s="2" t="s">
        <v>77</v>
      </c>
      <c r="L3298" s="2" t="s">
        <v>187</v>
      </c>
      <c r="M3298" s="2" t="s">
        <v>146</v>
      </c>
      <c r="N3298" s="2" t="s">
        <v>326</v>
      </c>
      <c r="O3298" s="2" t="s">
        <v>115</v>
      </c>
      <c r="P3298" s="2" t="str">
        <f>"2170564138                    "</f>
        <v xml:space="preserve">2170564138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4.29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1</v>
      </c>
      <c r="BI3298" s="2">
        <v>1</v>
      </c>
      <c r="BJ3298" s="2">
        <v>0.2</v>
      </c>
      <c r="BK3298" s="2">
        <v>1</v>
      </c>
      <c r="BL3298" s="2">
        <v>41.73</v>
      </c>
      <c r="BM3298" s="2">
        <v>5.84</v>
      </c>
      <c r="BN3298" s="2">
        <v>47.57</v>
      </c>
      <c r="BO3298" s="2">
        <v>47.57</v>
      </c>
      <c r="BP3298" s="2"/>
      <c r="BQ3298" s="2" t="s">
        <v>3116</v>
      </c>
      <c r="BR3298" s="2" t="s">
        <v>84</v>
      </c>
      <c r="BS3298" s="3">
        <v>42853</v>
      </c>
      <c r="BT3298" s="4">
        <v>0.35416666666666669</v>
      </c>
      <c r="BU3298" s="2" t="s">
        <v>3351</v>
      </c>
      <c r="BV3298" s="2" t="s">
        <v>86</v>
      </c>
      <c r="BW3298" s="2"/>
      <c r="BX3298" s="2"/>
      <c r="BY3298" s="2">
        <v>1200</v>
      </c>
      <c r="BZ3298" s="2"/>
      <c r="CA3298" s="2"/>
      <c r="CB3298" s="2"/>
      <c r="CC3298" s="2" t="s">
        <v>146</v>
      </c>
      <c r="CD3298" s="2">
        <v>200</v>
      </c>
      <c r="CE3298" s="2" t="s">
        <v>118</v>
      </c>
      <c r="CF3298" s="2"/>
      <c r="CG3298" s="2"/>
      <c r="CH3298" s="2"/>
      <c r="CI3298" s="2">
        <v>1</v>
      </c>
      <c r="CJ3298" s="2">
        <v>2</v>
      </c>
      <c r="CK3298" s="2">
        <v>21</v>
      </c>
      <c r="CL3298" s="2" t="s">
        <v>86</v>
      </c>
      <c r="CM3298" s="2"/>
    </row>
    <row r="3299" spans="1:91">
      <c r="A3299" s="2" t="s">
        <v>71</v>
      </c>
      <c r="B3299" s="2" t="s">
        <v>72</v>
      </c>
      <c r="C3299" s="2" t="s">
        <v>73</v>
      </c>
      <c r="D3299" s="2"/>
      <c r="E3299" s="2" t="str">
        <f>"FES1162545621"</f>
        <v>FES1162545621</v>
      </c>
      <c r="F3299" s="3">
        <v>42851</v>
      </c>
      <c r="G3299" s="2">
        <v>201710</v>
      </c>
      <c r="H3299" s="2" t="s">
        <v>74</v>
      </c>
      <c r="I3299" s="2" t="s">
        <v>75</v>
      </c>
      <c r="J3299" s="2" t="s">
        <v>76</v>
      </c>
      <c r="K3299" s="2" t="s">
        <v>77</v>
      </c>
      <c r="L3299" s="2" t="s">
        <v>99</v>
      </c>
      <c r="M3299" s="2" t="s">
        <v>100</v>
      </c>
      <c r="N3299" s="2" t="s">
        <v>1682</v>
      </c>
      <c r="O3299" s="2" t="s">
        <v>115</v>
      </c>
      <c r="P3299" s="2" t="str">
        <f>"2170560838                    "</f>
        <v xml:space="preserve">2170560838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6.43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3</v>
      </c>
      <c r="BJ3299" s="2">
        <v>0.9</v>
      </c>
      <c r="BK3299" s="2">
        <v>3</v>
      </c>
      <c r="BL3299" s="2">
        <v>62.59</v>
      </c>
      <c r="BM3299" s="2">
        <v>8.76</v>
      </c>
      <c r="BN3299" s="2">
        <v>71.349999999999994</v>
      </c>
      <c r="BO3299" s="2">
        <v>71.349999999999994</v>
      </c>
      <c r="BP3299" s="2"/>
      <c r="BQ3299" s="2" t="s">
        <v>1683</v>
      </c>
      <c r="BR3299" s="2" t="s">
        <v>84</v>
      </c>
      <c r="BS3299" s="3">
        <v>42851</v>
      </c>
      <c r="BT3299" s="4">
        <v>0.33333333333333331</v>
      </c>
      <c r="BU3299" s="2" t="s">
        <v>130</v>
      </c>
      <c r="BV3299" s="2" t="s">
        <v>111</v>
      </c>
      <c r="BW3299" s="2"/>
      <c r="BX3299" s="2"/>
      <c r="BY3299" s="2">
        <v>4680</v>
      </c>
      <c r="BZ3299" s="2"/>
      <c r="CA3299" s="2"/>
      <c r="CB3299" s="2"/>
      <c r="CC3299" s="2" t="s">
        <v>100</v>
      </c>
      <c r="CD3299" s="2">
        <v>6001</v>
      </c>
      <c r="CE3299" s="2" t="s">
        <v>89</v>
      </c>
      <c r="CF3299" s="2"/>
      <c r="CG3299" s="2"/>
      <c r="CH3299" s="2"/>
      <c r="CI3299" s="2">
        <v>1</v>
      </c>
      <c r="CJ3299" s="2">
        <v>0</v>
      </c>
      <c r="CK3299" s="2">
        <v>21</v>
      </c>
      <c r="CL3299" s="2" t="s">
        <v>86</v>
      </c>
      <c r="CM3299" s="2"/>
    </row>
    <row r="3300" spans="1:91">
      <c r="A3300" s="2" t="s">
        <v>71</v>
      </c>
      <c r="B3300" s="2" t="s">
        <v>72</v>
      </c>
      <c r="C3300" s="2" t="s">
        <v>73</v>
      </c>
      <c r="D3300" s="2"/>
      <c r="E3300" s="2" t="str">
        <f>"FES1162545817"</f>
        <v>FES1162545817</v>
      </c>
      <c r="F3300" s="3">
        <v>42851</v>
      </c>
      <c r="G3300" s="2">
        <v>201710</v>
      </c>
      <c r="H3300" s="2" t="s">
        <v>74</v>
      </c>
      <c r="I3300" s="2" t="s">
        <v>75</v>
      </c>
      <c r="J3300" s="2" t="s">
        <v>76</v>
      </c>
      <c r="K3300" s="2" t="s">
        <v>77</v>
      </c>
      <c r="L3300" s="2" t="s">
        <v>99</v>
      </c>
      <c r="M3300" s="2" t="s">
        <v>100</v>
      </c>
      <c r="N3300" s="2" t="s">
        <v>583</v>
      </c>
      <c r="O3300" s="2" t="s">
        <v>115</v>
      </c>
      <c r="P3300" s="2" t="str">
        <f>"2170564268                    "</f>
        <v xml:space="preserve">2170564268  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4.29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1</v>
      </c>
      <c r="BI3300" s="2">
        <v>1</v>
      </c>
      <c r="BJ3300" s="2">
        <v>0.2</v>
      </c>
      <c r="BK3300" s="2">
        <v>1</v>
      </c>
      <c r="BL3300" s="2">
        <v>41.73</v>
      </c>
      <c r="BM3300" s="2">
        <v>5.84</v>
      </c>
      <c r="BN3300" s="2">
        <v>47.57</v>
      </c>
      <c r="BO3300" s="2">
        <v>47.57</v>
      </c>
      <c r="BP3300" s="2"/>
      <c r="BQ3300" s="2" t="s">
        <v>584</v>
      </c>
      <c r="BR3300" s="2" t="s">
        <v>84</v>
      </c>
      <c r="BS3300" s="3">
        <v>42853</v>
      </c>
      <c r="BT3300" s="4">
        <v>0.3125</v>
      </c>
      <c r="BU3300" s="2" t="s">
        <v>607</v>
      </c>
      <c r="BV3300" s="2" t="s">
        <v>86</v>
      </c>
      <c r="BW3300" s="2"/>
      <c r="BX3300" s="2"/>
      <c r="BY3300" s="2">
        <v>1200</v>
      </c>
      <c r="BZ3300" s="2"/>
      <c r="CA3300" s="2" t="s">
        <v>154</v>
      </c>
      <c r="CB3300" s="2"/>
      <c r="CC3300" s="2" t="s">
        <v>100</v>
      </c>
      <c r="CD3300" s="2">
        <v>6001</v>
      </c>
      <c r="CE3300" s="2" t="s">
        <v>118</v>
      </c>
      <c r="CF3300" s="5">
        <v>42853</v>
      </c>
      <c r="CG3300" s="2"/>
      <c r="CH3300" s="2"/>
      <c r="CI3300" s="2">
        <v>1</v>
      </c>
      <c r="CJ3300" s="2">
        <v>2</v>
      </c>
      <c r="CK3300" s="2">
        <v>21</v>
      </c>
      <c r="CL3300" s="2" t="s">
        <v>86</v>
      </c>
      <c r="CM3300" s="2"/>
    </row>
    <row r="3301" spans="1:91">
      <c r="A3301" s="2" t="s">
        <v>71</v>
      </c>
      <c r="B3301" s="2" t="s">
        <v>72</v>
      </c>
      <c r="C3301" s="2" t="s">
        <v>73</v>
      </c>
      <c r="D3301" s="2"/>
      <c r="E3301" s="2" t="str">
        <f>"FES1162545608"</f>
        <v>FES1162545608</v>
      </c>
      <c r="F3301" s="3">
        <v>42851</v>
      </c>
      <c r="G3301" s="2">
        <v>201710</v>
      </c>
      <c r="H3301" s="2" t="s">
        <v>74</v>
      </c>
      <c r="I3301" s="2" t="s">
        <v>75</v>
      </c>
      <c r="J3301" s="2" t="s">
        <v>76</v>
      </c>
      <c r="K3301" s="2" t="s">
        <v>77</v>
      </c>
      <c r="L3301" s="2" t="s">
        <v>99</v>
      </c>
      <c r="M3301" s="2" t="s">
        <v>100</v>
      </c>
      <c r="N3301" s="2" t="s">
        <v>108</v>
      </c>
      <c r="O3301" s="2" t="s">
        <v>115</v>
      </c>
      <c r="P3301" s="2" t="str">
        <f>"2170560225                    "</f>
        <v xml:space="preserve">2170560225  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4.29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1</v>
      </c>
      <c r="BJ3301" s="2">
        <v>0.2</v>
      </c>
      <c r="BK3301" s="2">
        <v>1</v>
      </c>
      <c r="BL3301" s="2">
        <v>41.73</v>
      </c>
      <c r="BM3301" s="2">
        <v>5.84</v>
      </c>
      <c r="BN3301" s="2">
        <v>47.57</v>
      </c>
      <c r="BO3301" s="2">
        <v>47.57</v>
      </c>
      <c r="BP3301" s="2"/>
      <c r="BQ3301" s="2" t="s">
        <v>109</v>
      </c>
      <c r="BR3301" s="2" t="s">
        <v>84</v>
      </c>
      <c r="BS3301" s="3">
        <v>42853</v>
      </c>
      <c r="BT3301" s="4">
        <v>0.375</v>
      </c>
      <c r="BU3301" s="2" t="s">
        <v>3001</v>
      </c>
      <c r="BV3301" s="2" t="s">
        <v>86</v>
      </c>
      <c r="BW3301" s="2"/>
      <c r="BX3301" s="2"/>
      <c r="BY3301" s="2">
        <v>1200</v>
      </c>
      <c r="BZ3301" s="2"/>
      <c r="CA3301" s="2" t="s">
        <v>106</v>
      </c>
      <c r="CB3301" s="2"/>
      <c r="CC3301" s="2" t="s">
        <v>100</v>
      </c>
      <c r="CD3301" s="2">
        <v>6001</v>
      </c>
      <c r="CE3301" s="2" t="s">
        <v>118</v>
      </c>
      <c r="CF3301" s="5">
        <v>42853</v>
      </c>
      <c r="CG3301" s="2"/>
      <c r="CH3301" s="2"/>
      <c r="CI3301" s="2">
        <v>1</v>
      </c>
      <c r="CJ3301" s="2">
        <v>2</v>
      </c>
      <c r="CK3301" s="2">
        <v>21</v>
      </c>
      <c r="CL3301" s="2" t="s">
        <v>86</v>
      </c>
      <c r="CM3301" s="2"/>
    </row>
    <row r="3302" spans="1:91">
      <c r="A3302" s="2" t="s">
        <v>71</v>
      </c>
      <c r="B3302" s="2" t="s">
        <v>72</v>
      </c>
      <c r="C3302" s="2" t="s">
        <v>73</v>
      </c>
      <c r="D3302" s="2"/>
      <c r="E3302" s="2" t="str">
        <f>"FES1162545744"</f>
        <v>FES1162545744</v>
      </c>
      <c r="F3302" s="3">
        <v>42851</v>
      </c>
      <c r="G3302" s="2">
        <v>201710</v>
      </c>
      <c r="H3302" s="2" t="s">
        <v>74</v>
      </c>
      <c r="I3302" s="2" t="s">
        <v>75</v>
      </c>
      <c r="J3302" s="2" t="s">
        <v>76</v>
      </c>
      <c r="K3302" s="2" t="s">
        <v>77</v>
      </c>
      <c r="L3302" s="2" t="s">
        <v>641</v>
      </c>
      <c r="M3302" s="2" t="s">
        <v>642</v>
      </c>
      <c r="N3302" s="2" t="s">
        <v>643</v>
      </c>
      <c r="O3302" s="2" t="s">
        <v>115</v>
      </c>
      <c r="P3302" s="2" t="str">
        <f>"2170561433                    "</f>
        <v xml:space="preserve">2170561433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8.31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1</v>
      </c>
      <c r="BI3302" s="2">
        <v>1</v>
      </c>
      <c r="BJ3302" s="2">
        <v>0.2</v>
      </c>
      <c r="BK3302" s="2">
        <v>1</v>
      </c>
      <c r="BL3302" s="2">
        <v>80.849999999999994</v>
      </c>
      <c r="BM3302" s="2">
        <v>11.32</v>
      </c>
      <c r="BN3302" s="2">
        <v>92.17</v>
      </c>
      <c r="BO3302" s="2">
        <v>92.17</v>
      </c>
      <c r="BP3302" s="2"/>
      <c r="BQ3302" s="2" t="s">
        <v>83</v>
      </c>
      <c r="BR3302" s="2" t="s">
        <v>84</v>
      </c>
      <c r="BS3302" s="3">
        <v>42853</v>
      </c>
      <c r="BT3302" s="4">
        <v>0.5</v>
      </c>
      <c r="BU3302" s="2" t="s">
        <v>1894</v>
      </c>
      <c r="BV3302" s="2" t="s">
        <v>111</v>
      </c>
      <c r="BW3302" s="2"/>
      <c r="BX3302" s="2"/>
      <c r="BY3302" s="2">
        <v>1200</v>
      </c>
      <c r="BZ3302" s="2"/>
      <c r="CA3302" s="2"/>
      <c r="CB3302" s="2"/>
      <c r="CC3302" s="2" t="s">
        <v>642</v>
      </c>
      <c r="CD3302" s="2">
        <v>6300</v>
      </c>
      <c r="CE3302" s="2" t="s">
        <v>118</v>
      </c>
      <c r="CF3302" s="2"/>
      <c r="CG3302" s="2"/>
      <c r="CH3302" s="2"/>
      <c r="CI3302" s="2">
        <v>3</v>
      </c>
      <c r="CJ3302" s="2">
        <v>2</v>
      </c>
      <c r="CK3302" s="2">
        <v>23</v>
      </c>
      <c r="CL3302" s="2" t="s">
        <v>86</v>
      </c>
      <c r="CM3302" s="2"/>
    </row>
    <row r="3303" spans="1:91">
      <c r="A3303" s="2" t="s">
        <v>71</v>
      </c>
      <c r="B3303" s="2" t="s">
        <v>72</v>
      </c>
      <c r="C3303" s="2" t="s">
        <v>73</v>
      </c>
      <c r="D3303" s="2"/>
      <c r="E3303" s="2" t="str">
        <f>"FES1162545646"</f>
        <v>FES1162545646</v>
      </c>
      <c r="F3303" s="3">
        <v>42851</v>
      </c>
      <c r="G3303" s="2">
        <v>201710</v>
      </c>
      <c r="H3303" s="2" t="s">
        <v>74</v>
      </c>
      <c r="I3303" s="2" t="s">
        <v>75</v>
      </c>
      <c r="J3303" s="2" t="s">
        <v>76</v>
      </c>
      <c r="K3303" s="2" t="s">
        <v>77</v>
      </c>
      <c r="L3303" s="2" t="s">
        <v>99</v>
      </c>
      <c r="M3303" s="2" t="s">
        <v>100</v>
      </c>
      <c r="N3303" s="2" t="s">
        <v>390</v>
      </c>
      <c r="O3303" s="2" t="s">
        <v>115</v>
      </c>
      <c r="P3303" s="2" t="str">
        <f>"2170562894                    "</f>
        <v xml:space="preserve">2170562894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4.29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1</v>
      </c>
      <c r="BJ3303" s="2">
        <v>0.2</v>
      </c>
      <c r="BK3303" s="2">
        <v>1</v>
      </c>
      <c r="BL3303" s="2">
        <v>41.73</v>
      </c>
      <c r="BM3303" s="2">
        <v>5.84</v>
      </c>
      <c r="BN3303" s="2">
        <v>47.57</v>
      </c>
      <c r="BO3303" s="2">
        <v>47.57</v>
      </c>
      <c r="BP3303" s="2"/>
      <c r="BQ3303" s="2" t="s">
        <v>1677</v>
      </c>
      <c r="BR3303" s="2" t="s">
        <v>84</v>
      </c>
      <c r="BS3303" s="3">
        <v>42853</v>
      </c>
      <c r="BT3303" s="4">
        <v>0.38194444444444442</v>
      </c>
      <c r="BU3303" s="2" t="s">
        <v>2512</v>
      </c>
      <c r="BV3303" s="2" t="s">
        <v>86</v>
      </c>
      <c r="BW3303" s="2"/>
      <c r="BX3303" s="2"/>
      <c r="BY3303" s="2">
        <v>1200</v>
      </c>
      <c r="BZ3303" s="2"/>
      <c r="CA3303" s="2" t="s">
        <v>106</v>
      </c>
      <c r="CB3303" s="2"/>
      <c r="CC3303" s="2" t="s">
        <v>100</v>
      </c>
      <c r="CD3303" s="2">
        <v>6001</v>
      </c>
      <c r="CE3303" s="2" t="s">
        <v>118</v>
      </c>
      <c r="CF3303" s="5">
        <v>42853</v>
      </c>
      <c r="CG3303" s="2"/>
      <c r="CH3303" s="2"/>
      <c r="CI3303" s="2">
        <v>1</v>
      </c>
      <c r="CJ3303" s="2">
        <v>2</v>
      </c>
      <c r="CK3303" s="2">
        <v>21</v>
      </c>
      <c r="CL3303" s="2" t="s">
        <v>86</v>
      </c>
      <c r="CM3303" s="2"/>
    </row>
    <row r="3304" spans="1:91">
      <c r="A3304" s="2" t="s">
        <v>71</v>
      </c>
      <c r="B3304" s="2" t="s">
        <v>72</v>
      </c>
      <c r="C3304" s="2" t="s">
        <v>73</v>
      </c>
      <c r="D3304" s="2"/>
      <c r="E3304" s="2" t="str">
        <f>"FES1162545648"</f>
        <v>FES1162545648</v>
      </c>
      <c r="F3304" s="3">
        <v>42851</v>
      </c>
      <c r="G3304" s="2">
        <v>201710</v>
      </c>
      <c r="H3304" s="2" t="s">
        <v>74</v>
      </c>
      <c r="I3304" s="2" t="s">
        <v>75</v>
      </c>
      <c r="J3304" s="2" t="s">
        <v>76</v>
      </c>
      <c r="K3304" s="2" t="s">
        <v>77</v>
      </c>
      <c r="L3304" s="2" t="s">
        <v>358</v>
      </c>
      <c r="M3304" s="2" t="s">
        <v>359</v>
      </c>
      <c r="N3304" s="2" t="s">
        <v>360</v>
      </c>
      <c r="O3304" s="2" t="s">
        <v>115</v>
      </c>
      <c r="P3304" s="2" t="str">
        <f>"2170563015                    "</f>
        <v xml:space="preserve">2170563015  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4.29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1</v>
      </c>
      <c r="BJ3304" s="2">
        <v>0.2</v>
      </c>
      <c r="BK3304" s="2">
        <v>1</v>
      </c>
      <c r="BL3304" s="2">
        <v>41.73</v>
      </c>
      <c r="BM3304" s="2">
        <v>5.84</v>
      </c>
      <c r="BN3304" s="2">
        <v>47.57</v>
      </c>
      <c r="BO3304" s="2">
        <v>47.57</v>
      </c>
      <c r="BP3304" s="2"/>
      <c r="BQ3304" s="2" t="s">
        <v>361</v>
      </c>
      <c r="BR3304" s="2" t="s">
        <v>84</v>
      </c>
      <c r="BS3304" s="3">
        <v>42853</v>
      </c>
      <c r="BT3304" s="4">
        <v>0.3125</v>
      </c>
      <c r="BU3304" s="2" t="s">
        <v>3352</v>
      </c>
      <c r="BV3304" s="2" t="s">
        <v>86</v>
      </c>
      <c r="BW3304" s="2" t="s">
        <v>104</v>
      </c>
      <c r="BX3304" s="2" t="s">
        <v>105</v>
      </c>
      <c r="BY3304" s="2">
        <v>1200</v>
      </c>
      <c r="BZ3304" s="2"/>
      <c r="CA3304" s="2"/>
      <c r="CB3304" s="2"/>
      <c r="CC3304" s="2" t="s">
        <v>359</v>
      </c>
      <c r="CD3304" s="2">
        <v>6229</v>
      </c>
      <c r="CE3304" s="2" t="s">
        <v>118</v>
      </c>
      <c r="CF3304" s="2"/>
      <c r="CG3304" s="2"/>
      <c r="CH3304" s="2"/>
      <c r="CI3304" s="2">
        <v>1</v>
      </c>
      <c r="CJ3304" s="2">
        <v>2</v>
      </c>
      <c r="CK3304" s="2">
        <v>21</v>
      </c>
      <c r="CL3304" s="2" t="s">
        <v>86</v>
      </c>
      <c r="CM3304" s="2"/>
    </row>
    <row r="3305" spans="1:91">
      <c r="A3305" s="2" t="s">
        <v>71</v>
      </c>
      <c r="B3305" s="2" t="s">
        <v>72</v>
      </c>
      <c r="C3305" s="2" t="s">
        <v>73</v>
      </c>
      <c r="D3305" s="2"/>
      <c r="E3305" s="2" t="str">
        <f>"FES1162545457"</f>
        <v>FES1162545457</v>
      </c>
      <c r="F3305" s="3">
        <v>42851</v>
      </c>
      <c r="G3305" s="2">
        <v>201710</v>
      </c>
      <c r="H3305" s="2" t="s">
        <v>74</v>
      </c>
      <c r="I3305" s="2" t="s">
        <v>75</v>
      </c>
      <c r="J3305" s="2" t="s">
        <v>76</v>
      </c>
      <c r="K3305" s="2" t="s">
        <v>77</v>
      </c>
      <c r="L3305" s="2" t="s">
        <v>91</v>
      </c>
      <c r="M3305" s="2" t="s">
        <v>92</v>
      </c>
      <c r="N3305" s="2" t="s">
        <v>3353</v>
      </c>
      <c r="O3305" s="2" t="s">
        <v>115</v>
      </c>
      <c r="P3305" s="2" t="str">
        <f>"2170563965                    "</f>
        <v xml:space="preserve">2170563965      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3.35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1</v>
      </c>
      <c r="BJ3305" s="2">
        <v>0.2</v>
      </c>
      <c r="BK3305" s="2">
        <v>1</v>
      </c>
      <c r="BL3305" s="2">
        <v>32.6</v>
      </c>
      <c r="BM3305" s="2">
        <v>4.5599999999999996</v>
      </c>
      <c r="BN3305" s="2">
        <v>37.159999999999997</v>
      </c>
      <c r="BO3305" s="2">
        <v>37.159999999999997</v>
      </c>
      <c r="BP3305" s="2"/>
      <c r="BQ3305" s="2" t="s">
        <v>3354</v>
      </c>
      <c r="BR3305" s="2" t="s">
        <v>84</v>
      </c>
      <c r="BS3305" s="3">
        <v>42853</v>
      </c>
      <c r="BT3305" s="4">
        <v>0.41666666666666669</v>
      </c>
      <c r="BU3305" s="2" t="s">
        <v>138</v>
      </c>
      <c r="BV3305" s="2" t="s">
        <v>86</v>
      </c>
      <c r="BW3305" s="2" t="s">
        <v>96</v>
      </c>
      <c r="BX3305" s="2" t="s">
        <v>2830</v>
      </c>
      <c r="BY3305" s="2">
        <v>1200</v>
      </c>
      <c r="BZ3305" s="2"/>
      <c r="CA3305" s="2"/>
      <c r="CB3305" s="2"/>
      <c r="CC3305" s="2" t="s">
        <v>92</v>
      </c>
      <c r="CD3305" s="2">
        <v>1401</v>
      </c>
      <c r="CE3305" s="2" t="s">
        <v>118</v>
      </c>
      <c r="CF3305" s="2"/>
      <c r="CG3305" s="2"/>
      <c r="CH3305" s="2"/>
      <c r="CI3305" s="2">
        <v>1</v>
      </c>
      <c r="CJ3305" s="2">
        <v>2</v>
      </c>
      <c r="CK3305" s="2">
        <v>22</v>
      </c>
      <c r="CL3305" s="2" t="s">
        <v>86</v>
      </c>
      <c r="CM3305" s="2"/>
    </row>
    <row r="3306" spans="1:91">
      <c r="A3306" s="2" t="s">
        <v>71</v>
      </c>
      <c r="B3306" s="2" t="s">
        <v>72</v>
      </c>
      <c r="C3306" s="2" t="s">
        <v>73</v>
      </c>
      <c r="D3306" s="2"/>
      <c r="E3306" s="2" t="str">
        <f>"FES1162545671"</f>
        <v>FES1162545671</v>
      </c>
      <c r="F3306" s="3">
        <v>42851</v>
      </c>
      <c r="G3306" s="2">
        <v>201710</v>
      </c>
      <c r="H3306" s="2" t="s">
        <v>74</v>
      </c>
      <c r="I3306" s="2" t="s">
        <v>75</v>
      </c>
      <c r="J3306" s="2" t="s">
        <v>76</v>
      </c>
      <c r="K3306" s="2" t="s">
        <v>77</v>
      </c>
      <c r="L3306" s="2" t="s">
        <v>99</v>
      </c>
      <c r="M3306" s="2" t="s">
        <v>100</v>
      </c>
      <c r="N3306" s="2" t="s">
        <v>433</v>
      </c>
      <c r="O3306" s="2" t="s">
        <v>115</v>
      </c>
      <c r="P3306" s="2" t="str">
        <f>"2170564124                    "</f>
        <v xml:space="preserve">2170564124 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4.29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1</v>
      </c>
      <c r="BJ3306" s="2">
        <v>0.2</v>
      </c>
      <c r="BK3306" s="2">
        <v>1</v>
      </c>
      <c r="BL3306" s="2">
        <v>41.73</v>
      </c>
      <c r="BM3306" s="2">
        <v>5.84</v>
      </c>
      <c r="BN3306" s="2">
        <v>47.57</v>
      </c>
      <c r="BO3306" s="2">
        <v>47.57</v>
      </c>
      <c r="BP3306" s="2"/>
      <c r="BQ3306" s="2" t="s">
        <v>434</v>
      </c>
      <c r="BR3306" s="2" t="s">
        <v>84</v>
      </c>
      <c r="BS3306" s="3">
        <v>42851</v>
      </c>
      <c r="BT3306" s="4">
        <v>0.36805555555555558</v>
      </c>
      <c r="BU3306" s="2" t="s">
        <v>904</v>
      </c>
      <c r="BV3306" s="2" t="s">
        <v>111</v>
      </c>
      <c r="BW3306" s="2"/>
      <c r="BX3306" s="2"/>
      <c r="BY3306" s="2">
        <v>1200</v>
      </c>
      <c r="BZ3306" s="2"/>
      <c r="CA3306" s="2" t="s">
        <v>159</v>
      </c>
      <c r="CB3306" s="2"/>
      <c r="CC3306" s="2" t="s">
        <v>100</v>
      </c>
      <c r="CD3306" s="2">
        <v>6001</v>
      </c>
      <c r="CE3306" s="2" t="s">
        <v>118</v>
      </c>
      <c r="CF3306" s="2"/>
      <c r="CG3306" s="2"/>
      <c r="CH3306" s="2"/>
      <c r="CI3306" s="2">
        <v>1</v>
      </c>
      <c r="CJ3306" s="2">
        <v>0</v>
      </c>
      <c r="CK3306" s="2">
        <v>21</v>
      </c>
      <c r="CL3306" s="2" t="s">
        <v>86</v>
      </c>
      <c r="CM3306" s="2"/>
    </row>
    <row r="3307" spans="1:91">
      <c r="A3307" s="2" t="s">
        <v>71</v>
      </c>
      <c r="B3307" s="2" t="s">
        <v>72</v>
      </c>
      <c r="C3307" s="2" t="s">
        <v>73</v>
      </c>
      <c r="D3307" s="2"/>
      <c r="E3307" s="2" t="str">
        <f>"FES1162545650"</f>
        <v>FES1162545650</v>
      </c>
      <c r="F3307" s="3">
        <v>42851</v>
      </c>
      <c r="G3307" s="2">
        <v>201710</v>
      </c>
      <c r="H3307" s="2" t="s">
        <v>74</v>
      </c>
      <c r="I3307" s="2" t="s">
        <v>75</v>
      </c>
      <c r="J3307" s="2" t="s">
        <v>76</v>
      </c>
      <c r="K3307" s="2" t="s">
        <v>77</v>
      </c>
      <c r="L3307" s="2" t="s">
        <v>166</v>
      </c>
      <c r="M3307" s="2" t="s">
        <v>167</v>
      </c>
      <c r="N3307" s="2" t="s">
        <v>168</v>
      </c>
      <c r="O3307" s="2" t="s">
        <v>115</v>
      </c>
      <c r="P3307" s="2" t="str">
        <f>"2170563093                    "</f>
        <v xml:space="preserve">2170563093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3.35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1</v>
      </c>
      <c r="BJ3307" s="2">
        <v>0.2</v>
      </c>
      <c r="BK3307" s="2">
        <v>1</v>
      </c>
      <c r="BL3307" s="2">
        <v>32.6</v>
      </c>
      <c r="BM3307" s="2">
        <v>4.5599999999999996</v>
      </c>
      <c r="BN3307" s="2">
        <v>37.159999999999997</v>
      </c>
      <c r="BO3307" s="2">
        <v>37.159999999999997</v>
      </c>
      <c r="BP3307" s="2"/>
      <c r="BQ3307" s="2" t="s">
        <v>169</v>
      </c>
      <c r="BR3307" s="2" t="s">
        <v>84</v>
      </c>
      <c r="BS3307" s="3">
        <v>42853</v>
      </c>
      <c r="BT3307" s="4">
        <v>0.38819444444444445</v>
      </c>
      <c r="BU3307" s="2" t="s">
        <v>1317</v>
      </c>
      <c r="BV3307" s="2" t="s">
        <v>86</v>
      </c>
      <c r="BW3307" s="2" t="s">
        <v>164</v>
      </c>
      <c r="BX3307" s="2" t="s">
        <v>309</v>
      </c>
      <c r="BY3307" s="2">
        <v>1200</v>
      </c>
      <c r="BZ3307" s="2"/>
      <c r="CA3307" s="2" t="s">
        <v>171</v>
      </c>
      <c r="CB3307" s="2"/>
      <c r="CC3307" s="2" t="s">
        <v>167</v>
      </c>
      <c r="CD3307" s="2">
        <v>2094</v>
      </c>
      <c r="CE3307" s="2" t="s">
        <v>118</v>
      </c>
      <c r="CF3307" s="5">
        <v>42853</v>
      </c>
      <c r="CG3307" s="2"/>
      <c r="CH3307" s="2"/>
      <c r="CI3307" s="2">
        <v>1</v>
      </c>
      <c r="CJ3307" s="2">
        <v>2</v>
      </c>
      <c r="CK3307" s="2">
        <v>22</v>
      </c>
      <c r="CL3307" s="2" t="s">
        <v>86</v>
      </c>
      <c r="CM3307" s="2"/>
    </row>
    <row r="3308" spans="1:91">
      <c r="A3308" s="2" t="s">
        <v>71</v>
      </c>
      <c r="B3308" s="2" t="s">
        <v>72</v>
      </c>
      <c r="C3308" s="2" t="s">
        <v>73</v>
      </c>
      <c r="D3308" s="2"/>
      <c r="E3308" s="2" t="str">
        <f>"FES1162545639"</f>
        <v>FES1162545639</v>
      </c>
      <c r="F3308" s="3">
        <v>42851</v>
      </c>
      <c r="G3308" s="2">
        <v>201710</v>
      </c>
      <c r="H3308" s="2" t="s">
        <v>74</v>
      </c>
      <c r="I3308" s="2" t="s">
        <v>75</v>
      </c>
      <c r="J3308" s="2" t="s">
        <v>76</v>
      </c>
      <c r="K3308" s="2" t="s">
        <v>77</v>
      </c>
      <c r="L3308" s="2" t="s">
        <v>74</v>
      </c>
      <c r="M3308" s="2" t="s">
        <v>75</v>
      </c>
      <c r="N3308" s="2" t="s">
        <v>2879</v>
      </c>
      <c r="O3308" s="2" t="s">
        <v>115</v>
      </c>
      <c r="P3308" s="2" t="str">
        <f>"2170561929                    "</f>
        <v xml:space="preserve">2170561929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7.37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3</v>
      </c>
      <c r="BI3308" s="2">
        <v>18</v>
      </c>
      <c r="BJ3308" s="2">
        <v>3.9</v>
      </c>
      <c r="BK3308" s="2">
        <v>18</v>
      </c>
      <c r="BL3308" s="2">
        <v>71.72</v>
      </c>
      <c r="BM3308" s="2">
        <v>10.039999999999999</v>
      </c>
      <c r="BN3308" s="2">
        <v>81.760000000000005</v>
      </c>
      <c r="BO3308" s="2">
        <v>81.760000000000005</v>
      </c>
      <c r="BP3308" s="2"/>
      <c r="BQ3308" s="2" t="s">
        <v>2880</v>
      </c>
      <c r="BR3308" s="2" t="s">
        <v>84</v>
      </c>
      <c r="BS3308" s="3">
        <v>42853</v>
      </c>
      <c r="BT3308" s="4">
        <v>0.41666666666666669</v>
      </c>
      <c r="BU3308" s="2" t="s">
        <v>3293</v>
      </c>
      <c r="BV3308" s="2" t="s">
        <v>86</v>
      </c>
      <c r="BW3308" s="2" t="s">
        <v>164</v>
      </c>
      <c r="BX3308" s="2" t="s">
        <v>309</v>
      </c>
      <c r="BY3308" s="2">
        <v>19668</v>
      </c>
      <c r="BZ3308" s="2"/>
      <c r="CA3308" s="2"/>
      <c r="CB3308" s="2"/>
      <c r="CC3308" s="2" t="s">
        <v>75</v>
      </c>
      <c r="CD3308" s="2">
        <v>1666</v>
      </c>
      <c r="CE3308" s="2" t="s">
        <v>89</v>
      </c>
      <c r="CF3308" s="2"/>
      <c r="CG3308" s="2"/>
      <c r="CH3308" s="2"/>
      <c r="CI3308" s="2">
        <v>1</v>
      </c>
      <c r="CJ3308" s="2">
        <v>2</v>
      </c>
      <c r="CK3308" s="2">
        <v>22</v>
      </c>
      <c r="CL3308" s="2" t="s">
        <v>86</v>
      </c>
      <c r="CM3308" s="2"/>
    </row>
    <row r="3309" spans="1:91">
      <c r="A3309" s="2" t="s">
        <v>71</v>
      </c>
      <c r="B3309" s="2" t="s">
        <v>72</v>
      </c>
      <c r="C3309" s="2" t="s">
        <v>73</v>
      </c>
      <c r="D3309" s="2"/>
      <c r="E3309" s="2" t="str">
        <f>"FES1162545729"</f>
        <v>FES1162545729</v>
      </c>
      <c r="F3309" s="3">
        <v>42851</v>
      </c>
      <c r="G3309" s="2">
        <v>201710</v>
      </c>
      <c r="H3309" s="2" t="s">
        <v>74</v>
      </c>
      <c r="I3309" s="2" t="s">
        <v>75</v>
      </c>
      <c r="J3309" s="2" t="s">
        <v>76</v>
      </c>
      <c r="K3309" s="2" t="s">
        <v>77</v>
      </c>
      <c r="L3309" s="2" t="s">
        <v>187</v>
      </c>
      <c r="M3309" s="2" t="s">
        <v>146</v>
      </c>
      <c r="N3309" s="2" t="s">
        <v>3068</v>
      </c>
      <c r="O3309" s="2" t="s">
        <v>115</v>
      </c>
      <c r="P3309" s="2" t="str">
        <f>"2170564212                    "</f>
        <v xml:space="preserve">2170564212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4.29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1</v>
      </c>
      <c r="BJ3309" s="2">
        <v>0.2</v>
      </c>
      <c r="BK3309" s="2">
        <v>1</v>
      </c>
      <c r="BL3309" s="2">
        <v>41.73</v>
      </c>
      <c r="BM3309" s="2">
        <v>5.84</v>
      </c>
      <c r="BN3309" s="2">
        <v>47.57</v>
      </c>
      <c r="BO3309" s="2">
        <v>47.57</v>
      </c>
      <c r="BP3309" s="2"/>
      <c r="BQ3309" s="2" t="s">
        <v>687</v>
      </c>
      <c r="BR3309" s="2" t="s">
        <v>84</v>
      </c>
      <c r="BS3309" s="3">
        <v>42853</v>
      </c>
      <c r="BT3309" s="4">
        <v>0.40625</v>
      </c>
      <c r="BU3309" s="2" t="s">
        <v>3355</v>
      </c>
      <c r="BV3309" s="2" t="s">
        <v>86</v>
      </c>
      <c r="BW3309" s="2"/>
      <c r="BX3309" s="2"/>
      <c r="BY3309" s="2">
        <v>1200</v>
      </c>
      <c r="BZ3309" s="2"/>
      <c r="CA3309" s="2"/>
      <c r="CB3309" s="2"/>
      <c r="CC3309" s="2" t="s">
        <v>146</v>
      </c>
      <c r="CD3309" s="2">
        <v>200</v>
      </c>
      <c r="CE3309" s="2" t="s">
        <v>118</v>
      </c>
      <c r="CF3309" s="2"/>
      <c r="CG3309" s="2"/>
      <c r="CH3309" s="2"/>
      <c r="CI3309" s="2">
        <v>1</v>
      </c>
      <c r="CJ3309" s="2">
        <v>2</v>
      </c>
      <c r="CK3309" s="2">
        <v>21</v>
      </c>
      <c r="CL3309" s="2" t="s">
        <v>86</v>
      </c>
      <c r="CM3309" s="2"/>
    </row>
    <row r="3310" spans="1:91">
      <c r="A3310" s="2" t="s">
        <v>71</v>
      </c>
      <c r="B3310" s="2" t="s">
        <v>72</v>
      </c>
      <c r="C3310" s="2" t="s">
        <v>73</v>
      </c>
      <c r="D3310" s="2"/>
      <c r="E3310" s="2" t="str">
        <f>"FES1162545702"</f>
        <v>FES1162545702</v>
      </c>
      <c r="F3310" s="3">
        <v>42851</v>
      </c>
      <c r="G3310" s="2">
        <v>201710</v>
      </c>
      <c r="H3310" s="2" t="s">
        <v>74</v>
      </c>
      <c r="I3310" s="2" t="s">
        <v>75</v>
      </c>
      <c r="J3310" s="2" t="s">
        <v>76</v>
      </c>
      <c r="K3310" s="2" t="s">
        <v>77</v>
      </c>
      <c r="L3310" s="2" t="s">
        <v>166</v>
      </c>
      <c r="M3310" s="2" t="s">
        <v>167</v>
      </c>
      <c r="N3310" s="2" t="s">
        <v>168</v>
      </c>
      <c r="O3310" s="2" t="s">
        <v>115</v>
      </c>
      <c r="P3310" s="2" t="str">
        <f>"2170564169                    "</f>
        <v xml:space="preserve">2170564169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3.35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1</v>
      </c>
      <c r="BJ3310" s="2">
        <v>0.2</v>
      </c>
      <c r="BK3310" s="2">
        <v>1</v>
      </c>
      <c r="BL3310" s="2">
        <v>32.6</v>
      </c>
      <c r="BM3310" s="2">
        <v>4.5599999999999996</v>
      </c>
      <c r="BN3310" s="2">
        <v>37.159999999999997</v>
      </c>
      <c r="BO3310" s="2">
        <v>37.159999999999997</v>
      </c>
      <c r="BP3310" s="2"/>
      <c r="BQ3310" s="2" t="s">
        <v>169</v>
      </c>
      <c r="BR3310" s="2" t="s">
        <v>84</v>
      </c>
      <c r="BS3310" s="3">
        <v>42853</v>
      </c>
      <c r="BT3310" s="4">
        <v>0.3888888888888889</v>
      </c>
      <c r="BU3310" s="2" t="s">
        <v>1317</v>
      </c>
      <c r="BV3310" s="2" t="s">
        <v>86</v>
      </c>
      <c r="BW3310" s="2" t="s">
        <v>164</v>
      </c>
      <c r="BX3310" s="2" t="s">
        <v>309</v>
      </c>
      <c r="BY3310" s="2">
        <v>1200</v>
      </c>
      <c r="BZ3310" s="2"/>
      <c r="CA3310" s="2" t="s">
        <v>171</v>
      </c>
      <c r="CB3310" s="2"/>
      <c r="CC3310" s="2" t="s">
        <v>167</v>
      </c>
      <c r="CD3310" s="2">
        <v>2094</v>
      </c>
      <c r="CE3310" s="2" t="s">
        <v>118</v>
      </c>
      <c r="CF3310" s="5">
        <v>42853</v>
      </c>
      <c r="CG3310" s="2"/>
      <c r="CH3310" s="2"/>
      <c r="CI3310" s="2">
        <v>1</v>
      </c>
      <c r="CJ3310" s="2">
        <v>2</v>
      </c>
      <c r="CK3310" s="2">
        <v>22</v>
      </c>
      <c r="CL3310" s="2" t="s">
        <v>86</v>
      </c>
      <c r="CM3310" s="2"/>
    </row>
    <row r="3311" spans="1:91">
      <c r="A3311" s="2" t="s">
        <v>71</v>
      </c>
      <c r="B3311" s="2" t="s">
        <v>72</v>
      </c>
      <c r="C3311" s="2" t="s">
        <v>73</v>
      </c>
      <c r="D3311" s="2"/>
      <c r="E3311" s="2" t="str">
        <f>"FES1162545593"</f>
        <v>FES1162545593</v>
      </c>
      <c r="F3311" s="3">
        <v>42851</v>
      </c>
      <c r="G3311" s="2">
        <v>201710</v>
      </c>
      <c r="H3311" s="2" t="s">
        <v>74</v>
      </c>
      <c r="I3311" s="2" t="s">
        <v>75</v>
      </c>
      <c r="J3311" s="2" t="s">
        <v>76</v>
      </c>
      <c r="K3311" s="2" t="s">
        <v>77</v>
      </c>
      <c r="L3311" s="2" t="s">
        <v>443</v>
      </c>
      <c r="M3311" s="2" t="s">
        <v>444</v>
      </c>
      <c r="N3311" s="2" t="s">
        <v>445</v>
      </c>
      <c r="O3311" s="2" t="s">
        <v>115</v>
      </c>
      <c r="P3311" s="2" t="str">
        <f>"2170564111                    "</f>
        <v xml:space="preserve">2170564111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4.29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1</v>
      </c>
      <c r="BJ3311" s="2">
        <v>0.2</v>
      </c>
      <c r="BK3311" s="2">
        <v>1</v>
      </c>
      <c r="BL3311" s="2">
        <v>41.73</v>
      </c>
      <c r="BM3311" s="2">
        <v>5.84</v>
      </c>
      <c r="BN3311" s="2">
        <v>47.57</v>
      </c>
      <c r="BO3311" s="2">
        <v>47.57</v>
      </c>
      <c r="BP3311" s="2"/>
      <c r="BQ3311" s="2" t="s">
        <v>129</v>
      </c>
      <c r="BR3311" s="2" t="s">
        <v>84</v>
      </c>
      <c r="BS3311" s="1" t="s">
        <v>1744</v>
      </c>
      <c r="BT3311" s="2"/>
      <c r="BU3311" s="2"/>
      <c r="BV3311" s="2"/>
      <c r="BW3311" s="2"/>
      <c r="BX3311" s="2"/>
      <c r="BY3311" s="2">
        <v>1200</v>
      </c>
      <c r="BZ3311" s="2"/>
      <c r="CA3311" s="2"/>
      <c r="CB3311" s="2"/>
      <c r="CC3311" s="2" t="s">
        <v>444</v>
      </c>
      <c r="CD3311" s="2">
        <v>7130</v>
      </c>
      <c r="CE3311" s="2" t="s">
        <v>118</v>
      </c>
      <c r="CF3311" s="2"/>
      <c r="CG3311" s="2"/>
      <c r="CH3311" s="2"/>
      <c r="CI3311" s="2">
        <v>1</v>
      </c>
      <c r="CJ3311" s="2" t="s">
        <v>1744</v>
      </c>
      <c r="CK3311" s="2">
        <v>21</v>
      </c>
      <c r="CL3311" s="2" t="s">
        <v>86</v>
      </c>
      <c r="CM3311" s="2"/>
    </row>
    <row r="3312" spans="1:91">
      <c r="A3312" s="2" t="s">
        <v>71</v>
      </c>
      <c r="B3312" s="2" t="s">
        <v>72</v>
      </c>
      <c r="C3312" s="2" t="s">
        <v>73</v>
      </c>
      <c r="D3312" s="2"/>
      <c r="E3312" s="2" t="str">
        <f>"FES1162545637"</f>
        <v>FES1162545637</v>
      </c>
      <c r="F3312" s="3">
        <v>42851</v>
      </c>
      <c r="G3312" s="2">
        <v>201710</v>
      </c>
      <c r="H3312" s="2" t="s">
        <v>74</v>
      </c>
      <c r="I3312" s="2" t="s">
        <v>75</v>
      </c>
      <c r="J3312" s="2" t="s">
        <v>76</v>
      </c>
      <c r="K3312" s="2" t="s">
        <v>77</v>
      </c>
      <c r="L3312" s="2" t="s">
        <v>131</v>
      </c>
      <c r="M3312" s="2" t="s">
        <v>132</v>
      </c>
      <c r="N3312" s="2" t="s">
        <v>677</v>
      </c>
      <c r="O3312" s="2" t="s">
        <v>115</v>
      </c>
      <c r="P3312" s="2" t="str">
        <f>"2170561804                    "</f>
        <v xml:space="preserve">2170561804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4.29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41.73</v>
      </c>
      <c r="BM3312" s="2">
        <v>5.84</v>
      </c>
      <c r="BN3312" s="2">
        <v>47.57</v>
      </c>
      <c r="BO3312" s="2">
        <v>47.57</v>
      </c>
      <c r="BP3312" s="2"/>
      <c r="BQ3312" s="2" t="s">
        <v>678</v>
      </c>
      <c r="BR3312" s="2" t="s">
        <v>84</v>
      </c>
      <c r="BS3312" s="3">
        <v>42853</v>
      </c>
      <c r="BT3312" s="4">
        <v>0.4201388888888889</v>
      </c>
      <c r="BU3312" s="2" t="s">
        <v>1054</v>
      </c>
      <c r="BV3312" s="2" t="s">
        <v>86</v>
      </c>
      <c r="BW3312" s="2" t="s">
        <v>157</v>
      </c>
      <c r="BX3312" s="2" t="s">
        <v>1537</v>
      </c>
      <c r="BY3312" s="2">
        <v>1200</v>
      </c>
      <c r="BZ3312" s="2"/>
      <c r="CA3312" s="2"/>
      <c r="CB3312" s="2"/>
      <c r="CC3312" s="2" t="s">
        <v>132</v>
      </c>
      <c r="CD3312" s="2">
        <v>7800</v>
      </c>
      <c r="CE3312" s="2" t="s">
        <v>118</v>
      </c>
      <c r="CF3312" s="2"/>
      <c r="CG3312" s="2"/>
      <c r="CH3312" s="2"/>
      <c r="CI3312" s="2">
        <v>1</v>
      </c>
      <c r="CJ3312" s="2">
        <v>2</v>
      </c>
      <c r="CK3312" s="2">
        <v>21</v>
      </c>
      <c r="CL3312" s="2" t="s">
        <v>86</v>
      </c>
      <c r="CM3312" s="2"/>
    </row>
    <row r="3313" spans="1:91">
      <c r="A3313" s="2" t="s">
        <v>71</v>
      </c>
      <c r="B3313" s="2" t="s">
        <v>72</v>
      </c>
      <c r="C3313" s="2" t="s">
        <v>73</v>
      </c>
      <c r="D3313" s="2"/>
      <c r="E3313" s="2" t="str">
        <f>"FES1162545769"</f>
        <v>FES1162545769</v>
      </c>
      <c r="F3313" s="3">
        <v>42851</v>
      </c>
      <c r="G3313" s="2">
        <v>201710</v>
      </c>
      <c r="H3313" s="2" t="s">
        <v>74</v>
      </c>
      <c r="I3313" s="2" t="s">
        <v>75</v>
      </c>
      <c r="J3313" s="2" t="s">
        <v>76</v>
      </c>
      <c r="K3313" s="2" t="s">
        <v>77</v>
      </c>
      <c r="L3313" s="2" t="s">
        <v>131</v>
      </c>
      <c r="M3313" s="2" t="s">
        <v>132</v>
      </c>
      <c r="N3313" s="2" t="s">
        <v>1534</v>
      </c>
      <c r="O3313" s="2" t="s">
        <v>115</v>
      </c>
      <c r="P3313" s="2" t="str">
        <f>"2170561947                    "</f>
        <v xml:space="preserve">2170561947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4.29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41.73</v>
      </c>
      <c r="BM3313" s="2">
        <v>5.84</v>
      </c>
      <c r="BN3313" s="2">
        <v>47.57</v>
      </c>
      <c r="BO3313" s="2">
        <v>47.57</v>
      </c>
      <c r="BP3313" s="2"/>
      <c r="BQ3313" s="2" t="s">
        <v>116</v>
      </c>
      <c r="BR3313" s="2" t="s">
        <v>84</v>
      </c>
      <c r="BS3313" s="3">
        <v>42853</v>
      </c>
      <c r="BT3313" s="4">
        <v>0.35416666666666669</v>
      </c>
      <c r="BU3313" s="2" t="s">
        <v>1939</v>
      </c>
      <c r="BV3313" s="2" t="s">
        <v>86</v>
      </c>
      <c r="BW3313" s="2" t="s">
        <v>157</v>
      </c>
      <c r="BX3313" s="2" t="s">
        <v>1537</v>
      </c>
      <c r="BY3313" s="2">
        <v>1200</v>
      </c>
      <c r="BZ3313" s="2"/>
      <c r="CA3313" s="2"/>
      <c r="CB3313" s="2"/>
      <c r="CC3313" s="2" t="s">
        <v>132</v>
      </c>
      <c r="CD3313" s="2">
        <v>7493</v>
      </c>
      <c r="CE3313" s="2" t="s">
        <v>118</v>
      </c>
      <c r="CF3313" s="2"/>
      <c r="CG3313" s="2"/>
      <c r="CH3313" s="2"/>
      <c r="CI3313" s="2">
        <v>1</v>
      </c>
      <c r="CJ3313" s="2">
        <v>2</v>
      </c>
      <c r="CK3313" s="2">
        <v>21</v>
      </c>
      <c r="CL3313" s="2" t="s">
        <v>86</v>
      </c>
      <c r="CM3313" s="2"/>
    </row>
    <row r="3314" spans="1:91">
      <c r="A3314" s="2" t="s">
        <v>71</v>
      </c>
      <c r="B3314" s="2" t="s">
        <v>72</v>
      </c>
      <c r="C3314" s="2" t="s">
        <v>73</v>
      </c>
      <c r="D3314" s="2"/>
      <c r="E3314" s="2" t="str">
        <f>"FES1162545676"</f>
        <v>FES1162545676</v>
      </c>
      <c r="F3314" s="3">
        <v>42851</v>
      </c>
      <c r="G3314" s="2">
        <v>201710</v>
      </c>
      <c r="H3314" s="2" t="s">
        <v>74</v>
      </c>
      <c r="I3314" s="2" t="s">
        <v>75</v>
      </c>
      <c r="J3314" s="2" t="s">
        <v>76</v>
      </c>
      <c r="K3314" s="2" t="s">
        <v>77</v>
      </c>
      <c r="L3314" s="2" t="s">
        <v>267</v>
      </c>
      <c r="M3314" s="2" t="s">
        <v>268</v>
      </c>
      <c r="N3314" s="2" t="s">
        <v>3356</v>
      </c>
      <c r="O3314" s="2" t="s">
        <v>115</v>
      </c>
      <c r="P3314" s="2" t="str">
        <f>"2170564130                    "</f>
        <v xml:space="preserve">2170564130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3.35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1</v>
      </c>
      <c r="BJ3314" s="2">
        <v>0.2</v>
      </c>
      <c r="BK3314" s="2">
        <v>1</v>
      </c>
      <c r="BL3314" s="2">
        <v>32.6</v>
      </c>
      <c r="BM3314" s="2">
        <v>4.5599999999999996</v>
      </c>
      <c r="BN3314" s="2">
        <v>37.159999999999997</v>
      </c>
      <c r="BO3314" s="2">
        <v>37.159999999999997</v>
      </c>
      <c r="BP3314" s="2"/>
      <c r="BQ3314" s="2" t="s">
        <v>122</v>
      </c>
      <c r="BR3314" s="2" t="s">
        <v>84</v>
      </c>
      <c r="BS3314" s="3">
        <v>42853</v>
      </c>
      <c r="BT3314" s="4">
        <v>0.41666666666666669</v>
      </c>
      <c r="BU3314" s="2" t="s">
        <v>2152</v>
      </c>
      <c r="BV3314" s="2" t="s">
        <v>86</v>
      </c>
      <c r="BW3314" s="2" t="s">
        <v>96</v>
      </c>
      <c r="BX3314" s="2" t="s">
        <v>2830</v>
      </c>
      <c r="BY3314" s="2">
        <v>1200</v>
      </c>
      <c r="BZ3314" s="2"/>
      <c r="CA3314" s="2"/>
      <c r="CB3314" s="2"/>
      <c r="CC3314" s="2" t="s">
        <v>268</v>
      </c>
      <c r="CD3314" s="2">
        <v>1709</v>
      </c>
      <c r="CE3314" s="2" t="s">
        <v>118</v>
      </c>
      <c r="CF3314" s="2"/>
      <c r="CG3314" s="2"/>
      <c r="CH3314" s="2"/>
      <c r="CI3314" s="2">
        <v>1</v>
      </c>
      <c r="CJ3314" s="2">
        <v>2</v>
      </c>
      <c r="CK3314" s="2">
        <v>22</v>
      </c>
      <c r="CL3314" s="2" t="s">
        <v>86</v>
      </c>
      <c r="CM3314" s="2"/>
    </row>
    <row r="3315" spans="1:91">
      <c r="A3315" s="2" t="s">
        <v>71</v>
      </c>
      <c r="B3315" s="2" t="s">
        <v>72</v>
      </c>
      <c r="C3315" s="2" t="s">
        <v>73</v>
      </c>
      <c r="D3315" s="2"/>
      <c r="E3315" s="2" t="str">
        <f>"FES1162545706"</f>
        <v>FES1162545706</v>
      </c>
      <c r="F3315" s="3">
        <v>42851</v>
      </c>
      <c r="G3315" s="2">
        <v>201710</v>
      </c>
      <c r="H3315" s="2" t="s">
        <v>74</v>
      </c>
      <c r="I3315" s="2" t="s">
        <v>75</v>
      </c>
      <c r="J3315" s="2" t="s">
        <v>76</v>
      </c>
      <c r="K3315" s="2" t="s">
        <v>77</v>
      </c>
      <c r="L3315" s="2" t="s">
        <v>496</v>
      </c>
      <c r="M3315" s="2" t="s">
        <v>497</v>
      </c>
      <c r="N3315" s="2" t="s">
        <v>577</v>
      </c>
      <c r="O3315" s="2" t="s">
        <v>115</v>
      </c>
      <c r="P3315" s="2" t="str">
        <f>"2170564176                    "</f>
        <v xml:space="preserve">2170564176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3.35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1</v>
      </c>
      <c r="BI3315" s="2">
        <v>1</v>
      </c>
      <c r="BJ3315" s="2">
        <v>0.2</v>
      </c>
      <c r="BK3315" s="2">
        <v>1</v>
      </c>
      <c r="BL3315" s="2">
        <v>32.6</v>
      </c>
      <c r="BM3315" s="2">
        <v>4.5599999999999996</v>
      </c>
      <c r="BN3315" s="2">
        <v>37.159999999999997</v>
      </c>
      <c r="BO3315" s="2">
        <v>37.159999999999997</v>
      </c>
      <c r="BP3315" s="2"/>
      <c r="BQ3315" s="2" t="s">
        <v>603</v>
      </c>
      <c r="BR3315" s="2" t="s">
        <v>84</v>
      </c>
      <c r="BS3315" s="3">
        <v>42853</v>
      </c>
      <c r="BT3315" s="4">
        <v>0.40972222222222227</v>
      </c>
      <c r="BU3315" s="2" t="s">
        <v>2152</v>
      </c>
      <c r="BV3315" s="2" t="s">
        <v>86</v>
      </c>
      <c r="BW3315" s="2" t="s">
        <v>96</v>
      </c>
      <c r="BX3315" s="2" t="s">
        <v>2830</v>
      </c>
      <c r="BY3315" s="2">
        <v>1200</v>
      </c>
      <c r="BZ3315" s="2"/>
      <c r="CA3315" s="2"/>
      <c r="CB3315" s="2"/>
      <c r="CC3315" s="2" t="s">
        <v>497</v>
      </c>
      <c r="CD3315" s="2">
        <v>1559</v>
      </c>
      <c r="CE3315" s="2" t="s">
        <v>118</v>
      </c>
      <c r="CF3315" s="2"/>
      <c r="CG3315" s="2"/>
      <c r="CH3315" s="2"/>
      <c r="CI3315" s="2">
        <v>1</v>
      </c>
      <c r="CJ3315" s="2">
        <v>2</v>
      </c>
      <c r="CK3315" s="2">
        <v>22</v>
      </c>
      <c r="CL3315" s="2" t="s">
        <v>86</v>
      </c>
      <c r="CM3315" s="2"/>
    </row>
    <row r="3316" spans="1:91">
      <c r="A3316" s="2" t="s">
        <v>71</v>
      </c>
      <c r="B3316" s="2" t="s">
        <v>72</v>
      </c>
      <c r="C3316" s="2" t="s">
        <v>73</v>
      </c>
      <c r="D3316" s="2"/>
      <c r="E3316" s="2" t="str">
        <f>"FES1162545614"</f>
        <v>FES1162545614</v>
      </c>
      <c r="F3316" s="3">
        <v>42851</v>
      </c>
      <c r="G3316" s="2">
        <v>201710</v>
      </c>
      <c r="H3316" s="2" t="s">
        <v>74</v>
      </c>
      <c r="I3316" s="2" t="s">
        <v>75</v>
      </c>
      <c r="J3316" s="2" t="s">
        <v>76</v>
      </c>
      <c r="K3316" s="2" t="s">
        <v>77</v>
      </c>
      <c r="L3316" s="2" t="s">
        <v>119</v>
      </c>
      <c r="M3316" s="2" t="s">
        <v>120</v>
      </c>
      <c r="N3316" s="2" t="s">
        <v>725</v>
      </c>
      <c r="O3316" s="2" t="s">
        <v>115</v>
      </c>
      <c r="P3316" s="2" t="str">
        <f>"2170560432                    "</f>
        <v xml:space="preserve">2170560432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3.35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1</v>
      </c>
      <c r="BJ3316" s="2">
        <v>0.2</v>
      </c>
      <c r="BK3316" s="2">
        <v>1</v>
      </c>
      <c r="BL3316" s="2">
        <v>32.6</v>
      </c>
      <c r="BM3316" s="2">
        <v>4.5599999999999996</v>
      </c>
      <c r="BN3316" s="2">
        <v>37.159999999999997</v>
      </c>
      <c r="BO3316" s="2">
        <v>37.159999999999997</v>
      </c>
      <c r="BP3316" s="2"/>
      <c r="BQ3316" s="2" t="s">
        <v>726</v>
      </c>
      <c r="BR3316" s="2" t="s">
        <v>84</v>
      </c>
      <c r="BS3316" s="3">
        <v>42853</v>
      </c>
      <c r="BT3316" s="4">
        <v>0.38194444444444442</v>
      </c>
      <c r="BU3316" s="2" t="s">
        <v>1655</v>
      </c>
      <c r="BV3316" s="2" t="s">
        <v>86</v>
      </c>
      <c r="BW3316" s="2" t="s">
        <v>164</v>
      </c>
      <c r="BX3316" s="2" t="s">
        <v>309</v>
      </c>
      <c r="BY3316" s="2">
        <v>1200</v>
      </c>
      <c r="BZ3316" s="2"/>
      <c r="CA3316" s="2" t="s">
        <v>125</v>
      </c>
      <c r="CB3316" s="2"/>
      <c r="CC3316" s="2" t="s">
        <v>120</v>
      </c>
      <c r="CD3316" s="2">
        <v>2162</v>
      </c>
      <c r="CE3316" s="2" t="s">
        <v>118</v>
      </c>
      <c r="CF3316" s="2"/>
      <c r="CG3316" s="2"/>
      <c r="CH3316" s="2"/>
      <c r="CI3316" s="2">
        <v>1</v>
      </c>
      <c r="CJ3316" s="2">
        <v>2</v>
      </c>
      <c r="CK3316" s="2">
        <v>22</v>
      </c>
      <c r="CL3316" s="2" t="s">
        <v>86</v>
      </c>
      <c r="CM3316" s="2"/>
    </row>
    <row r="3317" spans="1:91">
      <c r="A3317" s="2" t="s">
        <v>71</v>
      </c>
      <c r="B3317" s="2" t="s">
        <v>72</v>
      </c>
      <c r="C3317" s="2" t="s">
        <v>73</v>
      </c>
      <c r="D3317" s="2"/>
      <c r="E3317" s="2" t="str">
        <f>"FES1162545718"</f>
        <v>FES1162545718</v>
      </c>
      <c r="F3317" s="3">
        <v>42851</v>
      </c>
      <c r="G3317" s="2">
        <v>201710</v>
      </c>
      <c r="H3317" s="2" t="s">
        <v>74</v>
      </c>
      <c r="I3317" s="2" t="s">
        <v>75</v>
      </c>
      <c r="J3317" s="2" t="s">
        <v>76</v>
      </c>
      <c r="K3317" s="2" t="s">
        <v>77</v>
      </c>
      <c r="L3317" s="2" t="s">
        <v>166</v>
      </c>
      <c r="M3317" s="2" t="s">
        <v>167</v>
      </c>
      <c r="N3317" s="2" t="s">
        <v>892</v>
      </c>
      <c r="O3317" s="2" t="s">
        <v>115</v>
      </c>
      <c r="P3317" s="2" t="str">
        <f>"2170564200                    "</f>
        <v xml:space="preserve">2170564200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3.35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32.6</v>
      </c>
      <c r="BM3317" s="2">
        <v>4.5599999999999996</v>
      </c>
      <c r="BN3317" s="2">
        <v>37.159999999999997</v>
      </c>
      <c r="BO3317" s="2">
        <v>37.159999999999997</v>
      </c>
      <c r="BP3317" s="2"/>
      <c r="BQ3317" s="2" t="s">
        <v>893</v>
      </c>
      <c r="BR3317" s="2" t="s">
        <v>84</v>
      </c>
      <c r="BS3317" s="3">
        <v>42853</v>
      </c>
      <c r="BT3317" s="4">
        <v>0.41666666666666669</v>
      </c>
      <c r="BU3317" s="2" t="s">
        <v>2152</v>
      </c>
      <c r="BV3317" s="2" t="s">
        <v>86</v>
      </c>
      <c r="BW3317" s="2" t="s">
        <v>96</v>
      </c>
      <c r="BX3317" s="2" t="s">
        <v>2830</v>
      </c>
      <c r="BY3317" s="2">
        <v>1200</v>
      </c>
      <c r="BZ3317" s="2"/>
      <c r="CA3317" s="2"/>
      <c r="CB3317" s="2"/>
      <c r="CC3317" s="2" t="s">
        <v>167</v>
      </c>
      <c r="CD3317" s="2">
        <v>2013</v>
      </c>
      <c r="CE3317" s="2" t="s">
        <v>118</v>
      </c>
      <c r="CF3317" s="2"/>
      <c r="CG3317" s="2"/>
      <c r="CH3317" s="2"/>
      <c r="CI3317" s="2">
        <v>1</v>
      </c>
      <c r="CJ3317" s="2">
        <v>2</v>
      </c>
      <c r="CK3317" s="2">
        <v>22</v>
      </c>
      <c r="CL3317" s="2" t="s">
        <v>86</v>
      </c>
      <c r="CM3317" s="2"/>
    </row>
    <row r="3318" spans="1:91">
      <c r="A3318" s="2" t="s">
        <v>71</v>
      </c>
      <c r="B3318" s="2" t="s">
        <v>72</v>
      </c>
      <c r="C3318" s="2" t="s">
        <v>73</v>
      </c>
      <c r="D3318" s="2"/>
      <c r="E3318" s="2" t="str">
        <f>"FES1162545686"</f>
        <v>FES1162545686</v>
      </c>
      <c r="F3318" s="3">
        <v>42851</v>
      </c>
      <c r="G3318" s="2">
        <v>201710</v>
      </c>
      <c r="H3318" s="2" t="s">
        <v>74</v>
      </c>
      <c r="I3318" s="2" t="s">
        <v>75</v>
      </c>
      <c r="J3318" s="2" t="s">
        <v>76</v>
      </c>
      <c r="K3318" s="2" t="s">
        <v>77</v>
      </c>
      <c r="L3318" s="2" t="s">
        <v>496</v>
      </c>
      <c r="M3318" s="2" t="s">
        <v>497</v>
      </c>
      <c r="N3318" s="2" t="s">
        <v>498</v>
      </c>
      <c r="O3318" s="2" t="s">
        <v>115</v>
      </c>
      <c r="P3318" s="2" t="str">
        <f>"2170564147                    "</f>
        <v xml:space="preserve">2170564147 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3.35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1</v>
      </c>
      <c r="BJ3318" s="2">
        <v>0.2</v>
      </c>
      <c r="BK3318" s="2">
        <v>1</v>
      </c>
      <c r="BL3318" s="2">
        <v>32.6</v>
      </c>
      <c r="BM3318" s="2">
        <v>4.5599999999999996</v>
      </c>
      <c r="BN3318" s="2">
        <v>37.159999999999997</v>
      </c>
      <c r="BO3318" s="2">
        <v>37.159999999999997</v>
      </c>
      <c r="BP3318" s="2"/>
      <c r="BQ3318" s="2" t="s">
        <v>122</v>
      </c>
      <c r="BR3318" s="2" t="s">
        <v>84</v>
      </c>
      <c r="BS3318" s="3">
        <v>42853</v>
      </c>
      <c r="BT3318" s="4">
        <v>0.3263888888888889</v>
      </c>
      <c r="BU3318" s="2" t="s">
        <v>499</v>
      </c>
      <c r="BV3318" s="2" t="s">
        <v>86</v>
      </c>
      <c r="BW3318" s="2" t="s">
        <v>96</v>
      </c>
      <c r="BX3318" s="2" t="s">
        <v>2830</v>
      </c>
      <c r="BY3318" s="2">
        <v>1200</v>
      </c>
      <c r="BZ3318" s="2"/>
      <c r="CA3318" s="2"/>
      <c r="CB3318" s="2"/>
      <c r="CC3318" s="2" t="s">
        <v>497</v>
      </c>
      <c r="CD3318" s="2">
        <v>1559</v>
      </c>
      <c r="CE3318" s="2" t="s">
        <v>118</v>
      </c>
      <c r="CF3318" s="2"/>
      <c r="CG3318" s="2"/>
      <c r="CH3318" s="2"/>
      <c r="CI3318" s="2">
        <v>1</v>
      </c>
      <c r="CJ3318" s="2">
        <v>2</v>
      </c>
      <c r="CK3318" s="2">
        <v>22</v>
      </c>
      <c r="CL3318" s="2" t="s">
        <v>86</v>
      </c>
      <c r="CM3318" s="2"/>
    </row>
    <row r="3319" spans="1:91">
      <c r="A3319" s="2" t="s">
        <v>71</v>
      </c>
      <c r="B3319" s="2" t="s">
        <v>72</v>
      </c>
      <c r="C3319" s="2" t="s">
        <v>73</v>
      </c>
      <c r="D3319" s="2"/>
      <c r="E3319" s="2" t="str">
        <f>"FES1162545644"</f>
        <v>FES1162545644</v>
      </c>
      <c r="F3319" s="3">
        <v>42851</v>
      </c>
      <c r="G3319" s="2">
        <v>201710</v>
      </c>
      <c r="H3319" s="2" t="s">
        <v>74</v>
      </c>
      <c r="I3319" s="2" t="s">
        <v>75</v>
      </c>
      <c r="J3319" s="2" t="s">
        <v>76</v>
      </c>
      <c r="K3319" s="2" t="s">
        <v>77</v>
      </c>
      <c r="L3319" s="2" t="s">
        <v>74</v>
      </c>
      <c r="M3319" s="2" t="s">
        <v>75</v>
      </c>
      <c r="N3319" s="2" t="s">
        <v>3357</v>
      </c>
      <c r="O3319" s="2" t="s">
        <v>115</v>
      </c>
      <c r="P3319" s="2" t="str">
        <f>"2170562667                    "</f>
        <v xml:space="preserve">2170562667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3.35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1</v>
      </c>
      <c r="BJ3319" s="2">
        <v>0.2</v>
      </c>
      <c r="BK3319" s="2">
        <v>1</v>
      </c>
      <c r="BL3319" s="2">
        <v>32.6</v>
      </c>
      <c r="BM3319" s="2">
        <v>4.5599999999999996</v>
      </c>
      <c r="BN3319" s="2">
        <v>37.159999999999997</v>
      </c>
      <c r="BO3319" s="2">
        <v>37.159999999999997</v>
      </c>
      <c r="BP3319" s="2"/>
      <c r="BQ3319" s="2" t="s">
        <v>3358</v>
      </c>
      <c r="BR3319" s="2" t="s">
        <v>84</v>
      </c>
      <c r="BS3319" s="3">
        <v>42853</v>
      </c>
      <c r="BT3319" s="4">
        <v>0.33333333333333331</v>
      </c>
      <c r="BU3319" s="2" t="s">
        <v>3359</v>
      </c>
      <c r="BV3319" s="2" t="s">
        <v>86</v>
      </c>
      <c r="BW3319" s="2" t="s">
        <v>96</v>
      </c>
      <c r="BX3319" s="2" t="s">
        <v>812</v>
      </c>
      <c r="BY3319" s="2">
        <v>1200</v>
      </c>
      <c r="BZ3319" s="2"/>
      <c r="CA3319" s="2" t="s">
        <v>383</v>
      </c>
      <c r="CB3319" s="2"/>
      <c r="CC3319" s="2" t="s">
        <v>75</v>
      </c>
      <c r="CD3319" s="2">
        <v>1624</v>
      </c>
      <c r="CE3319" s="2" t="s">
        <v>118</v>
      </c>
      <c r="CF3319" s="5">
        <v>42853</v>
      </c>
      <c r="CG3319" s="2"/>
      <c r="CH3319" s="2"/>
      <c r="CI3319" s="2">
        <v>1</v>
      </c>
      <c r="CJ3319" s="2">
        <v>2</v>
      </c>
      <c r="CK3319" s="2">
        <v>22</v>
      </c>
      <c r="CL3319" s="2" t="s">
        <v>86</v>
      </c>
      <c r="CM3319" s="2"/>
    </row>
    <row r="3320" spans="1:91">
      <c r="A3320" s="2" t="s">
        <v>71</v>
      </c>
      <c r="B3320" s="2" t="s">
        <v>72</v>
      </c>
      <c r="C3320" s="2" t="s">
        <v>73</v>
      </c>
      <c r="D3320" s="2"/>
      <c r="E3320" s="2" t="str">
        <f>"FES1162545681"</f>
        <v>FES1162545681</v>
      </c>
      <c r="F3320" s="3">
        <v>42851</v>
      </c>
      <c r="G3320" s="2">
        <v>201710</v>
      </c>
      <c r="H3320" s="2" t="s">
        <v>74</v>
      </c>
      <c r="I3320" s="2" t="s">
        <v>75</v>
      </c>
      <c r="J3320" s="2" t="s">
        <v>76</v>
      </c>
      <c r="K3320" s="2" t="s">
        <v>77</v>
      </c>
      <c r="L3320" s="2" t="s">
        <v>74</v>
      </c>
      <c r="M3320" s="2" t="s">
        <v>75</v>
      </c>
      <c r="N3320" s="2" t="s">
        <v>488</v>
      </c>
      <c r="O3320" s="2" t="s">
        <v>115</v>
      </c>
      <c r="P3320" s="2" t="str">
        <f>"2170564143                    "</f>
        <v xml:space="preserve">2170564143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3.35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1</v>
      </c>
      <c r="BJ3320" s="2">
        <v>0.2</v>
      </c>
      <c r="BK3320" s="2">
        <v>1</v>
      </c>
      <c r="BL3320" s="2">
        <v>32.6</v>
      </c>
      <c r="BM3320" s="2">
        <v>4.5599999999999996</v>
      </c>
      <c r="BN3320" s="2">
        <v>37.159999999999997</v>
      </c>
      <c r="BO3320" s="2">
        <v>37.159999999999997</v>
      </c>
      <c r="BP3320" s="2"/>
      <c r="BQ3320" s="2" t="s">
        <v>489</v>
      </c>
      <c r="BR3320" s="2" t="s">
        <v>84</v>
      </c>
      <c r="BS3320" s="1" t="s">
        <v>1744</v>
      </c>
      <c r="BT3320" s="2"/>
      <c r="BU3320" s="2"/>
      <c r="BV3320" s="2"/>
      <c r="BW3320" s="2"/>
      <c r="BX3320" s="2"/>
      <c r="BY3320" s="2">
        <v>1200</v>
      </c>
      <c r="BZ3320" s="2"/>
      <c r="CA3320" s="2"/>
      <c r="CB3320" s="2"/>
      <c r="CC3320" s="2" t="s">
        <v>75</v>
      </c>
      <c r="CD3320" s="2">
        <v>1645</v>
      </c>
      <c r="CE3320" s="2" t="s">
        <v>118</v>
      </c>
      <c r="CF3320" s="2"/>
      <c r="CG3320" s="2"/>
      <c r="CH3320" s="2"/>
      <c r="CI3320" s="2">
        <v>1</v>
      </c>
      <c r="CJ3320" s="2" t="s">
        <v>1744</v>
      </c>
      <c r="CK3320" s="2">
        <v>22</v>
      </c>
      <c r="CL3320" s="2" t="s">
        <v>86</v>
      </c>
      <c r="CM3320" s="2"/>
    </row>
    <row r="3321" spans="1:91">
      <c r="A3321" s="2" t="s">
        <v>71</v>
      </c>
      <c r="B3321" s="2" t="s">
        <v>72</v>
      </c>
      <c r="C3321" s="2" t="s">
        <v>73</v>
      </c>
      <c r="D3321" s="2"/>
      <c r="E3321" s="2" t="str">
        <f>"FES1162545699"</f>
        <v>FES1162545699</v>
      </c>
      <c r="F3321" s="3">
        <v>42851</v>
      </c>
      <c r="G3321" s="2">
        <v>201710</v>
      </c>
      <c r="H3321" s="2" t="s">
        <v>74</v>
      </c>
      <c r="I3321" s="2" t="s">
        <v>75</v>
      </c>
      <c r="J3321" s="2" t="s">
        <v>76</v>
      </c>
      <c r="K3321" s="2" t="s">
        <v>77</v>
      </c>
      <c r="L3321" s="2" t="s">
        <v>131</v>
      </c>
      <c r="M3321" s="2" t="s">
        <v>132</v>
      </c>
      <c r="N3321" s="2" t="s">
        <v>3360</v>
      </c>
      <c r="O3321" s="2" t="s">
        <v>115</v>
      </c>
      <c r="P3321" s="2" t="str">
        <f>"2170564161                    "</f>
        <v xml:space="preserve">2170564161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4.29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1</v>
      </c>
      <c r="BJ3321" s="2">
        <v>0.2</v>
      </c>
      <c r="BK3321" s="2">
        <v>1</v>
      </c>
      <c r="BL3321" s="2">
        <v>41.73</v>
      </c>
      <c r="BM3321" s="2">
        <v>5.84</v>
      </c>
      <c r="BN3321" s="2">
        <v>47.57</v>
      </c>
      <c r="BO3321" s="2">
        <v>47.57</v>
      </c>
      <c r="BP3321" s="2"/>
      <c r="BQ3321" s="2" t="s">
        <v>763</v>
      </c>
      <c r="BR3321" s="2" t="s">
        <v>84</v>
      </c>
      <c r="BS3321" s="3">
        <v>42853</v>
      </c>
      <c r="BT3321" s="4">
        <v>0.44791666666666669</v>
      </c>
      <c r="BU3321" s="2" t="s">
        <v>3192</v>
      </c>
      <c r="BV3321" s="2" t="s">
        <v>86</v>
      </c>
      <c r="BW3321" s="2" t="s">
        <v>484</v>
      </c>
      <c r="BX3321" s="2" t="s">
        <v>1370</v>
      </c>
      <c r="BY3321" s="2">
        <v>1200</v>
      </c>
      <c r="BZ3321" s="2"/>
      <c r="CA3321" s="2"/>
      <c r="CB3321" s="2"/>
      <c r="CC3321" s="2" t="s">
        <v>132</v>
      </c>
      <c r="CD3321" s="2">
        <v>7405</v>
      </c>
      <c r="CE3321" s="2" t="s">
        <v>118</v>
      </c>
      <c r="CF3321" s="2"/>
      <c r="CG3321" s="2"/>
      <c r="CH3321" s="2"/>
      <c r="CI3321" s="2">
        <v>1</v>
      </c>
      <c r="CJ3321" s="2">
        <v>2</v>
      </c>
      <c r="CK3321" s="2">
        <v>21</v>
      </c>
      <c r="CL3321" s="2" t="s">
        <v>86</v>
      </c>
      <c r="CM3321" s="2"/>
    </row>
    <row r="3322" spans="1:91">
      <c r="A3322" s="2" t="s">
        <v>71</v>
      </c>
      <c r="B3322" s="2" t="s">
        <v>72</v>
      </c>
      <c r="C3322" s="2" t="s">
        <v>73</v>
      </c>
      <c r="D3322" s="2"/>
      <c r="E3322" s="2" t="str">
        <f>"FES1162545635"</f>
        <v>FES1162545635</v>
      </c>
      <c r="F3322" s="3">
        <v>42851</v>
      </c>
      <c r="G3322" s="2">
        <v>201710</v>
      </c>
      <c r="H3322" s="2" t="s">
        <v>74</v>
      </c>
      <c r="I3322" s="2" t="s">
        <v>75</v>
      </c>
      <c r="J3322" s="2" t="s">
        <v>76</v>
      </c>
      <c r="K3322" s="2" t="s">
        <v>77</v>
      </c>
      <c r="L3322" s="2" t="s">
        <v>74</v>
      </c>
      <c r="M3322" s="2" t="s">
        <v>75</v>
      </c>
      <c r="N3322" s="2" t="s">
        <v>1684</v>
      </c>
      <c r="O3322" s="2" t="s">
        <v>115</v>
      </c>
      <c r="P3322" s="2" t="str">
        <f>"2170561744                    "</f>
        <v xml:space="preserve">2170561744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3.35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1</v>
      </c>
      <c r="BJ3322" s="2">
        <v>0.2</v>
      </c>
      <c r="BK3322" s="2">
        <v>1</v>
      </c>
      <c r="BL3322" s="2">
        <v>32.6</v>
      </c>
      <c r="BM3322" s="2">
        <v>4.5599999999999996</v>
      </c>
      <c r="BN3322" s="2">
        <v>37.159999999999997</v>
      </c>
      <c r="BO3322" s="2">
        <v>37.159999999999997</v>
      </c>
      <c r="BP3322" s="2"/>
      <c r="BQ3322" s="2" t="s">
        <v>1685</v>
      </c>
      <c r="BR3322" s="2" t="s">
        <v>84</v>
      </c>
      <c r="BS3322" s="3">
        <v>42853</v>
      </c>
      <c r="BT3322" s="4">
        <v>0.41666666666666669</v>
      </c>
      <c r="BU3322" s="2" t="s">
        <v>2152</v>
      </c>
      <c r="BV3322" s="2" t="s">
        <v>86</v>
      </c>
      <c r="BW3322" s="2" t="s">
        <v>96</v>
      </c>
      <c r="BX3322" s="2" t="s">
        <v>2830</v>
      </c>
      <c r="BY3322" s="2">
        <v>1200</v>
      </c>
      <c r="BZ3322" s="2"/>
      <c r="CA3322" s="2" t="s">
        <v>1687</v>
      </c>
      <c r="CB3322" s="2"/>
      <c r="CC3322" s="2" t="s">
        <v>75</v>
      </c>
      <c r="CD3322" s="2">
        <v>1609</v>
      </c>
      <c r="CE3322" s="2" t="s">
        <v>118</v>
      </c>
      <c r="CF3322" s="5">
        <v>42853</v>
      </c>
      <c r="CG3322" s="2"/>
      <c r="CH3322" s="2"/>
      <c r="CI3322" s="2">
        <v>1</v>
      </c>
      <c r="CJ3322" s="2">
        <v>2</v>
      </c>
      <c r="CK3322" s="2">
        <v>22</v>
      </c>
      <c r="CL3322" s="2" t="s">
        <v>86</v>
      </c>
      <c r="CM3322" s="2"/>
    </row>
    <row r="3323" spans="1:91">
      <c r="A3323" s="2" t="s">
        <v>71</v>
      </c>
      <c r="B3323" s="2" t="s">
        <v>72</v>
      </c>
      <c r="C3323" s="2" t="s">
        <v>73</v>
      </c>
      <c r="D3323" s="2"/>
      <c r="E3323" s="2" t="str">
        <f>"FES1162545647"</f>
        <v>FES1162545647</v>
      </c>
      <c r="F3323" s="3">
        <v>42851</v>
      </c>
      <c r="G3323" s="2">
        <v>201710</v>
      </c>
      <c r="H3323" s="2" t="s">
        <v>74</v>
      </c>
      <c r="I3323" s="2" t="s">
        <v>75</v>
      </c>
      <c r="J3323" s="2" t="s">
        <v>76</v>
      </c>
      <c r="K3323" s="2" t="s">
        <v>77</v>
      </c>
      <c r="L3323" s="2" t="s">
        <v>516</v>
      </c>
      <c r="M3323" s="2" t="s">
        <v>517</v>
      </c>
      <c r="N3323" s="2" t="s">
        <v>1994</v>
      </c>
      <c r="O3323" s="2" t="s">
        <v>115</v>
      </c>
      <c r="P3323" s="2" t="str">
        <f>"2170562909                    "</f>
        <v xml:space="preserve">2170562909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3.35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1</v>
      </c>
      <c r="BJ3323" s="2">
        <v>0.2</v>
      </c>
      <c r="BK3323" s="2">
        <v>1</v>
      </c>
      <c r="BL3323" s="2">
        <v>32.6</v>
      </c>
      <c r="BM3323" s="2">
        <v>4.5599999999999996</v>
      </c>
      <c r="BN3323" s="2">
        <v>37.159999999999997</v>
      </c>
      <c r="BO3323" s="2">
        <v>37.159999999999997</v>
      </c>
      <c r="BP3323" s="2"/>
      <c r="BQ3323" s="2" t="s">
        <v>1995</v>
      </c>
      <c r="BR3323" s="2" t="s">
        <v>84</v>
      </c>
      <c r="BS3323" s="3">
        <v>42853</v>
      </c>
      <c r="BT3323" s="4">
        <v>0.45347222222222222</v>
      </c>
      <c r="BU3323" s="2" t="s">
        <v>1159</v>
      </c>
      <c r="BV3323" s="2" t="s">
        <v>86</v>
      </c>
      <c r="BW3323" s="2" t="s">
        <v>157</v>
      </c>
      <c r="BX3323" s="2" t="s">
        <v>309</v>
      </c>
      <c r="BY3323" s="2">
        <v>1200</v>
      </c>
      <c r="BZ3323" s="2"/>
      <c r="CA3323" s="2" t="s">
        <v>159</v>
      </c>
      <c r="CB3323" s="2"/>
      <c r="CC3323" s="2" t="s">
        <v>517</v>
      </c>
      <c r="CD3323" s="2">
        <v>1459</v>
      </c>
      <c r="CE3323" s="2" t="s">
        <v>118</v>
      </c>
      <c r="CF3323" s="2"/>
      <c r="CG3323" s="2"/>
      <c r="CH3323" s="2"/>
      <c r="CI3323" s="2">
        <v>1</v>
      </c>
      <c r="CJ3323" s="2">
        <v>2</v>
      </c>
      <c r="CK3323" s="2">
        <v>22</v>
      </c>
      <c r="CL3323" s="2" t="s">
        <v>86</v>
      </c>
      <c r="CM3323" s="2"/>
    </row>
    <row r="3324" spans="1:91">
      <c r="A3324" s="2" t="s">
        <v>71</v>
      </c>
      <c r="B3324" s="2" t="s">
        <v>72</v>
      </c>
      <c r="C3324" s="2" t="s">
        <v>73</v>
      </c>
      <c r="D3324" s="2"/>
      <c r="E3324" s="2" t="str">
        <f>"FES1162545668"</f>
        <v>FES1162545668</v>
      </c>
      <c r="F3324" s="3">
        <v>42851</v>
      </c>
      <c r="G3324" s="2">
        <v>201710</v>
      </c>
      <c r="H3324" s="2" t="s">
        <v>74</v>
      </c>
      <c r="I3324" s="2" t="s">
        <v>75</v>
      </c>
      <c r="J3324" s="2" t="s">
        <v>76</v>
      </c>
      <c r="K3324" s="2" t="s">
        <v>77</v>
      </c>
      <c r="L3324" s="2" t="s">
        <v>516</v>
      </c>
      <c r="M3324" s="2" t="s">
        <v>517</v>
      </c>
      <c r="N3324" s="2" t="s">
        <v>758</v>
      </c>
      <c r="O3324" s="2" t="s">
        <v>115</v>
      </c>
      <c r="P3324" s="2" t="str">
        <f>"2170564116                    "</f>
        <v xml:space="preserve">2170564116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3.35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1</v>
      </c>
      <c r="BJ3324" s="2">
        <v>0.2</v>
      </c>
      <c r="BK3324" s="2">
        <v>1</v>
      </c>
      <c r="BL3324" s="2">
        <v>32.6</v>
      </c>
      <c r="BM3324" s="2">
        <v>4.5599999999999996</v>
      </c>
      <c r="BN3324" s="2">
        <v>37.159999999999997</v>
      </c>
      <c r="BO3324" s="2">
        <v>37.159999999999997</v>
      </c>
      <c r="BP3324" s="2"/>
      <c r="BQ3324" s="2" t="s">
        <v>759</v>
      </c>
      <c r="BR3324" s="2" t="s">
        <v>84</v>
      </c>
      <c r="BS3324" s="3">
        <v>42853</v>
      </c>
      <c r="BT3324" s="4">
        <v>0.43263888888888885</v>
      </c>
      <c r="BU3324" s="2" t="s">
        <v>3361</v>
      </c>
      <c r="BV3324" s="2" t="s">
        <v>86</v>
      </c>
      <c r="BW3324" s="2" t="s">
        <v>164</v>
      </c>
      <c r="BX3324" s="2" t="s">
        <v>309</v>
      </c>
      <c r="BY3324" s="2">
        <v>1200</v>
      </c>
      <c r="BZ3324" s="2"/>
      <c r="CA3324" s="2" t="s">
        <v>159</v>
      </c>
      <c r="CB3324" s="2"/>
      <c r="CC3324" s="2" t="s">
        <v>517</v>
      </c>
      <c r="CD3324" s="2">
        <v>1459</v>
      </c>
      <c r="CE3324" s="2" t="s">
        <v>118</v>
      </c>
      <c r="CF3324" s="2"/>
      <c r="CG3324" s="2"/>
      <c r="CH3324" s="2"/>
      <c r="CI3324" s="2">
        <v>1</v>
      </c>
      <c r="CJ3324" s="2">
        <v>2</v>
      </c>
      <c r="CK3324" s="2">
        <v>22</v>
      </c>
      <c r="CL3324" s="2" t="s">
        <v>86</v>
      </c>
      <c r="CM3324" s="2"/>
    </row>
    <row r="3325" spans="1:91">
      <c r="A3325" s="2" t="s">
        <v>71</v>
      </c>
      <c r="B3325" s="2" t="s">
        <v>72</v>
      </c>
      <c r="C3325" s="2" t="s">
        <v>73</v>
      </c>
      <c r="D3325" s="2"/>
      <c r="E3325" s="2" t="str">
        <f>"FES1162545765"</f>
        <v>FES1162545765</v>
      </c>
      <c r="F3325" s="3">
        <v>42851</v>
      </c>
      <c r="G3325" s="2">
        <v>201710</v>
      </c>
      <c r="H3325" s="2" t="s">
        <v>74</v>
      </c>
      <c r="I3325" s="2" t="s">
        <v>75</v>
      </c>
      <c r="J3325" s="2" t="s">
        <v>76</v>
      </c>
      <c r="K3325" s="2" t="s">
        <v>77</v>
      </c>
      <c r="L3325" s="2" t="s">
        <v>991</v>
      </c>
      <c r="M3325" s="2" t="s">
        <v>992</v>
      </c>
      <c r="N3325" s="2" t="s">
        <v>993</v>
      </c>
      <c r="O3325" s="2" t="s">
        <v>115</v>
      </c>
      <c r="P3325" s="2" t="str">
        <f>"2170561899                    "</f>
        <v xml:space="preserve">2170561899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4.29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</v>
      </c>
      <c r="BJ3325" s="2">
        <v>0.2</v>
      </c>
      <c r="BK3325" s="2">
        <v>1</v>
      </c>
      <c r="BL3325" s="2">
        <v>41.73</v>
      </c>
      <c r="BM3325" s="2">
        <v>5.84</v>
      </c>
      <c r="BN3325" s="2">
        <v>47.57</v>
      </c>
      <c r="BO3325" s="2">
        <v>47.57</v>
      </c>
      <c r="BP3325" s="2"/>
      <c r="BQ3325" s="2" t="s">
        <v>994</v>
      </c>
      <c r="BR3325" s="2" t="s">
        <v>84</v>
      </c>
      <c r="BS3325" s="3">
        <v>42853</v>
      </c>
      <c r="BT3325" s="4">
        <v>0.51041666666666663</v>
      </c>
      <c r="BU3325" s="2" t="s">
        <v>3362</v>
      </c>
      <c r="BV3325" s="2" t="s">
        <v>86</v>
      </c>
      <c r="BW3325" s="2" t="s">
        <v>87</v>
      </c>
      <c r="BX3325" s="2" t="s">
        <v>1370</v>
      </c>
      <c r="BY3325" s="2">
        <v>1200</v>
      </c>
      <c r="BZ3325" s="2"/>
      <c r="CA3325" s="2"/>
      <c r="CB3325" s="2"/>
      <c r="CC3325" s="2" t="s">
        <v>992</v>
      </c>
      <c r="CD3325" s="2">
        <v>7655</v>
      </c>
      <c r="CE3325" s="2" t="s">
        <v>118</v>
      </c>
      <c r="CF3325" s="2"/>
      <c r="CG3325" s="2"/>
      <c r="CH3325" s="2"/>
      <c r="CI3325" s="2">
        <v>1</v>
      </c>
      <c r="CJ3325" s="2">
        <v>2</v>
      </c>
      <c r="CK3325" s="2">
        <v>21</v>
      </c>
      <c r="CL3325" s="2" t="s">
        <v>86</v>
      </c>
      <c r="CM3325" s="2"/>
    </row>
    <row r="3326" spans="1:91">
      <c r="A3326" s="2" t="s">
        <v>71</v>
      </c>
      <c r="B3326" s="2" t="s">
        <v>72</v>
      </c>
      <c r="C3326" s="2" t="s">
        <v>73</v>
      </c>
      <c r="D3326" s="2"/>
      <c r="E3326" s="2" t="str">
        <f>"FES1162545737"</f>
        <v>FES1162545737</v>
      </c>
      <c r="F3326" s="3">
        <v>42851</v>
      </c>
      <c r="G3326" s="2">
        <v>201710</v>
      </c>
      <c r="H3326" s="2" t="s">
        <v>74</v>
      </c>
      <c r="I3326" s="2" t="s">
        <v>75</v>
      </c>
      <c r="J3326" s="2" t="s">
        <v>76</v>
      </c>
      <c r="K3326" s="2" t="s">
        <v>77</v>
      </c>
      <c r="L3326" s="2" t="s">
        <v>396</v>
      </c>
      <c r="M3326" s="2" t="s">
        <v>397</v>
      </c>
      <c r="N3326" s="2" t="s">
        <v>500</v>
      </c>
      <c r="O3326" s="2" t="s">
        <v>115</v>
      </c>
      <c r="P3326" s="2" t="str">
        <f>"2170559804                    "</f>
        <v xml:space="preserve">2170559804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4.29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1</v>
      </c>
      <c r="BJ3326" s="2">
        <v>0.2</v>
      </c>
      <c r="BK3326" s="2">
        <v>1</v>
      </c>
      <c r="BL3326" s="2">
        <v>41.73</v>
      </c>
      <c r="BM3326" s="2">
        <v>5.84</v>
      </c>
      <c r="BN3326" s="2">
        <v>47.57</v>
      </c>
      <c r="BO3326" s="2">
        <v>47.57</v>
      </c>
      <c r="BP3326" s="2"/>
      <c r="BQ3326" s="2" t="s">
        <v>501</v>
      </c>
      <c r="BR3326" s="2" t="s">
        <v>84</v>
      </c>
      <c r="BS3326" s="3">
        <v>42853</v>
      </c>
      <c r="BT3326" s="4">
        <v>0.41666666666666669</v>
      </c>
      <c r="BU3326" s="2" t="s">
        <v>3363</v>
      </c>
      <c r="BV3326" s="2" t="s">
        <v>86</v>
      </c>
      <c r="BW3326" s="2" t="s">
        <v>2282</v>
      </c>
      <c r="BX3326" s="2" t="s">
        <v>88</v>
      </c>
      <c r="BY3326" s="2">
        <v>1200</v>
      </c>
      <c r="BZ3326" s="2"/>
      <c r="CA3326" s="2"/>
      <c r="CB3326" s="2"/>
      <c r="CC3326" s="2" t="s">
        <v>397</v>
      </c>
      <c r="CD3326" s="2">
        <v>4302</v>
      </c>
      <c r="CE3326" s="2" t="s">
        <v>118</v>
      </c>
      <c r="CF3326" s="2"/>
      <c r="CG3326" s="2"/>
      <c r="CH3326" s="2"/>
      <c r="CI3326" s="2">
        <v>1</v>
      </c>
      <c r="CJ3326" s="2">
        <v>2</v>
      </c>
      <c r="CK3326" s="2">
        <v>21</v>
      </c>
      <c r="CL3326" s="2" t="s">
        <v>86</v>
      </c>
      <c r="CM3326" s="2"/>
    </row>
    <row r="3327" spans="1:91">
      <c r="A3327" s="2" t="s">
        <v>71</v>
      </c>
      <c r="B3327" s="2" t="s">
        <v>72</v>
      </c>
      <c r="C3327" s="2" t="s">
        <v>73</v>
      </c>
      <c r="D3327" s="2"/>
      <c r="E3327" s="2" t="str">
        <f>"FES1162545747"</f>
        <v>FES1162545747</v>
      </c>
      <c r="F3327" s="3">
        <v>42851</v>
      </c>
      <c r="G3327" s="2">
        <v>201710</v>
      </c>
      <c r="H3327" s="2" t="s">
        <v>74</v>
      </c>
      <c r="I3327" s="2" t="s">
        <v>75</v>
      </c>
      <c r="J3327" s="2" t="s">
        <v>76</v>
      </c>
      <c r="K3327" s="2" t="s">
        <v>77</v>
      </c>
      <c r="L3327" s="2" t="s">
        <v>112</v>
      </c>
      <c r="M3327" s="2" t="s">
        <v>113</v>
      </c>
      <c r="N3327" s="2" t="s">
        <v>114</v>
      </c>
      <c r="O3327" s="2" t="s">
        <v>115</v>
      </c>
      <c r="P3327" s="2" t="str">
        <f>"2170561523                    "</f>
        <v xml:space="preserve">2170561523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4.29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1</v>
      </c>
      <c r="BI3327" s="2">
        <v>1</v>
      </c>
      <c r="BJ3327" s="2">
        <v>0.2</v>
      </c>
      <c r="BK3327" s="2">
        <v>1</v>
      </c>
      <c r="BL3327" s="2">
        <v>41.73</v>
      </c>
      <c r="BM3327" s="2">
        <v>5.84</v>
      </c>
      <c r="BN3327" s="2">
        <v>47.57</v>
      </c>
      <c r="BO3327" s="2">
        <v>47.57</v>
      </c>
      <c r="BP3327" s="2"/>
      <c r="BQ3327" s="2" t="s">
        <v>116</v>
      </c>
      <c r="BR3327" s="2" t="s">
        <v>84</v>
      </c>
      <c r="BS3327" s="1" t="s">
        <v>1744</v>
      </c>
      <c r="BT3327" s="2"/>
      <c r="BU3327" s="2"/>
      <c r="BV3327" s="2"/>
      <c r="BW3327" s="2"/>
      <c r="BX3327" s="2"/>
      <c r="BY3327" s="2">
        <v>1200</v>
      </c>
      <c r="BZ3327" s="2"/>
      <c r="CA3327" s="2"/>
      <c r="CB3327" s="2"/>
      <c r="CC3327" s="2" t="s">
        <v>113</v>
      </c>
      <c r="CD3327" s="2">
        <v>3201</v>
      </c>
      <c r="CE3327" s="2" t="s">
        <v>118</v>
      </c>
      <c r="CF3327" s="2"/>
      <c r="CG3327" s="2"/>
      <c r="CH3327" s="2"/>
      <c r="CI3327" s="2">
        <v>1</v>
      </c>
      <c r="CJ3327" s="2" t="s">
        <v>1744</v>
      </c>
      <c r="CK3327" s="2">
        <v>21</v>
      </c>
      <c r="CL3327" s="2" t="s">
        <v>86</v>
      </c>
      <c r="CM3327" s="2"/>
    </row>
    <row r="3328" spans="1:91">
      <c r="A3328" s="2" t="s">
        <v>71</v>
      </c>
      <c r="B3328" s="2" t="s">
        <v>72</v>
      </c>
      <c r="C3328" s="2" t="s">
        <v>73</v>
      </c>
      <c r="D3328" s="2"/>
      <c r="E3328" s="2" t="str">
        <f>"FES1162545622"</f>
        <v>FES1162545622</v>
      </c>
      <c r="F3328" s="3">
        <v>42851</v>
      </c>
      <c r="G3328" s="2">
        <v>201710</v>
      </c>
      <c r="H3328" s="2" t="s">
        <v>74</v>
      </c>
      <c r="I3328" s="2" t="s">
        <v>75</v>
      </c>
      <c r="J3328" s="2" t="s">
        <v>76</v>
      </c>
      <c r="K3328" s="2" t="s">
        <v>77</v>
      </c>
      <c r="L3328" s="2" t="s">
        <v>112</v>
      </c>
      <c r="M3328" s="2" t="s">
        <v>113</v>
      </c>
      <c r="N3328" s="2" t="s">
        <v>114</v>
      </c>
      <c r="O3328" s="2" t="s">
        <v>115</v>
      </c>
      <c r="P3328" s="2" t="str">
        <f>"2170560871                    "</f>
        <v xml:space="preserve">2170560871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4.29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1</v>
      </c>
      <c r="BI3328" s="2">
        <v>1</v>
      </c>
      <c r="BJ3328" s="2">
        <v>0.2</v>
      </c>
      <c r="BK3328" s="2">
        <v>1</v>
      </c>
      <c r="BL3328" s="2">
        <v>41.73</v>
      </c>
      <c r="BM3328" s="2">
        <v>5.84</v>
      </c>
      <c r="BN3328" s="2">
        <v>47.57</v>
      </c>
      <c r="BO3328" s="2">
        <v>47.57</v>
      </c>
      <c r="BP3328" s="2"/>
      <c r="BQ3328" s="2" t="s">
        <v>116</v>
      </c>
      <c r="BR3328" s="2" t="s">
        <v>84</v>
      </c>
      <c r="BS3328" s="1" t="s">
        <v>1744</v>
      </c>
      <c r="BT3328" s="2"/>
      <c r="BU3328" s="2"/>
      <c r="BV3328" s="2"/>
      <c r="BW3328" s="2"/>
      <c r="BX3328" s="2"/>
      <c r="BY3328" s="2">
        <v>1200</v>
      </c>
      <c r="BZ3328" s="2"/>
      <c r="CA3328" s="2"/>
      <c r="CB3328" s="2"/>
      <c r="CC3328" s="2" t="s">
        <v>113</v>
      </c>
      <c r="CD3328" s="2">
        <v>3201</v>
      </c>
      <c r="CE3328" s="2" t="s">
        <v>118</v>
      </c>
      <c r="CF3328" s="2"/>
      <c r="CG3328" s="2"/>
      <c r="CH3328" s="2"/>
      <c r="CI3328" s="2">
        <v>1</v>
      </c>
      <c r="CJ3328" s="2" t="s">
        <v>1744</v>
      </c>
      <c r="CK3328" s="2">
        <v>21</v>
      </c>
      <c r="CL3328" s="2" t="s">
        <v>86</v>
      </c>
      <c r="CM3328" s="2"/>
    </row>
    <row r="3329" spans="1:91">
      <c r="A3329" s="2" t="s">
        <v>71</v>
      </c>
      <c r="B3329" s="2" t="s">
        <v>72</v>
      </c>
      <c r="C3329" s="2" t="s">
        <v>73</v>
      </c>
      <c r="D3329" s="2"/>
      <c r="E3329" s="2" t="str">
        <f>"FES1162545629"</f>
        <v>FES1162545629</v>
      </c>
      <c r="F3329" s="3">
        <v>42851</v>
      </c>
      <c r="G3329" s="2">
        <v>201710</v>
      </c>
      <c r="H3329" s="2" t="s">
        <v>74</v>
      </c>
      <c r="I3329" s="2" t="s">
        <v>75</v>
      </c>
      <c r="J3329" s="2" t="s">
        <v>76</v>
      </c>
      <c r="K3329" s="2" t="s">
        <v>77</v>
      </c>
      <c r="L3329" s="2" t="s">
        <v>112</v>
      </c>
      <c r="M3329" s="2" t="s">
        <v>113</v>
      </c>
      <c r="N3329" s="2" t="s">
        <v>114</v>
      </c>
      <c r="O3329" s="2" t="s">
        <v>115</v>
      </c>
      <c r="P3329" s="2" t="str">
        <f>"2170561521                    "</f>
        <v xml:space="preserve">2170561521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4.29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1</v>
      </c>
      <c r="BJ3329" s="2">
        <v>0.2</v>
      </c>
      <c r="BK3329" s="2">
        <v>1</v>
      </c>
      <c r="BL3329" s="2">
        <v>41.73</v>
      </c>
      <c r="BM3329" s="2">
        <v>5.84</v>
      </c>
      <c r="BN3329" s="2">
        <v>47.57</v>
      </c>
      <c r="BO3329" s="2">
        <v>47.57</v>
      </c>
      <c r="BP3329" s="2"/>
      <c r="BQ3329" s="2" t="s">
        <v>116</v>
      </c>
      <c r="BR3329" s="2" t="s">
        <v>84</v>
      </c>
      <c r="BS3329" s="1" t="s">
        <v>1744</v>
      </c>
      <c r="BT3329" s="2"/>
      <c r="BU3329" s="2"/>
      <c r="BV3329" s="2"/>
      <c r="BW3329" s="2"/>
      <c r="BX3329" s="2"/>
      <c r="BY3329" s="2">
        <v>1200</v>
      </c>
      <c r="BZ3329" s="2"/>
      <c r="CA3329" s="2"/>
      <c r="CB3329" s="2"/>
      <c r="CC3329" s="2" t="s">
        <v>113</v>
      </c>
      <c r="CD3329" s="2">
        <v>3201</v>
      </c>
      <c r="CE3329" s="2" t="s">
        <v>118</v>
      </c>
      <c r="CF3329" s="2"/>
      <c r="CG3329" s="2"/>
      <c r="CH3329" s="2"/>
      <c r="CI3329" s="2">
        <v>1</v>
      </c>
      <c r="CJ3329" s="2" t="s">
        <v>1744</v>
      </c>
      <c r="CK3329" s="2">
        <v>21</v>
      </c>
      <c r="CL3329" s="2" t="s">
        <v>86</v>
      </c>
      <c r="CM3329" s="2"/>
    </row>
    <row r="3330" spans="1:91">
      <c r="A3330" s="2" t="s">
        <v>71</v>
      </c>
      <c r="B3330" s="2" t="s">
        <v>72</v>
      </c>
      <c r="C3330" s="2" t="s">
        <v>73</v>
      </c>
      <c r="D3330" s="2"/>
      <c r="E3330" s="2" t="str">
        <f>"RFES1162541637"</f>
        <v>RFES1162541637</v>
      </c>
      <c r="F3330" s="3">
        <v>42851</v>
      </c>
      <c r="G3330" s="2">
        <v>201710</v>
      </c>
      <c r="H3330" s="2" t="s">
        <v>187</v>
      </c>
      <c r="I3330" s="2" t="s">
        <v>146</v>
      </c>
      <c r="J3330" s="2" t="s">
        <v>850</v>
      </c>
      <c r="K3330" s="2" t="s">
        <v>77</v>
      </c>
      <c r="L3330" s="2" t="s">
        <v>74</v>
      </c>
      <c r="M3330" s="2" t="s">
        <v>75</v>
      </c>
      <c r="N3330" s="2" t="s">
        <v>76</v>
      </c>
      <c r="O3330" s="2" t="s">
        <v>115</v>
      </c>
      <c r="P3330" s="2" t="str">
        <f>"2170558312                    "</f>
        <v xml:space="preserve">2170558312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4.29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1</v>
      </c>
      <c r="BI3330" s="2">
        <v>1</v>
      </c>
      <c r="BJ3330" s="2">
        <v>0.2</v>
      </c>
      <c r="BK3330" s="2">
        <v>1</v>
      </c>
      <c r="BL3330" s="2">
        <v>41.73</v>
      </c>
      <c r="BM3330" s="2">
        <v>5.84</v>
      </c>
      <c r="BN3330" s="2">
        <v>47.57</v>
      </c>
      <c r="BO3330" s="2">
        <v>47.57</v>
      </c>
      <c r="BP3330" s="2"/>
      <c r="BQ3330" s="2" t="s">
        <v>123</v>
      </c>
      <c r="BR3330" s="2" t="s">
        <v>851</v>
      </c>
      <c r="BS3330" s="1" t="s">
        <v>1744</v>
      </c>
      <c r="BT3330" s="2"/>
      <c r="BU3330" s="2"/>
      <c r="BV3330" s="2"/>
      <c r="BW3330" s="2"/>
      <c r="BX3330" s="2"/>
      <c r="BY3330" s="2">
        <v>1200</v>
      </c>
      <c r="BZ3330" s="2"/>
      <c r="CA3330" s="2"/>
      <c r="CB3330" s="2"/>
      <c r="CC3330" s="2" t="s">
        <v>75</v>
      </c>
      <c r="CD3330" s="2">
        <v>1600</v>
      </c>
      <c r="CE3330" s="2" t="s">
        <v>118</v>
      </c>
      <c r="CF3330" s="2"/>
      <c r="CG3330" s="2"/>
      <c r="CH3330" s="2"/>
      <c r="CI3330" s="2">
        <v>1</v>
      </c>
      <c r="CJ3330" s="2" t="s">
        <v>1744</v>
      </c>
      <c r="CK3330" s="2">
        <v>21</v>
      </c>
      <c r="CL3330" s="2" t="s">
        <v>86</v>
      </c>
      <c r="CM3330" s="2"/>
    </row>
    <row r="3331" spans="1:91">
      <c r="A3331" s="2" t="s">
        <v>71</v>
      </c>
      <c r="B3331" s="2" t="s">
        <v>72</v>
      </c>
      <c r="C3331" s="2" t="s">
        <v>73</v>
      </c>
      <c r="D3331" s="2"/>
      <c r="E3331" s="2" t="str">
        <f>"FES1162545600"</f>
        <v>FES1162545600</v>
      </c>
      <c r="F3331" s="3">
        <v>42851</v>
      </c>
      <c r="G3331" s="2">
        <v>201710</v>
      </c>
      <c r="H3331" s="2" t="s">
        <v>74</v>
      </c>
      <c r="I3331" s="2" t="s">
        <v>75</v>
      </c>
      <c r="J3331" s="2" t="s">
        <v>76</v>
      </c>
      <c r="K3331" s="2" t="s">
        <v>77</v>
      </c>
      <c r="L3331" s="2" t="s">
        <v>99</v>
      </c>
      <c r="M3331" s="2" t="s">
        <v>100</v>
      </c>
      <c r="N3331" s="2" t="s">
        <v>108</v>
      </c>
      <c r="O3331" s="2" t="s">
        <v>115</v>
      </c>
      <c r="P3331" s="2" t="str">
        <f>"2170559699                    "</f>
        <v xml:space="preserve">2170559699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7.5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3.3</v>
      </c>
      <c r="BJ3331" s="2">
        <v>0.9</v>
      </c>
      <c r="BK3331" s="2">
        <v>3.5</v>
      </c>
      <c r="BL3331" s="2">
        <v>73.02</v>
      </c>
      <c r="BM3331" s="2">
        <v>10.220000000000001</v>
      </c>
      <c r="BN3331" s="2">
        <v>83.24</v>
      </c>
      <c r="BO3331" s="2">
        <v>83.24</v>
      </c>
      <c r="BP3331" s="2"/>
      <c r="BQ3331" s="2" t="s">
        <v>109</v>
      </c>
      <c r="BR3331" s="2" t="s">
        <v>84</v>
      </c>
      <c r="BS3331" s="3">
        <v>42853</v>
      </c>
      <c r="BT3331" s="4">
        <v>0.47222222222222227</v>
      </c>
      <c r="BU3331" s="2" t="s">
        <v>3364</v>
      </c>
      <c r="BV3331" s="2" t="s">
        <v>86</v>
      </c>
      <c r="BW3331" s="2" t="s">
        <v>484</v>
      </c>
      <c r="BX3331" s="2" t="s">
        <v>485</v>
      </c>
      <c r="BY3331" s="2">
        <v>4731</v>
      </c>
      <c r="BZ3331" s="2"/>
      <c r="CA3331" s="2" t="s">
        <v>3217</v>
      </c>
      <c r="CB3331" s="2"/>
      <c r="CC3331" s="2" t="s">
        <v>100</v>
      </c>
      <c r="CD3331" s="2">
        <v>6001</v>
      </c>
      <c r="CE3331" s="2" t="s">
        <v>89</v>
      </c>
      <c r="CF3331" s="5">
        <v>42853</v>
      </c>
      <c r="CG3331" s="2"/>
      <c r="CH3331" s="2"/>
      <c r="CI3331" s="2">
        <v>1</v>
      </c>
      <c r="CJ3331" s="2">
        <v>2</v>
      </c>
      <c r="CK3331" s="2">
        <v>21</v>
      </c>
      <c r="CL3331" s="2" t="s">
        <v>86</v>
      </c>
      <c r="CM3331" s="2"/>
    </row>
    <row r="3332" spans="1:91">
      <c r="A3332" s="2" t="s">
        <v>71</v>
      </c>
      <c r="B3332" s="2" t="s">
        <v>72</v>
      </c>
      <c r="C3332" s="2" t="s">
        <v>73</v>
      </c>
      <c r="D3332" s="2"/>
      <c r="E3332" s="2" t="str">
        <f>"FES1162545570"</f>
        <v>FES1162545570</v>
      </c>
      <c r="F3332" s="3">
        <v>42851</v>
      </c>
      <c r="G3332" s="2">
        <v>201710</v>
      </c>
      <c r="H3332" s="2" t="s">
        <v>74</v>
      </c>
      <c r="I3332" s="2" t="s">
        <v>75</v>
      </c>
      <c r="J3332" s="2" t="s">
        <v>76</v>
      </c>
      <c r="K3332" s="2" t="s">
        <v>77</v>
      </c>
      <c r="L3332" s="2" t="s">
        <v>180</v>
      </c>
      <c r="M3332" s="2" t="s">
        <v>181</v>
      </c>
      <c r="N3332" s="2" t="s">
        <v>2107</v>
      </c>
      <c r="O3332" s="2" t="s">
        <v>115</v>
      </c>
      <c r="P3332" s="2" t="str">
        <f>"2170564091                    "</f>
        <v xml:space="preserve">2170564091 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23.58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10.9</v>
      </c>
      <c r="BJ3332" s="2">
        <v>3.2</v>
      </c>
      <c r="BK3332" s="2">
        <v>11</v>
      </c>
      <c r="BL3332" s="2">
        <v>229.5</v>
      </c>
      <c r="BM3332" s="2">
        <v>32.130000000000003</v>
      </c>
      <c r="BN3332" s="2">
        <v>261.63</v>
      </c>
      <c r="BO3332" s="2">
        <v>261.63</v>
      </c>
      <c r="BP3332" s="2"/>
      <c r="BQ3332" s="2" t="s">
        <v>129</v>
      </c>
      <c r="BR3332" s="2" t="s">
        <v>84</v>
      </c>
      <c r="BS3332" s="3">
        <v>42853</v>
      </c>
      <c r="BT3332" s="4">
        <v>0.375</v>
      </c>
      <c r="BU3332" s="2" t="s">
        <v>2665</v>
      </c>
      <c r="BV3332" s="2" t="s">
        <v>86</v>
      </c>
      <c r="BW3332" s="2" t="s">
        <v>164</v>
      </c>
      <c r="BX3332" s="2" t="s">
        <v>2343</v>
      </c>
      <c r="BY3332" s="2">
        <v>15922.76</v>
      </c>
      <c r="BZ3332" s="2"/>
      <c r="CA3332" s="2"/>
      <c r="CB3332" s="2"/>
      <c r="CC3332" s="2" t="s">
        <v>181</v>
      </c>
      <c r="CD3332" s="2">
        <v>4001</v>
      </c>
      <c r="CE3332" s="2" t="s">
        <v>89</v>
      </c>
      <c r="CF3332" s="2"/>
      <c r="CG3332" s="2"/>
      <c r="CH3332" s="2"/>
      <c r="CI3332" s="2">
        <v>1</v>
      </c>
      <c r="CJ3332" s="2">
        <v>2</v>
      </c>
      <c r="CK3332" s="2">
        <v>21</v>
      </c>
      <c r="CL3332" s="2" t="s">
        <v>86</v>
      </c>
      <c r="CM3332" s="2"/>
    </row>
    <row r="3333" spans="1:91">
      <c r="A3333" s="2" t="s">
        <v>71</v>
      </c>
      <c r="B3333" s="2" t="s">
        <v>72</v>
      </c>
      <c r="C3333" s="2" t="s">
        <v>73</v>
      </c>
      <c r="D3333" s="2"/>
      <c r="E3333" s="2" t="str">
        <f>"FES1162545643"</f>
        <v>FES1162545643</v>
      </c>
      <c r="F3333" s="3">
        <v>42851</v>
      </c>
      <c r="G3333" s="2">
        <v>201710</v>
      </c>
      <c r="H3333" s="2" t="s">
        <v>74</v>
      </c>
      <c r="I3333" s="2" t="s">
        <v>75</v>
      </c>
      <c r="J3333" s="2" t="s">
        <v>76</v>
      </c>
      <c r="K3333" s="2" t="s">
        <v>77</v>
      </c>
      <c r="L3333" s="2" t="s">
        <v>126</v>
      </c>
      <c r="M3333" s="2" t="s">
        <v>127</v>
      </c>
      <c r="N3333" s="2" t="s">
        <v>3295</v>
      </c>
      <c r="O3333" s="2" t="s">
        <v>115</v>
      </c>
      <c r="P3333" s="2" t="str">
        <f>"2170562515                    "</f>
        <v xml:space="preserve">2170562515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9.65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4.4000000000000004</v>
      </c>
      <c r="BJ3333" s="2">
        <v>1.8</v>
      </c>
      <c r="BK3333" s="2">
        <v>4.5</v>
      </c>
      <c r="BL3333" s="2">
        <v>93.89</v>
      </c>
      <c r="BM3333" s="2">
        <v>13.14</v>
      </c>
      <c r="BN3333" s="2">
        <v>107.03</v>
      </c>
      <c r="BO3333" s="2">
        <v>107.03</v>
      </c>
      <c r="BP3333" s="2"/>
      <c r="BQ3333" s="2"/>
      <c r="BR3333" s="2" t="s">
        <v>84</v>
      </c>
      <c r="BS3333" s="1" t="s">
        <v>1744</v>
      </c>
      <c r="BT3333" s="2"/>
      <c r="BU3333" s="2"/>
      <c r="BV3333" s="2"/>
      <c r="BW3333" s="2"/>
      <c r="BX3333" s="2"/>
      <c r="BY3333" s="2">
        <v>9221.48</v>
      </c>
      <c r="BZ3333" s="2"/>
      <c r="CA3333" s="2"/>
      <c r="CB3333" s="2"/>
      <c r="CC3333" s="2" t="s">
        <v>127</v>
      </c>
      <c r="CD3333" s="2">
        <v>6849</v>
      </c>
      <c r="CE3333" s="2" t="s">
        <v>89</v>
      </c>
      <c r="CF3333" s="2"/>
      <c r="CG3333" s="2"/>
      <c r="CH3333" s="2"/>
      <c r="CI3333" s="2">
        <v>3</v>
      </c>
      <c r="CJ3333" s="2" t="s">
        <v>1744</v>
      </c>
      <c r="CK3333" s="2">
        <v>21</v>
      </c>
      <c r="CL3333" s="2" t="s">
        <v>86</v>
      </c>
      <c r="CM3333" s="2"/>
    </row>
    <row r="3334" spans="1:91">
      <c r="A3334" s="2" t="s">
        <v>71</v>
      </c>
      <c r="B3334" s="2" t="s">
        <v>72</v>
      </c>
      <c r="C3334" s="2" t="s">
        <v>73</v>
      </c>
      <c r="D3334" s="2"/>
      <c r="E3334" s="2" t="str">
        <f>"FES1162545825"</f>
        <v>FES1162545825</v>
      </c>
      <c r="F3334" s="3">
        <v>42851</v>
      </c>
      <c r="G3334" s="2">
        <v>201710</v>
      </c>
      <c r="H3334" s="2" t="s">
        <v>74</v>
      </c>
      <c r="I3334" s="2" t="s">
        <v>75</v>
      </c>
      <c r="J3334" s="2" t="s">
        <v>76</v>
      </c>
      <c r="K3334" s="2" t="s">
        <v>77</v>
      </c>
      <c r="L3334" s="2" t="s">
        <v>2649</v>
      </c>
      <c r="M3334" s="2" t="s">
        <v>2650</v>
      </c>
      <c r="N3334" s="2" t="s">
        <v>3365</v>
      </c>
      <c r="O3334" s="2" t="s">
        <v>115</v>
      </c>
      <c r="P3334" s="2" t="str">
        <f>"2170564281                    "</f>
        <v xml:space="preserve">2170564281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10.18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2.5</v>
      </c>
      <c r="BJ3334" s="2">
        <v>1.6</v>
      </c>
      <c r="BK3334" s="2">
        <v>2.5</v>
      </c>
      <c r="BL3334" s="2">
        <v>99.1</v>
      </c>
      <c r="BM3334" s="2">
        <v>13.87</v>
      </c>
      <c r="BN3334" s="2">
        <v>112.97</v>
      </c>
      <c r="BO3334" s="2">
        <v>112.97</v>
      </c>
      <c r="BP3334" s="2"/>
      <c r="BQ3334" s="2" t="s">
        <v>3366</v>
      </c>
      <c r="BR3334" s="2" t="s">
        <v>84</v>
      </c>
      <c r="BS3334" s="1" t="s">
        <v>1744</v>
      </c>
      <c r="BT3334" s="2"/>
      <c r="BU3334" s="2"/>
      <c r="BV3334" s="2"/>
      <c r="BW3334" s="2"/>
      <c r="BX3334" s="2"/>
      <c r="BY3334" s="2">
        <v>8207.43</v>
      </c>
      <c r="BZ3334" s="2"/>
      <c r="CA3334" s="2"/>
      <c r="CB3334" s="2"/>
      <c r="CC3334" s="2" t="s">
        <v>2650</v>
      </c>
      <c r="CD3334" s="2">
        <v>5850</v>
      </c>
      <c r="CE3334" s="2" t="s">
        <v>89</v>
      </c>
      <c r="CF3334" s="2"/>
      <c r="CG3334" s="2"/>
      <c r="CH3334" s="2"/>
      <c r="CI3334" s="2">
        <v>3</v>
      </c>
      <c r="CJ3334" s="2" t="s">
        <v>1744</v>
      </c>
      <c r="CK3334" s="2">
        <v>23</v>
      </c>
      <c r="CL3334" s="2" t="s">
        <v>86</v>
      </c>
      <c r="CM3334" s="2"/>
    </row>
    <row r="3335" spans="1:91">
      <c r="A3335" s="2" t="s">
        <v>71</v>
      </c>
      <c r="B3335" s="2" t="s">
        <v>72</v>
      </c>
      <c r="C3335" s="2" t="s">
        <v>73</v>
      </c>
      <c r="D3335" s="2"/>
      <c r="E3335" s="2" t="str">
        <f>"FES1162545770"</f>
        <v>FES1162545770</v>
      </c>
      <c r="F3335" s="3">
        <v>42851</v>
      </c>
      <c r="G3335" s="2">
        <v>201710</v>
      </c>
      <c r="H3335" s="2" t="s">
        <v>74</v>
      </c>
      <c r="I3335" s="2" t="s">
        <v>75</v>
      </c>
      <c r="J3335" s="2" t="s">
        <v>76</v>
      </c>
      <c r="K3335" s="2" t="s">
        <v>77</v>
      </c>
      <c r="L3335" s="2" t="s">
        <v>74</v>
      </c>
      <c r="M3335" s="2" t="s">
        <v>75</v>
      </c>
      <c r="N3335" s="2" t="s">
        <v>3367</v>
      </c>
      <c r="O3335" s="2" t="s">
        <v>81</v>
      </c>
      <c r="P3335" s="2" t="str">
        <f>"2170561949                    "</f>
        <v xml:space="preserve">2170561949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6.83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2</v>
      </c>
      <c r="BI3335" s="2">
        <v>18.7</v>
      </c>
      <c r="BJ3335" s="2">
        <v>10.199999999999999</v>
      </c>
      <c r="BK3335" s="2">
        <v>19</v>
      </c>
      <c r="BL3335" s="2">
        <v>71.52</v>
      </c>
      <c r="BM3335" s="2">
        <v>10.01</v>
      </c>
      <c r="BN3335" s="2">
        <v>81.53</v>
      </c>
      <c r="BO3335" s="2">
        <v>81.53</v>
      </c>
      <c r="BP3335" s="2"/>
      <c r="BQ3335" s="2" t="s">
        <v>3368</v>
      </c>
      <c r="BR3335" s="2" t="s">
        <v>84</v>
      </c>
      <c r="BS3335" s="3">
        <v>42853</v>
      </c>
      <c r="BT3335" s="4">
        <v>0.41666666666666669</v>
      </c>
      <c r="BU3335" s="2" t="s">
        <v>3369</v>
      </c>
      <c r="BV3335" s="2" t="s">
        <v>86</v>
      </c>
      <c r="BW3335" s="2" t="s">
        <v>96</v>
      </c>
      <c r="BX3335" s="2" t="s">
        <v>97</v>
      </c>
      <c r="BY3335" s="2">
        <v>50821.42</v>
      </c>
      <c r="BZ3335" s="2"/>
      <c r="CA3335" s="2"/>
      <c r="CB3335" s="2"/>
      <c r="CC3335" s="2" t="s">
        <v>75</v>
      </c>
      <c r="CD3335" s="2">
        <v>1601</v>
      </c>
      <c r="CE3335" s="2" t="s">
        <v>89</v>
      </c>
      <c r="CF3335" s="2"/>
      <c r="CG3335" s="2"/>
      <c r="CH3335" s="2"/>
      <c r="CI3335" s="2">
        <v>0</v>
      </c>
      <c r="CJ3335" s="2">
        <v>0</v>
      </c>
      <c r="CK3335" s="2" t="s">
        <v>98</v>
      </c>
      <c r="CL3335" s="2" t="s">
        <v>86</v>
      </c>
      <c r="CM3335" s="2"/>
    </row>
    <row r="3336" spans="1:91">
      <c r="A3336" s="2" t="s">
        <v>71</v>
      </c>
      <c r="B3336" s="2" t="s">
        <v>72</v>
      </c>
      <c r="C3336" s="2" t="s">
        <v>73</v>
      </c>
      <c r="D3336" s="2"/>
      <c r="E3336" s="2" t="str">
        <f>"FES1162545313"</f>
        <v>FES1162545313</v>
      </c>
      <c r="F3336" s="3">
        <v>42850</v>
      </c>
      <c r="G3336" s="2">
        <v>201710</v>
      </c>
      <c r="H3336" s="2" t="s">
        <v>74</v>
      </c>
      <c r="I3336" s="2" t="s">
        <v>75</v>
      </c>
      <c r="J3336" s="2" t="s">
        <v>76</v>
      </c>
      <c r="K3336" s="2" t="s">
        <v>77</v>
      </c>
      <c r="L3336" s="2" t="s">
        <v>322</v>
      </c>
      <c r="M3336" s="2" t="s">
        <v>323</v>
      </c>
      <c r="N3336" s="2" t="s">
        <v>947</v>
      </c>
      <c r="O3336" s="2" t="s">
        <v>115</v>
      </c>
      <c r="P3336" s="2" t="str">
        <f>"2170563789                    "</f>
        <v xml:space="preserve">2170563789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3.35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1</v>
      </c>
      <c r="BJ3336" s="2">
        <v>0.2</v>
      </c>
      <c r="BK3336" s="2">
        <v>1</v>
      </c>
      <c r="BL3336" s="2">
        <v>32.6</v>
      </c>
      <c r="BM3336" s="2">
        <v>4.5599999999999996</v>
      </c>
      <c r="BN3336" s="2">
        <v>37.159999999999997</v>
      </c>
      <c r="BO3336" s="2">
        <v>37.159999999999997</v>
      </c>
      <c r="BP3336" s="2"/>
      <c r="BQ3336" s="2" t="s">
        <v>948</v>
      </c>
      <c r="BR3336" s="2" t="s">
        <v>84</v>
      </c>
      <c r="BS3336" s="1" t="s">
        <v>1744</v>
      </c>
      <c r="BT3336" s="2"/>
      <c r="BU3336" s="2"/>
      <c r="BV3336" s="2"/>
      <c r="BW3336" s="2"/>
      <c r="BX3336" s="2"/>
      <c r="BY3336" s="2">
        <v>1200</v>
      </c>
      <c r="BZ3336" s="2"/>
      <c r="CA3336" s="2"/>
      <c r="CB3336" s="2"/>
      <c r="CC3336" s="2" t="s">
        <v>323</v>
      </c>
      <c r="CD3336" s="2">
        <v>1682</v>
      </c>
      <c r="CE3336" s="2" t="s">
        <v>118</v>
      </c>
      <c r="CF3336" s="2"/>
      <c r="CG3336" s="2"/>
      <c r="CH3336" s="2"/>
      <c r="CI3336" s="2">
        <v>1</v>
      </c>
      <c r="CJ3336" s="2" t="s">
        <v>1744</v>
      </c>
      <c r="CK3336" s="2">
        <v>22</v>
      </c>
      <c r="CL3336" s="2" t="s">
        <v>86</v>
      </c>
      <c r="CM3336" s="2"/>
    </row>
    <row r="3337" spans="1:91">
      <c r="A3337" s="2" t="s">
        <v>71</v>
      </c>
      <c r="B3337" s="2" t="s">
        <v>72</v>
      </c>
      <c r="C3337" s="2" t="s">
        <v>73</v>
      </c>
      <c r="D3337" s="2"/>
      <c r="E3337" s="2" t="str">
        <f>"FES1162545740"</f>
        <v>FES1162545740</v>
      </c>
      <c r="F3337" s="3">
        <v>42851</v>
      </c>
      <c r="G3337" s="2">
        <v>201710</v>
      </c>
      <c r="H3337" s="2" t="s">
        <v>74</v>
      </c>
      <c r="I3337" s="2" t="s">
        <v>75</v>
      </c>
      <c r="J3337" s="2" t="s">
        <v>76</v>
      </c>
      <c r="K3337" s="2" t="s">
        <v>77</v>
      </c>
      <c r="L3337" s="2" t="s">
        <v>99</v>
      </c>
      <c r="M3337" s="2" t="s">
        <v>100</v>
      </c>
      <c r="N3337" s="2" t="s">
        <v>1682</v>
      </c>
      <c r="O3337" s="2" t="s">
        <v>115</v>
      </c>
      <c r="P3337" s="2" t="str">
        <f>"2170560838                    "</f>
        <v xml:space="preserve">2170560838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7.5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1</v>
      </c>
      <c r="BI3337" s="2">
        <v>3.2</v>
      </c>
      <c r="BJ3337" s="2">
        <v>1</v>
      </c>
      <c r="BK3337" s="2">
        <v>3.5</v>
      </c>
      <c r="BL3337" s="2">
        <v>73.02</v>
      </c>
      <c r="BM3337" s="2">
        <v>10.220000000000001</v>
      </c>
      <c r="BN3337" s="2">
        <v>83.24</v>
      </c>
      <c r="BO3337" s="2">
        <v>83.24</v>
      </c>
      <c r="BP3337" s="2"/>
      <c r="BQ3337" s="2" t="s">
        <v>1683</v>
      </c>
      <c r="BR3337" s="2" t="s">
        <v>84</v>
      </c>
      <c r="BS3337" s="3">
        <v>42851</v>
      </c>
      <c r="BT3337" s="4">
        <v>0.33333333333333331</v>
      </c>
      <c r="BU3337" s="2" t="s">
        <v>130</v>
      </c>
      <c r="BV3337" s="2" t="s">
        <v>111</v>
      </c>
      <c r="BW3337" s="2"/>
      <c r="BX3337" s="2"/>
      <c r="BY3337" s="2">
        <v>4834.8</v>
      </c>
      <c r="BZ3337" s="2"/>
      <c r="CA3337" s="2"/>
      <c r="CB3337" s="2"/>
      <c r="CC3337" s="2" t="s">
        <v>100</v>
      </c>
      <c r="CD3337" s="2">
        <v>6001</v>
      </c>
      <c r="CE3337" s="2" t="s">
        <v>89</v>
      </c>
      <c r="CF3337" s="2"/>
      <c r="CG3337" s="2"/>
      <c r="CH3337" s="2"/>
      <c r="CI3337" s="2">
        <v>1</v>
      </c>
      <c r="CJ3337" s="2">
        <v>0</v>
      </c>
      <c r="CK3337" s="2">
        <v>21</v>
      </c>
      <c r="CL3337" s="2" t="s">
        <v>86</v>
      </c>
      <c r="CM3337" s="2"/>
    </row>
    <row r="3338" spans="1:91">
      <c r="A3338" s="2" t="s">
        <v>71</v>
      </c>
      <c r="B3338" s="2" t="s">
        <v>72</v>
      </c>
      <c r="C3338" s="2" t="s">
        <v>73</v>
      </c>
      <c r="D3338" s="2"/>
      <c r="E3338" s="2" t="str">
        <f>"FES1162544133"</f>
        <v>FES1162544133</v>
      </c>
      <c r="F3338" s="3">
        <v>42844</v>
      </c>
      <c r="G3338" s="2">
        <v>201710</v>
      </c>
      <c r="H3338" s="2" t="s">
        <v>74</v>
      </c>
      <c r="I3338" s="2" t="s">
        <v>75</v>
      </c>
      <c r="J3338" s="2" t="s">
        <v>200</v>
      </c>
      <c r="K3338" s="2" t="s">
        <v>77</v>
      </c>
      <c r="L3338" s="2" t="s">
        <v>139</v>
      </c>
      <c r="M3338" s="2" t="s">
        <v>140</v>
      </c>
      <c r="N3338" s="2" t="s">
        <v>2786</v>
      </c>
      <c r="O3338" s="2" t="s">
        <v>81</v>
      </c>
      <c r="P3338" s="2" t="str">
        <f>"2170560863                    "</f>
        <v xml:space="preserve">2170560863   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7.37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3</v>
      </c>
      <c r="BJ3338" s="2">
        <v>9.1</v>
      </c>
      <c r="BK3338" s="2">
        <v>10</v>
      </c>
      <c r="BL3338" s="2">
        <v>76.72</v>
      </c>
      <c r="BM3338" s="2">
        <v>10.74</v>
      </c>
      <c r="BN3338" s="2">
        <v>87.46</v>
      </c>
      <c r="BO3338" s="2">
        <v>87.46</v>
      </c>
      <c r="BP3338" s="2"/>
      <c r="BQ3338" s="2" t="s">
        <v>2787</v>
      </c>
      <c r="BR3338" s="2" t="s">
        <v>2287</v>
      </c>
      <c r="BS3338" s="3">
        <v>42845</v>
      </c>
      <c r="BT3338" s="4">
        <v>0.41319444444444442</v>
      </c>
      <c r="BU3338" s="2" t="s">
        <v>3370</v>
      </c>
      <c r="BV3338" s="2"/>
      <c r="BW3338" s="2"/>
      <c r="BX3338" s="2"/>
      <c r="BY3338" s="2">
        <v>45632</v>
      </c>
      <c r="BZ3338" s="2"/>
      <c r="CA3338" s="2"/>
      <c r="CB3338" s="2"/>
      <c r="CC3338" s="2" t="s">
        <v>140</v>
      </c>
      <c r="CD3338" s="2">
        <v>46</v>
      </c>
      <c r="CE3338" s="2" t="s">
        <v>89</v>
      </c>
      <c r="CF3338" s="5">
        <v>42849</v>
      </c>
      <c r="CG3338" s="2"/>
      <c r="CH3338" s="2"/>
      <c r="CI3338" s="2">
        <v>0</v>
      </c>
      <c r="CJ3338" s="2">
        <v>0</v>
      </c>
      <c r="CK3338" s="2" t="s">
        <v>150</v>
      </c>
      <c r="CL3338" s="2" t="s">
        <v>86</v>
      </c>
      <c r="CM3338" s="2"/>
    </row>
    <row r="3339" spans="1:91">
      <c r="A3339" s="2" t="s">
        <v>71</v>
      </c>
      <c r="B3339" s="2" t="s">
        <v>72</v>
      </c>
      <c r="C3339" s="2" t="s">
        <v>73</v>
      </c>
      <c r="D3339" s="2"/>
      <c r="E3339" s="2" t="str">
        <f>"FES1162544687"</f>
        <v>FES1162544687</v>
      </c>
      <c r="F3339" s="3">
        <v>42845</v>
      </c>
      <c r="G3339" s="2">
        <v>201710</v>
      </c>
      <c r="H3339" s="2" t="s">
        <v>74</v>
      </c>
      <c r="I3339" s="2" t="s">
        <v>75</v>
      </c>
      <c r="J3339" s="2" t="s">
        <v>200</v>
      </c>
      <c r="K3339" s="2" t="s">
        <v>77</v>
      </c>
      <c r="L3339" s="2" t="s">
        <v>145</v>
      </c>
      <c r="M3339" s="2" t="s">
        <v>146</v>
      </c>
      <c r="N3339" s="2" t="s">
        <v>203</v>
      </c>
      <c r="O3339" s="2" t="s">
        <v>81</v>
      </c>
      <c r="P3339" s="2" t="str">
        <f>"2170563247                    "</f>
        <v xml:space="preserve">2170563247  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7.37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4</v>
      </c>
      <c r="BJ3339" s="2">
        <v>3.9</v>
      </c>
      <c r="BK3339" s="2">
        <v>4</v>
      </c>
      <c r="BL3339" s="2">
        <v>76.72</v>
      </c>
      <c r="BM3339" s="2">
        <v>10.74</v>
      </c>
      <c r="BN3339" s="2">
        <v>87.46</v>
      </c>
      <c r="BO3339" s="2">
        <v>87.46</v>
      </c>
      <c r="BP3339" s="2"/>
      <c r="BQ3339" s="2" t="s">
        <v>122</v>
      </c>
      <c r="BR3339" s="2" t="s">
        <v>2287</v>
      </c>
      <c r="BS3339" s="3">
        <v>42843</v>
      </c>
      <c r="BT3339" s="4">
        <v>0.53472222222222221</v>
      </c>
      <c r="BU3339" s="2" t="s">
        <v>2332</v>
      </c>
      <c r="BV3339" s="2"/>
      <c r="BW3339" s="2"/>
      <c r="BX3339" s="2"/>
      <c r="BY3339" s="2">
        <v>19602</v>
      </c>
      <c r="BZ3339" s="2"/>
      <c r="CA3339" s="2"/>
      <c r="CB3339" s="2"/>
      <c r="CC3339" s="2" t="s">
        <v>146</v>
      </c>
      <c r="CD3339" s="2">
        <v>183</v>
      </c>
      <c r="CE3339" s="2" t="s">
        <v>89</v>
      </c>
      <c r="CF3339" s="5">
        <v>42851</v>
      </c>
      <c r="CG3339" s="2"/>
      <c r="CH3339" s="2"/>
      <c r="CI3339" s="2">
        <v>0</v>
      </c>
      <c r="CJ3339" s="2">
        <v>0</v>
      </c>
      <c r="CK3339" s="2" t="s">
        <v>150</v>
      </c>
      <c r="CL3339" s="2" t="s">
        <v>86</v>
      </c>
      <c r="CM3339" s="2"/>
    </row>
    <row r="3340" spans="1:91">
      <c r="A3340" s="2" t="s">
        <v>71</v>
      </c>
      <c r="B3340" s="2" t="s">
        <v>72</v>
      </c>
      <c r="C3340" s="2" t="s">
        <v>73</v>
      </c>
      <c r="D3340" s="2"/>
      <c r="E3340" s="2" t="str">
        <f>"FES1162544492"</f>
        <v>FES1162544492</v>
      </c>
      <c r="F3340" s="3">
        <v>42845</v>
      </c>
      <c r="G3340" s="2">
        <v>201710</v>
      </c>
      <c r="H3340" s="2" t="s">
        <v>74</v>
      </c>
      <c r="I3340" s="2" t="s">
        <v>75</v>
      </c>
      <c r="J3340" s="2" t="s">
        <v>200</v>
      </c>
      <c r="K3340" s="2" t="s">
        <v>77</v>
      </c>
      <c r="L3340" s="2" t="s">
        <v>145</v>
      </c>
      <c r="M3340" s="2" t="s">
        <v>146</v>
      </c>
      <c r="N3340" s="2" t="s">
        <v>3371</v>
      </c>
      <c r="O3340" s="2" t="s">
        <v>81</v>
      </c>
      <c r="P3340" s="2" t="str">
        <f>"2170563085                    "</f>
        <v xml:space="preserve">2170563085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7.37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1</v>
      </c>
      <c r="BI3340" s="2">
        <v>7</v>
      </c>
      <c r="BJ3340" s="2">
        <v>9.9</v>
      </c>
      <c r="BK3340" s="2">
        <v>10</v>
      </c>
      <c r="BL3340" s="2">
        <v>76.72</v>
      </c>
      <c r="BM3340" s="2">
        <v>10.74</v>
      </c>
      <c r="BN3340" s="2">
        <v>87.46</v>
      </c>
      <c r="BO3340" s="2">
        <v>87.46</v>
      </c>
      <c r="BP3340" s="2"/>
      <c r="BQ3340" s="2" t="s">
        <v>3372</v>
      </c>
      <c r="BR3340" s="2" t="s">
        <v>2287</v>
      </c>
      <c r="BS3340" s="3">
        <v>42843</v>
      </c>
      <c r="BT3340" s="4">
        <v>0.54166666666666663</v>
      </c>
      <c r="BU3340" s="2" t="s">
        <v>130</v>
      </c>
      <c r="BV3340" s="2"/>
      <c r="BW3340" s="2"/>
      <c r="BX3340" s="2"/>
      <c r="BY3340" s="2">
        <v>49694.400000000001</v>
      </c>
      <c r="BZ3340" s="2"/>
      <c r="CA3340" s="2"/>
      <c r="CB3340" s="2"/>
      <c r="CC3340" s="2" t="s">
        <v>146</v>
      </c>
      <c r="CD3340" s="2">
        <v>183</v>
      </c>
      <c r="CE3340" s="2" t="s">
        <v>89</v>
      </c>
      <c r="CF3340" s="5">
        <v>42851</v>
      </c>
      <c r="CG3340" s="2"/>
      <c r="CH3340" s="2"/>
      <c r="CI3340" s="2">
        <v>0</v>
      </c>
      <c r="CJ3340" s="2">
        <v>0</v>
      </c>
      <c r="CK3340" s="2" t="s">
        <v>150</v>
      </c>
      <c r="CL3340" s="2" t="s">
        <v>86</v>
      </c>
      <c r="CM3340" s="2"/>
    </row>
    <row r="3341" spans="1:91">
      <c r="A3341" s="2" t="s">
        <v>71</v>
      </c>
      <c r="B3341" s="2" t="s">
        <v>72</v>
      </c>
      <c r="C3341" s="2" t="s">
        <v>73</v>
      </c>
      <c r="D3341" s="2"/>
      <c r="E3341" s="2" t="str">
        <f>"FES1162544487"</f>
        <v>FES1162544487</v>
      </c>
      <c r="F3341" s="3">
        <v>42845</v>
      </c>
      <c r="G3341" s="2">
        <v>201710</v>
      </c>
      <c r="H3341" s="2" t="s">
        <v>74</v>
      </c>
      <c r="I3341" s="2" t="s">
        <v>75</v>
      </c>
      <c r="J3341" s="2" t="s">
        <v>200</v>
      </c>
      <c r="K3341" s="2" t="s">
        <v>77</v>
      </c>
      <c r="L3341" s="2" t="s">
        <v>609</v>
      </c>
      <c r="M3341" s="2" t="s">
        <v>610</v>
      </c>
      <c r="N3341" s="2" t="s">
        <v>982</v>
      </c>
      <c r="O3341" s="2" t="s">
        <v>81</v>
      </c>
      <c r="P3341" s="2" t="str">
        <f>"2170563063                    "</f>
        <v xml:space="preserve">2170563063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7.37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3.1</v>
      </c>
      <c r="BJ3341" s="2">
        <v>5.6</v>
      </c>
      <c r="BK3341" s="2">
        <v>6</v>
      </c>
      <c r="BL3341" s="2">
        <v>76.72</v>
      </c>
      <c r="BM3341" s="2">
        <v>10.74</v>
      </c>
      <c r="BN3341" s="2">
        <v>87.46</v>
      </c>
      <c r="BO3341" s="2">
        <v>87.46</v>
      </c>
      <c r="BP3341" s="2"/>
      <c r="BQ3341" s="2" t="s">
        <v>129</v>
      </c>
      <c r="BR3341" s="2" t="s">
        <v>2287</v>
      </c>
      <c r="BS3341" s="3">
        <v>42846</v>
      </c>
      <c r="BT3341" s="4">
        <v>0.59861111111111109</v>
      </c>
      <c r="BU3341" s="2" t="s">
        <v>266</v>
      </c>
      <c r="BV3341" s="2" t="s">
        <v>111</v>
      </c>
      <c r="BW3341" s="2"/>
      <c r="BX3341" s="2"/>
      <c r="BY3341" s="2">
        <v>27812.36</v>
      </c>
      <c r="BZ3341" s="2"/>
      <c r="CA3341" s="2"/>
      <c r="CB3341" s="2"/>
      <c r="CC3341" s="2" t="s">
        <v>610</v>
      </c>
      <c r="CD3341" s="2">
        <v>1911</v>
      </c>
      <c r="CE3341" s="2" t="s">
        <v>89</v>
      </c>
      <c r="CF3341" s="5">
        <v>42849</v>
      </c>
      <c r="CG3341" s="2"/>
      <c r="CH3341" s="2"/>
      <c r="CI3341" s="2">
        <v>0</v>
      </c>
      <c r="CJ3341" s="2">
        <v>0</v>
      </c>
      <c r="CK3341" s="2" t="s">
        <v>150</v>
      </c>
      <c r="CL3341" s="2" t="s">
        <v>86</v>
      </c>
      <c r="CM3341" s="2"/>
    </row>
    <row r="3342" spans="1:91">
      <c r="A3342" s="2" t="s">
        <v>71</v>
      </c>
      <c r="B3342" s="2" t="s">
        <v>72</v>
      </c>
      <c r="C3342" s="2" t="s">
        <v>73</v>
      </c>
      <c r="D3342" s="2"/>
      <c r="E3342" s="2" t="str">
        <f>"FES1162544017"</f>
        <v>FES1162544017</v>
      </c>
      <c r="F3342" s="3">
        <v>42844</v>
      </c>
      <c r="G3342" s="2">
        <v>201710</v>
      </c>
      <c r="H3342" s="2" t="s">
        <v>74</v>
      </c>
      <c r="I3342" s="2" t="s">
        <v>75</v>
      </c>
      <c r="J3342" s="2" t="s">
        <v>200</v>
      </c>
      <c r="K3342" s="2" t="s">
        <v>77</v>
      </c>
      <c r="L3342" s="2" t="s">
        <v>145</v>
      </c>
      <c r="M3342" s="2" t="s">
        <v>146</v>
      </c>
      <c r="N3342" s="2" t="s">
        <v>2382</v>
      </c>
      <c r="O3342" s="2" t="s">
        <v>81</v>
      </c>
      <c r="P3342" s="2" t="str">
        <f>"2170562241                    "</f>
        <v xml:space="preserve">2170562241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7.37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2</v>
      </c>
      <c r="BI3342" s="2">
        <v>7</v>
      </c>
      <c r="BJ3342" s="2">
        <v>2.5</v>
      </c>
      <c r="BK3342" s="2">
        <v>7</v>
      </c>
      <c r="BL3342" s="2">
        <v>76.72</v>
      </c>
      <c r="BM3342" s="2">
        <v>10.74</v>
      </c>
      <c r="BN3342" s="2">
        <v>87.46</v>
      </c>
      <c r="BO3342" s="2">
        <v>87.46</v>
      </c>
      <c r="BP3342" s="2"/>
      <c r="BQ3342" s="2" t="s">
        <v>2383</v>
      </c>
      <c r="BR3342" s="2" t="s">
        <v>2287</v>
      </c>
      <c r="BS3342" s="3">
        <v>42845</v>
      </c>
      <c r="BT3342" s="4">
        <v>0.3666666666666667</v>
      </c>
      <c r="BU3342" s="2" t="s">
        <v>3373</v>
      </c>
      <c r="BV3342" s="2"/>
      <c r="BW3342" s="2"/>
      <c r="BX3342" s="2"/>
      <c r="BY3342" s="2">
        <v>12486</v>
      </c>
      <c r="BZ3342" s="2"/>
      <c r="CA3342" s="2"/>
      <c r="CB3342" s="2"/>
      <c r="CC3342" s="2" t="s">
        <v>146</v>
      </c>
      <c r="CD3342" s="2">
        <v>184</v>
      </c>
      <c r="CE3342" s="2" t="s">
        <v>118</v>
      </c>
      <c r="CF3342" s="5">
        <v>42851</v>
      </c>
      <c r="CG3342" s="2"/>
      <c r="CH3342" s="2"/>
      <c r="CI3342" s="2">
        <v>0</v>
      </c>
      <c r="CJ3342" s="2">
        <v>0</v>
      </c>
      <c r="CK3342" s="2" t="s">
        <v>150</v>
      </c>
      <c r="CL3342" s="2" t="s">
        <v>86</v>
      </c>
      <c r="CM3342" s="2"/>
    </row>
    <row r="3343" spans="1:91">
      <c r="A3343" s="2" t="s">
        <v>71</v>
      </c>
      <c r="B3343" s="2" t="s">
        <v>72</v>
      </c>
      <c r="C3343" s="2" t="s">
        <v>73</v>
      </c>
      <c r="D3343" s="2"/>
      <c r="E3343" s="2" t="str">
        <f>"FES1162543785"</f>
        <v>FES1162543785</v>
      </c>
      <c r="F3343" s="3">
        <v>42838</v>
      </c>
      <c r="G3343" s="2">
        <v>201710</v>
      </c>
      <c r="H3343" s="2" t="s">
        <v>74</v>
      </c>
      <c r="I3343" s="2" t="s">
        <v>75</v>
      </c>
      <c r="J3343" s="2" t="s">
        <v>200</v>
      </c>
      <c r="K3343" s="2" t="s">
        <v>77</v>
      </c>
      <c r="L3343" s="2" t="s">
        <v>609</v>
      </c>
      <c r="M3343" s="2" t="s">
        <v>610</v>
      </c>
      <c r="N3343" s="2" t="s">
        <v>3374</v>
      </c>
      <c r="O3343" s="2" t="s">
        <v>81</v>
      </c>
      <c r="P3343" s="2" t="str">
        <f>"2170561856                    "</f>
        <v xml:space="preserve">2170561856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7.37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15</v>
      </c>
      <c r="BJ3343" s="2">
        <v>6.6</v>
      </c>
      <c r="BK3343" s="2">
        <v>15</v>
      </c>
      <c r="BL3343" s="2">
        <v>76.72</v>
      </c>
      <c r="BM3343" s="2">
        <v>10.74</v>
      </c>
      <c r="BN3343" s="2">
        <v>87.46</v>
      </c>
      <c r="BO3343" s="2">
        <v>87.46</v>
      </c>
      <c r="BP3343" s="2"/>
      <c r="BQ3343" s="2"/>
      <c r="BR3343" s="2" t="s">
        <v>2287</v>
      </c>
      <c r="BS3343" s="1" t="s">
        <v>1744</v>
      </c>
      <c r="BT3343" s="2"/>
      <c r="BU3343" s="2"/>
      <c r="BV3343" s="2"/>
      <c r="BW3343" s="2"/>
      <c r="BX3343" s="2"/>
      <c r="BY3343" s="2">
        <v>33120</v>
      </c>
      <c r="BZ3343" s="2"/>
      <c r="CA3343" s="2"/>
      <c r="CB3343" s="2"/>
      <c r="CC3343" s="2" t="s">
        <v>610</v>
      </c>
      <c r="CD3343" s="2">
        <v>1900</v>
      </c>
      <c r="CE3343" s="2" t="s">
        <v>89</v>
      </c>
      <c r="CF3343" s="2"/>
      <c r="CG3343" s="2"/>
      <c r="CH3343" s="2"/>
      <c r="CI3343" s="2">
        <v>0</v>
      </c>
      <c r="CJ3343" s="2">
        <v>0</v>
      </c>
      <c r="CK3343" s="2" t="s">
        <v>150</v>
      </c>
      <c r="CL3343" s="2" t="s">
        <v>86</v>
      </c>
      <c r="CM3343" s="2"/>
    </row>
    <row r="3344" spans="1:91">
      <c r="A3344" s="2" t="s">
        <v>71</v>
      </c>
      <c r="B3344" s="2" t="s">
        <v>72</v>
      </c>
      <c r="C3344" s="2" t="s">
        <v>73</v>
      </c>
      <c r="D3344" s="2"/>
      <c r="E3344" s="2" t="str">
        <f>"FES1162543569"</f>
        <v>FES1162543569</v>
      </c>
      <c r="F3344" s="3">
        <v>42838</v>
      </c>
      <c r="G3344" s="2">
        <v>201710</v>
      </c>
      <c r="H3344" s="2" t="s">
        <v>74</v>
      </c>
      <c r="I3344" s="2" t="s">
        <v>75</v>
      </c>
      <c r="J3344" s="2" t="s">
        <v>200</v>
      </c>
      <c r="K3344" s="2" t="s">
        <v>77</v>
      </c>
      <c r="L3344" s="2" t="s">
        <v>74</v>
      </c>
      <c r="M3344" s="2" t="s">
        <v>75</v>
      </c>
      <c r="N3344" s="2" t="s">
        <v>436</v>
      </c>
      <c r="O3344" s="2" t="s">
        <v>81</v>
      </c>
      <c r="P3344" s="2" t="str">
        <f>"2170562239                    "</f>
        <v xml:space="preserve">2170562239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9.4499999999999993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2</v>
      </c>
      <c r="BI3344" s="2">
        <v>31.5</v>
      </c>
      <c r="BJ3344" s="2">
        <v>28.9</v>
      </c>
      <c r="BK3344" s="2">
        <v>32</v>
      </c>
      <c r="BL3344" s="2">
        <v>97.02</v>
      </c>
      <c r="BM3344" s="2">
        <v>13.58</v>
      </c>
      <c r="BN3344" s="2">
        <v>110.6</v>
      </c>
      <c r="BO3344" s="2">
        <v>110.6</v>
      </c>
      <c r="BP3344" s="2"/>
      <c r="BQ3344" s="2" t="s">
        <v>437</v>
      </c>
      <c r="BR3344" s="2" t="s">
        <v>2287</v>
      </c>
      <c r="BS3344" s="3">
        <v>42843</v>
      </c>
      <c r="BT3344" s="4">
        <v>0.4375</v>
      </c>
      <c r="BU3344" s="2" t="s">
        <v>355</v>
      </c>
      <c r="BV3344" s="2" t="s">
        <v>86</v>
      </c>
      <c r="BW3344" s="2" t="s">
        <v>164</v>
      </c>
      <c r="BX3344" s="2" t="s">
        <v>618</v>
      </c>
      <c r="BY3344" s="2">
        <v>144338.48000000001</v>
      </c>
      <c r="BZ3344" s="2"/>
      <c r="CA3344" s="2"/>
      <c r="CB3344" s="2"/>
      <c r="CC3344" s="2" t="s">
        <v>75</v>
      </c>
      <c r="CD3344" s="2">
        <v>1600</v>
      </c>
      <c r="CE3344" s="2" t="s">
        <v>89</v>
      </c>
      <c r="CF3344" s="5">
        <v>42844</v>
      </c>
      <c r="CG3344" s="2"/>
      <c r="CH3344" s="2"/>
      <c r="CI3344" s="2">
        <v>0</v>
      </c>
      <c r="CJ3344" s="2">
        <v>0</v>
      </c>
      <c r="CK3344" s="2" t="s">
        <v>98</v>
      </c>
      <c r="CL3344" s="2" t="s">
        <v>86</v>
      </c>
      <c r="CM3344" s="2"/>
    </row>
    <row r="3345" spans="1:91">
      <c r="A3345" s="2" t="s">
        <v>71</v>
      </c>
      <c r="B3345" s="2" t="s">
        <v>72</v>
      </c>
      <c r="C3345" s="2" t="s">
        <v>73</v>
      </c>
      <c r="D3345" s="2"/>
      <c r="E3345" s="2" t="str">
        <f>"FES1162543784"</f>
        <v>FES1162543784</v>
      </c>
      <c r="F3345" s="3">
        <v>42838</v>
      </c>
      <c r="G3345" s="2">
        <v>201710</v>
      </c>
      <c r="H3345" s="2" t="s">
        <v>74</v>
      </c>
      <c r="I3345" s="2" t="s">
        <v>75</v>
      </c>
      <c r="J3345" s="2" t="s">
        <v>200</v>
      </c>
      <c r="K3345" s="2" t="s">
        <v>77</v>
      </c>
      <c r="L3345" s="2" t="s">
        <v>145</v>
      </c>
      <c r="M3345" s="2" t="s">
        <v>146</v>
      </c>
      <c r="N3345" s="2" t="s">
        <v>1999</v>
      </c>
      <c r="O3345" s="2" t="s">
        <v>81</v>
      </c>
      <c r="P3345" s="2" t="str">
        <f>"217056136                     "</f>
        <v xml:space="preserve">217056136 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7.37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2</v>
      </c>
      <c r="BI3345" s="2">
        <v>14</v>
      </c>
      <c r="BJ3345" s="2">
        <v>4.4000000000000004</v>
      </c>
      <c r="BK3345" s="2">
        <v>14</v>
      </c>
      <c r="BL3345" s="2">
        <v>76.72</v>
      </c>
      <c r="BM3345" s="2">
        <v>10.74</v>
      </c>
      <c r="BN3345" s="2">
        <v>87.46</v>
      </c>
      <c r="BO3345" s="2">
        <v>87.46</v>
      </c>
      <c r="BP3345" s="2"/>
      <c r="BQ3345" s="2" t="s">
        <v>2000</v>
      </c>
      <c r="BR3345" s="2" t="s">
        <v>2287</v>
      </c>
      <c r="BS3345" s="3">
        <v>42843</v>
      </c>
      <c r="BT3345" s="4">
        <v>0.4375</v>
      </c>
      <c r="BU3345" s="2" t="s">
        <v>2379</v>
      </c>
      <c r="BV3345" s="2"/>
      <c r="BW3345" s="2"/>
      <c r="BX3345" s="2"/>
      <c r="BY3345" s="2">
        <v>21940</v>
      </c>
      <c r="BZ3345" s="2"/>
      <c r="CA3345" s="2"/>
      <c r="CB3345" s="2"/>
      <c r="CC3345" s="2" t="s">
        <v>146</v>
      </c>
      <c r="CD3345" s="2">
        <v>200</v>
      </c>
      <c r="CE3345" s="2" t="s">
        <v>89</v>
      </c>
      <c r="CF3345" s="5">
        <v>42845</v>
      </c>
      <c r="CG3345" s="2"/>
      <c r="CH3345" s="2"/>
      <c r="CI3345" s="2">
        <v>0</v>
      </c>
      <c r="CJ3345" s="2">
        <v>0</v>
      </c>
      <c r="CK3345" s="2" t="s">
        <v>150</v>
      </c>
      <c r="CL3345" s="2" t="s">
        <v>86</v>
      </c>
      <c r="CM3345" s="2"/>
    </row>
    <row r="3346" spans="1:91">
      <c r="A3346" s="2" t="s">
        <v>71</v>
      </c>
      <c r="B3346" s="2" t="s">
        <v>72</v>
      </c>
      <c r="C3346" s="2" t="s">
        <v>73</v>
      </c>
      <c r="D3346" s="2"/>
      <c r="E3346" s="2" t="str">
        <f>"FES1162543864"</f>
        <v>FES1162543864</v>
      </c>
      <c r="F3346" s="3">
        <v>42843</v>
      </c>
      <c r="G3346" s="2">
        <v>201710</v>
      </c>
      <c r="H3346" s="2" t="s">
        <v>74</v>
      </c>
      <c r="I3346" s="2" t="s">
        <v>75</v>
      </c>
      <c r="J3346" s="2" t="s">
        <v>200</v>
      </c>
      <c r="K3346" s="2" t="s">
        <v>77</v>
      </c>
      <c r="L3346" s="2" t="s">
        <v>139</v>
      </c>
      <c r="M3346" s="2" t="s">
        <v>140</v>
      </c>
      <c r="N3346" s="2" t="s">
        <v>2095</v>
      </c>
      <c r="O3346" s="2" t="s">
        <v>81</v>
      </c>
      <c r="P3346" s="2" t="str">
        <f>"2170562215                    "</f>
        <v xml:space="preserve">2170562215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7.37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1.1000000000000001</v>
      </c>
      <c r="BJ3346" s="2">
        <v>4.8</v>
      </c>
      <c r="BK3346" s="2">
        <v>5</v>
      </c>
      <c r="BL3346" s="2">
        <v>76.72</v>
      </c>
      <c r="BM3346" s="2">
        <v>10.74</v>
      </c>
      <c r="BN3346" s="2">
        <v>87.46</v>
      </c>
      <c r="BO3346" s="2">
        <v>87.46</v>
      </c>
      <c r="BP3346" s="2"/>
      <c r="BQ3346" s="2" t="s">
        <v>2096</v>
      </c>
      <c r="BR3346" s="2" t="s">
        <v>2287</v>
      </c>
      <c r="BS3346" s="3">
        <v>42844</v>
      </c>
      <c r="BT3346" s="4">
        <v>0.39930555555555558</v>
      </c>
      <c r="BU3346" s="2" t="s">
        <v>186</v>
      </c>
      <c r="BV3346" s="2"/>
      <c r="BW3346" s="2"/>
      <c r="BX3346" s="2"/>
      <c r="BY3346" s="2">
        <v>23812.53</v>
      </c>
      <c r="BZ3346" s="2"/>
      <c r="CA3346" s="2" t="s">
        <v>159</v>
      </c>
      <c r="CB3346" s="2"/>
      <c r="CC3346" s="2" t="s">
        <v>140</v>
      </c>
      <c r="CD3346" s="2">
        <v>157</v>
      </c>
      <c r="CE3346" s="2" t="s">
        <v>89</v>
      </c>
      <c r="CF3346" s="5">
        <v>42846</v>
      </c>
      <c r="CG3346" s="2"/>
      <c r="CH3346" s="2"/>
      <c r="CI3346" s="2">
        <v>0</v>
      </c>
      <c r="CJ3346" s="2">
        <v>0</v>
      </c>
      <c r="CK3346" s="2" t="s">
        <v>150</v>
      </c>
      <c r="CL3346" s="2" t="s">
        <v>86</v>
      </c>
      <c r="CM3346" s="2"/>
    </row>
    <row r="3347" spans="1:91">
      <c r="A3347" s="2" t="s">
        <v>71</v>
      </c>
      <c r="B3347" s="2" t="s">
        <v>72</v>
      </c>
      <c r="C3347" s="2" t="s">
        <v>73</v>
      </c>
      <c r="D3347" s="2"/>
      <c r="E3347" s="2" t="str">
        <f>"FES1162544066"</f>
        <v>FES1162544066</v>
      </c>
      <c r="F3347" s="3">
        <v>42843</v>
      </c>
      <c r="G3347" s="2">
        <v>201710</v>
      </c>
      <c r="H3347" s="2" t="s">
        <v>74</v>
      </c>
      <c r="I3347" s="2" t="s">
        <v>75</v>
      </c>
      <c r="J3347" s="2" t="s">
        <v>200</v>
      </c>
      <c r="K3347" s="2" t="s">
        <v>77</v>
      </c>
      <c r="L3347" s="2" t="s">
        <v>145</v>
      </c>
      <c r="M3347" s="2" t="s">
        <v>146</v>
      </c>
      <c r="N3347" s="2" t="s">
        <v>850</v>
      </c>
      <c r="O3347" s="2" t="s">
        <v>81</v>
      </c>
      <c r="P3347" s="2" t="str">
        <f>"2170652144                    "</f>
        <v xml:space="preserve">2170652144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7.82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16.8</v>
      </c>
      <c r="BJ3347" s="2">
        <v>8.9</v>
      </c>
      <c r="BK3347" s="2">
        <v>17</v>
      </c>
      <c r="BL3347" s="2">
        <v>81.150000000000006</v>
      </c>
      <c r="BM3347" s="2">
        <v>11.36</v>
      </c>
      <c r="BN3347" s="2">
        <v>92.51</v>
      </c>
      <c r="BO3347" s="2">
        <v>92.51</v>
      </c>
      <c r="BP3347" s="2"/>
      <c r="BQ3347" s="2" t="s">
        <v>851</v>
      </c>
      <c r="BR3347" s="2" t="s">
        <v>2287</v>
      </c>
      <c r="BS3347" s="3">
        <v>42844</v>
      </c>
      <c r="BT3347" s="4">
        <v>0.45208333333333334</v>
      </c>
      <c r="BU3347" s="2" t="s">
        <v>3375</v>
      </c>
      <c r="BV3347" s="2"/>
      <c r="BW3347" s="2"/>
      <c r="BX3347" s="2"/>
      <c r="BY3347" s="2">
        <v>44583.15</v>
      </c>
      <c r="BZ3347" s="2"/>
      <c r="CA3347" s="2"/>
      <c r="CB3347" s="2"/>
      <c r="CC3347" s="2" t="s">
        <v>146</v>
      </c>
      <c r="CD3347" s="2">
        <v>200</v>
      </c>
      <c r="CE3347" s="2" t="s">
        <v>89</v>
      </c>
      <c r="CF3347" s="5">
        <v>42846</v>
      </c>
      <c r="CG3347" s="2"/>
      <c r="CH3347" s="2"/>
      <c r="CI3347" s="2">
        <v>0</v>
      </c>
      <c r="CJ3347" s="2">
        <v>0</v>
      </c>
      <c r="CK3347" s="2" t="s">
        <v>150</v>
      </c>
      <c r="CL3347" s="2" t="s">
        <v>86</v>
      </c>
      <c r="CM3347" s="2"/>
    </row>
    <row r="3348" spans="1:91">
      <c r="A3348" s="2" t="s">
        <v>71</v>
      </c>
      <c r="B3348" s="2" t="s">
        <v>72</v>
      </c>
      <c r="C3348" s="2" t="s">
        <v>73</v>
      </c>
      <c r="D3348" s="2"/>
      <c r="E3348" s="2" t="str">
        <f>"FES1162544233"</f>
        <v>FES1162544233</v>
      </c>
      <c r="F3348" s="3">
        <v>42844</v>
      </c>
      <c r="G3348" s="2">
        <v>201710</v>
      </c>
      <c r="H3348" s="2" t="s">
        <v>74</v>
      </c>
      <c r="I3348" s="2" t="s">
        <v>75</v>
      </c>
      <c r="J3348" s="2" t="s">
        <v>200</v>
      </c>
      <c r="K3348" s="2" t="s">
        <v>77</v>
      </c>
      <c r="L3348" s="2" t="s">
        <v>139</v>
      </c>
      <c r="M3348" s="2" t="s">
        <v>140</v>
      </c>
      <c r="N3348" s="2" t="s">
        <v>2095</v>
      </c>
      <c r="O3348" s="2" t="s">
        <v>81</v>
      </c>
      <c r="P3348" s="2" t="str">
        <f>"2170562832                    "</f>
        <v xml:space="preserve">2170562832 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7.37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2.5</v>
      </c>
      <c r="BJ3348" s="2">
        <v>4.5</v>
      </c>
      <c r="BK3348" s="2">
        <v>5</v>
      </c>
      <c r="BL3348" s="2">
        <v>76.72</v>
      </c>
      <c r="BM3348" s="2">
        <v>10.74</v>
      </c>
      <c r="BN3348" s="2">
        <v>87.46</v>
      </c>
      <c r="BO3348" s="2">
        <v>87.46</v>
      </c>
      <c r="BP3348" s="2"/>
      <c r="BQ3348" s="2" t="s">
        <v>2096</v>
      </c>
      <c r="BR3348" s="2" t="s">
        <v>2287</v>
      </c>
      <c r="BS3348" s="3">
        <v>42845</v>
      </c>
      <c r="BT3348" s="4">
        <v>0.41388888888888892</v>
      </c>
      <c r="BU3348" s="2" t="s">
        <v>2748</v>
      </c>
      <c r="BV3348" s="2"/>
      <c r="BW3348" s="2"/>
      <c r="BX3348" s="2"/>
      <c r="BY3348" s="2">
        <v>22506</v>
      </c>
      <c r="BZ3348" s="2"/>
      <c r="CA3348" s="2" t="s">
        <v>2749</v>
      </c>
      <c r="CB3348" s="2"/>
      <c r="CC3348" s="2" t="s">
        <v>140</v>
      </c>
      <c r="CD3348" s="2">
        <v>157</v>
      </c>
      <c r="CE3348" s="2" t="s">
        <v>89</v>
      </c>
      <c r="CF3348" s="5">
        <v>42849</v>
      </c>
      <c r="CG3348" s="2"/>
      <c r="CH3348" s="2"/>
      <c r="CI3348" s="2">
        <v>0</v>
      </c>
      <c r="CJ3348" s="2">
        <v>0</v>
      </c>
      <c r="CK3348" s="2" t="s">
        <v>150</v>
      </c>
      <c r="CL3348" s="2" t="s">
        <v>86</v>
      </c>
      <c r="CM3348" s="2"/>
    </row>
    <row r="3349" spans="1:91">
      <c r="A3349" s="2" t="s">
        <v>71</v>
      </c>
      <c r="B3349" s="2" t="s">
        <v>72</v>
      </c>
      <c r="C3349" s="2" t="s">
        <v>73</v>
      </c>
      <c r="D3349" s="2"/>
      <c r="E3349" s="2" t="str">
        <f>"FES1162544006"</f>
        <v>FES1162544006</v>
      </c>
      <c r="F3349" s="3">
        <v>42844</v>
      </c>
      <c r="G3349" s="2">
        <v>201710</v>
      </c>
      <c r="H3349" s="2" t="s">
        <v>74</v>
      </c>
      <c r="I3349" s="2" t="s">
        <v>75</v>
      </c>
      <c r="J3349" s="2" t="s">
        <v>200</v>
      </c>
      <c r="K3349" s="2" t="s">
        <v>77</v>
      </c>
      <c r="L3349" s="2" t="s">
        <v>74</v>
      </c>
      <c r="M3349" s="2" t="s">
        <v>75</v>
      </c>
      <c r="N3349" s="2" t="s">
        <v>1684</v>
      </c>
      <c r="O3349" s="2" t="s">
        <v>81</v>
      </c>
      <c r="P3349" s="2" t="str">
        <f>"2170562321                    "</f>
        <v xml:space="preserve">2170562321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6.83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10.199999999999999</v>
      </c>
      <c r="BJ3349" s="2">
        <v>18.3</v>
      </c>
      <c r="BK3349" s="2">
        <v>19</v>
      </c>
      <c r="BL3349" s="2">
        <v>71.52</v>
      </c>
      <c r="BM3349" s="2">
        <v>10.01</v>
      </c>
      <c r="BN3349" s="2">
        <v>81.53</v>
      </c>
      <c r="BO3349" s="2">
        <v>81.53</v>
      </c>
      <c r="BP3349" s="2"/>
      <c r="BQ3349" s="2" t="s">
        <v>1685</v>
      </c>
      <c r="BR3349" s="2" t="s">
        <v>2287</v>
      </c>
      <c r="BS3349" s="3">
        <v>42845</v>
      </c>
      <c r="BT3349" s="4">
        <v>0.3444444444444445</v>
      </c>
      <c r="BU3349" s="2" t="s">
        <v>2662</v>
      </c>
      <c r="BV3349" s="2" t="s">
        <v>111</v>
      </c>
      <c r="BW3349" s="2"/>
      <c r="BX3349" s="2"/>
      <c r="BY3349" s="2">
        <v>91351.26</v>
      </c>
      <c r="BZ3349" s="2"/>
      <c r="CA3349" s="2" t="s">
        <v>1687</v>
      </c>
      <c r="CB3349" s="2"/>
      <c r="CC3349" s="2" t="s">
        <v>75</v>
      </c>
      <c r="CD3349" s="2">
        <v>1609</v>
      </c>
      <c r="CE3349" s="2" t="s">
        <v>89</v>
      </c>
      <c r="CF3349" s="5">
        <v>42845</v>
      </c>
      <c r="CG3349" s="2"/>
      <c r="CH3349" s="2"/>
      <c r="CI3349" s="2">
        <v>0</v>
      </c>
      <c r="CJ3349" s="2">
        <v>0</v>
      </c>
      <c r="CK3349" s="2" t="s">
        <v>98</v>
      </c>
      <c r="CL3349" s="2" t="s">
        <v>86</v>
      </c>
      <c r="CM3349" s="2"/>
    </row>
    <row r="3350" spans="1:91">
      <c r="A3350" s="2" t="s">
        <v>71</v>
      </c>
      <c r="B3350" s="2" t="s">
        <v>72</v>
      </c>
      <c r="C3350" s="2" t="s">
        <v>73</v>
      </c>
      <c r="D3350" s="2"/>
      <c r="E3350" s="2" t="str">
        <f>"FES1162544437"</f>
        <v>FES1162544437</v>
      </c>
      <c r="F3350" s="3">
        <v>42844</v>
      </c>
      <c r="G3350" s="2">
        <v>201710</v>
      </c>
      <c r="H3350" s="2" t="s">
        <v>74</v>
      </c>
      <c r="I3350" s="2" t="s">
        <v>75</v>
      </c>
      <c r="J3350" s="2" t="s">
        <v>200</v>
      </c>
      <c r="K3350" s="2" t="s">
        <v>77</v>
      </c>
      <c r="L3350" s="2" t="s">
        <v>145</v>
      </c>
      <c r="M3350" s="2" t="s">
        <v>146</v>
      </c>
      <c r="N3350" s="2" t="s">
        <v>326</v>
      </c>
      <c r="O3350" s="2" t="s">
        <v>81</v>
      </c>
      <c r="P3350" s="2" t="str">
        <f>"2170563029                    "</f>
        <v xml:space="preserve">2170563029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7.37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1</v>
      </c>
      <c r="BI3350" s="2">
        <v>7</v>
      </c>
      <c r="BJ3350" s="2">
        <v>9.5</v>
      </c>
      <c r="BK3350" s="2">
        <v>10</v>
      </c>
      <c r="BL3350" s="2">
        <v>76.72</v>
      </c>
      <c r="BM3350" s="2">
        <v>10.74</v>
      </c>
      <c r="BN3350" s="2">
        <v>87.46</v>
      </c>
      <c r="BO3350" s="2">
        <v>87.46</v>
      </c>
      <c r="BP3350" s="2"/>
      <c r="BQ3350" s="2" t="s">
        <v>3116</v>
      </c>
      <c r="BR3350" s="2" t="s">
        <v>2287</v>
      </c>
      <c r="BS3350" s="3">
        <v>42845</v>
      </c>
      <c r="BT3350" s="4">
        <v>0.3923611111111111</v>
      </c>
      <c r="BU3350" s="2" t="s">
        <v>1645</v>
      </c>
      <c r="BV3350" s="2"/>
      <c r="BW3350" s="2"/>
      <c r="BX3350" s="2"/>
      <c r="BY3350" s="2">
        <v>47547.61</v>
      </c>
      <c r="BZ3350" s="2"/>
      <c r="CA3350" s="2"/>
      <c r="CB3350" s="2"/>
      <c r="CC3350" s="2" t="s">
        <v>146</v>
      </c>
      <c r="CD3350" s="2">
        <v>200</v>
      </c>
      <c r="CE3350" s="2" t="s">
        <v>89</v>
      </c>
      <c r="CF3350" s="5">
        <v>42851</v>
      </c>
      <c r="CG3350" s="2"/>
      <c r="CH3350" s="2"/>
      <c r="CI3350" s="2">
        <v>0</v>
      </c>
      <c r="CJ3350" s="2">
        <v>0</v>
      </c>
      <c r="CK3350" s="2" t="s">
        <v>150</v>
      </c>
      <c r="CL3350" s="2" t="s">
        <v>86</v>
      </c>
      <c r="CM3350" s="2"/>
    </row>
    <row r="3351" spans="1:91">
      <c r="A3351" s="2" t="s">
        <v>71</v>
      </c>
      <c r="B3351" s="2" t="s">
        <v>72</v>
      </c>
      <c r="C3351" s="2" t="s">
        <v>73</v>
      </c>
      <c r="D3351" s="2"/>
      <c r="E3351" s="2" t="str">
        <f>"FES1162543988"</f>
        <v>FES1162543988</v>
      </c>
      <c r="F3351" s="3">
        <v>42843</v>
      </c>
      <c r="G3351" s="2">
        <v>201710</v>
      </c>
      <c r="H3351" s="2" t="s">
        <v>74</v>
      </c>
      <c r="I3351" s="2" t="s">
        <v>75</v>
      </c>
      <c r="J3351" s="2" t="s">
        <v>200</v>
      </c>
      <c r="K3351" s="2" t="s">
        <v>77</v>
      </c>
      <c r="L3351" s="2" t="s">
        <v>609</v>
      </c>
      <c r="M3351" s="2" t="s">
        <v>610</v>
      </c>
      <c r="N3351" s="2" t="s">
        <v>982</v>
      </c>
      <c r="O3351" s="2" t="s">
        <v>81</v>
      </c>
      <c r="P3351" s="2" t="str">
        <f>"2170562578                    "</f>
        <v xml:space="preserve">2170562578           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7.37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3</v>
      </c>
      <c r="BJ3351" s="2">
        <v>3.6</v>
      </c>
      <c r="BK3351" s="2">
        <v>4</v>
      </c>
      <c r="BL3351" s="2">
        <v>76.72</v>
      </c>
      <c r="BM3351" s="2">
        <v>10.74</v>
      </c>
      <c r="BN3351" s="2">
        <v>87.46</v>
      </c>
      <c r="BO3351" s="2">
        <v>87.46</v>
      </c>
      <c r="BP3351" s="2"/>
      <c r="BQ3351" s="2" t="s">
        <v>129</v>
      </c>
      <c r="BR3351" s="2" t="s">
        <v>2287</v>
      </c>
      <c r="BS3351" s="3">
        <v>42844</v>
      </c>
      <c r="BT3351" s="4">
        <v>0.41666666666666669</v>
      </c>
      <c r="BU3351" s="2" t="s">
        <v>198</v>
      </c>
      <c r="BV3351" s="2" t="s">
        <v>111</v>
      </c>
      <c r="BW3351" s="2"/>
      <c r="BX3351" s="2"/>
      <c r="BY3351" s="2">
        <v>17920</v>
      </c>
      <c r="BZ3351" s="2"/>
      <c r="CA3351" s="2"/>
      <c r="CB3351" s="2"/>
      <c r="CC3351" s="2" t="s">
        <v>610</v>
      </c>
      <c r="CD3351" s="2">
        <v>1911</v>
      </c>
      <c r="CE3351" s="2" t="s">
        <v>172</v>
      </c>
      <c r="CF3351" s="5">
        <v>42846</v>
      </c>
      <c r="CG3351" s="2"/>
      <c r="CH3351" s="2"/>
      <c r="CI3351" s="2">
        <v>0</v>
      </c>
      <c r="CJ3351" s="2">
        <v>0</v>
      </c>
      <c r="CK3351" s="2" t="s">
        <v>150</v>
      </c>
      <c r="CL3351" s="2" t="s">
        <v>86</v>
      </c>
      <c r="CM3351" s="2"/>
    </row>
    <row r="3352" spans="1:91">
      <c r="A3352" s="2" t="s">
        <v>71</v>
      </c>
      <c r="B3352" s="2" t="s">
        <v>72</v>
      </c>
      <c r="C3352" s="2" t="s">
        <v>73</v>
      </c>
      <c r="D3352" s="2"/>
      <c r="E3352" s="2" t="str">
        <f>"FES1162544638"</f>
        <v>FES1162544638</v>
      </c>
      <c r="F3352" s="3">
        <v>42845</v>
      </c>
      <c r="G3352" s="2">
        <v>201710</v>
      </c>
      <c r="H3352" s="2" t="s">
        <v>74</v>
      </c>
      <c r="I3352" s="2" t="s">
        <v>75</v>
      </c>
      <c r="J3352" s="2" t="s">
        <v>200</v>
      </c>
      <c r="K3352" s="2" t="s">
        <v>77</v>
      </c>
      <c r="L3352" s="2" t="s">
        <v>1073</v>
      </c>
      <c r="M3352" s="2" t="s">
        <v>1074</v>
      </c>
      <c r="N3352" s="2" t="s">
        <v>2391</v>
      </c>
      <c r="O3352" s="2" t="s">
        <v>81</v>
      </c>
      <c r="P3352" s="2" t="str">
        <f>"2170563193                    "</f>
        <v xml:space="preserve">2170563193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8.0399999999999991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7.9</v>
      </c>
      <c r="BJ3352" s="2">
        <v>3.1</v>
      </c>
      <c r="BK3352" s="2">
        <v>8</v>
      </c>
      <c r="BL3352" s="2">
        <v>83.24</v>
      </c>
      <c r="BM3352" s="2">
        <v>11.65</v>
      </c>
      <c r="BN3352" s="2">
        <v>94.89</v>
      </c>
      <c r="BO3352" s="2">
        <v>94.89</v>
      </c>
      <c r="BP3352" s="2"/>
      <c r="BQ3352" s="2" t="s">
        <v>129</v>
      </c>
      <c r="BR3352" s="2" t="s">
        <v>2287</v>
      </c>
      <c r="BS3352" s="3">
        <v>42846</v>
      </c>
      <c r="BT3352" s="4">
        <v>0.53888888888888886</v>
      </c>
      <c r="BU3352" s="2" t="s">
        <v>198</v>
      </c>
      <c r="BV3352" s="2" t="s">
        <v>111</v>
      </c>
      <c r="BW3352" s="2"/>
      <c r="BX3352" s="2"/>
      <c r="BY3352" s="2">
        <v>15590.25</v>
      </c>
      <c r="BZ3352" s="2"/>
      <c r="CA3352" s="2"/>
      <c r="CB3352" s="2"/>
      <c r="CC3352" s="2" t="s">
        <v>1074</v>
      </c>
      <c r="CD3352" s="2">
        <v>1947</v>
      </c>
      <c r="CE3352" s="2" t="s">
        <v>172</v>
      </c>
      <c r="CF3352" s="5">
        <v>42849</v>
      </c>
      <c r="CG3352" s="2"/>
      <c r="CH3352" s="2"/>
      <c r="CI3352" s="2">
        <v>0</v>
      </c>
      <c r="CJ3352" s="2">
        <v>0</v>
      </c>
      <c r="CK3352" s="2" t="s">
        <v>217</v>
      </c>
      <c r="CL3352" s="2" t="s">
        <v>86</v>
      </c>
      <c r="CM3352" s="2"/>
    </row>
    <row r="3353" spans="1:91">
      <c r="A3353" s="2" t="s">
        <v>71</v>
      </c>
      <c r="B3353" s="2" t="s">
        <v>72</v>
      </c>
      <c r="C3353" s="2" t="s">
        <v>73</v>
      </c>
      <c r="D3353" s="2"/>
      <c r="E3353" s="2" t="str">
        <f>"FES1162544106"</f>
        <v>FES1162544106</v>
      </c>
      <c r="F3353" s="3">
        <v>42844</v>
      </c>
      <c r="G3353" s="2">
        <v>201710</v>
      </c>
      <c r="H3353" s="2" t="s">
        <v>74</v>
      </c>
      <c r="I3353" s="2" t="s">
        <v>75</v>
      </c>
      <c r="J3353" s="2" t="s">
        <v>200</v>
      </c>
      <c r="K3353" s="2" t="s">
        <v>77</v>
      </c>
      <c r="L3353" s="2" t="s">
        <v>145</v>
      </c>
      <c r="M3353" s="2" t="s">
        <v>146</v>
      </c>
      <c r="N3353" s="2" t="s">
        <v>722</v>
      </c>
      <c r="O3353" s="2" t="s">
        <v>81</v>
      </c>
      <c r="P3353" s="2" t="str">
        <f>"2170562727                    "</f>
        <v xml:space="preserve">2170562727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7.37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3</v>
      </c>
      <c r="BJ3353" s="2">
        <v>5.6</v>
      </c>
      <c r="BK3353" s="2">
        <v>6</v>
      </c>
      <c r="BL3353" s="2">
        <v>76.72</v>
      </c>
      <c r="BM3353" s="2">
        <v>10.74</v>
      </c>
      <c r="BN3353" s="2">
        <v>87.46</v>
      </c>
      <c r="BO3353" s="2">
        <v>87.46</v>
      </c>
      <c r="BP3353" s="2"/>
      <c r="BQ3353" s="2" t="s">
        <v>723</v>
      </c>
      <c r="BR3353" s="2" t="s">
        <v>2287</v>
      </c>
      <c r="BS3353" s="3">
        <v>42845</v>
      </c>
      <c r="BT3353" s="4">
        <v>0.38541666666666669</v>
      </c>
      <c r="BU3353" s="2" t="s">
        <v>3376</v>
      </c>
      <c r="BV3353" s="2"/>
      <c r="BW3353" s="2"/>
      <c r="BX3353" s="2"/>
      <c r="BY3353" s="2">
        <v>28000</v>
      </c>
      <c r="BZ3353" s="2"/>
      <c r="CA3353" s="2"/>
      <c r="CB3353" s="2"/>
      <c r="CC3353" s="2" t="s">
        <v>146</v>
      </c>
      <c r="CD3353" s="2">
        <v>200</v>
      </c>
      <c r="CE3353" s="2" t="s">
        <v>89</v>
      </c>
      <c r="CF3353" s="5">
        <v>42851</v>
      </c>
      <c r="CG3353" s="2"/>
      <c r="CH3353" s="2"/>
      <c r="CI3353" s="2">
        <v>0</v>
      </c>
      <c r="CJ3353" s="2">
        <v>0</v>
      </c>
      <c r="CK3353" s="2" t="s">
        <v>150</v>
      </c>
      <c r="CL3353" s="2" t="s">
        <v>86</v>
      </c>
      <c r="CM3353" s="2"/>
    </row>
    <row r="3354" spans="1:91">
      <c r="A3354" s="2" t="s">
        <v>71</v>
      </c>
      <c r="B3354" s="2" t="s">
        <v>72</v>
      </c>
      <c r="C3354" s="2" t="s">
        <v>73</v>
      </c>
      <c r="D3354" s="2"/>
      <c r="E3354" s="2" t="str">
        <f>"FES1162545628"</f>
        <v>FES1162545628</v>
      </c>
      <c r="F3354" s="3">
        <v>42851</v>
      </c>
      <c r="G3354" s="2">
        <v>201710</v>
      </c>
      <c r="H3354" s="2" t="s">
        <v>74</v>
      </c>
      <c r="I3354" s="2" t="s">
        <v>75</v>
      </c>
      <c r="J3354" s="2" t="s">
        <v>76</v>
      </c>
      <c r="K3354" s="2" t="s">
        <v>77</v>
      </c>
      <c r="L3354" s="2" t="s">
        <v>294</v>
      </c>
      <c r="M3354" s="2" t="s">
        <v>295</v>
      </c>
      <c r="N3354" s="2" t="s">
        <v>3377</v>
      </c>
      <c r="O3354" s="2" t="s">
        <v>115</v>
      </c>
      <c r="P3354" s="2" t="str">
        <f>"2170561299                    "</f>
        <v xml:space="preserve">2170561299  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4.29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1</v>
      </c>
      <c r="BI3354" s="2">
        <v>1</v>
      </c>
      <c r="BJ3354" s="2">
        <v>0.2</v>
      </c>
      <c r="BK3354" s="2">
        <v>1</v>
      </c>
      <c r="BL3354" s="2">
        <v>41.73</v>
      </c>
      <c r="BM3354" s="2">
        <v>5.84</v>
      </c>
      <c r="BN3354" s="2">
        <v>47.57</v>
      </c>
      <c r="BO3354" s="2">
        <v>47.57</v>
      </c>
      <c r="BP3354" s="2"/>
      <c r="BQ3354" s="2" t="s">
        <v>3378</v>
      </c>
      <c r="BR3354" s="2" t="s">
        <v>84</v>
      </c>
      <c r="BS3354" s="3">
        <v>42853</v>
      </c>
      <c r="BT3354" s="4">
        <v>0.43402777777777773</v>
      </c>
      <c r="BU3354" s="2" t="s">
        <v>3379</v>
      </c>
      <c r="BV3354" s="2" t="s">
        <v>86</v>
      </c>
      <c r="BW3354" s="2" t="s">
        <v>164</v>
      </c>
      <c r="BX3354" s="2" t="s">
        <v>2343</v>
      </c>
      <c r="BY3354" s="2">
        <v>1200</v>
      </c>
      <c r="BZ3354" s="2"/>
      <c r="CA3354" s="2"/>
      <c r="CB3354" s="2"/>
      <c r="CC3354" s="2" t="s">
        <v>295</v>
      </c>
      <c r="CD3354" s="2">
        <v>3610</v>
      </c>
      <c r="CE3354" s="2" t="s">
        <v>118</v>
      </c>
      <c r="CF3354" s="2"/>
      <c r="CG3354" s="2"/>
      <c r="CH3354" s="2"/>
      <c r="CI3354" s="2">
        <v>1</v>
      </c>
      <c r="CJ3354" s="2">
        <v>2</v>
      </c>
      <c r="CK3354" s="2">
        <v>21</v>
      </c>
      <c r="CL3354" s="2" t="s">
        <v>86</v>
      </c>
      <c r="CM3354" s="2"/>
    </row>
    <row r="3355" spans="1:91">
      <c r="A3355" s="2" t="s">
        <v>71</v>
      </c>
      <c r="B3355" s="2" t="s">
        <v>72</v>
      </c>
      <c r="C3355" s="2" t="s">
        <v>73</v>
      </c>
      <c r="D3355" s="2"/>
      <c r="E3355" s="2" t="str">
        <f>"FES1162545640"</f>
        <v>FES1162545640</v>
      </c>
      <c r="F3355" s="3">
        <v>42851</v>
      </c>
      <c r="G3355" s="2">
        <v>201710</v>
      </c>
      <c r="H3355" s="2" t="s">
        <v>74</v>
      </c>
      <c r="I3355" s="2" t="s">
        <v>75</v>
      </c>
      <c r="J3355" s="2" t="s">
        <v>76</v>
      </c>
      <c r="K3355" s="2" t="s">
        <v>77</v>
      </c>
      <c r="L3355" s="2" t="s">
        <v>74</v>
      </c>
      <c r="M3355" s="2" t="s">
        <v>75</v>
      </c>
      <c r="N3355" s="2" t="s">
        <v>3367</v>
      </c>
      <c r="O3355" s="2" t="s">
        <v>115</v>
      </c>
      <c r="P3355" s="2" t="str">
        <f>"2170561949                    "</f>
        <v xml:space="preserve">2170561949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3.35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5.8</v>
      </c>
      <c r="BJ3355" s="2">
        <v>2.1</v>
      </c>
      <c r="BK3355" s="2">
        <v>6</v>
      </c>
      <c r="BL3355" s="2">
        <v>32.6</v>
      </c>
      <c r="BM3355" s="2">
        <v>4.5599999999999996</v>
      </c>
      <c r="BN3355" s="2">
        <v>37.159999999999997</v>
      </c>
      <c r="BO3355" s="2">
        <v>37.159999999999997</v>
      </c>
      <c r="BP3355" s="2"/>
      <c r="BQ3355" s="2"/>
      <c r="BR3355" s="2" t="s">
        <v>84</v>
      </c>
      <c r="BS3355" s="3">
        <v>42853</v>
      </c>
      <c r="BT3355" s="4">
        <v>0.31944444444444448</v>
      </c>
      <c r="BU3355" s="2" t="s">
        <v>3380</v>
      </c>
      <c r="BV3355" s="2" t="s">
        <v>86</v>
      </c>
      <c r="BW3355" s="2" t="s">
        <v>96</v>
      </c>
      <c r="BX3355" s="2" t="s">
        <v>2830</v>
      </c>
      <c r="BY3355" s="2">
        <v>10687.2</v>
      </c>
      <c r="BZ3355" s="2"/>
      <c r="CA3355" s="2"/>
      <c r="CB3355" s="2"/>
      <c r="CC3355" s="2" t="s">
        <v>75</v>
      </c>
      <c r="CD3355" s="2">
        <v>1601</v>
      </c>
      <c r="CE3355" s="2" t="s">
        <v>89</v>
      </c>
      <c r="CF3355" s="2"/>
      <c r="CG3355" s="2"/>
      <c r="CH3355" s="2"/>
      <c r="CI3355" s="2">
        <v>1</v>
      </c>
      <c r="CJ3355" s="2">
        <v>2</v>
      </c>
      <c r="CK3355" s="2">
        <v>22</v>
      </c>
      <c r="CL3355" s="2" t="s">
        <v>86</v>
      </c>
      <c r="CM3355" s="2"/>
    </row>
    <row r="3356" spans="1:91">
      <c r="A3356" s="2" t="s">
        <v>71</v>
      </c>
      <c r="B3356" s="2" t="s">
        <v>72</v>
      </c>
      <c r="C3356" s="2" t="s">
        <v>73</v>
      </c>
      <c r="D3356" s="2"/>
      <c r="E3356" s="2" t="str">
        <f>"FES1162545654"</f>
        <v>FES1162545654</v>
      </c>
      <c r="F3356" s="3">
        <v>42851</v>
      </c>
      <c r="G3356" s="2">
        <v>201710</v>
      </c>
      <c r="H3356" s="2" t="s">
        <v>74</v>
      </c>
      <c r="I3356" s="2" t="s">
        <v>75</v>
      </c>
      <c r="J3356" s="2" t="s">
        <v>76</v>
      </c>
      <c r="K3356" s="2" t="s">
        <v>77</v>
      </c>
      <c r="L3356" s="2" t="s">
        <v>131</v>
      </c>
      <c r="M3356" s="2" t="s">
        <v>132</v>
      </c>
      <c r="N3356" s="2" t="s">
        <v>1180</v>
      </c>
      <c r="O3356" s="2" t="s">
        <v>115</v>
      </c>
      <c r="P3356" s="2" t="str">
        <f>"2170563751                    "</f>
        <v xml:space="preserve">2170563751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4.29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1</v>
      </c>
      <c r="BI3356" s="2">
        <v>1.8</v>
      </c>
      <c r="BJ3356" s="2">
        <v>0.8</v>
      </c>
      <c r="BK3356" s="2">
        <v>2</v>
      </c>
      <c r="BL3356" s="2">
        <v>41.73</v>
      </c>
      <c r="BM3356" s="2">
        <v>5.84</v>
      </c>
      <c r="BN3356" s="2">
        <v>47.57</v>
      </c>
      <c r="BO3356" s="2">
        <v>47.57</v>
      </c>
      <c r="BP3356" s="2"/>
      <c r="BQ3356" s="2" t="s">
        <v>129</v>
      </c>
      <c r="BR3356" s="2" t="s">
        <v>84</v>
      </c>
      <c r="BS3356" s="3">
        <v>42853</v>
      </c>
      <c r="BT3356" s="4">
        <v>0.39583333333333331</v>
      </c>
      <c r="BU3356" s="2" t="s">
        <v>3381</v>
      </c>
      <c r="BV3356" s="2" t="s">
        <v>86</v>
      </c>
      <c r="BW3356" s="2" t="s">
        <v>157</v>
      </c>
      <c r="BX3356" s="2" t="s">
        <v>1537</v>
      </c>
      <c r="BY3356" s="2">
        <v>4066.43</v>
      </c>
      <c r="BZ3356" s="2"/>
      <c r="CA3356" s="2" t="s">
        <v>2870</v>
      </c>
      <c r="CB3356" s="2"/>
      <c r="CC3356" s="2" t="s">
        <v>132</v>
      </c>
      <c r="CD3356" s="2">
        <v>7460</v>
      </c>
      <c r="CE3356" s="2" t="s">
        <v>89</v>
      </c>
      <c r="CF3356" s="5">
        <v>42853</v>
      </c>
      <c r="CG3356" s="2"/>
      <c r="CH3356" s="2"/>
      <c r="CI3356" s="2">
        <v>1</v>
      </c>
      <c r="CJ3356" s="2">
        <v>2</v>
      </c>
      <c r="CK3356" s="2">
        <v>21</v>
      </c>
      <c r="CL3356" s="2" t="s">
        <v>86</v>
      </c>
      <c r="CM3356" s="2"/>
    </row>
    <row r="3357" spans="1:91">
      <c r="A3357" s="2" t="s">
        <v>71</v>
      </c>
      <c r="B3357" s="2" t="s">
        <v>72</v>
      </c>
      <c r="C3357" s="2" t="s">
        <v>73</v>
      </c>
      <c r="D3357" s="2"/>
      <c r="E3357" s="2" t="str">
        <f>"FES1162545767"</f>
        <v>FES1162545767</v>
      </c>
      <c r="F3357" s="3">
        <v>42851</v>
      </c>
      <c r="G3357" s="2">
        <v>201710</v>
      </c>
      <c r="H3357" s="2" t="s">
        <v>74</v>
      </c>
      <c r="I3357" s="2" t="s">
        <v>75</v>
      </c>
      <c r="J3357" s="2" t="s">
        <v>76</v>
      </c>
      <c r="K3357" s="2" t="s">
        <v>77</v>
      </c>
      <c r="L3357" s="2" t="s">
        <v>74</v>
      </c>
      <c r="M3357" s="2" t="s">
        <v>75</v>
      </c>
      <c r="N3357" s="2" t="s">
        <v>2879</v>
      </c>
      <c r="O3357" s="2" t="s">
        <v>115</v>
      </c>
      <c r="P3357" s="2" t="str">
        <f>"2170561929                    "</f>
        <v xml:space="preserve">2170561929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5.36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1</v>
      </c>
      <c r="BI3357" s="2">
        <v>13</v>
      </c>
      <c r="BJ3357" s="2">
        <v>4</v>
      </c>
      <c r="BK3357" s="2">
        <v>13</v>
      </c>
      <c r="BL3357" s="2">
        <v>52.16</v>
      </c>
      <c r="BM3357" s="2">
        <v>7.3</v>
      </c>
      <c r="BN3357" s="2">
        <v>59.46</v>
      </c>
      <c r="BO3357" s="2">
        <v>59.46</v>
      </c>
      <c r="BP3357" s="2"/>
      <c r="BQ3357" s="2" t="s">
        <v>2880</v>
      </c>
      <c r="BR3357" s="2" t="s">
        <v>84</v>
      </c>
      <c r="BS3357" s="3">
        <v>42853</v>
      </c>
      <c r="BT3357" s="4">
        <v>0.41666666666666669</v>
      </c>
      <c r="BU3357" s="2" t="s">
        <v>3293</v>
      </c>
      <c r="BV3357" s="2" t="s">
        <v>86</v>
      </c>
      <c r="BW3357" s="2" t="s">
        <v>164</v>
      </c>
      <c r="BX3357" s="2" t="s">
        <v>309</v>
      </c>
      <c r="BY3357" s="2">
        <v>19803.21</v>
      </c>
      <c r="BZ3357" s="2"/>
      <c r="CA3357" s="2"/>
      <c r="CB3357" s="2"/>
      <c r="CC3357" s="2" t="s">
        <v>75</v>
      </c>
      <c r="CD3357" s="2">
        <v>1666</v>
      </c>
      <c r="CE3357" s="2" t="s">
        <v>89</v>
      </c>
      <c r="CF3357" s="2"/>
      <c r="CG3357" s="2"/>
      <c r="CH3357" s="2"/>
      <c r="CI3357" s="2">
        <v>1</v>
      </c>
      <c r="CJ3357" s="2">
        <v>2</v>
      </c>
      <c r="CK3357" s="2">
        <v>22</v>
      </c>
      <c r="CL3357" s="2" t="s">
        <v>86</v>
      </c>
      <c r="CM3357" s="2"/>
    </row>
    <row r="3358" spans="1:91">
      <c r="A3358" s="2" t="s">
        <v>71</v>
      </c>
      <c r="B3358" s="2" t="s">
        <v>72</v>
      </c>
      <c r="C3358" s="2" t="s">
        <v>73</v>
      </c>
      <c r="D3358" s="2"/>
      <c r="E3358" s="2" t="str">
        <f>"FES1162545763"</f>
        <v>FES1162545763</v>
      </c>
      <c r="F3358" s="3">
        <v>42851</v>
      </c>
      <c r="G3358" s="2">
        <v>201710</v>
      </c>
      <c r="H3358" s="2" t="s">
        <v>74</v>
      </c>
      <c r="I3358" s="2" t="s">
        <v>75</v>
      </c>
      <c r="J3358" s="2" t="s">
        <v>76</v>
      </c>
      <c r="K3358" s="2" t="s">
        <v>77</v>
      </c>
      <c r="L3358" s="2" t="s">
        <v>187</v>
      </c>
      <c r="M3358" s="2" t="s">
        <v>146</v>
      </c>
      <c r="N3358" s="2" t="s">
        <v>326</v>
      </c>
      <c r="O3358" s="2" t="s">
        <v>115</v>
      </c>
      <c r="P3358" s="2" t="str">
        <f>"2170561881                    "</f>
        <v xml:space="preserve">2170561881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7.5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1.9</v>
      </c>
      <c r="BJ3358" s="2">
        <v>3.4</v>
      </c>
      <c r="BK3358" s="2">
        <v>3.5</v>
      </c>
      <c r="BL3358" s="2">
        <v>73.02</v>
      </c>
      <c r="BM3358" s="2">
        <v>10.220000000000001</v>
      </c>
      <c r="BN3358" s="2">
        <v>83.24</v>
      </c>
      <c r="BO3358" s="2">
        <v>83.24</v>
      </c>
      <c r="BP3358" s="2"/>
      <c r="BQ3358" s="2" t="s">
        <v>3116</v>
      </c>
      <c r="BR3358" s="2" t="s">
        <v>84</v>
      </c>
      <c r="BS3358" s="3">
        <v>42853</v>
      </c>
      <c r="BT3358" s="4">
        <v>0.35416666666666669</v>
      </c>
      <c r="BU3358" s="2" t="s">
        <v>3351</v>
      </c>
      <c r="BV3358" s="2" t="s">
        <v>86</v>
      </c>
      <c r="BW3358" s="2"/>
      <c r="BX3358" s="2"/>
      <c r="BY3358" s="2">
        <v>16935.11</v>
      </c>
      <c r="BZ3358" s="2"/>
      <c r="CA3358" s="2"/>
      <c r="CB3358" s="2"/>
      <c r="CC3358" s="2" t="s">
        <v>146</v>
      </c>
      <c r="CD3358" s="2">
        <v>200</v>
      </c>
      <c r="CE3358" s="2" t="s">
        <v>89</v>
      </c>
      <c r="CF3358" s="2"/>
      <c r="CG3358" s="2"/>
      <c r="CH3358" s="2"/>
      <c r="CI3358" s="2">
        <v>1</v>
      </c>
      <c r="CJ3358" s="2">
        <v>2</v>
      </c>
      <c r="CK3358" s="2">
        <v>21</v>
      </c>
      <c r="CL3358" s="2" t="s">
        <v>86</v>
      </c>
      <c r="CM3358" s="2"/>
    </row>
    <row r="3359" spans="1:91">
      <c r="A3359" s="2" t="s">
        <v>71</v>
      </c>
      <c r="B3359" s="2" t="s">
        <v>72</v>
      </c>
      <c r="C3359" s="2" t="s">
        <v>73</v>
      </c>
      <c r="D3359" s="2"/>
      <c r="E3359" s="2" t="str">
        <f>"FES1162544277"</f>
        <v>FES1162544277</v>
      </c>
      <c r="F3359" s="3">
        <v>42844</v>
      </c>
      <c r="G3359" s="2">
        <v>201710</v>
      </c>
      <c r="H3359" s="2" t="s">
        <v>74</v>
      </c>
      <c r="I3359" s="2" t="s">
        <v>75</v>
      </c>
      <c r="J3359" s="2" t="s">
        <v>200</v>
      </c>
      <c r="K3359" s="2" t="s">
        <v>77</v>
      </c>
      <c r="L3359" s="2" t="s">
        <v>934</v>
      </c>
      <c r="M3359" s="2" t="s">
        <v>935</v>
      </c>
      <c r="N3359" s="2" t="s">
        <v>2270</v>
      </c>
      <c r="O3359" s="2" t="s">
        <v>1014</v>
      </c>
      <c r="P3359" s="2" t="str">
        <f>"2170562743                    "</f>
        <v xml:space="preserve">2170562743 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6.03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4</v>
      </c>
      <c r="BJ3359" s="2">
        <v>2</v>
      </c>
      <c r="BK3359" s="2">
        <v>4</v>
      </c>
      <c r="BL3359" s="2">
        <v>58.68</v>
      </c>
      <c r="BM3359" s="2">
        <v>8.2200000000000006</v>
      </c>
      <c r="BN3359" s="2">
        <v>66.900000000000006</v>
      </c>
      <c r="BO3359" s="2">
        <v>66.900000000000006</v>
      </c>
      <c r="BP3359" s="2"/>
      <c r="BQ3359" s="2" t="s">
        <v>83</v>
      </c>
      <c r="BR3359" s="2" t="s">
        <v>2287</v>
      </c>
      <c r="BS3359" s="3">
        <v>42845</v>
      </c>
      <c r="BT3359" s="4">
        <v>0.41666666666666669</v>
      </c>
      <c r="BU3359" s="2" t="s">
        <v>2602</v>
      </c>
      <c r="BV3359" s="2" t="s">
        <v>111</v>
      </c>
      <c r="BW3359" s="2"/>
      <c r="BX3359" s="2"/>
      <c r="BY3359" s="2">
        <v>9918</v>
      </c>
      <c r="BZ3359" s="2" t="s">
        <v>27</v>
      </c>
      <c r="CA3359" s="2"/>
      <c r="CB3359" s="2"/>
      <c r="CC3359" s="2" t="s">
        <v>935</v>
      </c>
      <c r="CD3359" s="2">
        <v>1961</v>
      </c>
      <c r="CE3359" s="2" t="s">
        <v>89</v>
      </c>
      <c r="CF3359" s="5">
        <v>42846</v>
      </c>
      <c r="CG3359" s="2"/>
      <c r="CH3359" s="2"/>
      <c r="CI3359" s="2">
        <v>1</v>
      </c>
      <c r="CJ3359" s="2">
        <v>1</v>
      </c>
      <c r="CK3359" s="2">
        <v>34</v>
      </c>
      <c r="CL3359" s="2" t="s">
        <v>86</v>
      </c>
      <c r="CM3359" s="2"/>
    </row>
    <row r="3360" spans="1:91">
      <c r="A3360" s="2" t="s">
        <v>71</v>
      </c>
      <c r="B3360" s="2" t="s">
        <v>72</v>
      </c>
      <c r="C3360" s="2" t="s">
        <v>73</v>
      </c>
      <c r="D3360" s="2"/>
      <c r="E3360" s="2" t="str">
        <f>"FES1162545809"</f>
        <v>FES1162545809</v>
      </c>
      <c r="F3360" s="3">
        <v>42851</v>
      </c>
      <c r="G3360" s="2">
        <v>201710</v>
      </c>
      <c r="H3360" s="2" t="s">
        <v>74</v>
      </c>
      <c r="I3360" s="2" t="s">
        <v>75</v>
      </c>
      <c r="J3360" s="2" t="s">
        <v>76</v>
      </c>
      <c r="K3360" s="2" t="s">
        <v>77</v>
      </c>
      <c r="L3360" s="2" t="s">
        <v>99</v>
      </c>
      <c r="M3360" s="2" t="s">
        <v>100</v>
      </c>
      <c r="N3360" s="2" t="s">
        <v>910</v>
      </c>
      <c r="O3360" s="2" t="s">
        <v>115</v>
      </c>
      <c r="P3360" s="2" t="str">
        <f>"2170564254                    "</f>
        <v xml:space="preserve">2170564254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6.43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1</v>
      </c>
      <c r="BI3360" s="2">
        <v>2.8</v>
      </c>
      <c r="BJ3360" s="2">
        <v>1.7</v>
      </c>
      <c r="BK3360" s="2">
        <v>3</v>
      </c>
      <c r="BL3360" s="2">
        <v>62.59</v>
      </c>
      <c r="BM3360" s="2">
        <v>8.76</v>
      </c>
      <c r="BN3360" s="2">
        <v>71.349999999999994</v>
      </c>
      <c r="BO3360" s="2">
        <v>71.349999999999994</v>
      </c>
      <c r="BP3360" s="2"/>
      <c r="BQ3360" s="2" t="s">
        <v>911</v>
      </c>
      <c r="BR3360" s="2" t="s">
        <v>84</v>
      </c>
      <c r="BS3360" s="3">
        <v>42853</v>
      </c>
      <c r="BT3360" s="4">
        <v>0.32291666666666669</v>
      </c>
      <c r="BU3360" s="2" t="s">
        <v>912</v>
      </c>
      <c r="BV3360" s="2" t="s">
        <v>86</v>
      </c>
      <c r="BW3360" s="2"/>
      <c r="BX3360" s="2"/>
      <c r="BY3360" s="2">
        <v>8550.39</v>
      </c>
      <c r="BZ3360" s="2"/>
      <c r="CA3360" s="2" t="s">
        <v>913</v>
      </c>
      <c r="CB3360" s="2"/>
      <c r="CC3360" s="2" t="s">
        <v>100</v>
      </c>
      <c r="CD3360" s="2">
        <v>6065</v>
      </c>
      <c r="CE3360" s="2" t="s">
        <v>89</v>
      </c>
      <c r="CF3360" s="5">
        <v>42853</v>
      </c>
      <c r="CG3360" s="2"/>
      <c r="CH3360" s="2"/>
      <c r="CI3360" s="2">
        <v>1</v>
      </c>
      <c r="CJ3360" s="2">
        <v>2</v>
      </c>
      <c r="CK3360" s="2">
        <v>21</v>
      </c>
      <c r="CL3360" s="2" t="s">
        <v>86</v>
      </c>
      <c r="CM3360" s="2"/>
    </row>
    <row r="3361" spans="1:91">
      <c r="A3361" s="2" t="s">
        <v>71</v>
      </c>
      <c r="B3361" s="2" t="s">
        <v>72</v>
      </c>
      <c r="C3361" s="2" t="s">
        <v>73</v>
      </c>
      <c r="D3361" s="2"/>
      <c r="E3361" s="2" t="str">
        <f>"FES1162544012"</f>
        <v>FES1162544012</v>
      </c>
      <c r="F3361" s="3">
        <v>42843</v>
      </c>
      <c r="G3361" s="2">
        <v>201710</v>
      </c>
      <c r="H3361" s="2" t="s">
        <v>74</v>
      </c>
      <c r="I3361" s="2" t="s">
        <v>75</v>
      </c>
      <c r="J3361" s="2" t="s">
        <v>200</v>
      </c>
      <c r="K3361" s="2" t="s">
        <v>77</v>
      </c>
      <c r="L3361" s="2" t="s">
        <v>934</v>
      </c>
      <c r="M3361" s="2" t="s">
        <v>935</v>
      </c>
      <c r="N3361" s="2" t="s">
        <v>2466</v>
      </c>
      <c r="O3361" s="2" t="s">
        <v>1014</v>
      </c>
      <c r="P3361" s="2" t="str">
        <f>"2170562613                    "</f>
        <v xml:space="preserve">2170562613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6.03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4.8</v>
      </c>
      <c r="BJ3361" s="2">
        <v>1.8</v>
      </c>
      <c r="BK3361" s="2">
        <v>5</v>
      </c>
      <c r="BL3361" s="2">
        <v>58.68</v>
      </c>
      <c r="BM3361" s="2">
        <v>8.2200000000000006</v>
      </c>
      <c r="BN3361" s="2">
        <v>66.900000000000006</v>
      </c>
      <c r="BO3361" s="2">
        <v>66.900000000000006</v>
      </c>
      <c r="BP3361" s="2"/>
      <c r="BQ3361" s="2" t="s">
        <v>2467</v>
      </c>
      <c r="BR3361" s="2" t="s">
        <v>2287</v>
      </c>
      <c r="BS3361" s="3">
        <v>42844</v>
      </c>
      <c r="BT3361" s="4">
        <v>0.41666666666666669</v>
      </c>
      <c r="BU3361" s="2" t="s">
        <v>2468</v>
      </c>
      <c r="BV3361" s="2" t="s">
        <v>111</v>
      </c>
      <c r="BW3361" s="2"/>
      <c r="BX3361" s="2"/>
      <c r="BY3361" s="2">
        <v>9058.75</v>
      </c>
      <c r="BZ3361" s="2" t="s">
        <v>27</v>
      </c>
      <c r="CA3361" s="2"/>
      <c r="CB3361" s="2"/>
      <c r="CC3361" s="2" t="s">
        <v>935</v>
      </c>
      <c r="CD3361" s="2">
        <v>1934</v>
      </c>
      <c r="CE3361" s="2" t="s">
        <v>89</v>
      </c>
      <c r="CF3361" s="5">
        <v>42846</v>
      </c>
      <c r="CG3361" s="2"/>
      <c r="CH3361" s="2"/>
      <c r="CI3361" s="2">
        <v>1</v>
      </c>
      <c r="CJ3361" s="2">
        <v>1</v>
      </c>
      <c r="CK3361" s="2">
        <v>34</v>
      </c>
      <c r="CL3361" s="2" t="s">
        <v>86</v>
      </c>
      <c r="CM3361" s="2"/>
    </row>
    <row r="3362" spans="1:91">
      <c r="A3362" s="2" t="s">
        <v>71</v>
      </c>
      <c r="B3362" s="2" t="s">
        <v>72</v>
      </c>
      <c r="C3362" s="2" t="s">
        <v>73</v>
      </c>
      <c r="D3362" s="2"/>
      <c r="E3362" s="2" t="str">
        <f>"FES1162545674"</f>
        <v>FES1162545674</v>
      </c>
      <c r="F3362" s="3">
        <v>42851</v>
      </c>
      <c r="G3362" s="2">
        <v>201710</v>
      </c>
      <c r="H3362" s="2" t="s">
        <v>74</v>
      </c>
      <c r="I3362" s="2" t="s">
        <v>75</v>
      </c>
      <c r="J3362" s="2" t="s">
        <v>76</v>
      </c>
      <c r="K3362" s="2" t="s">
        <v>77</v>
      </c>
      <c r="L3362" s="2" t="s">
        <v>358</v>
      </c>
      <c r="M3362" s="2" t="s">
        <v>359</v>
      </c>
      <c r="N3362" s="2" t="s">
        <v>776</v>
      </c>
      <c r="O3362" s="2" t="s">
        <v>115</v>
      </c>
      <c r="P3362" s="2" t="str">
        <f>"2170564127                    "</f>
        <v xml:space="preserve">2170564127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4.29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1.2</v>
      </c>
      <c r="BJ3362" s="2">
        <v>0.7</v>
      </c>
      <c r="BK3362" s="2">
        <v>1.5</v>
      </c>
      <c r="BL3362" s="2">
        <v>41.73</v>
      </c>
      <c r="BM3362" s="2">
        <v>5.84</v>
      </c>
      <c r="BN3362" s="2">
        <v>47.57</v>
      </c>
      <c r="BO3362" s="2">
        <v>47.57</v>
      </c>
      <c r="BP3362" s="2"/>
      <c r="BQ3362" s="2" t="s">
        <v>999</v>
      </c>
      <c r="BR3362" s="2" t="s">
        <v>84</v>
      </c>
      <c r="BS3362" s="3">
        <v>42853</v>
      </c>
      <c r="BT3362" s="4">
        <v>0.38541666666666669</v>
      </c>
      <c r="BU3362" s="2" t="s">
        <v>1886</v>
      </c>
      <c r="BV3362" s="2" t="s">
        <v>86</v>
      </c>
      <c r="BW3362" s="2" t="s">
        <v>104</v>
      </c>
      <c r="BX3362" s="2" t="s">
        <v>105</v>
      </c>
      <c r="BY3362" s="2">
        <v>3511.46</v>
      </c>
      <c r="BZ3362" s="2"/>
      <c r="CA3362" s="2"/>
      <c r="CB3362" s="2"/>
      <c r="CC3362" s="2" t="s">
        <v>359</v>
      </c>
      <c r="CD3362" s="2">
        <v>6229</v>
      </c>
      <c r="CE3362" s="2" t="s">
        <v>89</v>
      </c>
      <c r="CF3362" s="2"/>
      <c r="CG3362" s="2"/>
      <c r="CH3362" s="2"/>
      <c r="CI3362" s="2">
        <v>1</v>
      </c>
      <c r="CJ3362" s="2">
        <v>2</v>
      </c>
      <c r="CK3362" s="2">
        <v>21</v>
      </c>
      <c r="CL3362" s="2" t="s">
        <v>86</v>
      </c>
      <c r="CM3362" s="2"/>
    </row>
    <row r="3363" spans="1:91">
      <c r="A3363" s="2" t="s">
        <v>71</v>
      </c>
      <c r="B3363" s="2" t="s">
        <v>72</v>
      </c>
      <c r="C3363" s="2" t="s">
        <v>73</v>
      </c>
      <c r="D3363" s="2"/>
      <c r="E3363" s="2" t="str">
        <f>"080001616959"</f>
        <v>080001616959</v>
      </c>
      <c r="F3363" s="3">
        <v>42851</v>
      </c>
      <c r="G3363" s="2">
        <v>201710</v>
      </c>
      <c r="H3363" s="2" t="s">
        <v>294</v>
      </c>
      <c r="I3363" s="2" t="s">
        <v>295</v>
      </c>
      <c r="J3363" s="2" t="s">
        <v>2706</v>
      </c>
      <c r="K3363" s="2" t="s">
        <v>77</v>
      </c>
      <c r="L3363" s="2" t="s">
        <v>74</v>
      </c>
      <c r="M3363" s="2" t="s">
        <v>75</v>
      </c>
      <c r="N3363" s="2" t="s">
        <v>2616</v>
      </c>
      <c r="O3363" s="2" t="s">
        <v>115</v>
      </c>
      <c r="P3363" s="2" t="str">
        <f>"ZA100067850                   "</f>
        <v xml:space="preserve">ZA100067850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4.29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1.6</v>
      </c>
      <c r="BJ3363" s="2">
        <v>0.7</v>
      </c>
      <c r="BK3363" s="2">
        <v>2</v>
      </c>
      <c r="BL3363" s="2">
        <v>41.73</v>
      </c>
      <c r="BM3363" s="2">
        <v>5.84</v>
      </c>
      <c r="BN3363" s="2">
        <v>47.57</v>
      </c>
      <c r="BO3363" s="2">
        <v>47.57</v>
      </c>
      <c r="BP3363" s="2" t="s">
        <v>2617</v>
      </c>
      <c r="BQ3363" s="2" t="s">
        <v>2618</v>
      </c>
      <c r="BR3363" s="2" t="s">
        <v>1277</v>
      </c>
      <c r="BS3363" s="3">
        <v>42853</v>
      </c>
      <c r="BT3363" s="4">
        <v>0.35069444444444442</v>
      </c>
      <c r="BU3363" s="2" t="s">
        <v>2152</v>
      </c>
      <c r="BV3363" s="2" t="s">
        <v>86</v>
      </c>
      <c r="BW3363" s="2" t="s">
        <v>96</v>
      </c>
      <c r="BX3363" s="2" t="s">
        <v>2830</v>
      </c>
      <c r="BY3363" s="2">
        <v>3528</v>
      </c>
      <c r="BZ3363" s="2" t="s">
        <v>27</v>
      </c>
      <c r="CA3363" s="2"/>
      <c r="CB3363" s="2"/>
      <c r="CC3363" s="2" t="s">
        <v>75</v>
      </c>
      <c r="CD3363" s="2">
        <v>1601</v>
      </c>
      <c r="CE3363" s="2" t="s">
        <v>3382</v>
      </c>
      <c r="CF3363" s="2"/>
      <c r="CG3363" s="2"/>
      <c r="CH3363" s="2"/>
      <c r="CI3363" s="2">
        <v>1</v>
      </c>
      <c r="CJ3363" s="2">
        <v>2</v>
      </c>
      <c r="CK3363" s="2">
        <v>21</v>
      </c>
      <c r="CL3363" s="2" t="s">
        <v>86</v>
      </c>
      <c r="CM3363" s="2"/>
    </row>
    <row r="3364" spans="1:91">
      <c r="A3364" s="2" t="s">
        <v>71</v>
      </c>
      <c r="B3364" s="2" t="s">
        <v>72</v>
      </c>
      <c r="C3364" s="2" t="s">
        <v>73</v>
      </c>
      <c r="D3364" s="2"/>
      <c r="E3364" s="2" t="str">
        <f>"FES1162545663"</f>
        <v>FES1162545663</v>
      </c>
      <c r="F3364" s="3">
        <v>42851</v>
      </c>
      <c r="G3364" s="2">
        <v>201710</v>
      </c>
      <c r="H3364" s="2" t="s">
        <v>74</v>
      </c>
      <c r="I3364" s="2" t="s">
        <v>75</v>
      </c>
      <c r="J3364" s="2" t="s">
        <v>76</v>
      </c>
      <c r="K3364" s="2" t="s">
        <v>77</v>
      </c>
      <c r="L3364" s="2" t="s">
        <v>91</v>
      </c>
      <c r="M3364" s="2" t="s">
        <v>92</v>
      </c>
      <c r="N3364" s="2" t="s">
        <v>356</v>
      </c>
      <c r="O3364" s="2" t="s">
        <v>115</v>
      </c>
      <c r="P3364" s="2" t="str">
        <f>"2170564060                    "</f>
        <v xml:space="preserve">2170564060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3.35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0.5</v>
      </c>
      <c r="BJ3364" s="2">
        <v>1</v>
      </c>
      <c r="BK3364" s="2">
        <v>1</v>
      </c>
      <c r="BL3364" s="2">
        <v>32.6</v>
      </c>
      <c r="BM3364" s="2">
        <v>4.5599999999999996</v>
      </c>
      <c r="BN3364" s="2">
        <v>37.159999999999997</v>
      </c>
      <c r="BO3364" s="2">
        <v>37.159999999999997</v>
      </c>
      <c r="BP3364" s="2"/>
      <c r="BQ3364" s="2" t="s">
        <v>122</v>
      </c>
      <c r="BR3364" s="2" t="s">
        <v>84</v>
      </c>
      <c r="BS3364" s="3">
        <v>42853</v>
      </c>
      <c r="BT3364" s="4">
        <v>0.41666666666666669</v>
      </c>
      <c r="BU3364" s="2" t="s">
        <v>2152</v>
      </c>
      <c r="BV3364" s="2" t="s">
        <v>86</v>
      </c>
      <c r="BW3364" s="2" t="s">
        <v>96</v>
      </c>
      <c r="BX3364" s="2" t="s">
        <v>2830</v>
      </c>
      <c r="BY3364" s="2">
        <v>4963.2</v>
      </c>
      <c r="BZ3364" s="2"/>
      <c r="CA3364" s="2"/>
      <c r="CB3364" s="2"/>
      <c r="CC3364" s="2" t="s">
        <v>92</v>
      </c>
      <c r="CD3364" s="2">
        <v>1422</v>
      </c>
      <c r="CE3364" s="2" t="s">
        <v>89</v>
      </c>
      <c r="CF3364" s="2"/>
      <c r="CG3364" s="2"/>
      <c r="CH3364" s="2"/>
      <c r="CI3364" s="2">
        <v>1</v>
      </c>
      <c r="CJ3364" s="2">
        <v>2</v>
      </c>
      <c r="CK3364" s="2">
        <v>22</v>
      </c>
      <c r="CL3364" s="2" t="s">
        <v>86</v>
      </c>
      <c r="CM3364" s="2"/>
    </row>
    <row r="3365" spans="1:91">
      <c r="A3365" s="2" t="s">
        <v>71</v>
      </c>
      <c r="B3365" s="2" t="s">
        <v>72</v>
      </c>
      <c r="C3365" s="2" t="s">
        <v>73</v>
      </c>
      <c r="D3365" s="2"/>
      <c r="E3365" s="2" t="str">
        <f>"080001614064"</f>
        <v>080001614064</v>
      </c>
      <c r="F3365" s="3">
        <v>42849</v>
      </c>
      <c r="G3365" s="2">
        <v>201710</v>
      </c>
      <c r="H3365" s="2" t="s">
        <v>91</v>
      </c>
      <c r="I3365" s="2" t="s">
        <v>92</v>
      </c>
      <c r="J3365" s="2" t="s">
        <v>3383</v>
      </c>
      <c r="K3365" s="2" t="s">
        <v>77</v>
      </c>
      <c r="L3365" s="2" t="s">
        <v>74</v>
      </c>
      <c r="M3365" s="2" t="s">
        <v>75</v>
      </c>
      <c r="N3365" s="2" t="s">
        <v>2616</v>
      </c>
      <c r="O3365" s="2" t="s">
        <v>115</v>
      </c>
      <c r="P3365" s="2" t="str">
        <f>"za1000635895                  "</f>
        <v xml:space="preserve">za1000635895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3.35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1</v>
      </c>
      <c r="BJ3365" s="2">
        <v>0.2</v>
      </c>
      <c r="BK3365" s="2">
        <v>1</v>
      </c>
      <c r="BL3365" s="2">
        <v>32.6</v>
      </c>
      <c r="BM3365" s="2">
        <v>4.5599999999999996</v>
      </c>
      <c r="BN3365" s="2">
        <v>37.159999999999997</v>
      </c>
      <c r="BO3365" s="2">
        <v>37.159999999999997</v>
      </c>
      <c r="BP3365" s="2" t="s">
        <v>2617</v>
      </c>
      <c r="BQ3365" s="2" t="s">
        <v>2618</v>
      </c>
      <c r="BR3365" s="2" t="s">
        <v>3384</v>
      </c>
      <c r="BS3365" s="3">
        <v>42853</v>
      </c>
      <c r="BT3365" s="4">
        <v>0.35069444444444442</v>
      </c>
      <c r="BU3365" s="2" t="s">
        <v>2152</v>
      </c>
      <c r="BV3365" s="2" t="s">
        <v>86</v>
      </c>
      <c r="BW3365" s="2" t="s">
        <v>96</v>
      </c>
      <c r="BX3365" s="2" t="s">
        <v>2830</v>
      </c>
      <c r="BY3365" s="2">
        <v>1200</v>
      </c>
      <c r="BZ3365" s="2"/>
      <c r="CA3365" s="2"/>
      <c r="CB3365" s="2"/>
      <c r="CC3365" s="2" t="s">
        <v>75</v>
      </c>
      <c r="CD3365" s="2">
        <v>1601</v>
      </c>
      <c r="CE3365" s="2" t="s">
        <v>89</v>
      </c>
      <c r="CF3365" s="2"/>
      <c r="CG3365" s="2"/>
      <c r="CH3365" s="2"/>
      <c r="CI3365" s="2">
        <v>1</v>
      </c>
      <c r="CJ3365" s="2">
        <v>2</v>
      </c>
      <c r="CK3365" s="2">
        <v>22</v>
      </c>
      <c r="CL3365" s="2" t="s">
        <v>86</v>
      </c>
      <c r="CM3365" s="2"/>
    </row>
    <row r="3366" spans="1:91">
      <c r="A3366" s="2" t="s">
        <v>71</v>
      </c>
      <c r="B3366" s="2" t="s">
        <v>72</v>
      </c>
      <c r="C3366" s="2" t="s">
        <v>73</v>
      </c>
      <c r="D3366" s="2"/>
      <c r="E3366" s="2" t="str">
        <f>"FES1162545796"</f>
        <v>FES1162545796</v>
      </c>
      <c r="F3366" s="3">
        <v>42851</v>
      </c>
      <c r="G3366" s="2">
        <v>201710</v>
      </c>
      <c r="H3366" s="2" t="s">
        <v>74</v>
      </c>
      <c r="I3366" s="2" t="s">
        <v>75</v>
      </c>
      <c r="J3366" s="2" t="s">
        <v>76</v>
      </c>
      <c r="K3366" s="2" t="s">
        <v>77</v>
      </c>
      <c r="L3366" s="2" t="s">
        <v>74</v>
      </c>
      <c r="M3366" s="2" t="s">
        <v>75</v>
      </c>
      <c r="N3366" s="2" t="s">
        <v>3385</v>
      </c>
      <c r="O3366" s="2" t="s">
        <v>115</v>
      </c>
      <c r="P3366" s="2" t="str">
        <f>"2170563887                    "</f>
        <v xml:space="preserve">2170563887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8.17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2</v>
      </c>
      <c r="BI3366" s="2">
        <v>19.600000000000001</v>
      </c>
      <c r="BJ3366" s="2">
        <v>5.7</v>
      </c>
      <c r="BK3366" s="2">
        <v>20</v>
      </c>
      <c r="BL3366" s="2">
        <v>79.540000000000006</v>
      </c>
      <c r="BM3366" s="2">
        <v>11.14</v>
      </c>
      <c r="BN3366" s="2">
        <v>90.68</v>
      </c>
      <c r="BO3366" s="2">
        <v>90.68</v>
      </c>
      <c r="BP3366" s="2"/>
      <c r="BQ3366" s="2"/>
      <c r="BR3366" s="2" t="s">
        <v>84</v>
      </c>
      <c r="BS3366" s="3">
        <v>42853</v>
      </c>
      <c r="BT3366" s="4">
        <v>0.41666666666666669</v>
      </c>
      <c r="BU3366" s="2" t="s">
        <v>290</v>
      </c>
      <c r="BV3366" s="2" t="s">
        <v>86</v>
      </c>
      <c r="BW3366" s="2" t="s">
        <v>164</v>
      </c>
      <c r="BX3366" s="2" t="s">
        <v>309</v>
      </c>
      <c r="BY3366" s="2">
        <v>28300.23</v>
      </c>
      <c r="BZ3366" s="2"/>
      <c r="CA3366" s="2"/>
      <c r="CB3366" s="2"/>
      <c r="CC3366" s="2" t="s">
        <v>75</v>
      </c>
      <c r="CD3366" s="2">
        <v>1609</v>
      </c>
      <c r="CE3366" s="2" t="s">
        <v>89</v>
      </c>
      <c r="CF3366" s="2"/>
      <c r="CG3366" s="2"/>
      <c r="CH3366" s="2"/>
      <c r="CI3366" s="2">
        <v>1</v>
      </c>
      <c r="CJ3366" s="2">
        <v>2</v>
      </c>
      <c r="CK3366" s="2">
        <v>22</v>
      </c>
      <c r="CL3366" s="2" t="s">
        <v>86</v>
      </c>
      <c r="CM3366" s="2"/>
    </row>
    <row r="3367" spans="1:91">
      <c r="A3367" s="2" t="s">
        <v>71</v>
      </c>
      <c r="B3367" s="2" t="s">
        <v>72</v>
      </c>
      <c r="C3367" s="2" t="s">
        <v>73</v>
      </c>
      <c r="D3367" s="2"/>
      <c r="E3367" s="2" t="str">
        <f>"FES1162545760"</f>
        <v>FES1162545760</v>
      </c>
      <c r="F3367" s="3">
        <v>42851</v>
      </c>
      <c r="G3367" s="2">
        <v>201710</v>
      </c>
      <c r="H3367" s="2" t="s">
        <v>74</v>
      </c>
      <c r="I3367" s="2" t="s">
        <v>75</v>
      </c>
      <c r="J3367" s="2" t="s">
        <v>76</v>
      </c>
      <c r="K3367" s="2" t="s">
        <v>77</v>
      </c>
      <c r="L3367" s="2" t="s">
        <v>99</v>
      </c>
      <c r="M3367" s="2" t="s">
        <v>100</v>
      </c>
      <c r="N3367" s="2" t="s">
        <v>583</v>
      </c>
      <c r="O3367" s="2" t="s">
        <v>115</v>
      </c>
      <c r="P3367" s="2" t="str">
        <f>"2170561821                    "</f>
        <v xml:space="preserve">2170561821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5.36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2.5</v>
      </c>
      <c r="BJ3367" s="2">
        <v>0.8</v>
      </c>
      <c r="BK3367" s="2">
        <v>2.5</v>
      </c>
      <c r="BL3367" s="2">
        <v>52.16</v>
      </c>
      <c r="BM3367" s="2">
        <v>7.3</v>
      </c>
      <c r="BN3367" s="2">
        <v>59.46</v>
      </c>
      <c r="BO3367" s="2">
        <v>59.46</v>
      </c>
      <c r="BP3367" s="2"/>
      <c r="BQ3367" s="2" t="s">
        <v>584</v>
      </c>
      <c r="BR3367" s="2" t="s">
        <v>84</v>
      </c>
      <c r="BS3367" s="3">
        <v>42853</v>
      </c>
      <c r="BT3367" s="4">
        <v>0.3125</v>
      </c>
      <c r="BU3367" s="2" t="s">
        <v>1080</v>
      </c>
      <c r="BV3367" s="2" t="s">
        <v>86</v>
      </c>
      <c r="BW3367" s="2"/>
      <c r="BX3367" s="2"/>
      <c r="BY3367" s="2">
        <v>4239.3100000000004</v>
      </c>
      <c r="BZ3367" s="2"/>
      <c r="CA3367" s="2" t="s">
        <v>154</v>
      </c>
      <c r="CB3367" s="2"/>
      <c r="CC3367" s="2" t="s">
        <v>100</v>
      </c>
      <c r="CD3367" s="2">
        <v>6001</v>
      </c>
      <c r="CE3367" s="2" t="s">
        <v>89</v>
      </c>
      <c r="CF3367" s="5">
        <v>42853</v>
      </c>
      <c r="CG3367" s="2"/>
      <c r="CH3367" s="2"/>
      <c r="CI3367" s="2">
        <v>1</v>
      </c>
      <c r="CJ3367" s="2">
        <v>2</v>
      </c>
      <c r="CK3367" s="2">
        <v>21</v>
      </c>
      <c r="CL3367" s="2" t="s">
        <v>86</v>
      </c>
      <c r="CM3367" s="2"/>
    </row>
    <row r="3368" spans="1:91">
      <c r="A3368" s="2" t="s">
        <v>71</v>
      </c>
      <c r="B3368" s="2" t="s">
        <v>72</v>
      </c>
      <c r="C3368" s="2" t="s">
        <v>73</v>
      </c>
      <c r="D3368" s="2"/>
      <c r="E3368" s="2" t="str">
        <f>"FES1162545779"</f>
        <v>FES1162545779</v>
      </c>
      <c r="F3368" s="3">
        <v>42851</v>
      </c>
      <c r="G3368" s="2">
        <v>201710</v>
      </c>
      <c r="H3368" s="2" t="s">
        <v>74</v>
      </c>
      <c r="I3368" s="2" t="s">
        <v>75</v>
      </c>
      <c r="J3368" s="2" t="s">
        <v>76</v>
      </c>
      <c r="K3368" s="2" t="s">
        <v>77</v>
      </c>
      <c r="L3368" s="2" t="s">
        <v>187</v>
      </c>
      <c r="M3368" s="2" t="s">
        <v>146</v>
      </c>
      <c r="N3368" s="2" t="s">
        <v>573</v>
      </c>
      <c r="O3368" s="2" t="s">
        <v>115</v>
      </c>
      <c r="P3368" s="2" t="str">
        <f>"2170564221                    "</f>
        <v xml:space="preserve">2170564221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4.29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1</v>
      </c>
      <c r="BI3368" s="2">
        <v>1.6</v>
      </c>
      <c r="BJ3368" s="2">
        <v>1</v>
      </c>
      <c r="BK3368" s="2">
        <v>2</v>
      </c>
      <c r="BL3368" s="2">
        <v>41.73</v>
      </c>
      <c r="BM3368" s="2">
        <v>5.84</v>
      </c>
      <c r="BN3368" s="2">
        <v>47.57</v>
      </c>
      <c r="BO3368" s="2">
        <v>47.57</v>
      </c>
      <c r="BP3368" s="2"/>
      <c r="BQ3368" s="2" t="s">
        <v>750</v>
      </c>
      <c r="BR3368" s="2" t="s">
        <v>84</v>
      </c>
      <c r="BS3368" s="3">
        <v>42853</v>
      </c>
      <c r="BT3368" s="4">
        <v>0.40763888888888888</v>
      </c>
      <c r="BU3368" s="2" t="s">
        <v>1655</v>
      </c>
      <c r="BV3368" s="2" t="s">
        <v>86</v>
      </c>
      <c r="BW3368" s="2"/>
      <c r="BX3368" s="2"/>
      <c r="BY3368" s="2">
        <v>4947.22</v>
      </c>
      <c r="BZ3368" s="2"/>
      <c r="CA3368" s="2"/>
      <c r="CB3368" s="2"/>
      <c r="CC3368" s="2" t="s">
        <v>146</v>
      </c>
      <c r="CD3368" s="2">
        <v>82</v>
      </c>
      <c r="CE3368" s="2" t="s">
        <v>89</v>
      </c>
      <c r="CF3368" s="2"/>
      <c r="CG3368" s="2"/>
      <c r="CH3368" s="2"/>
      <c r="CI3368" s="2">
        <v>1</v>
      </c>
      <c r="CJ3368" s="2">
        <v>2</v>
      </c>
      <c r="CK3368" s="2">
        <v>21</v>
      </c>
      <c r="CL3368" s="2" t="s">
        <v>86</v>
      </c>
      <c r="CM3368" s="2"/>
    </row>
    <row r="3369" spans="1:91">
      <c r="A3369" s="2" t="s">
        <v>71</v>
      </c>
      <c r="B3369" s="2" t="s">
        <v>72</v>
      </c>
      <c r="C3369" s="2" t="s">
        <v>73</v>
      </c>
      <c r="D3369" s="2"/>
      <c r="E3369" s="2" t="str">
        <f>"FES1162545670"</f>
        <v>FES1162545670</v>
      </c>
      <c r="F3369" s="3">
        <v>42851</v>
      </c>
      <c r="G3369" s="2">
        <v>201710</v>
      </c>
      <c r="H3369" s="2" t="s">
        <v>74</v>
      </c>
      <c r="I3369" s="2" t="s">
        <v>75</v>
      </c>
      <c r="J3369" s="2" t="s">
        <v>76</v>
      </c>
      <c r="K3369" s="2" t="s">
        <v>77</v>
      </c>
      <c r="L3369" s="2" t="s">
        <v>99</v>
      </c>
      <c r="M3369" s="2" t="s">
        <v>100</v>
      </c>
      <c r="N3369" s="2" t="s">
        <v>375</v>
      </c>
      <c r="O3369" s="2" t="s">
        <v>115</v>
      </c>
      <c r="P3369" s="2" t="str">
        <f>"2170564121                    "</f>
        <v xml:space="preserve">2170564121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5.36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0.9</v>
      </c>
      <c r="BJ3369" s="2">
        <v>2.5</v>
      </c>
      <c r="BK3369" s="2">
        <v>2.5</v>
      </c>
      <c r="BL3369" s="2">
        <v>52.16</v>
      </c>
      <c r="BM3369" s="2">
        <v>7.3</v>
      </c>
      <c r="BN3369" s="2">
        <v>59.46</v>
      </c>
      <c r="BO3369" s="2">
        <v>59.46</v>
      </c>
      <c r="BP3369" s="2"/>
      <c r="BQ3369" s="2" t="s">
        <v>376</v>
      </c>
      <c r="BR3369" s="2" t="s">
        <v>84</v>
      </c>
      <c r="BS3369" s="1" t="s">
        <v>1744</v>
      </c>
      <c r="BT3369" s="2"/>
      <c r="BU3369" s="2"/>
      <c r="BV3369" s="2"/>
      <c r="BW3369" s="2"/>
      <c r="BX3369" s="2"/>
      <c r="BY3369" s="2">
        <v>12389.09</v>
      </c>
      <c r="BZ3369" s="2"/>
      <c r="CA3369" s="2"/>
      <c r="CB3369" s="2"/>
      <c r="CC3369" s="2" t="s">
        <v>100</v>
      </c>
      <c r="CD3369" s="2">
        <v>6070</v>
      </c>
      <c r="CE3369" s="2" t="s">
        <v>89</v>
      </c>
      <c r="CF3369" s="2"/>
      <c r="CG3369" s="2"/>
      <c r="CH3369" s="2"/>
      <c r="CI3369" s="2">
        <v>1</v>
      </c>
      <c r="CJ3369" s="2" t="s">
        <v>1744</v>
      </c>
      <c r="CK3369" s="2">
        <v>21</v>
      </c>
      <c r="CL3369" s="2" t="s">
        <v>86</v>
      </c>
      <c r="CM3369" s="2"/>
    </row>
    <row r="3370" spans="1:91">
      <c r="A3370" s="2" t="s">
        <v>71</v>
      </c>
      <c r="B3370" s="2" t="s">
        <v>72</v>
      </c>
      <c r="C3370" s="2" t="s">
        <v>73</v>
      </c>
      <c r="D3370" s="2"/>
      <c r="E3370" s="2" t="str">
        <f>"FES1162545766"</f>
        <v>FES1162545766</v>
      </c>
      <c r="F3370" s="3">
        <v>42851</v>
      </c>
      <c r="G3370" s="2">
        <v>201710</v>
      </c>
      <c r="H3370" s="2" t="s">
        <v>74</v>
      </c>
      <c r="I3370" s="2" t="s">
        <v>75</v>
      </c>
      <c r="J3370" s="2" t="s">
        <v>76</v>
      </c>
      <c r="K3370" s="2" t="s">
        <v>77</v>
      </c>
      <c r="L3370" s="2" t="s">
        <v>99</v>
      </c>
      <c r="M3370" s="2" t="s">
        <v>100</v>
      </c>
      <c r="N3370" s="2" t="s">
        <v>1682</v>
      </c>
      <c r="O3370" s="2" t="s">
        <v>115</v>
      </c>
      <c r="P3370" s="2" t="str">
        <f>"2170561913                    "</f>
        <v xml:space="preserve">2170561913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4.29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1.7</v>
      </c>
      <c r="BJ3370" s="2">
        <v>1.8</v>
      </c>
      <c r="BK3370" s="2">
        <v>2</v>
      </c>
      <c r="BL3370" s="2">
        <v>41.73</v>
      </c>
      <c r="BM3370" s="2">
        <v>5.84</v>
      </c>
      <c r="BN3370" s="2">
        <v>47.57</v>
      </c>
      <c r="BO3370" s="2">
        <v>47.57</v>
      </c>
      <c r="BP3370" s="2"/>
      <c r="BQ3370" s="2" t="s">
        <v>1683</v>
      </c>
      <c r="BR3370" s="2" t="s">
        <v>84</v>
      </c>
      <c r="BS3370" s="3">
        <v>42851</v>
      </c>
      <c r="BT3370" s="4">
        <v>0.34027777777777773</v>
      </c>
      <c r="BU3370" s="2" t="s">
        <v>130</v>
      </c>
      <c r="BV3370" s="2" t="s">
        <v>111</v>
      </c>
      <c r="BW3370" s="2"/>
      <c r="BX3370" s="2"/>
      <c r="BY3370" s="2">
        <v>8791.11</v>
      </c>
      <c r="BZ3370" s="2"/>
      <c r="CA3370" s="2"/>
      <c r="CB3370" s="2"/>
      <c r="CC3370" s="2" t="s">
        <v>100</v>
      </c>
      <c r="CD3370" s="2">
        <v>6001</v>
      </c>
      <c r="CE3370" s="2" t="s">
        <v>89</v>
      </c>
      <c r="CF3370" s="2"/>
      <c r="CG3370" s="2"/>
      <c r="CH3370" s="2"/>
      <c r="CI3370" s="2">
        <v>1</v>
      </c>
      <c r="CJ3370" s="2">
        <v>0</v>
      </c>
      <c r="CK3370" s="2">
        <v>21</v>
      </c>
      <c r="CL3370" s="2" t="s">
        <v>86</v>
      </c>
      <c r="CM3370" s="2"/>
    </row>
    <row r="3371" spans="1:91">
      <c r="A3371" s="2" t="s">
        <v>71</v>
      </c>
      <c r="B3371" s="2" t="s">
        <v>72</v>
      </c>
      <c r="C3371" s="2" t="s">
        <v>73</v>
      </c>
      <c r="D3371" s="2"/>
      <c r="E3371" s="2" t="str">
        <f>"FES1162545790"</f>
        <v>FES1162545790</v>
      </c>
      <c r="F3371" s="3">
        <v>42851</v>
      </c>
      <c r="G3371" s="2">
        <v>201710</v>
      </c>
      <c r="H3371" s="2" t="s">
        <v>74</v>
      </c>
      <c r="I3371" s="2" t="s">
        <v>75</v>
      </c>
      <c r="J3371" s="2" t="s">
        <v>76</v>
      </c>
      <c r="K3371" s="2" t="s">
        <v>77</v>
      </c>
      <c r="L3371" s="2" t="s">
        <v>516</v>
      </c>
      <c r="M3371" s="2" t="s">
        <v>517</v>
      </c>
      <c r="N3371" s="2" t="s">
        <v>1017</v>
      </c>
      <c r="O3371" s="2" t="s">
        <v>115</v>
      </c>
      <c r="P3371" s="2" t="str">
        <f>"2170562405                    "</f>
        <v xml:space="preserve">2170562405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3.35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1</v>
      </c>
      <c r="BI3371" s="2">
        <v>7.5</v>
      </c>
      <c r="BJ3371" s="2">
        <v>3.8</v>
      </c>
      <c r="BK3371" s="2">
        <v>8</v>
      </c>
      <c r="BL3371" s="2">
        <v>32.6</v>
      </c>
      <c r="BM3371" s="2">
        <v>4.5599999999999996</v>
      </c>
      <c r="BN3371" s="2">
        <v>37.159999999999997</v>
      </c>
      <c r="BO3371" s="2">
        <v>37.159999999999997</v>
      </c>
      <c r="BP3371" s="2"/>
      <c r="BQ3371" s="2" t="s">
        <v>1018</v>
      </c>
      <c r="BR3371" s="2" t="s">
        <v>84</v>
      </c>
      <c r="BS3371" s="3">
        <v>42853</v>
      </c>
      <c r="BT3371" s="4">
        <v>0.41666666666666669</v>
      </c>
      <c r="BU3371" s="2" t="s">
        <v>1159</v>
      </c>
      <c r="BV3371" s="2" t="s">
        <v>86</v>
      </c>
      <c r="BW3371" s="2" t="s">
        <v>164</v>
      </c>
      <c r="BX3371" s="2" t="s">
        <v>309</v>
      </c>
      <c r="BY3371" s="2">
        <v>19116.740000000002</v>
      </c>
      <c r="BZ3371" s="2"/>
      <c r="CA3371" s="2" t="s">
        <v>159</v>
      </c>
      <c r="CB3371" s="2"/>
      <c r="CC3371" s="2" t="s">
        <v>517</v>
      </c>
      <c r="CD3371" s="2">
        <v>1459</v>
      </c>
      <c r="CE3371" s="2" t="s">
        <v>89</v>
      </c>
      <c r="CF3371" s="2"/>
      <c r="CG3371" s="2"/>
      <c r="CH3371" s="2"/>
      <c r="CI3371" s="2">
        <v>1</v>
      </c>
      <c r="CJ3371" s="2">
        <v>2</v>
      </c>
      <c r="CK3371" s="2">
        <v>22</v>
      </c>
      <c r="CL3371" s="2" t="s">
        <v>86</v>
      </c>
      <c r="CM3371" s="2"/>
    </row>
    <row r="3372" spans="1:91">
      <c r="A3372" s="2" t="s">
        <v>71</v>
      </c>
      <c r="B3372" s="2" t="s">
        <v>72</v>
      </c>
      <c r="C3372" s="2" t="s">
        <v>73</v>
      </c>
      <c r="D3372" s="2"/>
      <c r="E3372" s="2" t="str">
        <f>"FES1162545720"</f>
        <v>FES1162545720</v>
      </c>
      <c r="F3372" s="3">
        <v>42851</v>
      </c>
      <c r="G3372" s="2">
        <v>201710</v>
      </c>
      <c r="H3372" s="2" t="s">
        <v>74</v>
      </c>
      <c r="I3372" s="2" t="s">
        <v>75</v>
      </c>
      <c r="J3372" s="2" t="s">
        <v>76</v>
      </c>
      <c r="K3372" s="2" t="s">
        <v>77</v>
      </c>
      <c r="L3372" s="2" t="s">
        <v>187</v>
      </c>
      <c r="M3372" s="2" t="s">
        <v>146</v>
      </c>
      <c r="N3372" s="2" t="s">
        <v>2095</v>
      </c>
      <c r="O3372" s="2" t="s">
        <v>115</v>
      </c>
      <c r="P3372" s="2" t="str">
        <f>"2170564201                    "</f>
        <v xml:space="preserve">2170564201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7.5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2</v>
      </c>
      <c r="BJ3372" s="2">
        <v>3.2</v>
      </c>
      <c r="BK3372" s="2">
        <v>3.5</v>
      </c>
      <c r="BL3372" s="2">
        <v>73.02</v>
      </c>
      <c r="BM3372" s="2">
        <v>10.220000000000001</v>
      </c>
      <c r="BN3372" s="2">
        <v>83.24</v>
      </c>
      <c r="BO3372" s="2">
        <v>83.24</v>
      </c>
      <c r="BP3372" s="2"/>
      <c r="BQ3372" s="2" t="s">
        <v>2096</v>
      </c>
      <c r="BR3372" s="2" t="s">
        <v>84</v>
      </c>
      <c r="BS3372" s="3">
        <v>42853</v>
      </c>
      <c r="BT3372" s="4">
        <v>0.40972222222222227</v>
      </c>
      <c r="BU3372" s="2" t="s">
        <v>130</v>
      </c>
      <c r="BV3372" s="2" t="s">
        <v>86</v>
      </c>
      <c r="BW3372" s="2"/>
      <c r="BX3372" s="2"/>
      <c r="BY3372" s="2">
        <v>16075.91</v>
      </c>
      <c r="BZ3372" s="2"/>
      <c r="CA3372" s="2"/>
      <c r="CB3372" s="2"/>
      <c r="CC3372" s="2" t="s">
        <v>146</v>
      </c>
      <c r="CD3372" s="2">
        <v>157</v>
      </c>
      <c r="CE3372" s="2" t="s">
        <v>89</v>
      </c>
      <c r="CF3372" s="2"/>
      <c r="CG3372" s="2"/>
      <c r="CH3372" s="2"/>
      <c r="CI3372" s="2">
        <v>1</v>
      </c>
      <c r="CJ3372" s="2">
        <v>2</v>
      </c>
      <c r="CK3372" s="2">
        <v>21</v>
      </c>
      <c r="CL3372" s="2" t="s">
        <v>86</v>
      </c>
      <c r="CM3372" s="2"/>
    </row>
    <row r="3373" spans="1:91">
      <c r="A3373" s="2" t="s">
        <v>71</v>
      </c>
      <c r="B3373" s="2" t="s">
        <v>72</v>
      </c>
      <c r="C3373" s="2" t="s">
        <v>73</v>
      </c>
      <c r="D3373" s="2"/>
      <c r="E3373" s="2" t="str">
        <f>"FES1162545606"</f>
        <v>FES1162545606</v>
      </c>
      <c r="F3373" s="3">
        <v>42851</v>
      </c>
      <c r="G3373" s="2">
        <v>201710</v>
      </c>
      <c r="H3373" s="2" t="s">
        <v>74</v>
      </c>
      <c r="I3373" s="2" t="s">
        <v>75</v>
      </c>
      <c r="J3373" s="2" t="s">
        <v>76</v>
      </c>
      <c r="K3373" s="2" t="s">
        <v>77</v>
      </c>
      <c r="L3373" s="2" t="s">
        <v>99</v>
      </c>
      <c r="M3373" s="2" t="s">
        <v>100</v>
      </c>
      <c r="N3373" s="2" t="s">
        <v>108</v>
      </c>
      <c r="O3373" s="2" t="s">
        <v>115</v>
      </c>
      <c r="P3373" s="2" t="str">
        <f>"2170560222                    "</f>
        <v xml:space="preserve">2170560222           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5.36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1</v>
      </c>
      <c r="BI3373" s="2">
        <v>2.1</v>
      </c>
      <c r="BJ3373" s="2">
        <v>1.4</v>
      </c>
      <c r="BK3373" s="2">
        <v>2.5</v>
      </c>
      <c r="BL3373" s="2">
        <v>52.16</v>
      </c>
      <c r="BM3373" s="2">
        <v>7.3</v>
      </c>
      <c r="BN3373" s="2">
        <v>59.46</v>
      </c>
      <c r="BO3373" s="2">
        <v>59.46</v>
      </c>
      <c r="BP3373" s="2"/>
      <c r="BQ3373" s="2" t="s">
        <v>109</v>
      </c>
      <c r="BR3373" s="2" t="s">
        <v>84</v>
      </c>
      <c r="BS3373" s="3">
        <v>42853</v>
      </c>
      <c r="BT3373" s="4">
        <v>0.375</v>
      </c>
      <c r="BU3373" s="2" t="s">
        <v>3001</v>
      </c>
      <c r="BV3373" s="2" t="s">
        <v>86</v>
      </c>
      <c r="BW3373" s="2"/>
      <c r="BX3373" s="2"/>
      <c r="BY3373" s="2">
        <v>6804.85</v>
      </c>
      <c r="BZ3373" s="2"/>
      <c r="CA3373" s="2" t="s">
        <v>106</v>
      </c>
      <c r="CB3373" s="2"/>
      <c r="CC3373" s="2" t="s">
        <v>100</v>
      </c>
      <c r="CD3373" s="2">
        <v>6001</v>
      </c>
      <c r="CE3373" s="2" t="s">
        <v>89</v>
      </c>
      <c r="CF3373" s="5">
        <v>42853</v>
      </c>
      <c r="CG3373" s="2"/>
      <c r="CH3373" s="2"/>
      <c r="CI3373" s="2">
        <v>1</v>
      </c>
      <c r="CJ3373" s="2">
        <v>2</v>
      </c>
      <c r="CK3373" s="2">
        <v>21</v>
      </c>
      <c r="CL3373" s="2" t="s">
        <v>86</v>
      </c>
      <c r="CM3373" s="2"/>
    </row>
    <row r="3374" spans="1:91">
      <c r="A3374" s="2" t="s">
        <v>71</v>
      </c>
      <c r="B3374" s="2" t="s">
        <v>72</v>
      </c>
      <c r="C3374" s="2" t="s">
        <v>73</v>
      </c>
      <c r="D3374" s="2"/>
      <c r="E3374" s="2" t="str">
        <f>"FES1162545709"</f>
        <v>FES1162545709</v>
      </c>
      <c r="F3374" s="3">
        <v>42851</v>
      </c>
      <c r="G3374" s="2">
        <v>201710</v>
      </c>
      <c r="H3374" s="2" t="s">
        <v>74</v>
      </c>
      <c r="I3374" s="2" t="s">
        <v>75</v>
      </c>
      <c r="J3374" s="2" t="s">
        <v>76</v>
      </c>
      <c r="K3374" s="2" t="s">
        <v>77</v>
      </c>
      <c r="L3374" s="2" t="s">
        <v>131</v>
      </c>
      <c r="M3374" s="2" t="s">
        <v>132</v>
      </c>
      <c r="N3374" s="2" t="s">
        <v>744</v>
      </c>
      <c r="O3374" s="2" t="s">
        <v>115</v>
      </c>
      <c r="P3374" s="2" t="str">
        <f>"2170564183                    "</f>
        <v xml:space="preserve">2170564183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20.36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1</v>
      </c>
      <c r="BI3374" s="2">
        <v>9.4</v>
      </c>
      <c r="BJ3374" s="2">
        <v>3.4</v>
      </c>
      <c r="BK3374" s="2">
        <v>9.5</v>
      </c>
      <c r="BL3374" s="2">
        <v>198.2</v>
      </c>
      <c r="BM3374" s="2">
        <v>27.75</v>
      </c>
      <c r="BN3374" s="2">
        <v>225.95</v>
      </c>
      <c r="BO3374" s="2">
        <v>225.95</v>
      </c>
      <c r="BP3374" s="2"/>
      <c r="BQ3374" s="2" t="s">
        <v>138</v>
      </c>
      <c r="BR3374" s="2" t="s">
        <v>84</v>
      </c>
      <c r="BS3374" s="3">
        <v>42853</v>
      </c>
      <c r="BT3374" s="4">
        <v>0.41666666666666669</v>
      </c>
      <c r="BU3374" s="2" t="s">
        <v>3386</v>
      </c>
      <c r="BV3374" s="2" t="s">
        <v>86</v>
      </c>
      <c r="BW3374" s="2" t="s">
        <v>157</v>
      </c>
      <c r="BX3374" s="2" t="s">
        <v>158</v>
      </c>
      <c r="BY3374" s="2">
        <v>16790.810000000001</v>
      </c>
      <c r="BZ3374" s="2"/>
      <c r="CA3374" s="2" t="s">
        <v>159</v>
      </c>
      <c r="CB3374" s="2"/>
      <c r="CC3374" s="2" t="s">
        <v>132</v>
      </c>
      <c r="CD3374" s="2">
        <v>7405</v>
      </c>
      <c r="CE3374" s="2" t="s">
        <v>89</v>
      </c>
      <c r="CF3374" s="2"/>
      <c r="CG3374" s="2"/>
      <c r="CH3374" s="2"/>
      <c r="CI3374" s="2">
        <v>1</v>
      </c>
      <c r="CJ3374" s="2">
        <v>2</v>
      </c>
      <c r="CK3374" s="2">
        <v>21</v>
      </c>
      <c r="CL3374" s="2" t="s">
        <v>86</v>
      </c>
      <c r="CM3374" s="2"/>
    </row>
    <row r="3375" spans="1:91">
      <c r="A3375" s="2" t="s">
        <v>71</v>
      </c>
      <c r="B3375" s="2" t="s">
        <v>72</v>
      </c>
      <c r="C3375" s="2" t="s">
        <v>73</v>
      </c>
      <c r="D3375" s="2"/>
      <c r="E3375" s="2" t="str">
        <f>"FES1162545675"</f>
        <v>FES1162545675</v>
      </c>
      <c r="F3375" s="3">
        <v>42851</v>
      </c>
      <c r="G3375" s="2">
        <v>201710</v>
      </c>
      <c r="H3375" s="2" t="s">
        <v>74</v>
      </c>
      <c r="I3375" s="2" t="s">
        <v>75</v>
      </c>
      <c r="J3375" s="2" t="s">
        <v>76</v>
      </c>
      <c r="K3375" s="2" t="s">
        <v>77</v>
      </c>
      <c r="L3375" s="2" t="s">
        <v>358</v>
      </c>
      <c r="M3375" s="2" t="s">
        <v>359</v>
      </c>
      <c r="N3375" s="2" t="s">
        <v>776</v>
      </c>
      <c r="O3375" s="2" t="s">
        <v>115</v>
      </c>
      <c r="P3375" s="2" t="str">
        <f>"2170564128                    "</f>
        <v xml:space="preserve">2170564128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17.149999999999999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1</v>
      </c>
      <c r="BI3375" s="2">
        <v>8</v>
      </c>
      <c r="BJ3375" s="2">
        <v>7</v>
      </c>
      <c r="BK3375" s="2">
        <v>8</v>
      </c>
      <c r="BL3375" s="2">
        <v>166.91</v>
      </c>
      <c r="BM3375" s="2">
        <v>23.37</v>
      </c>
      <c r="BN3375" s="2">
        <v>190.28</v>
      </c>
      <c r="BO3375" s="2">
        <v>190.28</v>
      </c>
      <c r="BP3375" s="2"/>
      <c r="BQ3375" s="2" t="s">
        <v>999</v>
      </c>
      <c r="BR3375" s="2" t="s">
        <v>84</v>
      </c>
      <c r="BS3375" s="3">
        <v>42853</v>
      </c>
      <c r="BT3375" s="4">
        <v>0.38541666666666669</v>
      </c>
      <c r="BU3375" s="2" t="s">
        <v>1886</v>
      </c>
      <c r="BV3375" s="2" t="s">
        <v>86</v>
      </c>
      <c r="BW3375" s="2" t="s">
        <v>104</v>
      </c>
      <c r="BX3375" s="2" t="s">
        <v>105</v>
      </c>
      <c r="BY3375" s="2">
        <v>35217</v>
      </c>
      <c r="BZ3375" s="2"/>
      <c r="CA3375" s="2"/>
      <c r="CB3375" s="2"/>
      <c r="CC3375" s="2" t="s">
        <v>359</v>
      </c>
      <c r="CD3375" s="2">
        <v>6229</v>
      </c>
      <c r="CE3375" s="2" t="s">
        <v>89</v>
      </c>
      <c r="CF3375" s="2"/>
      <c r="CG3375" s="2"/>
      <c r="CH3375" s="2"/>
      <c r="CI3375" s="2">
        <v>1</v>
      </c>
      <c r="CJ3375" s="2">
        <v>2</v>
      </c>
      <c r="CK3375" s="2">
        <v>21</v>
      </c>
      <c r="CL3375" s="2" t="s">
        <v>86</v>
      </c>
      <c r="CM3375" s="2"/>
    </row>
    <row r="3376" spans="1:91">
      <c r="A3376" s="2" t="s">
        <v>71</v>
      </c>
      <c r="B3376" s="2" t="s">
        <v>72</v>
      </c>
      <c r="C3376" s="2" t="s">
        <v>73</v>
      </c>
      <c r="D3376" s="2"/>
      <c r="E3376" s="2" t="str">
        <f>"FES1162545590"</f>
        <v>FES1162545590</v>
      </c>
      <c r="F3376" s="3">
        <v>42851</v>
      </c>
      <c r="G3376" s="2">
        <v>201710</v>
      </c>
      <c r="H3376" s="2" t="s">
        <v>74</v>
      </c>
      <c r="I3376" s="2" t="s">
        <v>75</v>
      </c>
      <c r="J3376" s="2" t="s">
        <v>76</v>
      </c>
      <c r="K3376" s="2" t="s">
        <v>77</v>
      </c>
      <c r="L3376" s="2" t="s">
        <v>180</v>
      </c>
      <c r="M3376" s="2" t="s">
        <v>181</v>
      </c>
      <c r="N3376" s="2" t="s">
        <v>839</v>
      </c>
      <c r="O3376" s="2" t="s">
        <v>115</v>
      </c>
      <c r="P3376" s="2" t="str">
        <f>"2170564109                    "</f>
        <v xml:space="preserve">2170564109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4.29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1</v>
      </c>
      <c r="BI3376" s="2">
        <v>1</v>
      </c>
      <c r="BJ3376" s="2">
        <v>0.2</v>
      </c>
      <c r="BK3376" s="2">
        <v>1</v>
      </c>
      <c r="BL3376" s="2">
        <v>41.73</v>
      </c>
      <c r="BM3376" s="2">
        <v>5.84</v>
      </c>
      <c r="BN3376" s="2">
        <v>47.57</v>
      </c>
      <c r="BO3376" s="2">
        <v>47.57</v>
      </c>
      <c r="BP3376" s="2"/>
      <c r="BQ3376" s="2" t="s">
        <v>840</v>
      </c>
      <c r="BR3376" s="2" t="s">
        <v>84</v>
      </c>
      <c r="BS3376" s="3">
        <v>42853</v>
      </c>
      <c r="BT3376" s="4">
        <v>0.40347222222222223</v>
      </c>
      <c r="BU3376" s="2" t="s">
        <v>3387</v>
      </c>
      <c r="BV3376" s="2" t="s">
        <v>86</v>
      </c>
      <c r="BW3376" s="2" t="s">
        <v>2282</v>
      </c>
      <c r="BX3376" s="2" t="s">
        <v>88</v>
      </c>
      <c r="BY3376" s="2">
        <v>1200</v>
      </c>
      <c r="BZ3376" s="2"/>
      <c r="CA3376" s="2"/>
      <c r="CB3376" s="2"/>
      <c r="CC3376" s="2" t="s">
        <v>181</v>
      </c>
      <c r="CD3376" s="2">
        <v>4052</v>
      </c>
      <c r="CE3376" s="2" t="s">
        <v>118</v>
      </c>
      <c r="CF3376" s="2"/>
      <c r="CG3376" s="2"/>
      <c r="CH3376" s="2"/>
      <c r="CI3376" s="2">
        <v>1</v>
      </c>
      <c r="CJ3376" s="2">
        <v>2</v>
      </c>
      <c r="CK3376" s="2">
        <v>21</v>
      </c>
      <c r="CL3376" s="2" t="s">
        <v>86</v>
      </c>
      <c r="CM3376" s="2"/>
    </row>
    <row r="3377" spans="1:91">
      <c r="A3377" s="2" t="s">
        <v>71</v>
      </c>
      <c r="B3377" s="2" t="s">
        <v>72</v>
      </c>
      <c r="C3377" s="2" t="s">
        <v>73</v>
      </c>
      <c r="D3377" s="2"/>
      <c r="E3377" s="2" t="str">
        <f>"FES1162545850"</f>
        <v>FES1162545850</v>
      </c>
      <c r="F3377" s="3">
        <v>42851</v>
      </c>
      <c r="G3377" s="2">
        <v>201710</v>
      </c>
      <c r="H3377" s="2" t="s">
        <v>74</v>
      </c>
      <c r="I3377" s="2" t="s">
        <v>75</v>
      </c>
      <c r="J3377" s="2" t="s">
        <v>76</v>
      </c>
      <c r="K3377" s="2" t="s">
        <v>77</v>
      </c>
      <c r="L3377" s="2" t="s">
        <v>99</v>
      </c>
      <c r="M3377" s="2" t="s">
        <v>100</v>
      </c>
      <c r="N3377" s="2" t="s">
        <v>2089</v>
      </c>
      <c r="O3377" s="2" t="s">
        <v>115</v>
      </c>
      <c r="P3377" s="2" t="str">
        <f>"2170564310                    "</f>
        <v xml:space="preserve">2170564310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4.29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1</v>
      </c>
      <c r="BI3377" s="2">
        <v>0.9</v>
      </c>
      <c r="BJ3377" s="2">
        <v>1.7</v>
      </c>
      <c r="BK3377" s="2">
        <v>2</v>
      </c>
      <c r="BL3377" s="2">
        <v>41.73</v>
      </c>
      <c r="BM3377" s="2">
        <v>5.84</v>
      </c>
      <c r="BN3377" s="2">
        <v>47.57</v>
      </c>
      <c r="BO3377" s="2">
        <v>47.57</v>
      </c>
      <c r="BP3377" s="2"/>
      <c r="BQ3377" s="2" t="s">
        <v>2090</v>
      </c>
      <c r="BR3377" s="2" t="s">
        <v>84</v>
      </c>
      <c r="BS3377" s="3">
        <v>42853</v>
      </c>
      <c r="BT3377" s="4">
        <v>0.36458333333333331</v>
      </c>
      <c r="BU3377" s="2" t="s">
        <v>3388</v>
      </c>
      <c r="BV3377" s="2" t="s">
        <v>86</v>
      </c>
      <c r="BW3377" s="2" t="s">
        <v>484</v>
      </c>
      <c r="BX3377" s="2" t="s">
        <v>485</v>
      </c>
      <c r="BY3377" s="2">
        <v>8473.14</v>
      </c>
      <c r="BZ3377" s="2"/>
      <c r="CA3377" s="2" t="s">
        <v>154</v>
      </c>
      <c r="CB3377" s="2"/>
      <c r="CC3377" s="2" t="s">
        <v>100</v>
      </c>
      <c r="CD3377" s="2">
        <v>6001</v>
      </c>
      <c r="CE3377" s="2" t="s">
        <v>89</v>
      </c>
      <c r="CF3377" s="5">
        <v>42853</v>
      </c>
      <c r="CG3377" s="2"/>
      <c r="CH3377" s="2"/>
      <c r="CI3377" s="2">
        <v>1</v>
      </c>
      <c r="CJ3377" s="2">
        <v>2</v>
      </c>
      <c r="CK3377" s="2">
        <v>21</v>
      </c>
      <c r="CL3377" s="2" t="s">
        <v>86</v>
      </c>
      <c r="CM3377" s="2"/>
    </row>
    <row r="3378" spans="1:91">
      <c r="A3378" s="2" t="s">
        <v>71</v>
      </c>
      <c r="B3378" s="2" t="s">
        <v>72</v>
      </c>
      <c r="C3378" s="2" t="s">
        <v>73</v>
      </c>
      <c r="D3378" s="2"/>
      <c r="E3378" s="2" t="str">
        <f>"FES1162545788"</f>
        <v>FES1162545788</v>
      </c>
      <c r="F3378" s="3">
        <v>42851</v>
      </c>
      <c r="G3378" s="2">
        <v>201710</v>
      </c>
      <c r="H3378" s="2" t="s">
        <v>74</v>
      </c>
      <c r="I3378" s="2" t="s">
        <v>75</v>
      </c>
      <c r="J3378" s="2" t="s">
        <v>76</v>
      </c>
      <c r="K3378" s="2" t="s">
        <v>77</v>
      </c>
      <c r="L3378" s="2" t="s">
        <v>74</v>
      </c>
      <c r="M3378" s="2" t="s">
        <v>75</v>
      </c>
      <c r="N3378" s="2" t="s">
        <v>488</v>
      </c>
      <c r="O3378" s="2" t="s">
        <v>115</v>
      </c>
      <c r="P3378" s="2" t="str">
        <f>"2170564230                    "</f>
        <v xml:space="preserve">2170564230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3.35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1</v>
      </c>
      <c r="BJ3378" s="2">
        <v>0.2</v>
      </c>
      <c r="BK3378" s="2">
        <v>1</v>
      </c>
      <c r="BL3378" s="2">
        <v>32.6</v>
      </c>
      <c r="BM3378" s="2">
        <v>4.5599999999999996</v>
      </c>
      <c r="BN3378" s="2">
        <v>37.159999999999997</v>
      </c>
      <c r="BO3378" s="2">
        <v>37.159999999999997</v>
      </c>
      <c r="BP3378" s="2"/>
      <c r="BQ3378" s="2" t="s">
        <v>489</v>
      </c>
      <c r="BR3378" s="2" t="s">
        <v>84</v>
      </c>
      <c r="BS3378" s="1" t="s">
        <v>1744</v>
      </c>
      <c r="BT3378" s="2"/>
      <c r="BU3378" s="2"/>
      <c r="BV3378" s="2"/>
      <c r="BW3378" s="2"/>
      <c r="BX3378" s="2"/>
      <c r="BY3378" s="2">
        <v>1200</v>
      </c>
      <c r="BZ3378" s="2"/>
      <c r="CA3378" s="2"/>
      <c r="CB3378" s="2"/>
      <c r="CC3378" s="2" t="s">
        <v>75</v>
      </c>
      <c r="CD3378" s="2">
        <v>1645</v>
      </c>
      <c r="CE3378" s="2" t="s">
        <v>118</v>
      </c>
      <c r="CF3378" s="2"/>
      <c r="CG3378" s="2"/>
      <c r="CH3378" s="2"/>
      <c r="CI3378" s="2">
        <v>1</v>
      </c>
      <c r="CJ3378" s="2" t="s">
        <v>1744</v>
      </c>
      <c r="CK3378" s="2">
        <v>22</v>
      </c>
      <c r="CL3378" s="2" t="s">
        <v>86</v>
      </c>
      <c r="CM3378" s="2"/>
    </row>
    <row r="3379" spans="1:91">
      <c r="A3379" s="2" t="s">
        <v>71</v>
      </c>
      <c r="B3379" s="2" t="s">
        <v>72</v>
      </c>
      <c r="C3379" s="2" t="s">
        <v>73</v>
      </c>
      <c r="D3379" s="2"/>
      <c r="E3379" s="2" t="str">
        <f>"FES1162545736"</f>
        <v>FES1162545736</v>
      </c>
      <c r="F3379" s="3">
        <v>42851</v>
      </c>
      <c r="G3379" s="2">
        <v>201710</v>
      </c>
      <c r="H3379" s="2" t="s">
        <v>74</v>
      </c>
      <c r="I3379" s="2" t="s">
        <v>75</v>
      </c>
      <c r="J3379" s="2" t="s">
        <v>76</v>
      </c>
      <c r="K3379" s="2" t="s">
        <v>77</v>
      </c>
      <c r="L3379" s="2" t="s">
        <v>180</v>
      </c>
      <c r="M3379" s="2" t="s">
        <v>181</v>
      </c>
      <c r="N3379" s="2" t="s">
        <v>320</v>
      </c>
      <c r="O3379" s="2" t="s">
        <v>115</v>
      </c>
      <c r="P3379" s="2" t="str">
        <f>"2170559562                    "</f>
        <v xml:space="preserve">2170559562                    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4.29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1</v>
      </c>
      <c r="BI3379" s="2">
        <v>1</v>
      </c>
      <c r="BJ3379" s="2">
        <v>0.2</v>
      </c>
      <c r="BK3379" s="2">
        <v>1</v>
      </c>
      <c r="BL3379" s="2">
        <v>41.73</v>
      </c>
      <c r="BM3379" s="2">
        <v>5.84</v>
      </c>
      <c r="BN3379" s="2">
        <v>47.57</v>
      </c>
      <c r="BO3379" s="2">
        <v>47.57</v>
      </c>
      <c r="BP3379" s="2"/>
      <c r="BQ3379" s="2" t="s">
        <v>129</v>
      </c>
      <c r="BR3379" s="2" t="s">
        <v>84</v>
      </c>
      <c r="BS3379" s="3">
        <v>42853</v>
      </c>
      <c r="BT3379" s="4">
        <v>0.4375</v>
      </c>
      <c r="BU3379" s="2" t="s">
        <v>2469</v>
      </c>
      <c r="BV3379" s="2" t="s">
        <v>86</v>
      </c>
      <c r="BW3379" s="2" t="s">
        <v>164</v>
      </c>
      <c r="BX3379" s="2" t="s">
        <v>88</v>
      </c>
      <c r="BY3379" s="2">
        <v>1200</v>
      </c>
      <c r="BZ3379" s="2"/>
      <c r="CA3379" s="2"/>
      <c r="CB3379" s="2"/>
      <c r="CC3379" s="2" t="s">
        <v>181</v>
      </c>
      <c r="CD3379" s="2">
        <v>4051</v>
      </c>
      <c r="CE3379" s="2" t="s">
        <v>118</v>
      </c>
      <c r="CF3379" s="2"/>
      <c r="CG3379" s="2"/>
      <c r="CH3379" s="2"/>
      <c r="CI3379" s="2">
        <v>1</v>
      </c>
      <c r="CJ3379" s="2">
        <v>2</v>
      </c>
      <c r="CK3379" s="2">
        <v>21</v>
      </c>
      <c r="CL3379" s="2" t="s">
        <v>86</v>
      </c>
      <c r="CM3379" s="2"/>
    </row>
    <row r="3380" spans="1:91">
      <c r="A3380" s="2" t="s">
        <v>71</v>
      </c>
      <c r="B3380" s="2" t="s">
        <v>72</v>
      </c>
      <c r="C3380" s="2" t="s">
        <v>73</v>
      </c>
      <c r="D3380" s="2"/>
      <c r="E3380" s="2" t="str">
        <f>"FES1162545656"</f>
        <v>FES1162545656</v>
      </c>
      <c r="F3380" s="3">
        <v>42851</v>
      </c>
      <c r="G3380" s="2">
        <v>201710</v>
      </c>
      <c r="H3380" s="2" t="s">
        <v>74</v>
      </c>
      <c r="I3380" s="2" t="s">
        <v>75</v>
      </c>
      <c r="J3380" s="2" t="s">
        <v>76</v>
      </c>
      <c r="K3380" s="2" t="s">
        <v>77</v>
      </c>
      <c r="L3380" s="2" t="s">
        <v>220</v>
      </c>
      <c r="M3380" s="2" t="s">
        <v>221</v>
      </c>
      <c r="N3380" s="2" t="s">
        <v>222</v>
      </c>
      <c r="O3380" s="2" t="s">
        <v>115</v>
      </c>
      <c r="P3380" s="2" t="str">
        <f>"2170563809                    "</f>
        <v xml:space="preserve">2170563809                    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11.79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  <c r="BG3380" s="2">
        <v>0</v>
      </c>
      <c r="BH3380" s="2">
        <v>1</v>
      </c>
      <c r="BI3380" s="2">
        <v>2.7</v>
      </c>
      <c r="BJ3380" s="2">
        <v>5.2</v>
      </c>
      <c r="BK3380" s="2">
        <v>5.5</v>
      </c>
      <c r="BL3380" s="2">
        <v>114.75</v>
      </c>
      <c r="BM3380" s="2">
        <v>16.07</v>
      </c>
      <c r="BN3380" s="2">
        <v>130.82</v>
      </c>
      <c r="BO3380" s="2">
        <v>130.82</v>
      </c>
      <c r="BP3380" s="2"/>
      <c r="BQ3380" s="2" t="s">
        <v>223</v>
      </c>
      <c r="BR3380" s="2" t="s">
        <v>84</v>
      </c>
      <c r="BS3380" s="3">
        <v>42853</v>
      </c>
      <c r="BT3380" s="4">
        <v>0.33333333333333331</v>
      </c>
      <c r="BU3380" s="2" t="s">
        <v>1968</v>
      </c>
      <c r="BV3380" s="2" t="s">
        <v>86</v>
      </c>
      <c r="BW3380" s="2"/>
      <c r="BX3380" s="2"/>
      <c r="BY3380" s="2">
        <v>25838.57</v>
      </c>
      <c r="BZ3380" s="2"/>
      <c r="CA3380" s="2"/>
      <c r="CB3380" s="2"/>
      <c r="CC3380" s="2" t="s">
        <v>221</v>
      </c>
      <c r="CD3380" s="2">
        <v>6536</v>
      </c>
      <c r="CE3380" s="2" t="s">
        <v>89</v>
      </c>
      <c r="CF3380" s="2"/>
      <c r="CG3380" s="2"/>
      <c r="CH3380" s="2"/>
      <c r="CI3380" s="2">
        <v>1</v>
      </c>
      <c r="CJ3380" s="2">
        <v>2</v>
      </c>
      <c r="CK3380" s="2">
        <v>21</v>
      </c>
      <c r="CL3380" s="2" t="s">
        <v>86</v>
      </c>
      <c r="CM3380" s="2"/>
    </row>
    <row r="3381" spans="1:91">
      <c r="A3381" s="2" t="s">
        <v>71</v>
      </c>
      <c r="B3381" s="2" t="s">
        <v>72</v>
      </c>
      <c r="C3381" s="2" t="s">
        <v>73</v>
      </c>
      <c r="D3381" s="2"/>
      <c r="E3381" s="2" t="str">
        <f>"FES1162545896"</f>
        <v>FES1162545896</v>
      </c>
      <c r="F3381" s="3">
        <v>42851</v>
      </c>
      <c r="G3381" s="2">
        <v>201710</v>
      </c>
      <c r="H3381" s="2" t="s">
        <v>74</v>
      </c>
      <c r="I3381" s="2" t="s">
        <v>75</v>
      </c>
      <c r="J3381" s="2" t="s">
        <v>76</v>
      </c>
      <c r="K3381" s="2" t="s">
        <v>77</v>
      </c>
      <c r="L3381" s="2" t="s">
        <v>99</v>
      </c>
      <c r="M3381" s="2" t="s">
        <v>100</v>
      </c>
      <c r="N3381" s="2" t="s">
        <v>848</v>
      </c>
      <c r="O3381" s="2" t="s">
        <v>115</v>
      </c>
      <c r="P3381" s="2" t="str">
        <f>"2170564357                    "</f>
        <v xml:space="preserve">2170564357                    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4.29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1</v>
      </c>
      <c r="BI3381" s="2">
        <v>1</v>
      </c>
      <c r="BJ3381" s="2">
        <v>0.2</v>
      </c>
      <c r="BK3381" s="2">
        <v>1</v>
      </c>
      <c r="BL3381" s="2">
        <v>41.73</v>
      </c>
      <c r="BM3381" s="2">
        <v>5.84</v>
      </c>
      <c r="BN3381" s="2">
        <v>47.57</v>
      </c>
      <c r="BO3381" s="2">
        <v>47.57</v>
      </c>
      <c r="BP3381" s="2"/>
      <c r="BQ3381" s="2" t="s">
        <v>849</v>
      </c>
      <c r="BR3381" s="2" t="s">
        <v>84</v>
      </c>
      <c r="BS3381" s="3">
        <v>42853</v>
      </c>
      <c r="BT3381" s="4">
        <v>0.32083333333333336</v>
      </c>
      <c r="BU3381" s="2" t="s">
        <v>3389</v>
      </c>
      <c r="BV3381" s="2" t="s">
        <v>86</v>
      </c>
      <c r="BW3381" s="2"/>
      <c r="BX3381" s="2"/>
      <c r="BY3381" s="2">
        <v>1200</v>
      </c>
      <c r="BZ3381" s="2"/>
      <c r="CA3381" s="2" t="s">
        <v>106</v>
      </c>
      <c r="CB3381" s="2"/>
      <c r="CC3381" s="2" t="s">
        <v>100</v>
      </c>
      <c r="CD3381" s="2">
        <v>6012</v>
      </c>
      <c r="CE3381" s="2" t="s">
        <v>118</v>
      </c>
      <c r="CF3381" s="5">
        <v>42853</v>
      </c>
      <c r="CG3381" s="2"/>
      <c r="CH3381" s="2"/>
      <c r="CI3381" s="2">
        <v>1</v>
      </c>
      <c r="CJ3381" s="2">
        <v>2</v>
      </c>
      <c r="CK3381" s="2">
        <v>21</v>
      </c>
      <c r="CL3381" s="2" t="s">
        <v>86</v>
      </c>
      <c r="CM3381" s="2"/>
    </row>
    <row r="3382" spans="1:91">
      <c r="A3382" s="2" t="s">
        <v>71</v>
      </c>
      <c r="B3382" s="2" t="s">
        <v>72</v>
      </c>
      <c r="C3382" s="2" t="s">
        <v>73</v>
      </c>
      <c r="D3382" s="2"/>
      <c r="E3382" s="2" t="str">
        <f>"FES1162545851"</f>
        <v>FES1162545851</v>
      </c>
      <c r="F3382" s="3">
        <v>42851</v>
      </c>
      <c r="G3382" s="2">
        <v>201710</v>
      </c>
      <c r="H3382" s="2" t="s">
        <v>74</v>
      </c>
      <c r="I3382" s="2" t="s">
        <v>75</v>
      </c>
      <c r="J3382" s="2" t="s">
        <v>76</v>
      </c>
      <c r="K3382" s="2" t="s">
        <v>77</v>
      </c>
      <c r="L3382" s="2" t="s">
        <v>260</v>
      </c>
      <c r="M3382" s="2" t="s">
        <v>261</v>
      </c>
      <c r="N3382" s="2" t="s">
        <v>1030</v>
      </c>
      <c r="O3382" s="2" t="s">
        <v>115</v>
      </c>
      <c r="P3382" s="2" t="str">
        <f>"2170564314                    "</f>
        <v xml:space="preserve">2170564314                    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3.35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1</v>
      </c>
      <c r="BI3382" s="2">
        <v>1</v>
      </c>
      <c r="BJ3382" s="2">
        <v>0.2</v>
      </c>
      <c r="BK3382" s="2">
        <v>1</v>
      </c>
      <c r="BL3382" s="2">
        <v>32.6</v>
      </c>
      <c r="BM3382" s="2">
        <v>4.5599999999999996</v>
      </c>
      <c r="BN3382" s="2">
        <v>37.159999999999997</v>
      </c>
      <c r="BO3382" s="2">
        <v>37.159999999999997</v>
      </c>
      <c r="BP3382" s="2"/>
      <c r="BQ3382" s="2" t="s">
        <v>1031</v>
      </c>
      <c r="BR3382" s="2" t="s">
        <v>84</v>
      </c>
      <c r="BS3382" s="3">
        <v>42853</v>
      </c>
      <c r="BT3382" s="4">
        <v>0.3298611111111111</v>
      </c>
      <c r="BU3382" s="2" t="s">
        <v>170</v>
      </c>
      <c r="BV3382" s="2" t="s">
        <v>86</v>
      </c>
      <c r="BW3382" s="2" t="s">
        <v>96</v>
      </c>
      <c r="BX3382" s="2" t="s">
        <v>812</v>
      </c>
      <c r="BY3382" s="2">
        <v>1200</v>
      </c>
      <c r="BZ3382" s="2"/>
      <c r="CA3382" s="2"/>
      <c r="CB3382" s="2"/>
      <c r="CC3382" s="2" t="s">
        <v>261</v>
      </c>
      <c r="CD3382" s="2">
        <v>1451</v>
      </c>
      <c r="CE3382" s="2" t="s">
        <v>118</v>
      </c>
      <c r="CF3382" s="2"/>
      <c r="CG3382" s="2"/>
      <c r="CH3382" s="2"/>
      <c r="CI3382" s="2">
        <v>1</v>
      </c>
      <c r="CJ3382" s="2">
        <v>2</v>
      </c>
      <c r="CK3382" s="2">
        <v>22</v>
      </c>
      <c r="CL3382" s="2" t="s">
        <v>86</v>
      </c>
      <c r="CM3382" s="2"/>
    </row>
    <row r="3383" spans="1:91">
      <c r="A3383" s="2" t="s">
        <v>71</v>
      </c>
      <c r="B3383" s="2" t="s">
        <v>72</v>
      </c>
      <c r="C3383" s="2" t="s">
        <v>73</v>
      </c>
      <c r="D3383" s="2"/>
      <c r="E3383" s="2" t="str">
        <f>"FES1162545604"</f>
        <v>FES1162545604</v>
      </c>
      <c r="F3383" s="3">
        <v>42851</v>
      </c>
      <c r="G3383" s="2">
        <v>201710</v>
      </c>
      <c r="H3383" s="2" t="s">
        <v>74</v>
      </c>
      <c r="I3383" s="2" t="s">
        <v>75</v>
      </c>
      <c r="J3383" s="2" t="s">
        <v>76</v>
      </c>
      <c r="K3383" s="2" t="s">
        <v>77</v>
      </c>
      <c r="L3383" s="2" t="s">
        <v>99</v>
      </c>
      <c r="M3383" s="2" t="s">
        <v>100</v>
      </c>
      <c r="N3383" s="2" t="s">
        <v>108</v>
      </c>
      <c r="O3383" s="2" t="s">
        <v>115</v>
      </c>
      <c r="P3383" s="2" t="str">
        <f>"2170560216                    "</f>
        <v xml:space="preserve">2170560216                    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4.29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1</v>
      </c>
      <c r="BI3383" s="2">
        <v>1</v>
      </c>
      <c r="BJ3383" s="2">
        <v>0.2</v>
      </c>
      <c r="BK3383" s="2">
        <v>1</v>
      </c>
      <c r="BL3383" s="2">
        <v>41.73</v>
      </c>
      <c r="BM3383" s="2">
        <v>5.84</v>
      </c>
      <c r="BN3383" s="2">
        <v>47.57</v>
      </c>
      <c r="BO3383" s="2">
        <v>47.57</v>
      </c>
      <c r="BP3383" s="2"/>
      <c r="BQ3383" s="2" t="s">
        <v>109</v>
      </c>
      <c r="BR3383" s="2" t="s">
        <v>84</v>
      </c>
      <c r="BS3383" s="3">
        <v>42853</v>
      </c>
      <c r="BT3383" s="4">
        <v>0.375</v>
      </c>
      <c r="BU3383" s="2" t="s">
        <v>3001</v>
      </c>
      <c r="BV3383" s="2" t="s">
        <v>86</v>
      </c>
      <c r="BW3383" s="2"/>
      <c r="BX3383" s="2"/>
      <c r="BY3383" s="2">
        <v>1200</v>
      </c>
      <c r="BZ3383" s="2"/>
      <c r="CA3383" s="2" t="s">
        <v>106</v>
      </c>
      <c r="CB3383" s="2"/>
      <c r="CC3383" s="2" t="s">
        <v>100</v>
      </c>
      <c r="CD3383" s="2">
        <v>6001</v>
      </c>
      <c r="CE3383" s="2" t="s">
        <v>118</v>
      </c>
      <c r="CF3383" s="5">
        <v>42853</v>
      </c>
      <c r="CG3383" s="2"/>
      <c r="CH3383" s="2"/>
      <c r="CI3383" s="2">
        <v>1</v>
      </c>
      <c r="CJ3383" s="2">
        <v>2</v>
      </c>
      <c r="CK3383" s="2">
        <v>21</v>
      </c>
      <c r="CL3383" s="2" t="s">
        <v>86</v>
      </c>
      <c r="CM3383" s="2"/>
    </row>
    <row r="3384" spans="1:91">
      <c r="A3384" s="2" t="s">
        <v>71</v>
      </c>
      <c r="B3384" s="2" t="s">
        <v>72</v>
      </c>
      <c r="C3384" s="2" t="s">
        <v>73</v>
      </c>
      <c r="D3384" s="2"/>
      <c r="E3384" s="2" t="str">
        <f>"FES1162545741"</f>
        <v>FES1162545741</v>
      </c>
      <c r="F3384" s="3">
        <v>42851</v>
      </c>
      <c r="G3384" s="2">
        <v>201710</v>
      </c>
      <c r="H3384" s="2" t="s">
        <v>74</v>
      </c>
      <c r="I3384" s="2" t="s">
        <v>75</v>
      </c>
      <c r="J3384" s="2" t="s">
        <v>76</v>
      </c>
      <c r="K3384" s="2" t="s">
        <v>77</v>
      </c>
      <c r="L3384" s="2" t="s">
        <v>112</v>
      </c>
      <c r="M3384" s="2" t="s">
        <v>113</v>
      </c>
      <c r="N3384" s="2" t="s">
        <v>114</v>
      </c>
      <c r="O3384" s="2" t="s">
        <v>115</v>
      </c>
      <c r="P3384" s="2" t="str">
        <f>"2170560954                    "</f>
        <v xml:space="preserve">2170560954                    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17.149999999999999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1</v>
      </c>
      <c r="BI3384" s="2">
        <v>8</v>
      </c>
      <c r="BJ3384" s="2">
        <v>3.6</v>
      </c>
      <c r="BK3384" s="2">
        <v>8</v>
      </c>
      <c r="BL3384" s="2">
        <v>166.91</v>
      </c>
      <c r="BM3384" s="2">
        <v>23.37</v>
      </c>
      <c r="BN3384" s="2">
        <v>190.28</v>
      </c>
      <c r="BO3384" s="2">
        <v>190.28</v>
      </c>
      <c r="BP3384" s="2"/>
      <c r="BQ3384" s="2" t="s">
        <v>116</v>
      </c>
      <c r="BR3384" s="2" t="s">
        <v>84</v>
      </c>
      <c r="BS3384" s="1" t="s">
        <v>1744</v>
      </c>
      <c r="BT3384" s="2"/>
      <c r="BU3384" s="2"/>
      <c r="BV3384" s="2"/>
      <c r="BW3384" s="2"/>
      <c r="BX3384" s="2"/>
      <c r="BY3384" s="2">
        <v>17960.189999999999</v>
      </c>
      <c r="BZ3384" s="2"/>
      <c r="CA3384" s="2"/>
      <c r="CB3384" s="2"/>
      <c r="CC3384" s="2" t="s">
        <v>113</v>
      </c>
      <c r="CD3384" s="2">
        <v>3201</v>
      </c>
      <c r="CE3384" s="2" t="s">
        <v>89</v>
      </c>
      <c r="CF3384" s="2"/>
      <c r="CG3384" s="2"/>
      <c r="CH3384" s="2"/>
      <c r="CI3384" s="2">
        <v>1</v>
      </c>
      <c r="CJ3384" s="2" t="s">
        <v>1744</v>
      </c>
      <c r="CK3384" s="2">
        <v>21</v>
      </c>
      <c r="CL3384" s="2" t="s">
        <v>86</v>
      </c>
      <c r="CM3384" s="2"/>
    </row>
    <row r="3385" spans="1:91">
      <c r="A3385" s="2" t="s">
        <v>71</v>
      </c>
      <c r="B3385" s="2" t="s">
        <v>72</v>
      </c>
      <c r="C3385" s="2" t="s">
        <v>73</v>
      </c>
      <c r="D3385" s="2"/>
      <c r="E3385" s="2" t="str">
        <f>"FES1162545710"</f>
        <v>FES1162545710</v>
      </c>
      <c r="F3385" s="3">
        <v>42851</v>
      </c>
      <c r="G3385" s="2">
        <v>201710</v>
      </c>
      <c r="H3385" s="2" t="s">
        <v>74</v>
      </c>
      <c r="I3385" s="2" t="s">
        <v>75</v>
      </c>
      <c r="J3385" s="2" t="s">
        <v>76</v>
      </c>
      <c r="K3385" s="2" t="s">
        <v>77</v>
      </c>
      <c r="L3385" s="2" t="s">
        <v>934</v>
      </c>
      <c r="M3385" s="2" t="s">
        <v>935</v>
      </c>
      <c r="N3385" s="2" t="s">
        <v>2466</v>
      </c>
      <c r="O3385" s="2" t="s">
        <v>115</v>
      </c>
      <c r="P3385" s="2" t="str">
        <f>"2170564184                    "</f>
        <v xml:space="preserve">2170564184                    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4.29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1</v>
      </c>
      <c r="BI3385" s="2">
        <v>1</v>
      </c>
      <c r="BJ3385" s="2">
        <v>0.2</v>
      </c>
      <c r="BK3385" s="2">
        <v>1</v>
      </c>
      <c r="BL3385" s="2">
        <v>41.73</v>
      </c>
      <c r="BM3385" s="2">
        <v>5.84</v>
      </c>
      <c r="BN3385" s="2">
        <v>47.57</v>
      </c>
      <c r="BO3385" s="2">
        <v>47.57</v>
      </c>
      <c r="BP3385" s="2"/>
      <c r="BQ3385" s="2" t="s">
        <v>2467</v>
      </c>
      <c r="BR3385" s="2" t="s">
        <v>84</v>
      </c>
      <c r="BS3385" s="3">
        <v>42853</v>
      </c>
      <c r="BT3385" s="4">
        <v>0.54166666666666663</v>
      </c>
      <c r="BU3385" s="2" t="s">
        <v>2468</v>
      </c>
      <c r="BV3385" s="2" t="s">
        <v>86</v>
      </c>
      <c r="BW3385" s="2"/>
      <c r="BX3385" s="2"/>
      <c r="BY3385" s="2">
        <v>1200</v>
      </c>
      <c r="BZ3385" s="2"/>
      <c r="CA3385" s="2"/>
      <c r="CB3385" s="2"/>
      <c r="CC3385" s="2" t="s">
        <v>935</v>
      </c>
      <c r="CD3385" s="2">
        <v>1934</v>
      </c>
      <c r="CE3385" s="2" t="s">
        <v>118</v>
      </c>
      <c r="CF3385" s="2"/>
      <c r="CG3385" s="2"/>
      <c r="CH3385" s="2"/>
      <c r="CI3385" s="2">
        <v>1</v>
      </c>
      <c r="CJ3385" s="2">
        <v>2</v>
      </c>
      <c r="CK3385" s="2">
        <v>21</v>
      </c>
      <c r="CL3385" s="2" t="s">
        <v>86</v>
      </c>
      <c r="CM3385" s="2"/>
    </row>
    <row r="3386" spans="1:91">
      <c r="A3386" s="2" t="s">
        <v>71</v>
      </c>
      <c r="B3386" s="2" t="s">
        <v>72</v>
      </c>
      <c r="C3386" s="2" t="s">
        <v>73</v>
      </c>
      <c r="D3386" s="2"/>
      <c r="E3386" s="2" t="str">
        <f>"FES1162545915"</f>
        <v>FES1162545915</v>
      </c>
      <c r="F3386" s="3">
        <v>42851</v>
      </c>
      <c r="G3386" s="2">
        <v>201710</v>
      </c>
      <c r="H3386" s="2" t="s">
        <v>74</v>
      </c>
      <c r="I3386" s="2" t="s">
        <v>75</v>
      </c>
      <c r="J3386" s="2" t="s">
        <v>76</v>
      </c>
      <c r="K3386" s="2" t="s">
        <v>77</v>
      </c>
      <c r="L3386" s="2" t="s">
        <v>99</v>
      </c>
      <c r="M3386" s="2" t="s">
        <v>100</v>
      </c>
      <c r="N3386" s="2" t="s">
        <v>1274</v>
      </c>
      <c r="O3386" s="2" t="s">
        <v>115</v>
      </c>
      <c r="P3386" s="2" t="str">
        <f>"2170564374                    "</f>
        <v xml:space="preserve">2170564374                    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4.29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1</v>
      </c>
      <c r="BJ3386" s="2">
        <v>0.2</v>
      </c>
      <c r="BK3386" s="2">
        <v>1</v>
      </c>
      <c r="BL3386" s="2">
        <v>41.73</v>
      </c>
      <c r="BM3386" s="2">
        <v>5.84</v>
      </c>
      <c r="BN3386" s="2">
        <v>47.57</v>
      </c>
      <c r="BO3386" s="2">
        <v>47.57</v>
      </c>
      <c r="BP3386" s="2"/>
      <c r="BQ3386" s="2" t="s">
        <v>116</v>
      </c>
      <c r="BR3386" s="2" t="s">
        <v>84</v>
      </c>
      <c r="BS3386" s="3">
        <v>42853</v>
      </c>
      <c r="BT3386" s="4">
        <v>0.3923611111111111</v>
      </c>
      <c r="BU3386" s="2" t="s">
        <v>245</v>
      </c>
      <c r="BV3386" s="2" t="s">
        <v>86</v>
      </c>
      <c r="BW3386" s="2"/>
      <c r="BX3386" s="2"/>
      <c r="BY3386" s="2">
        <v>1200</v>
      </c>
      <c r="BZ3386" s="2"/>
      <c r="CA3386" s="2" t="s">
        <v>3390</v>
      </c>
      <c r="CB3386" s="2"/>
      <c r="CC3386" s="2" t="s">
        <v>100</v>
      </c>
      <c r="CD3386" s="2">
        <v>6014</v>
      </c>
      <c r="CE3386" s="2" t="s">
        <v>118</v>
      </c>
      <c r="CF3386" s="5">
        <v>42853</v>
      </c>
      <c r="CG3386" s="2"/>
      <c r="CH3386" s="2"/>
      <c r="CI3386" s="2">
        <v>1</v>
      </c>
      <c r="CJ3386" s="2">
        <v>2</v>
      </c>
      <c r="CK3386" s="2">
        <v>21</v>
      </c>
      <c r="CL3386" s="2" t="s">
        <v>86</v>
      </c>
      <c r="CM3386" s="2"/>
    </row>
    <row r="3387" spans="1:91">
      <c r="A3387" s="2" t="s">
        <v>71</v>
      </c>
      <c r="B3387" s="2" t="s">
        <v>72</v>
      </c>
      <c r="C3387" s="2" t="s">
        <v>73</v>
      </c>
      <c r="D3387" s="2"/>
      <c r="E3387" s="2" t="str">
        <f>"FES1162545775"</f>
        <v>FES1162545775</v>
      </c>
      <c r="F3387" s="3">
        <v>42851</v>
      </c>
      <c r="G3387" s="2">
        <v>201710</v>
      </c>
      <c r="H3387" s="2" t="s">
        <v>74</v>
      </c>
      <c r="I3387" s="2" t="s">
        <v>75</v>
      </c>
      <c r="J3387" s="2" t="s">
        <v>76</v>
      </c>
      <c r="K3387" s="2" t="s">
        <v>77</v>
      </c>
      <c r="L3387" s="2" t="s">
        <v>396</v>
      </c>
      <c r="M3387" s="2" t="s">
        <v>397</v>
      </c>
      <c r="N3387" s="2" t="s">
        <v>500</v>
      </c>
      <c r="O3387" s="2" t="s">
        <v>115</v>
      </c>
      <c r="P3387" s="2" t="str">
        <f>"2170563179                    "</f>
        <v xml:space="preserve">2170563179                    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6.43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1</v>
      </c>
      <c r="BI3387" s="2">
        <v>3</v>
      </c>
      <c r="BJ3387" s="2">
        <v>0.2</v>
      </c>
      <c r="BK3387" s="2">
        <v>3</v>
      </c>
      <c r="BL3387" s="2">
        <v>62.59</v>
      </c>
      <c r="BM3387" s="2">
        <v>8.76</v>
      </c>
      <c r="BN3387" s="2">
        <v>71.349999999999994</v>
      </c>
      <c r="BO3387" s="2">
        <v>71.349999999999994</v>
      </c>
      <c r="BP3387" s="2"/>
      <c r="BQ3387" s="2" t="s">
        <v>501</v>
      </c>
      <c r="BR3387" s="2" t="s">
        <v>84</v>
      </c>
      <c r="BS3387" s="3">
        <v>42853</v>
      </c>
      <c r="BT3387" s="4">
        <v>0.4375</v>
      </c>
      <c r="BU3387" s="2" t="s">
        <v>3391</v>
      </c>
      <c r="BV3387" s="2" t="s">
        <v>86</v>
      </c>
      <c r="BW3387" s="2" t="s">
        <v>2282</v>
      </c>
      <c r="BX3387" s="2" t="s">
        <v>88</v>
      </c>
      <c r="BY3387" s="2">
        <v>1200</v>
      </c>
      <c r="BZ3387" s="2"/>
      <c r="CA3387" s="2"/>
      <c r="CB3387" s="2"/>
      <c r="CC3387" s="2" t="s">
        <v>397</v>
      </c>
      <c r="CD3387" s="2">
        <v>4302</v>
      </c>
      <c r="CE3387" s="2" t="s">
        <v>118</v>
      </c>
      <c r="CF3387" s="2"/>
      <c r="CG3387" s="2"/>
      <c r="CH3387" s="2"/>
      <c r="CI3387" s="2">
        <v>1</v>
      </c>
      <c r="CJ3387" s="2">
        <v>2</v>
      </c>
      <c r="CK3387" s="2">
        <v>21</v>
      </c>
      <c r="CL3387" s="2" t="s">
        <v>86</v>
      </c>
      <c r="CM3387" s="2"/>
    </row>
    <row r="3388" spans="1:91">
      <c r="A3388" s="2" t="s">
        <v>71</v>
      </c>
      <c r="B3388" s="2" t="s">
        <v>72</v>
      </c>
      <c r="C3388" s="2" t="s">
        <v>73</v>
      </c>
      <c r="D3388" s="2"/>
      <c r="E3388" s="2" t="str">
        <f>"FES1162545805"</f>
        <v>FES1162545805</v>
      </c>
      <c r="F3388" s="3">
        <v>42851</v>
      </c>
      <c r="G3388" s="2">
        <v>201710</v>
      </c>
      <c r="H3388" s="2" t="s">
        <v>74</v>
      </c>
      <c r="I3388" s="2" t="s">
        <v>75</v>
      </c>
      <c r="J3388" s="2" t="s">
        <v>76</v>
      </c>
      <c r="K3388" s="2" t="s">
        <v>77</v>
      </c>
      <c r="L3388" s="2" t="s">
        <v>180</v>
      </c>
      <c r="M3388" s="2" t="s">
        <v>181</v>
      </c>
      <c r="N3388" s="2" t="s">
        <v>3392</v>
      </c>
      <c r="O3388" s="2" t="s">
        <v>115</v>
      </c>
      <c r="P3388" s="2" t="str">
        <f>"2170564250                    "</f>
        <v xml:space="preserve">2170564250                    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4.29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1</v>
      </c>
      <c r="BI3388" s="2">
        <v>1</v>
      </c>
      <c r="BJ3388" s="2">
        <v>0.2</v>
      </c>
      <c r="BK3388" s="2">
        <v>1</v>
      </c>
      <c r="BL3388" s="2">
        <v>41.73</v>
      </c>
      <c r="BM3388" s="2">
        <v>5.84</v>
      </c>
      <c r="BN3388" s="2">
        <v>47.57</v>
      </c>
      <c r="BO3388" s="2">
        <v>47.57</v>
      </c>
      <c r="BP3388" s="2"/>
      <c r="BQ3388" s="2" t="s">
        <v>1304</v>
      </c>
      <c r="BR3388" s="2" t="s">
        <v>84</v>
      </c>
      <c r="BS3388" s="3">
        <v>42853</v>
      </c>
      <c r="BT3388" s="4">
        <v>0.41666666666666669</v>
      </c>
      <c r="BU3388" s="2" t="s">
        <v>3393</v>
      </c>
      <c r="BV3388" s="2" t="s">
        <v>86</v>
      </c>
      <c r="BW3388" s="2" t="s">
        <v>164</v>
      </c>
      <c r="BX3388" s="2" t="s">
        <v>2343</v>
      </c>
      <c r="BY3388" s="2">
        <v>1200</v>
      </c>
      <c r="BZ3388" s="2"/>
      <c r="CA3388" s="2"/>
      <c r="CB3388" s="2"/>
      <c r="CC3388" s="2" t="s">
        <v>181</v>
      </c>
      <c r="CD3388" s="2">
        <v>4001</v>
      </c>
      <c r="CE3388" s="2" t="s">
        <v>118</v>
      </c>
      <c r="CF3388" s="2"/>
      <c r="CG3388" s="2"/>
      <c r="CH3388" s="2"/>
      <c r="CI3388" s="2">
        <v>1</v>
      </c>
      <c r="CJ3388" s="2">
        <v>2</v>
      </c>
      <c r="CK3388" s="2">
        <v>21</v>
      </c>
      <c r="CL3388" s="2" t="s">
        <v>86</v>
      </c>
      <c r="CM3388" s="2"/>
    </row>
    <row r="3389" spans="1:91">
      <c r="A3389" s="2" t="s">
        <v>71</v>
      </c>
      <c r="B3389" s="2" t="s">
        <v>72</v>
      </c>
      <c r="C3389" s="2" t="s">
        <v>73</v>
      </c>
      <c r="D3389" s="2"/>
      <c r="E3389" s="2" t="str">
        <f>"FES1162545724"</f>
        <v>FES1162545724</v>
      </c>
      <c r="F3389" s="3">
        <v>42851</v>
      </c>
      <c r="G3389" s="2">
        <v>201710</v>
      </c>
      <c r="H3389" s="2" t="s">
        <v>74</v>
      </c>
      <c r="I3389" s="2" t="s">
        <v>75</v>
      </c>
      <c r="J3389" s="2" t="s">
        <v>76</v>
      </c>
      <c r="K3389" s="2" t="s">
        <v>77</v>
      </c>
      <c r="L3389" s="2" t="s">
        <v>474</v>
      </c>
      <c r="M3389" s="2" t="s">
        <v>475</v>
      </c>
      <c r="N3389" s="2" t="s">
        <v>1001</v>
      </c>
      <c r="O3389" s="2" t="s">
        <v>115</v>
      </c>
      <c r="P3389" s="2" t="str">
        <f>"2170563445                    "</f>
        <v xml:space="preserve">2170563445                    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4.29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1</v>
      </c>
      <c r="BI3389" s="2">
        <v>1</v>
      </c>
      <c r="BJ3389" s="2">
        <v>0.2</v>
      </c>
      <c r="BK3389" s="2">
        <v>1</v>
      </c>
      <c r="BL3389" s="2">
        <v>41.73</v>
      </c>
      <c r="BM3389" s="2">
        <v>5.84</v>
      </c>
      <c r="BN3389" s="2">
        <v>47.57</v>
      </c>
      <c r="BO3389" s="2">
        <v>47.57</v>
      </c>
      <c r="BP3389" s="2"/>
      <c r="BQ3389" s="2" t="s">
        <v>472</v>
      </c>
      <c r="BR3389" s="2" t="s">
        <v>84</v>
      </c>
      <c r="BS3389" s="3">
        <v>42853</v>
      </c>
      <c r="BT3389" s="4">
        <v>0.40347222222222223</v>
      </c>
      <c r="BU3389" s="2" t="s">
        <v>3394</v>
      </c>
      <c r="BV3389" s="2" t="s">
        <v>86</v>
      </c>
      <c r="BW3389" s="2" t="s">
        <v>87</v>
      </c>
      <c r="BX3389" s="2" t="s">
        <v>2283</v>
      </c>
      <c r="BY3389" s="2">
        <v>1200</v>
      </c>
      <c r="BZ3389" s="2"/>
      <c r="CA3389" s="2"/>
      <c r="CB3389" s="2"/>
      <c r="CC3389" s="2" t="s">
        <v>475</v>
      </c>
      <c r="CD3389" s="2">
        <v>3290</v>
      </c>
      <c r="CE3389" s="2" t="s">
        <v>118</v>
      </c>
      <c r="CF3389" s="2"/>
      <c r="CG3389" s="2"/>
      <c r="CH3389" s="2"/>
      <c r="CI3389" s="2">
        <v>1</v>
      </c>
      <c r="CJ3389" s="2">
        <v>2</v>
      </c>
      <c r="CK3389" s="2">
        <v>21</v>
      </c>
      <c r="CL3389" s="2" t="s">
        <v>86</v>
      </c>
      <c r="CM3389" s="2"/>
    </row>
    <row r="3390" spans="1:91">
      <c r="A3390" s="2" t="s">
        <v>71</v>
      </c>
      <c r="B3390" s="2" t="s">
        <v>72</v>
      </c>
      <c r="C3390" s="2" t="s">
        <v>73</v>
      </c>
      <c r="D3390" s="2"/>
      <c r="E3390" s="2" t="str">
        <f>"FES1162545666"</f>
        <v>FES1162545666</v>
      </c>
      <c r="F3390" s="3">
        <v>42851</v>
      </c>
      <c r="G3390" s="2">
        <v>201710</v>
      </c>
      <c r="H3390" s="2" t="s">
        <v>74</v>
      </c>
      <c r="I3390" s="2" t="s">
        <v>75</v>
      </c>
      <c r="J3390" s="2" t="s">
        <v>76</v>
      </c>
      <c r="K3390" s="2" t="s">
        <v>77</v>
      </c>
      <c r="L3390" s="2" t="s">
        <v>180</v>
      </c>
      <c r="M3390" s="2" t="s">
        <v>181</v>
      </c>
      <c r="N3390" s="2" t="s">
        <v>182</v>
      </c>
      <c r="O3390" s="2" t="s">
        <v>115</v>
      </c>
      <c r="P3390" s="2" t="str">
        <f>"2170564099                    "</f>
        <v xml:space="preserve">2170564099                    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4.29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1</v>
      </c>
      <c r="BJ3390" s="2">
        <v>0.2</v>
      </c>
      <c r="BK3390" s="2">
        <v>1</v>
      </c>
      <c r="BL3390" s="2">
        <v>41.73</v>
      </c>
      <c r="BM3390" s="2">
        <v>5.84</v>
      </c>
      <c r="BN3390" s="2">
        <v>47.57</v>
      </c>
      <c r="BO3390" s="2">
        <v>47.57</v>
      </c>
      <c r="BP3390" s="2"/>
      <c r="BQ3390" s="2" t="s">
        <v>183</v>
      </c>
      <c r="BR3390" s="2" t="s">
        <v>84</v>
      </c>
      <c r="BS3390" s="1" t="s">
        <v>1744</v>
      </c>
      <c r="BT3390" s="2"/>
      <c r="BU3390" s="2"/>
      <c r="BV3390" s="2"/>
      <c r="BW3390" s="2"/>
      <c r="BX3390" s="2"/>
      <c r="BY3390" s="2">
        <v>1200</v>
      </c>
      <c r="BZ3390" s="2"/>
      <c r="CA3390" s="2"/>
      <c r="CB3390" s="2"/>
      <c r="CC3390" s="2" t="s">
        <v>181</v>
      </c>
      <c r="CD3390" s="2">
        <v>4001</v>
      </c>
      <c r="CE3390" s="2" t="s">
        <v>118</v>
      </c>
      <c r="CF3390" s="2"/>
      <c r="CG3390" s="2"/>
      <c r="CH3390" s="2"/>
      <c r="CI3390" s="2">
        <v>1</v>
      </c>
      <c r="CJ3390" s="2" t="s">
        <v>1744</v>
      </c>
      <c r="CK3390" s="2">
        <v>21</v>
      </c>
      <c r="CL3390" s="2" t="s">
        <v>86</v>
      </c>
      <c r="CM3390" s="2"/>
    </row>
    <row r="3391" spans="1:91">
      <c r="A3391" s="2" t="s">
        <v>71</v>
      </c>
      <c r="B3391" s="2" t="s">
        <v>72</v>
      </c>
      <c r="C3391" s="2" t="s">
        <v>73</v>
      </c>
      <c r="D3391" s="2"/>
      <c r="E3391" s="2" t="str">
        <f>"FES1162545848"</f>
        <v>FES1162545848</v>
      </c>
      <c r="F3391" s="3">
        <v>42851</v>
      </c>
      <c r="G3391" s="2">
        <v>201710</v>
      </c>
      <c r="H3391" s="2" t="s">
        <v>74</v>
      </c>
      <c r="I3391" s="2" t="s">
        <v>75</v>
      </c>
      <c r="J3391" s="2" t="s">
        <v>76</v>
      </c>
      <c r="K3391" s="2" t="s">
        <v>77</v>
      </c>
      <c r="L3391" s="2" t="s">
        <v>131</v>
      </c>
      <c r="M3391" s="2" t="s">
        <v>132</v>
      </c>
      <c r="N3391" s="2" t="s">
        <v>3395</v>
      </c>
      <c r="O3391" s="2" t="s">
        <v>115</v>
      </c>
      <c r="P3391" s="2" t="str">
        <f>"2170564292                    "</f>
        <v xml:space="preserve">2170564292                    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68.59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1</v>
      </c>
      <c r="BI3391" s="2">
        <v>23.6</v>
      </c>
      <c r="BJ3391" s="2">
        <v>31.7</v>
      </c>
      <c r="BK3391" s="2">
        <v>32</v>
      </c>
      <c r="BL3391" s="2">
        <v>667.63</v>
      </c>
      <c r="BM3391" s="2">
        <v>93.47</v>
      </c>
      <c r="BN3391" s="2">
        <v>761.1</v>
      </c>
      <c r="BO3391" s="2">
        <v>761.1</v>
      </c>
      <c r="BP3391" s="2"/>
      <c r="BQ3391" s="2"/>
      <c r="BR3391" s="2" t="s">
        <v>84</v>
      </c>
      <c r="BS3391" s="3">
        <v>42853</v>
      </c>
      <c r="BT3391" s="4">
        <v>0.50694444444444442</v>
      </c>
      <c r="BU3391" s="2" t="s">
        <v>3396</v>
      </c>
      <c r="BV3391" s="2" t="s">
        <v>86</v>
      </c>
      <c r="BW3391" s="2" t="s">
        <v>157</v>
      </c>
      <c r="BX3391" s="2" t="s">
        <v>1537</v>
      </c>
      <c r="BY3391" s="2">
        <v>158714.63</v>
      </c>
      <c r="BZ3391" s="2"/>
      <c r="CA3391" s="2"/>
      <c r="CB3391" s="2"/>
      <c r="CC3391" s="2" t="s">
        <v>132</v>
      </c>
      <c r="CD3391" s="2">
        <v>7580</v>
      </c>
      <c r="CE3391" s="2" t="s">
        <v>89</v>
      </c>
      <c r="CF3391" s="2"/>
      <c r="CG3391" s="2"/>
      <c r="CH3391" s="2"/>
      <c r="CI3391" s="2">
        <v>1</v>
      </c>
      <c r="CJ3391" s="2">
        <v>2</v>
      </c>
      <c r="CK3391" s="2">
        <v>21</v>
      </c>
      <c r="CL3391" s="2" t="s">
        <v>86</v>
      </c>
      <c r="CM3391" s="2"/>
    </row>
    <row r="3392" spans="1:91">
      <c r="A3392" s="2" t="s">
        <v>71</v>
      </c>
      <c r="B3392" s="2" t="s">
        <v>72</v>
      </c>
      <c r="C3392" s="2" t="s">
        <v>73</v>
      </c>
      <c r="D3392" s="2"/>
      <c r="E3392" s="2" t="str">
        <f>"FES1162545853"</f>
        <v>FES1162545853</v>
      </c>
      <c r="F3392" s="3">
        <v>42851</v>
      </c>
      <c r="G3392" s="2">
        <v>201710</v>
      </c>
      <c r="H3392" s="2" t="s">
        <v>74</v>
      </c>
      <c r="I3392" s="2" t="s">
        <v>75</v>
      </c>
      <c r="J3392" s="2" t="s">
        <v>76</v>
      </c>
      <c r="K3392" s="2" t="s">
        <v>77</v>
      </c>
      <c r="L3392" s="2" t="s">
        <v>176</v>
      </c>
      <c r="M3392" s="2" t="s">
        <v>176</v>
      </c>
      <c r="N3392" s="2" t="s">
        <v>460</v>
      </c>
      <c r="O3392" s="2" t="s">
        <v>115</v>
      </c>
      <c r="P3392" s="2" t="str">
        <f>"2170562189                    "</f>
        <v xml:space="preserve">2170562189                    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4.29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1</v>
      </c>
      <c r="BI3392" s="2">
        <v>1</v>
      </c>
      <c r="BJ3392" s="2">
        <v>0.2</v>
      </c>
      <c r="BK3392" s="2">
        <v>1</v>
      </c>
      <c r="BL3392" s="2">
        <v>41.73</v>
      </c>
      <c r="BM3392" s="2">
        <v>5.84</v>
      </c>
      <c r="BN3392" s="2">
        <v>47.57</v>
      </c>
      <c r="BO3392" s="2">
        <v>47.57</v>
      </c>
      <c r="BP3392" s="2"/>
      <c r="BQ3392" s="2" t="s">
        <v>461</v>
      </c>
      <c r="BR3392" s="2" t="s">
        <v>84</v>
      </c>
      <c r="BS3392" s="3">
        <v>42853</v>
      </c>
      <c r="BT3392" s="4">
        <v>0.47916666666666669</v>
      </c>
      <c r="BU3392" s="2" t="s">
        <v>1819</v>
      </c>
      <c r="BV3392" s="2" t="s">
        <v>86</v>
      </c>
      <c r="BW3392" s="2" t="s">
        <v>87</v>
      </c>
      <c r="BX3392" s="2" t="s">
        <v>1370</v>
      </c>
      <c r="BY3392" s="2">
        <v>1200</v>
      </c>
      <c r="BZ3392" s="2"/>
      <c r="CA3392" s="2"/>
      <c r="CB3392" s="2"/>
      <c r="CC3392" s="2" t="s">
        <v>176</v>
      </c>
      <c r="CD3392" s="2">
        <v>7646</v>
      </c>
      <c r="CE3392" s="2" t="s">
        <v>118</v>
      </c>
      <c r="CF3392" s="2"/>
      <c r="CG3392" s="2"/>
      <c r="CH3392" s="2"/>
      <c r="CI3392" s="2">
        <v>1</v>
      </c>
      <c r="CJ3392" s="2">
        <v>2</v>
      </c>
      <c r="CK3392" s="2">
        <v>21</v>
      </c>
      <c r="CL3392" s="2" t="s">
        <v>86</v>
      </c>
      <c r="CM3392" s="2"/>
    </row>
    <row r="3393" spans="1:91">
      <c r="A3393" s="2" t="s">
        <v>71</v>
      </c>
      <c r="B3393" s="2" t="s">
        <v>72</v>
      </c>
      <c r="C3393" s="2" t="s">
        <v>73</v>
      </c>
      <c r="D3393" s="2"/>
      <c r="E3393" s="2" t="str">
        <f>"FES1162545854"</f>
        <v>FES1162545854</v>
      </c>
      <c r="F3393" s="3">
        <v>42851</v>
      </c>
      <c r="G3393" s="2">
        <v>201710</v>
      </c>
      <c r="H3393" s="2" t="s">
        <v>74</v>
      </c>
      <c r="I3393" s="2" t="s">
        <v>75</v>
      </c>
      <c r="J3393" s="2" t="s">
        <v>76</v>
      </c>
      <c r="K3393" s="2" t="s">
        <v>77</v>
      </c>
      <c r="L3393" s="2" t="s">
        <v>591</v>
      </c>
      <c r="M3393" s="2" t="s">
        <v>592</v>
      </c>
      <c r="N3393" s="2" t="s">
        <v>675</v>
      </c>
      <c r="O3393" s="2" t="s">
        <v>115</v>
      </c>
      <c r="P3393" s="2" t="str">
        <f>"2170562203                    "</f>
        <v xml:space="preserve">2170562203                    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4.29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  <c r="BG3393" s="2">
        <v>0</v>
      </c>
      <c r="BH3393" s="2">
        <v>1</v>
      </c>
      <c r="BI3393" s="2">
        <v>1</v>
      </c>
      <c r="BJ3393" s="2">
        <v>0.2</v>
      </c>
      <c r="BK3393" s="2">
        <v>1</v>
      </c>
      <c r="BL3393" s="2">
        <v>41.73</v>
      </c>
      <c r="BM3393" s="2">
        <v>5.84</v>
      </c>
      <c r="BN3393" s="2">
        <v>47.57</v>
      </c>
      <c r="BO3393" s="2">
        <v>47.57</v>
      </c>
      <c r="BP3393" s="2"/>
      <c r="BQ3393" s="2" t="s">
        <v>129</v>
      </c>
      <c r="BR3393" s="2" t="s">
        <v>84</v>
      </c>
      <c r="BS3393" s="3">
        <v>42853</v>
      </c>
      <c r="BT3393" s="4">
        <v>0.46111111111111108</v>
      </c>
      <c r="BU3393" s="2" t="s">
        <v>2369</v>
      </c>
      <c r="BV3393" s="2" t="s">
        <v>86</v>
      </c>
      <c r="BW3393" s="2" t="s">
        <v>87</v>
      </c>
      <c r="BX3393" s="2" t="s">
        <v>1370</v>
      </c>
      <c r="BY3393" s="2">
        <v>1200</v>
      </c>
      <c r="BZ3393" s="2"/>
      <c r="CA3393" s="2"/>
      <c r="CB3393" s="2"/>
      <c r="CC3393" s="2" t="s">
        <v>592</v>
      </c>
      <c r="CD3393" s="2">
        <v>7600</v>
      </c>
      <c r="CE3393" s="2" t="s">
        <v>118</v>
      </c>
      <c r="CF3393" s="2"/>
      <c r="CG3393" s="2"/>
      <c r="CH3393" s="2"/>
      <c r="CI3393" s="2">
        <v>1</v>
      </c>
      <c r="CJ3393" s="2">
        <v>2</v>
      </c>
      <c r="CK3393" s="2">
        <v>21</v>
      </c>
      <c r="CL3393" s="2" t="s">
        <v>86</v>
      </c>
      <c r="CM3393" s="2"/>
    </row>
    <row r="3394" spans="1:91">
      <c r="A3394" s="2" t="s">
        <v>71</v>
      </c>
      <c r="B3394" s="2" t="s">
        <v>72</v>
      </c>
      <c r="C3394" s="2" t="s">
        <v>73</v>
      </c>
      <c r="D3394" s="2"/>
      <c r="E3394" s="2" t="str">
        <f>"FES1162545806"</f>
        <v>FES1162545806</v>
      </c>
      <c r="F3394" s="3">
        <v>42851</v>
      </c>
      <c r="G3394" s="2">
        <v>201710</v>
      </c>
      <c r="H3394" s="2" t="s">
        <v>74</v>
      </c>
      <c r="I3394" s="2" t="s">
        <v>75</v>
      </c>
      <c r="J3394" s="2" t="s">
        <v>76</v>
      </c>
      <c r="K3394" s="2" t="s">
        <v>77</v>
      </c>
      <c r="L3394" s="2" t="s">
        <v>180</v>
      </c>
      <c r="M3394" s="2" t="s">
        <v>181</v>
      </c>
      <c r="N3394" s="2" t="s">
        <v>348</v>
      </c>
      <c r="O3394" s="2" t="s">
        <v>115</v>
      </c>
      <c r="P3394" s="2" t="str">
        <f>"2170564253                    "</f>
        <v xml:space="preserve">2170564253                    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4.29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1</v>
      </c>
      <c r="BI3394" s="2">
        <v>1</v>
      </c>
      <c r="BJ3394" s="2">
        <v>0.2</v>
      </c>
      <c r="BK3394" s="2">
        <v>1</v>
      </c>
      <c r="BL3394" s="2">
        <v>41.73</v>
      </c>
      <c r="BM3394" s="2">
        <v>5.84</v>
      </c>
      <c r="BN3394" s="2">
        <v>47.57</v>
      </c>
      <c r="BO3394" s="2">
        <v>47.57</v>
      </c>
      <c r="BP3394" s="2"/>
      <c r="BQ3394" s="2" t="s">
        <v>349</v>
      </c>
      <c r="BR3394" s="2" t="s">
        <v>84</v>
      </c>
      <c r="BS3394" s="3">
        <v>42853</v>
      </c>
      <c r="BT3394" s="4">
        <v>0.33333333333333331</v>
      </c>
      <c r="BU3394" s="2" t="s">
        <v>3397</v>
      </c>
      <c r="BV3394" s="2" t="s">
        <v>86</v>
      </c>
      <c r="BW3394" s="2" t="s">
        <v>2282</v>
      </c>
      <c r="BX3394" s="2" t="s">
        <v>88</v>
      </c>
      <c r="BY3394" s="2">
        <v>1200</v>
      </c>
      <c r="BZ3394" s="2"/>
      <c r="CA3394" s="2"/>
      <c r="CB3394" s="2"/>
      <c r="CC3394" s="2" t="s">
        <v>181</v>
      </c>
      <c r="CD3394" s="2">
        <v>4001</v>
      </c>
      <c r="CE3394" s="2" t="s">
        <v>118</v>
      </c>
      <c r="CF3394" s="2"/>
      <c r="CG3394" s="2"/>
      <c r="CH3394" s="2"/>
      <c r="CI3394" s="2">
        <v>1</v>
      </c>
      <c r="CJ3394" s="2">
        <v>2</v>
      </c>
      <c r="CK3394" s="2">
        <v>21</v>
      </c>
      <c r="CL3394" s="2" t="s">
        <v>86</v>
      </c>
      <c r="CM3394" s="2"/>
    </row>
    <row r="3395" spans="1:91">
      <c r="A3395" s="2" t="s">
        <v>71</v>
      </c>
      <c r="B3395" s="2" t="s">
        <v>72</v>
      </c>
      <c r="C3395" s="2" t="s">
        <v>73</v>
      </c>
      <c r="D3395" s="2"/>
      <c r="E3395" s="2" t="str">
        <f>"FES1162545308"</f>
        <v>FES1162545308</v>
      </c>
      <c r="F3395" s="3">
        <v>42851</v>
      </c>
      <c r="G3395" s="2">
        <v>201710</v>
      </c>
      <c r="H3395" s="2" t="s">
        <v>74</v>
      </c>
      <c r="I3395" s="2" t="s">
        <v>75</v>
      </c>
      <c r="J3395" s="2" t="s">
        <v>76</v>
      </c>
      <c r="K3395" s="2" t="s">
        <v>77</v>
      </c>
      <c r="L3395" s="2" t="s">
        <v>166</v>
      </c>
      <c r="M3395" s="2" t="s">
        <v>167</v>
      </c>
      <c r="N3395" s="2" t="s">
        <v>168</v>
      </c>
      <c r="O3395" s="2" t="s">
        <v>115</v>
      </c>
      <c r="P3395" s="2" t="str">
        <f>"2170563785                    "</f>
        <v xml:space="preserve">2170563785                    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3.35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1</v>
      </c>
      <c r="BI3395" s="2">
        <v>1</v>
      </c>
      <c r="BJ3395" s="2">
        <v>0.2</v>
      </c>
      <c r="BK3395" s="2">
        <v>1</v>
      </c>
      <c r="BL3395" s="2">
        <v>32.6</v>
      </c>
      <c r="BM3395" s="2">
        <v>4.5599999999999996</v>
      </c>
      <c r="BN3395" s="2">
        <v>37.159999999999997</v>
      </c>
      <c r="BO3395" s="2">
        <v>37.159999999999997</v>
      </c>
      <c r="BP3395" s="2"/>
      <c r="BQ3395" s="2" t="s">
        <v>169</v>
      </c>
      <c r="BR3395" s="2" t="s">
        <v>84</v>
      </c>
      <c r="BS3395" s="3">
        <v>42853</v>
      </c>
      <c r="BT3395" s="4">
        <v>0.38819444444444445</v>
      </c>
      <c r="BU3395" s="2" t="s">
        <v>1317</v>
      </c>
      <c r="BV3395" s="2" t="s">
        <v>86</v>
      </c>
      <c r="BW3395" s="2" t="s">
        <v>164</v>
      </c>
      <c r="BX3395" s="2" t="s">
        <v>309</v>
      </c>
      <c r="BY3395" s="2">
        <v>1200</v>
      </c>
      <c r="BZ3395" s="2"/>
      <c r="CA3395" s="2" t="s">
        <v>171</v>
      </c>
      <c r="CB3395" s="2"/>
      <c r="CC3395" s="2" t="s">
        <v>167</v>
      </c>
      <c r="CD3395" s="2">
        <v>2094</v>
      </c>
      <c r="CE3395" s="2" t="s">
        <v>118</v>
      </c>
      <c r="CF3395" s="5">
        <v>42853</v>
      </c>
      <c r="CG3395" s="2"/>
      <c r="CH3395" s="2"/>
      <c r="CI3395" s="2">
        <v>1</v>
      </c>
      <c r="CJ3395" s="2">
        <v>2</v>
      </c>
      <c r="CK3395" s="2">
        <v>22</v>
      </c>
      <c r="CL3395" s="2" t="s">
        <v>86</v>
      </c>
      <c r="CM3395" s="2"/>
    </row>
    <row r="3396" spans="1:91">
      <c r="A3396" s="2" t="s">
        <v>71</v>
      </c>
      <c r="B3396" s="2" t="s">
        <v>72</v>
      </c>
      <c r="C3396" s="2" t="s">
        <v>73</v>
      </c>
      <c r="D3396" s="2"/>
      <c r="E3396" s="2" t="str">
        <f>"FES1162545864"</f>
        <v>FES1162545864</v>
      </c>
      <c r="F3396" s="3">
        <v>42851</v>
      </c>
      <c r="G3396" s="2">
        <v>201710</v>
      </c>
      <c r="H3396" s="2" t="s">
        <v>74</v>
      </c>
      <c r="I3396" s="2" t="s">
        <v>75</v>
      </c>
      <c r="J3396" s="2" t="s">
        <v>76</v>
      </c>
      <c r="K3396" s="2" t="s">
        <v>77</v>
      </c>
      <c r="L3396" s="2" t="s">
        <v>176</v>
      </c>
      <c r="M3396" s="2" t="s">
        <v>176</v>
      </c>
      <c r="N3396" s="2" t="s">
        <v>339</v>
      </c>
      <c r="O3396" s="2" t="s">
        <v>115</v>
      </c>
      <c r="P3396" s="2" t="str">
        <f>"2170562459                    "</f>
        <v xml:space="preserve">2170562459                    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4.29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1</v>
      </c>
      <c r="BI3396" s="2">
        <v>1</v>
      </c>
      <c r="BJ3396" s="2">
        <v>0.2</v>
      </c>
      <c r="BK3396" s="2">
        <v>1</v>
      </c>
      <c r="BL3396" s="2">
        <v>41.73</v>
      </c>
      <c r="BM3396" s="2">
        <v>5.84</v>
      </c>
      <c r="BN3396" s="2">
        <v>47.57</v>
      </c>
      <c r="BO3396" s="2">
        <v>47.57</v>
      </c>
      <c r="BP3396" s="2"/>
      <c r="BQ3396" s="2" t="s">
        <v>340</v>
      </c>
      <c r="BR3396" s="2" t="s">
        <v>84</v>
      </c>
      <c r="BS3396" s="1" t="s">
        <v>1744</v>
      </c>
      <c r="BT3396" s="2"/>
      <c r="BU3396" s="2"/>
      <c r="BV3396" s="2"/>
      <c r="BW3396" s="2"/>
      <c r="BX3396" s="2"/>
      <c r="BY3396" s="2">
        <v>1200</v>
      </c>
      <c r="BZ3396" s="2"/>
      <c r="CA3396" s="2"/>
      <c r="CB3396" s="2"/>
      <c r="CC3396" s="2" t="s">
        <v>176</v>
      </c>
      <c r="CD3396" s="2">
        <v>7646</v>
      </c>
      <c r="CE3396" s="2" t="s">
        <v>118</v>
      </c>
      <c r="CF3396" s="2"/>
      <c r="CG3396" s="2"/>
      <c r="CH3396" s="2"/>
      <c r="CI3396" s="2">
        <v>1</v>
      </c>
      <c r="CJ3396" s="2" t="s">
        <v>1744</v>
      </c>
      <c r="CK3396" s="2">
        <v>21</v>
      </c>
      <c r="CL3396" s="2" t="s">
        <v>86</v>
      </c>
      <c r="CM3396" s="2"/>
    </row>
    <row r="3397" spans="1:91">
      <c r="A3397" s="2" t="s">
        <v>71</v>
      </c>
      <c r="B3397" s="2" t="s">
        <v>72</v>
      </c>
      <c r="C3397" s="2" t="s">
        <v>73</v>
      </c>
      <c r="D3397" s="2"/>
      <c r="E3397" s="2" t="str">
        <f>"FES1162545813"</f>
        <v>FES1162545813</v>
      </c>
      <c r="F3397" s="3">
        <v>42851</v>
      </c>
      <c r="G3397" s="2">
        <v>201710</v>
      </c>
      <c r="H3397" s="2" t="s">
        <v>74</v>
      </c>
      <c r="I3397" s="2" t="s">
        <v>75</v>
      </c>
      <c r="J3397" s="2" t="s">
        <v>76</v>
      </c>
      <c r="K3397" s="2" t="s">
        <v>77</v>
      </c>
      <c r="L3397" s="2" t="s">
        <v>1692</v>
      </c>
      <c r="M3397" s="2" t="s">
        <v>1693</v>
      </c>
      <c r="N3397" s="2" t="s">
        <v>2845</v>
      </c>
      <c r="O3397" s="2" t="s">
        <v>115</v>
      </c>
      <c r="P3397" s="2" t="str">
        <f>"2170564259                    "</f>
        <v xml:space="preserve">2170564259                    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4.29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1</v>
      </c>
      <c r="BI3397" s="2">
        <v>1</v>
      </c>
      <c r="BJ3397" s="2">
        <v>0.2</v>
      </c>
      <c r="BK3397" s="2">
        <v>1</v>
      </c>
      <c r="BL3397" s="2">
        <v>41.73</v>
      </c>
      <c r="BM3397" s="2">
        <v>5.84</v>
      </c>
      <c r="BN3397" s="2">
        <v>47.57</v>
      </c>
      <c r="BO3397" s="2">
        <v>47.57</v>
      </c>
      <c r="BP3397" s="2"/>
      <c r="BQ3397" s="2" t="s">
        <v>2846</v>
      </c>
      <c r="BR3397" s="2" t="s">
        <v>84</v>
      </c>
      <c r="BS3397" s="3">
        <v>42853</v>
      </c>
      <c r="BT3397" s="4">
        <v>0.35000000000000003</v>
      </c>
      <c r="BU3397" s="2" t="s">
        <v>3398</v>
      </c>
      <c r="BV3397" s="2" t="s">
        <v>86</v>
      </c>
      <c r="BW3397" s="2" t="s">
        <v>2282</v>
      </c>
      <c r="BX3397" s="2" t="s">
        <v>88</v>
      </c>
      <c r="BY3397" s="2">
        <v>1200</v>
      </c>
      <c r="BZ3397" s="2"/>
      <c r="CA3397" s="2"/>
      <c r="CB3397" s="2"/>
      <c r="CC3397" s="2" t="s">
        <v>1693</v>
      </c>
      <c r="CD3397" s="2">
        <v>4120</v>
      </c>
      <c r="CE3397" s="2" t="s">
        <v>118</v>
      </c>
      <c r="CF3397" s="2"/>
      <c r="CG3397" s="2"/>
      <c r="CH3397" s="2"/>
      <c r="CI3397" s="2">
        <v>1</v>
      </c>
      <c r="CJ3397" s="2">
        <v>2</v>
      </c>
      <c r="CK3397" s="2">
        <v>21</v>
      </c>
      <c r="CL3397" s="2" t="s">
        <v>86</v>
      </c>
      <c r="CM3397" s="2"/>
    </row>
    <row r="3398" spans="1:91">
      <c r="A3398" s="2" t="s">
        <v>71</v>
      </c>
      <c r="B3398" s="2" t="s">
        <v>72</v>
      </c>
      <c r="C3398" s="2" t="s">
        <v>73</v>
      </c>
      <c r="D3398" s="2"/>
      <c r="E3398" s="2" t="str">
        <f>"FES1162545831"</f>
        <v>FES1162545831</v>
      </c>
      <c r="F3398" s="3">
        <v>42851</v>
      </c>
      <c r="G3398" s="2">
        <v>201710</v>
      </c>
      <c r="H3398" s="2" t="s">
        <v>74</v>
      </c>
      <c r="I3398" s="2" t="s">
        <v>75</v>
      </c>
      <c r="J3398" s="2" t="s">
        <v>76</v>
      </c>
      <c r="K3398" s="2" t="s">
        <v>77</v>
      </c>
      <c r="L3398" s="2" t="s">
        <v>1333</v>
      </c>
      <c r="M3398" s="2" t="s">
        <v>1334</v>
      </c>
      <c r="N3398" s="2" t="s">
        <v>1335</v>
      </c>
      <c r="O3398" s="2" t="s">
        <v>115</v>
      </c>
      <c r="P3398" s="2" t="str">
        <f>"2170564164                    "</f>
        <v xml:space="preserve">2170564164                    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8.31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1</v>
      </c>
      <c r="BI3398" s="2">
        <v>1</v>
      </c>
      <c r="BJ3398" s="2">
        <v>0.2</v>
      </c>
      <c r="BK3398" s="2">
        <v>1</v>
      </c>
      <c r="BL3398" s="2">
        <v>80.849999999999994</v>
      </c>
      <c r="BM3398" s="2">
        <v>11.32</v>
      </c>
      <c r="BN3398" s="2">
        <v>92.17</v>
      </c>
      <c r="BO3398" s="2">
        <v>92.17</v>
      </c>
      <c r="BP3398" s="2"/>
      <c r="BQ3398" s="2" t="s">
        <v>116</v>
      </c>
      <c r="BR3398" s="2" t="s">
        <v>84</v>
      </c>
      <c r="BS3398" s="3">
        <v>42853</v>
      </c>
      <c r="BT3398" s="4">
        <v>0.49652777777777773</v>
      </c>
      <c r="BU3398" s="2" t="s">
        <v>1367</v>
      </c>
      <c r="BV3398" s="2" t="s">
        <v>86</v>
      </c>
      <c r="BW3398" s="2" t="s">
        <v>87</v>
      </c>
      <c r="BX3398" s="2" t="s">
        <v>88</v>
      </c>
      <c r="BY3398" s="2">
        <v>1200</v>
      </c>
      <c r="BZ3398" s="2"/>
      <c r="CA3398" s="2"/>
      <c r="CB3398" s="2"/>
      <c r="CC3398" s="2" t="s">
        <v>1334</v>
      </c>
      <c r="CD3398" s="2">
        <v>4449</v>
      </c>
      <c r="CE3398" s="2" t="s">
        <v>118</v>
      </c>
      <c r="CF3398" s="2"/>
      <c r="CG3398" s="2"/>
      <c r="CH3398" s="2"/>
      <c r="CI3398" s="2">
        <v>1</v>
      </c>
      <c r="CJ3398" s="2">
        <v>2</v>
      </c>
      <c r="CK3398" s="2">
        <v>23</v>
      </c>
      <c r="CL3398" s="2" t="s">
        <v>86</v>
      </c>
      <c r="CM3398" s="2"/>
    </row>
    <row r="3399" spans="1:91">
      <c r="A3399" s="2" t="s">
        <v>71</v>
      </c>
      <c r="B3399" s="2" t="s">
        <v>72</v>
      </c>
      <c r="C3399" s="2" t="s">
        <v>73</v>
      </c>
      <c r="D3399" s="2"/>
      <c r="E3399" s="2" t="str">
        <f>"FES1162545900"</f>
        <v>FES1162545900</v>
      </c>
      <c r="F3399" s="3">
        <v>42851</v>
      </c>
      <c r="G3399" s="2">
        <v>201710</v>
      </c>
      <c r="H3399" s="2" t="s">
        <v>74</v>
      </c>
      <c r="I3399" s="2" t="s">
        <v>75</v>
      </c>
      <c r="J3399" s="2" t="s">
        <v>76</v>
      </c>
      <c r="K3399" s="2" t="s">
        <v>77</v>
      </c>
      <c r="L3399" s="2" t="s">
        <v>598</v>
      </c>
      <c r="M3399" s="2" t="s">
        <v>599</v>
      </c>
      <c r="N3399" s="2" t="s">
        <v>600</v>
      </c>
      <c r="O3399" s="2" t="s">
        <v>115</v>
      </c>
      <c r="P3399" s="2" t="str">
        <f>"2170564343                    "</f>
        <v xml:space="preserve">2170564343                    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15.81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1</v>
      </c>
      <c r="BI3399" s="2">
        <v>3.6</v>
      </c>
      <c r="BJ3399" s="2">
        <v>1.6</v>
      </c>
      <c r="BK3399" s="2">
        <v>4</v>
      </c>
      <c r="BL3399" s="2">
        <v>153.87</v>
      </c>
      <c r="BM3399" s="2">
        <v>21.54</v>
      </c>
      <c r="BN3399" s="2">
        <v>175.41</v>
      </c>
      <c r="BO3399" s="2">
        <v>175.41</v>
      </c>
      <c r="BP3399" s="2"/>
      <c r="BQ3399" s="2" t="s">
        <v>601</v>
      </c>
      <c r="BR3399" s="2" t="s">
        <v>84</v>
      </c>
      <c r="BS3399" s="3">
        <v>42853</v>
      </c>
      <c r="BT3399" s="4">
        <v>0.62222222222222223</v>
      </c>
      <c r="BU3399" s="2" t="s">
        <v>602</v>
      </c>
      <c r="BV3399" s="2" t="s">
        <v>111</v>
      </c>
      <c r="BW3399" s="2"/>
      <c r="BX3399" s="2"/>
      <c r="BY3399" s="2">
        <v>7989.74</v>
      </c>
      <c r="BZ3399" s="2"/>
      <c r="CA3399" s="2"/>
      <c r="CB3399" s="2"/>
      <c r="CC3399" s="2" t="s">
        <v>599</v>
      </c>
      <c r="CD3399" s="2">
        <v>3370</v>
      </c>
      <c r="CE3399" s="2" t="s">
        <v>89</v>
      </c>
      <c r="CF3399" s="2"/>
      <c r="CG3399" s="2"/>
      <c r="CH3399" s="2"/>
      <c r="CI3399" s="2">
        <v>3</v>
      </c>
      <c r="CJ3399" s="2">
        <v>2</v>
      </c>
      <c r="CK3399" s="2">
        <v>23</v>
      </c>
      <c r="CL3399" s="2" t="s">
        <v>86</v>
      </c>
      <c r="CM3399" s="2"/>
    </row>
    <row r="3400" spans="1:91">
      <c r="A3400" s="2" t="s">
        <v>71</v>
      </c>
      <c r="B3400" s="2" t="s">
        <v>72</v>
      </c>
      <c r="C3400" s="2" t="s">
        <v>73</v>
      </c>
      <c r="D3400" s="2"/>
      <c r="E3400" s="2" t="str">
        <f>"FES1162545917"</f>
        <v>FES1162545917</v>
      </c>
      <c r="F3400" s="3">
        <v>42851</v>
      </c>
      <c r="G3400" s="2">
        <v>201710</v>
      </c>
      <c r="H3400" s="2" t="s">
        <v>74</v>
      </c>
      <c r="I3400" s="2" t="s">
        <v>75</v>
      </c>
      <c r="J3400" s="2" t="s">
        <v>76</v>
      </c>
      <c r="K3400" s="2" t="s">
        <v>77</v>
      </c>
      <c r="L3400" s="2" t="s">
        <v>3399</v>
      </c>
      <c r="M3400" s="2" t="s">
        <v>3400</v>
      </c>
      <c r="N3400" s="2" t="s">
        <v>3401</v>
      </c>
      <c r="O3400" s="2" t="s">
        <v>115</v>
      </c>
      <c r="P3400" s="2" t="str">
        <f>"2170564299                    "</f>
        <v xml:space="preserve">2170564299                    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10.18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1</v>
      </c>
      <c r="BI3400" s="2">
        <v>2.5</v>
      </c>
      <c r="BJ3400" s="2">
        <v>1.6</v>
      </c>
      <c r="BK3400" s="2">
        <v>2.5</v>
      </c>
      <c r="BL3400" s="2">
        <v>99.1</v>
      </c>
      <c r="BM3400" s="2">
        <v>13.87</v>
      </c>
      <c r="BN3400" s="2">
        <v>112.97</v>
      </c>
      <c r="BO3400" s="2">
        <v>112.97</v>
      </c>
      <c r="BP3400" s="2"/>
      <c r="BQ3400" s="2" t="s">
        <v>310</v>
      </c>
      <c r="BR3400" s="2" t="s">
        <v>84</v>
      </c>
      <c r="BS3400" s="1" t="s">
        <v>1744</v>
      </c>
      <c r="BT3400" s="2"/>
      <c r="BU3400" s="2"/>
      <c r="BV3400" s="2"/>
      <c r="BW3400" s="2"/>
      <c r="BX3400" s="2"/>
      <c r="BY3400" s="2">
        <v>8040.31</v>
      </c>
      <c r="BZ3400" s="2"/>
      <c r="CA3400" s="2"/>
      <c r="CB3400" s="2"/>
      <c r="CC3400" s="2" t="s">
        <v>3400</v>
      </c>
      <c r="CD3400" s="2">
        <v>7395</v>
      </c>
      <c r="CE3400" s="2" t="s">
        <v>89</v>
      </c>
      <c r="CF3400" s="2"/>
      <c r="CG3400" s="2"/>
      <c r="CH3400" s="2"/>
      <c r="CI3400" s="2">
        <v>3</v>
      </c>
      <c r="CJ3400" s="2" t="s">
        <v>1744</v>
      </c>
      <c r="CK3400" s="2">
        <v>23</v>
      </c>
      <c r="CL3400" s="2" t="s">
        <v>86</v>
      </c>
      <c r="CM3400" s="2"/>
    </row>
    <row r="3401" spans="1:91">
      <c r="A3401" s="2" t="s">
        <v>71</v>
      </c>
      <c r="B3401" s="2" t="s">
        <v>72</v>
      </c>
      <c r="C3401" s="2" t="s">
        <v>73</v>
      </c>
      <c r="D3401" s="2"/>
      <c r="E3401" s="2" t="str">
        <f>"FES1162545918"</f>
        <v>FES1162545918</v>
      </c>
      <c r="F3401" s="3">
        <v>42851</v>
      </c>
      <c r="G3401" s="2">
        <v>201710</v>
      </c>
      <c r="H3401" s="2" t="s">
        <v>74</v>
      </c>
      <c r="I3401" s="2" t="s">
        <v>75</v>
      </c>
      <c r="J3401" s="2" t="s">
        <v>76</v>
      </c>
      <c r="K3401" s="2" t="s">
        <v>77</v>
      </c>
      <c r="L3401" s="2" t="s">
        <v>131</v>
      </c>
      <c r="M3401" s="2" t="s">
        <v>132</v>
      </c>
      <c r="N3401" s="2" t="s">
        <v>3402</v>
      </c>
      <c r="O3401" s="2" t="s">
        <v>115</v>
      </c>
      <c r="P3401" s="2" t="str">
        <f>"2170564377                    "</f>
        <v xml:space="preserve">2170564377                    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4.29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1</v>
      </c>
      <c r="BI3401" s="2">
        <v>1</v>
      </c>
      <c r="BJ3401" s="2">
        <v>0.2</v>
      </c>
      <c r="BK3401" s="2">
        <v>1</v>
      </c>
      <c r="BL3401" s="2">
        <v>41.73</v>
      </c>
      <c r="BM3401" s="2">
        <v>5.84</v>
      </c>
      <c r="BN3401" s="2">
        <v>47.57</v>
      </c>
      <c r="BO3401" s="2">
        <v>47.57</v>
      </c>
      <c r="BP3401" s="2"/>
      <c r="BQ3401" s="2" t="s">
        <v>3403</v>
      </c>
      <c r="BR3401" s="2" t="s">
        <v>84</v>
      </c>
      <c r="BS3401" s="3">
        <v>42853</v>
      </c>
      <c r="BT3401" s="4">
        <v>0.43055555555555558</v>
      </c>
      <c r="BU3401" s="2" t="s">
        <v>3404</v>
      </c>
      <c r="BV3401" s="2" t="s">
        <v>86</v>
      </c>
      <c r="BW3401" s="2" t="s">
        <v>157</v>
      </c>
      <c r="BX3401" s="2" t="s">
        <v>1537</v>
      </c>
      <c r="BY3401" s="2">
        <v>1200</v>
      </c>
      <c r="BZ3401" s="2"/>
      <c r="CA3401" s="2" t="s">
        <v>2870</v>
      </c>
      <c r="CB3401" s="2"/>
      <c r="CC3401" s="2" t="s">
        <v>132</v>
      </c>
      <c r="CD3401" s="2">
        <v>7460</v>
      </c>
      <c r="CE3401" s="2" t="s">
        <v>118</v>
      </c>
      <c r="CF3401" s="5">
        <v>42853</v>
      </c>
      <c r="CG3401" s="2"/>
      <c r="CH3401" s="2"/>
      <c r="CI3401" s="2">
        <v>1</v>
      </c>
      <c r="CJ3401" s="2">
        <v>2</v>
      </c>
      <c r="CK3401" s="2">
        <v>21</v>
      </c>
      <c r="CL3401" s="2" t="s">
        <v>86</v>
      </c>
      <c r="CM3401" s="2"/>
    </row>
    <row r="3402" spans="1:91">
      <c r="A3402" s="2" t="s">
        <v>71</v>
      </c>
      <c r="B3402" s="2" t="s">
        <v>72</v>
      </c>
      <c r="C3402" s="2" t="s">
        <v>73</v>
      </c>
      <c r="D3402" s="2"/>
      <c r="E3402" s="2" t="str">
        <f>"FES1162545712"</f>
        <v>FES1162545712</v>
      </c>
      <c r="F3402" s="3">
        <v>42851</v>
      </c>
      <c r="G3402" s="2">
        <v>201710</v>
      </c>
      <c r="H3402" s="2" t="s">
        <v>74</v>
      </c>
      <c r="I3402" s="2" t="s">
        <v>75</v>
      </c>
      <c r="J3402" s="2" t="s">
        <v>76</v>
      </c>
      <c r="K3402" s="2" t="s">
        <v>77</v>
      </c>
      <c r="L3402" s="2" t="s">
        <v>294</v>
      </c>
      <c r="M3402" s="2" t="s">
        <v>295</v>
      </c>
      <c r="N3402" s="2" t="s">
        <v>728</v>
      </c>
      <c r="O3402" s="2" t="s">
        <v>115</v>
      </c>
      <c r="P3402" s="2" t="str">
        <f>"2170564186                    "</f>
        <v xml:space="preserve">2170564186                    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4.29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1</v>
      </c>
      <c r="BI3402" s="2">
        <v>1</v>
      </c>
      <c r="BJ3402" s="2">
        <v>0.2</v>
      </c>
      <c r="BK3402" s="2">
        <v>1</v>
      </c>
      <c r="BL3402" s="2">
        <v>41.73</v>
      </c>
      <c r="BM3402" s="2">
        <v>5.84</v>
      </c>
      <c r="BN3402" s="2">
        <v>47.57</v>
      </c>
      <c r="BO3402" s="2">
        <v>47.57</v>
      </c>
      <c r="BP3402" s="2"/>
      <c r="BQ3402" s="2" t="s">
        <v>729</v>
      </c>
      <c r="BR3402" s="2" t="s">
        <v>84</v>
      </c>
      <c r="BS3402" s="1" t="s">
        <v>1744</v>
      </c>
      <c r="BT3402" s="2"/>
      <c r="BU3402" s="2"/>
      <c r="BV3402" s="2"/>
      <c r="BW3402" s="2"/>
      <c r="BX3402" s="2"/>
      <c r="BY3402" s="2">
        <v>1200</v>
      </c>
      <c r="BZ3402" s="2"/>
      <c r="CA3402" s="2"/>
      <c r="CB3402" s="2"/>
      <c r="CC3402" s="2" t="s">
        <v>295</v>
      </c>
      <c r="CD3402" s="2">
        <v>3610</v>
      </c>
      <c r="CE3402" s="2" t="s">
        <v>118</v>
      </c>
      <c r="CF3402" s="2"/>
      <c r="CG3402" s="2"/>
      <c r="CH3402" s="2"/>
      <c r="CI3402" s="2">
        <v>1</v>
      </c>
      <c r="CJ3402" s="2" t="s">
        <v>1744</v>
      </c>
      <c r="CK3402" s="2">
        <v>21</v>
      </c>
      <c r="CL3402" s="2" t="s">
        <v>86</v>
      </c>
      <c r="CM3402" s="2"/>
    </row>
    <row r="3403" spans="1:91">
      <c r="A3403" s="2" t="s">
        <v>71</v>
      </c>
      <c r="B3403" s="2" t="s">
        <v>72</v>
      </c>
      <c r="C3403" s="2" t="s">
        <v>73</v>
      </c>
      <c r="D3403" s="2"/>
      <c r="E3403" s="2" t="str">
        <f>"FES1162545842"</f>
        <v>FES1162545842</v>
      </c>
      <c r="F3403" s="3">
        <v>42851</v>
      </c>
      <c r="G3403" s="2">
        <v>201710</v>
      </c>
      <c r="H3403" s="2" t="s">
        <v>74</v>
      </c>
      <c r="I3403" s="2" t="s">
        <v>75</v>
      </c>
      <c r="J3403" s="2" t="s">
        <v>76</v>
      </c>
      <c r="K3403" s="2" t="s">
        <v>77</v>
      </c>
      <c r="L3403" s="2" t="s">
        <v>119</v>
      </c>
      <c r="M3403" s="2" t="s">
        <v>120</v>
      </c>
      <c r="N3403" s="2" t="s">
        <v>121</v>
      </c>
      <c r="O3403" s="2" t="s">
        <v>115</v>
      </c>
      <c r="P3403" s="2" t="str">
        <f>"2170564303                    "</f>
        <v xml:space="preserve">2170564303                    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3.35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1</v>
      </c>
      <c r="BI3403" s="2">
        <v>1</v>
      </c>
      <c r="BJ3403" s="2">
        <v>0.2</v>
      </c>
      <c r="BK3403" s="2">
        <v>1</v>
      </c>
      <c r="BL3403" s="2">
        <v>32.6</v>
      </c>
      <c r="BM3403" s="2">
        <v>4.5599999999999996</v>
      </c>
      <c r="BN3403" s="2">
        <v>37.159999999999997</v>
      </c>
      <c r="BO3403" s="2">
        <v>37.159999999999997</v>
      </c>
      <c r="BP3403" s="2"/>
      <c r="BQ3403" s="2" t="s">
        <v>122</v>
      </c>
      <c r="BR3403" s="2" t="s">
        <v>84</v>
      </c>
      <c r="BS3403" s="3">
        <v>42853</v>
      </c>
      <c r="BT3403" s="4">
        <v>0.38958333333333334</v>
      </c>
      <c r="BU3403" s="2" t="s">
        <v>124</v>
      </c>
      <c r="BV3403" s="2" t="s">
        <v>86</v>
      </c>
      <c r="BW3403" s="2" t="s">
        <v>164</v>
      </c>
      <c r="BX3403" s="2" t="s">
        <v>309</v>
      </c>
      <c r="BY3403" s="2">
        <v>1200</v>
      </c>
      <c r="BZ3403" s="2"/>
      <c r="CA3403" s="2" t="s">
        <v>125</v>
      </c>
      <c r="CB3403" s="2"/>
      <c r="CC3403" s="2" t="s">
        <v>120</v>
      </c>
      <c r="CD3403" s="2">
        <v>2163</v>
      </c>
      <c r="CE3403" s="2" t="s">
        <v>118</v>
      </c>
      <c r="CF3403" s="2"/>
      <c r="CG3403" s="2"/>
      <c r="CH3403" s="2"/>
      <c r="CI3403" s="2">
        <v>1</v>
      </c>
      <c r="CJ3403" s="2">
        <v>2</v>
      </c>
      <c r="CK3403" s="2">
        <v>22</v>
      </c>
      <c r="CL3403" s="2" t="s">
        <v>86</v>
      </c>
      <c r="CM3403" s="2"/>
    </row>
    <row r="3404" spans="1:91">
      <c r="A3404" s="2" t="s">
        <v>71</v>
      </c>
      <c r="B3404" s="2" t="s">
        <v>72</v>
      </c>
      <c r="C3404" s="2" t="s">
        <v>73</v>
      </c>
      <c r="D3404" s="2"/>
      <c r="E3404" s="2" t="str">
        <f>"FES1162545642"</f>
        <v>FES1162545642</v>
      </c>
      <c r="F3404" s="3">
        <v>42851</v>
      </c>
      <c r="G3404" s="2">
        <v>201710</v>
      </c>
      <c r="H3404" s="2" t="s">
        <v>74</v>
      </c>
      <c r="I3404" s="2" t="s">
        <v>75</v>
      </c>
      <c r="J3404" s="2" t="s">
        <v>76</v>
      </c>
      <c r="K3404" s="2" t="s">
        <v>77</v>
      </c>
      <c r="L3404" s="2" t="s">
        <v>112</v>
      </c>
      <c r="M3404" s="2" t="s">
        <v>113</v>
      </c>
      <c r="N3404" s="2" t="s">
        <v>114</v>
      </c>
      <c r="O3404" s="2" t="s">
        <v>115</v>
      </c>
      <c r="P3404" s="2" t="str">
        <f>"2170562030                    "</f>
        <v xml:space="preserve">2170562030                    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4.29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1</v>
      </c>
      <c r="BI3404" s="2">
        <v>1</v>
      </c>
      <c r="BJ3404" s="2">
        <v>0.2</v>
      </c>
      <c r="BK3404" s="2">
        <v>1</v>
      </c>
      <c r="BL3404" s="2">
        <v>41.73</v>
      </c>
      <c r="BM3404" s="2">
        <v>5.84</v>
      </c>
      <c r="BN3404" s="2">
        <v>47.57</v>
      </c>
      <c r="BO3404" s="2">
        <v>47.57</v>
      </c>
      <c r="BP3404" s="2"/>
      <c r="BQ3404" s="2" t="s">
        <v>116</v>
      </c>
      <c r="BR3404" s="2" t="s">
        <v>84</v>
      </c>
      <c r="BS3404" s="1" t="s">
        <v>1744</v>
      </c>
      <c r="BT3404" s="2"/>
      <c r="BU3404" s="2"/>
      <c r="BV3404" s="2"/>
      <c r="BW3404" s="2"/>
      <c r="BX3404" s="2"/>
      <c r="BY3404" s="2">
        <v>1200</v>
      </c>
      <c r="BZ3404" s="2"/>
      <c r="CA3404" s="2"/>
      <c r="CB3404" s="2"/>
      <c r="CC3404" s="2" t="s">
        <v>113</v>
      </c>
      <c r="CD3404" s="2">
        <v>3201</v>
      </c>
      <c r="CE3404" s="2" t="s">
        <v>118</v>
      </c>
      <c r="CF3404" s="2"/>
      <c r="CG3404" s="2"/>
      <c r="CH3404" s="2"/>
      <c r="CI3404" s="2">
        <v>1</v>
      </c>
      <c r="CJ3404" s="2" t="s">
        <v>1744</v>
      </c>
      <c r="CK3404" s="2">
        <v>21</v>
      </c>
      <c r="CL3404" s="2" t="s">
        <v>86</v>
      </c>
      <c r="CM3404" s="2"/>
    </row>
    <row r="3405" spans="1:91">
      <c r="A3405" s="2" t="s">
        <v>71</v>
      </c>
      <c r="B3405" s="2" t="s">
        <v>72</v>
      </c>
      <c r="C3405" s="2" t="s">
        <v>73</v>
      </c>
      <c r="D3405" s="2"/>
      <c r="E3405" s="2" t="str">
        <f>"FES1162545819"</f>
        <v>FES1162545819</v>
      </c>
      <c r="F3405" s="3">
        <v>42851</v>
      </c>
      <c r="G3405" s="2">
        <v>201710</v>
      </c>
      <c r="H3405" s="2" t="s">
        <v>74</v>
      </c>
      <c r="I3405" s="2" t="s">
        <v>75</v>
      </c>
      <c r="J3405" s="2" t="s">
        <v>76</v>
      </c>
      <c r="K3405" s="2" t="s">
        <v>77</v>
      </c>
      <c r="L3405" s="2" t="s">
        <v>180</v>
      </c>
      <c r="M3405" s="2" t="s">
        <v>181</v>
      </c>
      <c r="N3405" s="2" t="s">
        <v>839</v>
      </c>
      <c r="O3405" s="2" t="s">
        <v>115</v>
      </c>
      <c r="P3405" s="2" t="str">
        <f>"2170564272                    "</f>
        <v xml:space="preserve">2170564272                    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4.29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1</v>
      </c>
      <c r="BI3405" s="2">
        <v>1</v>
      </c>
      <c r="BJ3405" s="2">
        <v>0.2</v>
      </c>
      <c r="BK3405" s="2">
        <v>1</v>
      </c>
      <c r="BL3405" s="2">
        <v>41.73</v>
      </c>
      <c r="BM3405" s="2">
        <v>5.84</v>
      </c>
      <c r="BN3405" s="2">
        <v>47.57</v>
      </c>
      <c r="BO3405" s="2">
        <v>47.57</v>
      </c>
      <c r="BP3405" s="2"/>
      <c r="BQ3405" s="2" t="s">
        <v>840</v>
      </c>
      <c r="BR3405" s="2" t="s">
        <v>84</v>
      </c>
      <c r="BS3405" s="3">
        <v>42853</v>
      </c>
      <c r="BT3405" s="4">
        <v>0.40347222222222223</v>
      </c>
      <c r="BU3405" s="2" t="s">
        <v>3387</v>
      </c>
      <c r="BV3405" s="2" t="s">
        <v>86</v>
      </c>
      <c r="BW3405" s="2" t="s">
        <v>2282</v>
      </c>
      <c r="BX3405" s="2" t="s">
        <v>88</v>
      </c>
      <c r="BY3405" s="2">
        <v>1200</v>
      </c>
      <c r="BZ3405" s="2"/>
      <c r="CA3405" s="2"/>
      <c r="CB3405" s="2"/>
      <c r="CC3405" s="2" t="s">
        <v>181</v>
      </c>
      <c r="CD3405" s="2">
        <v>4052</v>
      </c>
      <c r="CE3405" s="2" t="s">
        <v>118</v>
      </c>
      <c r="CF3405" s="2"/>
      <c r="CG3405" s="2"/>
      <c r="CH3405" s="2"/>
      <c r="CI3405" s="2">
        <v>1</v>
      </c>
      <c r="CJ3405" s="2">
        <v>2</v>
      </c>
      <c r="CK3405" s="2">
        <v>21</v>
      </c>
      <c r="CL3405" s="2" t="s">
        <v>86</v>
      </c>
      <c r="CM3405" s="2"/>
    </row>
    <row r="3406" spans="1:91">
      <c r="A3406" s="2" t="s">
        <v>71</v>
      </c>
      <c r="B3406" s="2" t="s">
        <v>72</v>
      </c>
      <c r="C3406" s="2" t="s">
        <v>73</v>
      </c>
      <c r="D3406" s="2"/>
      <c r="E3406" s="2" t="str">
        <f>"FES1162545905"</f>
        <v>FES1162545905</v>
      </c>
      <c r="F3406" s="3">
        <v>42851</v>
      </c>
      <c r="G3406" s="2">
        <v>201710</v>
      </c>
      <c r="H3406" s="2" t="s">
        <v>74</v>
      </c>
      <c r="I3406" s="2" t="s">
        <v>75</v>
      </c>
      <c r="J3406" s="2" t="s">
        <v>76</v>
      </c>
      <c r="K3406" s="2" t="s">
        <v>77</v>
      </c>
      <c r="L3406" s="2" t="s">
        <v>187</v>
      </c>
      <c r="M3406" s="2" t="s">
        <v>146</v>
      </c>
      <c r="N3406" s="2" t="s">
        <v>768</v>
      </c>
      <c r="O3406" s="2" t="s">
        <v>115</v>
      </c>
      <c r="P3406" s="2" t="str">
        <f>"2170564371                    "</f>
        <v xml:space="preserve">2170564371                    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7.5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1</v>
      </c>
      <c r="BI3406" s="2">
        <v>2.8</v>
      </c>
      <c r="BJ3406" s="2">
        <v>3.2</v>
      </c>
      <c r="BK3406" s="2">
        <v>3.5</v>
      </c>
      <c r="BL3406" s="2">
        <v>73.02</v>
      </c>
      <c r="BM3406" s="2">
        <v>10.220000000000001</v>
      </c>
      <c r="BN3406" s="2">
        <v>83.24</v>
      </c>
      <c r="BO3406" s="2">
        <v>83.24</v>
      </c>
      <c r="BP3406" s="2"/>
      <c r="BQ3406" s="2" t="s">
        <v>769</v>
      </c>
      <c r="BR3406" s="2" t="s">
        <v>84</v>
      </c>
      <c r="BS3406" s="3">
        <v>42853</v>
      </c>
      <c r="BT3406" s="4">
        <v>0.38194444444444442</v>
      </c>
      <c r="BU3406" s="2" t="s">
        <v>3405</v>
      </c>
      <c r="BV3406" s="2" t="s">
        <v>86</v>
      </c>
      <c r="BW3406" s="2"/>
      <c r="BX3406" s="2"/>
      <c r="BY3406" s="2">
        <v>16061.5</v>
      </c>
      <c r="BZ3406" s="2"/>
      <c r="CA3406" s="2"/>
      <c r="CB3406" s="2"/>
      <c r="CC3406" s="2" t="s">
        <v>146</v>
      </c>
      <c r="CD3406" s="2">
        <v>182</v>
      </c>
      <c r="CE3406" s="2" t="s">
        <v>89</v>
      </c>
      <c r="CF3406" s="2"/>
      <c r="CG3406" s="2"/>
      <c r="CH3406" s="2"/>
      <c r="CI3406" s="2">
        <v>1</v>
      </c>
      <c r="CJ3406" s="2">
        <v>2</v>
      </c>
      <c r="CK3406" s="2">
        <v>21</v>
      </c>
      <c r="CL3406" s="2" t="s">
        <v>86</v>
      </c>
      <c r="CM3406" s="2"/>
    </row>
    <row r="3407" spans="1:91">
      <c r="A3407" s="2" t="s">
        <v>71</v>
      </c>
      <c r="B3407" s="2" t="s">
        <v>72</v>
      </c>
      <c r="C3407" s="2" t="s">
        <v>73</v>
      </c>
      <c r="D3407" s="2"/>
      <c r="E3407" s="2" t="str">
        <f>"FES1162545631"</f>
        <v>FES1162545631</v>
      </c>
      <c r="F3407" s="3">
        <v>42851</v>
      </c>
      <c r="G3407" s="2">
        <v>201710</v>
      </c>
      <c r="H3407" s="2" t="s">
        <v>74</v>
      </c>
      <c r="I3407" s="2" t="s">
        <v>75</v>
      </c>
      <c r="J3407" s="2" t="s">
        <v>76</v>
      </c>
      <c r="K3407" s="2" t="s">
        <v>77</v>
      </c>
      <c r="L3407" s="2" t="s">
        <v>112</v>
      </c>
      <c r="M3407" s="2" t="s">
        <v>113</v>
      </c>
      <c r="N3407" s="2" t="s">
        <v>114</v>
      </c>
      <c r="O3407" s="2" t="s">
        <v>115</v>
      </c>
      <c r="P3407" s="2" t="str">
        <f>"2170561526                    "</f>
        <v xml:space="preserve">2170561526                    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4.29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1</v>
      </c>
      <c r="BI3407" s="2">
        <v>1</v>
      </c>
      <c r="BJ3407" s="2">
        <v>0.2</v>
      </c>
      <c r="BK3407" s="2">
        <v>1</v>
      </c>
      <c r="BL3407" s="2">
        <v>41.73</v>
      </c>
      <c r="BM3407" s="2">
        <v>5.84</v>
      </c>
      <c r="BN3407" s="2">
        <v>47.57</v>
      </c>
      <c r="BO3407" s="2">
        <v>47.57</v>
      </c>
      <c r="BP3407" s="2"/>
      <c r="BQ3407" s="2" t="s">
        <v>116</v>
      </c>
      <c r="BR3407" s="2" t="s">
        <v>84</v>
      </c>
      <c r="BS3407" s="1" t="s">
        <v>1744</v>
      </c>
      <c r="BT3407" s="2"/>
      <c r="BU3407" s="2"/>
      <c r="BV3407" s="2"/>
      <c r="BW3407" s="2"/>
      <c r="BX3407" s="2"/>
      <c r="BY3407" s="2">
        <v>1200</v>
      </c>
      <c r="BZ3407" s="2"/>
      <c r="CA3407" s="2"/>
      <c r="CB3407" s="2"/>
      <c r="CC3407" s="2" t="s">
        <v>113</v>
      </c>
      <c r="CD3407" s="2">
        <v>3201</v>
      </c>
      <c r="CE3407" s="2" t="s">
        <v>118</v>
      </c>
      <c r="CF3407" s="2"/>
      <c r="CG3407" s="2"/>
      <c r="CH3407" s="2"/>
      <c r="CI3407" s="2">
        <v>1</v>
      </c>
      <c r="CJ3407" s="2" t="s">
        <v>1744</v>
      </c>
      <c r="CK3407" s="2">
        <v>21</v>
      </c>
      <c r="CL3407" s="2" t="s">
        <v>86</v>
      </c>
      <c r="CM3407" s="2"/>
    </row>
    <row r="3408" spans="1:91">
      <c r="A3408" s="2" t="s">
        <v>71</v>
      </c>
      <c r="B3408" s="2" t="s">
        <v>72</v>
      </c>
      <c r="C3408" s="2" t="s">
        <v>73</v>
      </c>
      <c r="D3408" s="2"/>
      <c r="E3408" s="2" t="str">
        <f>"FES1162545665"</f>
        <v>FES1162545665</v>
      </c>
      <c r="F3408" s="3">
        <v>42851</v>
      </c>
      <c r="G3408" s="2">
        <v>201710</v>
      </c>
      <c r="H3408" s="2" t="s">
        <v>74</v>
      </c>
      <c r="I3408" s="2" t="s">
        <v>75</v>
      </c>
      <c r="J3408" s="2" t="s">
        <v>76</v>
      </c>
      <c r="K3408" s="2" t="s">
        <v>77</v>
      </c>
      <c r="L3408" s="2" t="s">
        <v>180</v>
      </c>
      <c r="M3408" s="2" t="s">
        <v>181</v>
      </c>
      <c r="N3408" s="2" t="s">
        <v>3406</v>
      </c>
      <c r="O3408" s="2" t="s">
        <v>115</v>
      </c>
      <c r="P3408" s="2" t="str">
        <f>"217056093                     "</f>
        <v xml:space="preserve">217056093                     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16.079999999999998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1</v>
      </c>
      <c r="BI3408" s="2">
        <v>1.2</v>
      </c>
      <c r="BJ3408" s="2">
        <v>7.4</v>
      </c>
      <c r="BK3408" s="2">
        <v>7.5</v>
      </c>
      <c r="BL3408" s="2">
        <v>156.47999999999999</v>
      </c>
      <c r="BM3408" s="2">
        <v>21.91</v>
      </c>
      <c r="BN3408" s="2">
        <v>178.39</v>
      </c>
      <c r="BO3408" s="2">
        <v>178.39</v>
      </c>
      <c r="BP3408" s="2"/>
      <c r="BQ3408" s="2" t="s">
        <v>129</v>
      </c>
      <c r="BR3408" s="2" t="s">
        <v>84</v>
      </c>
      <c r="BS3408" s="3">
        <v>42853</v>
      </c>
      <c r="BT3408" s="4">
        <v>0.34375</v>
      </c>
      <c r="BU3408" s="2" t="s">
        <v>3407</v>
      </c>
      <c r="BV3408" s="2" t="s">
        <v>86</v>
      </c>
      <c r="BW3408" s="2" t="s">
        <v>2282</v>
      </c>
      <c r="BX3408" s="2" t="s">
        <v>88</v>
      </c>
      <c r="BY3408" s="2">
        <v>37218.6</v>
      </c>
      <c r="BZ3408" s="2"/>
      <c r="CA3408" s="2"/>
      <c r="CB3408" s="2"/>
      <c r="CC3408" s="2" t="s">
        <v>181</v>
      </c>
      <c r="CD3408" s="2">
        <v>4052</v>
      </c>
      <c r="CE3408" s="2" t="s">
        <v>118</v>
      </c>
      <c r="CF3408" s="2"/>
      <c r="CG3408" s="2"/>
      <c r="CH3408" s="2"/>
      <c r="CI3408" s="2">
        <v>1</v>
      </c>
      <c r="CJ3408" s="2">
        <v>2</v>
      </c>
      <c r="CK3408" s="2">
        <v>21</v>
      </c>
      <c r="CL3408" s="2" t="s">
        <v>86</v>
      </c>
      <c r="CM3408" s="2"/>
    </row>
    <row r="3409" spans="1:91">
      <c r="A3409" s="2" t="s">
        <v>71</v>
      </c>
      <c r="B3409" s="2" t="s">
        <v>72</v>
      </c>
      <c r="C3409" s="2" t="s">
        <v>73</v>
      </c>
      <c r="D3409" s="2"/>
      <c r="E3409" s="2" t="str">
        <f>"FES1162545846"</f>
        <v>FES1162545846</v>
      </c>
      <c r="F3409" s="3">
        <v>42851</v>
      </c>
      <c r="G3409" s="2">
        <v>201710</v>
      </c>
      <c r="H3409" s="2" t="s">
        <v>74</v>
      </c>
      <c r="I3409" s="2" t="s">
        <v>75</v>
      </c>
      <c r="J3409" s="2" t="s">
        <v>76</v>
      </c>
      <c r="K3409" s="2" t="s">
        <v>77</v>
      </c>
      <c r="L3409" s="2" t="s">
        <v>91</v>
      </c>
      <c r="M3409" s="2" t="s">
        <v>92</v>
      </c>
      <c r="N3409" s="2" t="s">
        <v>3408</v>
      </c>
      <c r="O3409" s="2" t="s">
        <v>115</v>
      </c>
      <c r="P3409" s="2" t="str">
        <f>"2170564261                    "</f>
        <v xml:space="preserve">2170564261                    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3.35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1</v>
      </c>
      <c r="BI3409" s="2">
        <v>2.8</v>
      </c>
      <c r="BJ3409" s="2">
        <v>3.4</v>
      </c>
      <c r="BK3409" s="2">
        <v>4</v>
      </c>
      <c r="BL3409" s="2">
        <v>32.6</v>
      </c>
      <c r="BM3409" s="2">
        <v>4.5599999999999996</v>
      </c>
      <c r="BN3409" s="2">
        <v>37.159999999999997</v>
      </c>
      <c r="BO3409" s="2">
        <v>37.159999999999997</v>
      </c>
      <c r="BP3409" s="2"/>
      <c r="BQ3409" s="2" t="s">
        <v>1297</v>
      </c>
      <c r="BR3409" s="2" t="s">
        <v>84</v>
      </c>
      <c r="BS3409" s="3">
        <v>42853</v>
      </c>
      <c r="BT3409" s="4">
        <v>0.41666666666666669</v>
      </c>
      <c r="BU3409" s="2" t="s">
        <v>3409</v>
      </c>
      <c r="BV3409" s="2" t="s">
        <v>86</v>
      </c>
      <c r="BW3409" s="2" t="s">
        <v>96</v>
      </c>
      <c r="BX3409" s="2" t="s">
        <v>2830</v>
      </c>
      <c r="BY3409" s="2">
        <v>16994.400000000001</v>
      </c>
      <c r="BZ3409" s="2"/>
      <c r="CA3409" s="2" t="s">
        <v>1687</v>
      </c>
      <c r="CB3409" s="2"/>
      <c r="CC3409" s="2" t="s">
        <v>92</v>
      </c>
      <c r="CD3409" s="2">
        <v>1406</v>
      </c>
      <c r="CE3409" s="2" t="s">
        <v>89</v>
      </c>
      <c r="CF3409" s="5">
        <v>42853</v>
      </c>
      <c r="CG3409" s="2"/>
      <c r="CH3409" s="2"/>
      <c r="CI3409" s="2">
        <v>1</v>
      </c>
      <c r="CJ3409" s="2">
        <v>2</v>
      </c>
      <c r="CK3409" s="2">
        <v>22</v>
      </c>
      <c r="CL3409" s="2" t="s">
        <v>86</v>
      </c>
      <c r="CM3409" s="2"/>
    </row>
    <row r="3410" spans="1:91">
      <c r="A3410" s="2" t="s">
        <v>71</v>
      </c>
      <c r="B3410" s="2" t="s">
        <v>72</v>
      </c>
      <c r="C3410" s="2" t="s">
        <v>73</v>
      </c>
      <c r="D3410" s="2"/>
      <c r="E3410" s="2" t="str">
        <f>"FES1162545684"</f>
        <v>FES1162545684</v>
      </c>
      <c r="F3410" s="3">
        <v>42851</v>
      </c>
      <c r="G3410" s="2">
        <v>201710</v>
      </c>
      <c r="H3410" s="2" t="s">
        <v>74</v>
      </c>
      <c r="I3410" s="2" t="s">
        <v>75</v>
      </c>
      <c r="J3410" s="2" t="s">
        <v>76</v>
      </c>
      <c r="K3410" s="2" t="s">
        <v>77</v>
      </c>
      <c r="L3410" s="2" t="s">
        <v>609</v>
      </c>
      <c r="M3410" s="2" t="s">
        <v>610</v>
      </c>
      <c r="N3410" s="2" t="s">
        <v>982</v>
      </c>
      <c r="O3410" s="2" t="s">
        <v>115</v>
      </c>
      <c r="P3410" s="2" t="str">
        <f>"2170564134                    "</f>
        <v xml:space="preserve">2170564134                    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4.29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1</v>
      </c>
      <c r="BI3410" s="2">
        <v>1</v>
      </c>
      <c r="BJ3410" s="2">
        <v>0.2</v>
      </c>
      <c r="BK3410" s="2">
        <v>1</v>
      </c>
      <c r="BL3410" s="2">
        <v>41.73</v>
      </c>
      <c r="BM3410" s="2">
        <v>5.84</v>
      </c>
      <c r="BN3410" s="2">
        <v>47.57</v>
      </c>
      <c r="BO3410" s="2">
        <v>47.57</v>
      </c>
      <c r="BP3410" s="2"/>
      <c r="BQ3410" s="2" t="s">
        <v>129</v>
      </c>
      <c r="BR3410" s="2" t="s">
        <v>84</v>
      </c>
      <c r="BS3410" s="3">
        <v>42853</v>
      </c>
      <c r="BT3410" s="4">
        <v>0.5</v>
      </c>
      <c r="BU3410" s="2" t="s">
        <v>3410</v>
      </c>
      <c r="BV3410" s="2" t="s">
        <v>86</v>
      </c>
      <c r="BW3410" s="2"/>
      <c r="BX3410" s="2"/>
      <c r="BY3410" s="2">
        <v>1200</v>
      </c>
      <c r="BZ3410" s="2"/>
      <c r="CA3410" s="2"/>
      <c r="CB3410" s="2"/>
      <c r="CC3410" s="2" t="s">
        <v>610</v>
      </c>
      <c r="CD3410" s="2">
        <v>1911</v>
      </c>
      <c r="CE3410" s="2" t="s">
        <v>118</v>
      </c>
      <c r="CF3410" s="2"/>
      <c r="CG3410" s="2"/>
      <c r="CH3410" s="2"/>
      <c r="CI3410" s="2">
        <v>1</v>
      </c>
      <c r="CJ3410" s="2">
        <v>2</v>
      </c>
      <c r="CK3410" s="2">
        <v>21</v>
      </c>
      <c r="CL3410" s="2" t="s">
        <v>86</v>
      </c>
      <c r="CM3410" s="2"/>
    </row>
    <row r="3411" spans="1:91">
      <c r="A3411" s="2" t="s">
        <v>71</v>
      </c>
      <c r="B3411" s="2" t="s">
        <v>72</v>
      </c>
      <c r="C3411" s="2" t="s">
        <v>73</v>
      </c>
      <c r="D3411" s="2"/>
      <c r="E3411" s="2" t="str">
        <f>"FES1162545620"</f>
        <v>FES1162545620</v>
      </c>
      <c r="F3411" s="3">
        <v>42851</v>
      </c>
      <c r="G3411" s="2">
        <v>201710</v>
      </c>
      <c r="H3411" s="2" t="s">
        <v>74</v>
      </c>
      <c r="I3411" s="2" t="s">
        <v>75</v>
      </c>
      <c r="J3411" s="2" t="s">
        <v>76</v>
      </c>
      <c r="K3411" s="2" t="s">
        <v>77</v>
      </c>
      <c r="L3411" s="2" t="s">
        <v>112</v>
      </c>
      <c r="M3411" s="2" t="s">
        <v>113</v>
      </c>
      <c r="N3411" s="2" t="s">
        <v>114</v>
      </c>
      <c r="O3411" s="2" t="s">
        <v>115</v>
      </c>
      <c r="P3411" s="2" t="str">
        <f>"2170560733                    "</f>
        <v xml:space="preserve">2170560733                    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5.36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1</v>
      </c>
      <c r="BI3411" s="2">
        <v>2.4</v>
      </c>
      <c r="BJ3411" s="2">
        <v>1.7</v>
      </c>
      <c r="BK3411" s="2">
        <v>2.5</v>
      </c>
      <c r="BL3411" s="2">
        <v>52.16</v>
      </c>
      <c r="BM3411" s="2">
        <v>7.3</v>
      </c>
      <c r="BN3411" s="2">
        <v>59.46</v>
      </c>
      <c r="BO3411" s="2">
        <v>59.46</v>
      </c>
      <c r="BP3411" s="2"/>
      <c r="BQ3411" s="2" t="s">
        <v>116</v>
      </c>
      <c r="BR3411" s="2" t="s">
        <v>84</v>
      </c>
      <c r="BS3411" s="1" t="s">
        <v>1744</v>
      </c>
      <c r="BT3411" s="2"/>
      <c r="BU3411" s="2"/>
      <c r="BV3411" s="2"/>
      <c r="BW3411" s="2"/>
      <c r="BX3411" s="2"/>
      <c r="BY3411" s="2">
        <v>8486.48</v>
      </c>
      <c r="BZ3411" s="2"/>
      <c r="CA3411" s="2"/>
      <c r="CB3411" s="2"/>
      <c r="CC3411" s="2" t="s">
        <v>113</v>
      </c>
      <c r="CD3411" s="2">
        <v>3201</v>
      </c>
      <c r="CE3411" s="2" t="s">
        <v>89</v>
      </c>
      <c r="CF3411" s="2"/>
      <c r="CG3411" s="2"/>
      <c r="CH3411" s="2"/>
      <c r="CI3411" s="2">
        <v>1</v>
      </c>
      <c r="CJ3411" s="2" t="s">
        <v>1744</v>
      </c>
      <c r="CK3411" s="2">
        <v>21</v>
      </c>
      <c r="CL3411" s="2" t="s">
        <v>86</v>
      </c>
      <c r="CM3411" s="2"/>
    </row>
    <row r="3412" spans="1:91">
      <c r="A3412" s="2" t="s">
        <v>71</v>
      </c>
      <c r="B3412" s="2" t="s">
        <v>72</v>
      </c>
      <c r="C3412" s="2" t="s">
        <v>73</v>
      </c>
      <c r="D3412" s="2"/>
      <c r="E3412" s="2" t="str">
        <f>"FES1162545610"</f>
        <v>FES1162545610</v>
      </c>
      <c r="F3412" s="3">
        <v>42851</v>
      </c>
      <c r="G3412" s="2">
        <v>201710</v>
      </c>
      <c r="H3412" s="2" t="s">
        <v>74</v>
      </c>
      <c r="I3412" s="2" t="s">
        <v>75</v>
      </c>
      <c r="J3412" s="2" t="s">
        <v>76</v>
      </c>
      <c r="K3412" s="2" t="s">
        <v>77</v>
      </c>
      <c r="L3412" s="2" t="s">
        <v>99</v>
      </c>
      <c r="M3412" s="2" t="s">
        <v>100</v>
      </c>
      <c r="N3412" s="2" t="s">
        <v>108</v>
      </c>
      <c r="O3412" s="2" t="s">
        <v>115</v>
      </c>
      <c r="P3412" s="2" t="str">
        <f>"2170560230                    "</f>
        <v xml:space="preserve">2170560230                    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6.43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1</v>
      </c>
      <c r="BI3412" s="2">
        <v>2.6</v>
      </c>
      <c r="BJ3412" s="2">
        <v>1.1000000000000001</v>
      </c>
      <c r="BK3412" s="2">
        <v>3</v>
      </c>
      <c r="BL3412" s="2">
        <v>62.59</v>
      </c>
      <c r="BM3412" s="2">
        <v>8.76</v>
      </c>
      <c r="BN3412" s="2">
        <v>71.349999999999994</v>
      </c>
      <c r="BO3412" s="2">
        <v>71.349999999999994</v>
      </c>
      <c r="BP3412" s="2"/>
      <c r="BQ3412" s="2" t="s">
        <v>109</v>
      </c>
      <c r="BR3412" s="2" t="s">
        <v>84</v>
      </c>
      <c r="BS3412" s="3">
        <v>42853</v>
      </c>
      <c r="BT3412" s="4">
        <v>0.375</v>
      </c>
      <c r="BU3412" s="2" t="s">
        <v>3001</v>
      </c>
      <c r="BV3412" s="2" t="s">
        <v>86</v>
      </c>
      <c r="BW3412" s="2"/>
      <c r="BX3412" s="2"/>
      <c r="BY3412" s="2">
        <v>5410.2</v>
      </c>
      <c r="BZ3412" s="2"/>
      <c r="CA3412" s="2" t="s">
        <v>106</v>
      </c>
      <c r="CB3412" s="2"/>
      <c r="CC3412" s="2" t="s">
        <v>100</v>
      </c>
      <c r="CD3412" s="2">
        <v>6001</v>
      </c>
      <c r="CE3412" s="2" t="s">
        <v>89</v>
      </c>
      <c r="CF3412" s="5">
        <v>42853</v>
      </c>
      <c r="CG3412" s="2"/>
      <c r="CH3412" s="2"/>
      <c r="CI3412" s="2">
        <v>1</v>
      </c>
      <c r="CJ3412" s="2">
        <v>2</v>
      </c>
      <c r="CK3412" s="2">
        <v>21</v>
      </c>
      <c r="CL3412" s="2" t="s">
        <v>86</v>
      </c>
      <c r="CM3412" s="2"/>
    </row>
    <row r="3413" spans="1:91">
      <c r="A3413" s="2" t="s">
        <v>71</v>
      </c>
      <c r="B3413" s="2" t="s">
        <v>72</v>
      </c>
      <c r="C3413" s="2" t="s">
        <v>73</v>
      </c>
      <c r="D3413" s="2"/>
      <c r="E3413" s="2" t="str">
        <f>"FES1162545623"</f>
        <v>FES1162545623</v>
      </c>
      <c r="F3413" s="3">
        <v>42851</v>
      </c>
      <c r="G3413" s="2">
        <v>201710</v>
      </c>
      <c r="H3413" s="2" t="s">
        <v>74</v>
      </c>
      <c r="I3413" s="2" t="s">
        <v>75</v>
      </c>
      <c r="J3413" s="2" t="s">
        <v>76</v>
      </c>
      <c r="K3413" s="2" t="s">
        <v>77</v>
      </c>
      <c r="L3413" s="2" t="s">
        <v>112</v>
      </c>
      <c r="M3413" s="2" t="s">
        <v>113</v>
      </c>
      <c r="N3413" s="2" t="s">
        <v>114</v>
      </c>
      <c r="O3413" s="2" t="s">
        <v>115</v>
      </c>
      <c r="P3413" s="2" t="str">
        <f>"2170560873                    "</f>
        <v xml:space="preserve">2170560873                    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12.86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1</v>
      </c>
      <c r="BI3413" s="2">
        <v>6</v>
      </c>
      <c r="BJ3413" s="2">
        <v>1.6</v>
      </c>
      <c r="BK3413" s="2">
        <v>6</v>
      </c>
      <c r="BL3413" s="2">
        <v>125.18</v>
      </c>
      <c r="BM3413" s="2">
        <v>17.53</v>
      </c>
      <c r="BN3413" s="2">
        <v>142.71</v>
      </c>
      <c r="BO3413" s="2">
        <v>142.71</v>
      </c>
      <c r="BP3413" s="2"/>
      <c r="BQ3413" s="2" t="s">
        <v>116</v>
      </c>
      <c r="BR3413" s="2" t="s">
        <v>84</v>
      </c>
      <c r="BS3413" s="1" t="s">
        <v>1744</v>
      </c>
      <c r="BT3413" s="2"/>
      <c r="BU3413" s="2"/>
      <c r="BV3413" s="2"/>
      <c r="BW3413" s="2"/>
      <c r="BX3413" s="2"/>
      <c r="BY3413" s="2">
        <v>8115.8</v>
      </c>
      <c r="BZ3413" s="2"/>
      <c r="CA3413" s="2"/>
      <c r="CB3413" s="2"/>
      <c r="CC3413" s="2" t="s">
        <v>113</v>
      </c>
      <c r="CD3413" s="2">
        <v>3201</v>
      </c>
      <c r="CE3413" s="2" t="s">
        <v>89</v>
      </c>
      <c r="CF3413" s="2"/>
      <c r="CG3413" s="2"/>
      <c r="CH3413" s="2"/>
      <c r="CI3413" s="2">
        <v>1</v>
      </c>
      <c r="CJ3413" s="2" t="s">
        <v>1744</v>
      </c>
      <c r="CK3413" s="2">
        <v>21</v>
      </c>
      <c r="CL3413" s="2" t="s">
        <v>86</v>
      </c>
      <c r="CM3413" s="2"/>
    </row>
    <row r="3414" spans="1:91">
      <c r="A3414" s="2" t="s">
        <v>71</v>
      </c>
      <c r="B3414" s="2" t="s">
        <v>72</v>
      </c>
      <c r="C3414" s="2" t="s">
        <v>73</v>
      </c>
      <c r="D3414" s="2"/>
      <c r="E3414" s="2" t="str">
        <f>"FES1162545802"</f>
        <v>FES1162545802</v>
      </c>
      <c r="F3414" s="3">
        <v>42851</v>
      </c>
      <c r="G3414" s="2">
        <v>201710</v>
      </c>
      <c r="H3414" s="2" t="s">
        <v>74</v>
      </c>
      <c r="I3414" s="2" t="s">
        <v>75</v>
      </c>
      <c r="J3414" s="2" t="s">
        <v>76</v>
      </c>
      <c r="K3414" s="2" t="s">
        <v>77</v>
      </c>
      <c r="L3414" s="2" t="s">
        <v>187</v>
      </c>
      <c r="M3414" s="2" t="s">
        <v>146</v>
      </c>
      <c r="N3414" s="2" t="s">
        <v>141</v>
      </c>
      <c r="O3414" s="2" t="s">
        <v>115</v>
      </c>
      <c r="P3414" s="2" t="str">
        <f>"2170564243                    "</f>
        <v xml:space="preserve">2170564243                    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7.5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1</v>
      </c>
      <c r="BI3414" s="2">
        <v>2</v>
      </c>
      <c r="BJ3414" s="2">
        <v>3.4</v>
      </c>
      <c r="BK3414" s="2">
        <v>3.5</v>
      </c>
      <c r="BL3414" s="2">
        <v>73.02</v>
      </c>
      <c r="BM3414" s="2">
        <v>10.220000000000001</v>
      </c>
      <c r="BN3414" s="2">
        <v>83.24</v>
      </c>
      <c r="BO3414" s="2">
        <v>83.24</v>
      </c>
      <c r="BP3414" s="2"/>
      <c r="BQ3414" s="2" t="s">
        <v>142</v>
      </c>
      <c r="BR3414" s="2" t="s">
        <v>84</v>
      </c>
      <c r="BS3414" s="3">
        <v>42853</v>
      </c>
      <c r="BT3414" s="4">
        <v>0.37986111111111115</v>
      </c>
      <c r="BU3414" s="2" t="s">
        <v>3176</v>
      </c>
      <c r="BV3414" s="2" t="s">
        <v>86</v>
      </c>
      <c r="BW3414" s="2"/>
      <c r="BX3414" s="2"/>
      <c r="BY3414" s="2">
        <v>16968.43</v>
      </c>
      <c r="BZ3414" s="2"/>
      <c r="CA3414" s="2"/>
      <c r="CB3414" s="2"/>
      <c r="CC3414" s="2" t="s">
        <v>146</v>
      </c>
      <c r="CD3414" s="2">
        <v>157</v>
      </c>
      <c r="CE3414" s="2" t="s">
        <v>89</v>
      </c>
      <c r="CF3414" s="2"/>
      <c r="CG3414" s="2"/>
      <c r="CH3414" s="2"/>
      <c r="CI3414" s="2">
        <v>1</v>
      </c>
      <c r="CJ3414" s="2">
        <v>2</v>
      </c>
      <c r="CK3414" s="2">
        <v>21</v>
      </c>
      <c r="CL3414" s="2" t="s">
        <v>86</v>
      </c>
      <c r="CM3414" s="2"/>
    </row>
    <row r="3415" spans="1:91">
      <c r="A3415" s="2" t="s">
        <v>71</v>
      </c>
      <c r="B3415" s="2" t="s">
        <v>72</v>
      </c>
      <c r="C3415" s="2" t="s">
        <v>73</v>
      </c>
      <c r="D3415" s="2"/>
      <c r="E3415" s="2" t="str">
        <f>"FES1162545847"</f>
        <v>FES1162545847</v>
      </c>
      <c r="F3415" s="3">
        <v>42851</v>
      </c>
      <c r="G3415" s="2">
        <v>201710</v>
      </c>
      <c r="H3415" s="2" t="s">
        <v>74</v>
      </c>
      <c r="I3415" s="2" t="s">
        <v>75</v>
      </c>
      <c r="J3415" s="2" t="s">
        <v>76</v>
      </c>
      <c r="K3415" s="2" t="s">
        <v>77</v>
      </c>
      <c r="L3415" s="2" t="s">
        <v>91</v>
      </c>
      <c r="M3415" s="2" t="s">
        <v>92</v>
      </c>
      <c r="N3415" s="2" t="s">
        <v>3408</v>
      </c>
      <c r="O3415" s="2" t="s">
        <v>115</v>
      </c>
      <c r="P3415" s="2" t="str">
        <f>"2170564263                    "</f>
        <v xml:space="preserve">2170564263                    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3.35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1</v>
      </c>
      <c r="BI3415" s="2">
        <v>1</v>
      </c>
      <c r="BJ3415" s="2">
        <v>0.2</v>
      </c>
      <c r="BK3415" s="2">
        <v>1</v>
      </c>
      <c r="BL3415" s="2">
        <v>32.6</v>
      </c>
      <c r="BM3415" s="2">
        <v>4.5599999999999996</v>
      </c>
      <c r="BN3415" s="2">
        <v>37.159999999999997</v>
      </c>
      <c r="BO3415" s="2">
        <v>37.159999999999997</v>
      </c>
      <c r="BP3415" s="2"/>
      <c r="BQ3415" s="2" t="s">
        <v>1297</v>
      </c>
      <c r="BR3415" s="2" t="s">
        <v>84</v>
      </c>
      <c r="BS3415" s="3">
        <v>42853</v>
      </c>
      <c r="BT3415" s="4">
        <v>0.41666666666666669</v>
      </c>
      <c r="BU3415" s="2" t="s">
        <v>3409</v>
      </c>
      <c r="BV3415" s="2" t="s">
        <v>86</v>
      </c>
      <c r="BW3415" s="2" t="s">
        <v>96</v>
      </c>
      <c r="BX3415" s="2" t="s">
        <v>2830</v>
      </c>
      <c r="BY3415" s="2">
        <v>1200</v>
      </c>
      <c r="BZ3415" s="2"/>
      <c r="CA3415" s="2" t="s">
        <v>1687</v>
      </c>
      <c r="CB3415" s="2"/>
      <c r="CC3415" s="2" t="s">
        <v>92</v>
      </c>
      <c r="CD3415" s="2">
        <v>1406</v>
      </c>
      <c r="CE3415" s="2" t="s">
        <v>118</v>
      </c>
      <c r="CF3415" s="5">
        <v>42853</v>
      </c>
      <c r="CG3415" s="2"/>
      <c r="CH3415" s="2"/>
      <c r="CI3415" s="2">
        <v>1</v>
      </c>
      <c r="CJ3415" s="2">
        <v>2</v>
      </c>
      <c r="CK3415" s="2">
        <v>22</v>
      </c>
      <c r="CL3415" s="2" t="s">
        <v>86</v>
      </c>
      <c r="CM3415" s="2"/>
    </row>
    <row r="3416" spans="1:91">
      <c r="A3416" s="2" t="s">
        <v>71</v>
      </c>
      <c r="B3416" s="2" t="s">
        <v>72</v>
      </c>
      <c r="C3416" s="2" t="s">
        <v>73</v>
      </c>
      <c r="D3416" s="2"/>
      <c r="E3416" s="2" t="str">
        <f>"FES1162545861"</f>
        <v>FES1162545861</v>
      </c>
      <c r="F3416" s="3">
        <v>42851</v>
      </c>
      <c r="G3416" s="2">
        <v>201710</v>
      </c>
      <c r="H3416" s="2" t="s">
        <v>74</v>
      </c>
      <c r="I3416" s="2" t="s">
        <v>75</v>
      </c>
      <c r="J3416" s="2" t="s">
        <v>76</v>
      </c>
      <c r="K3416" s="2" t="s">
        <v>77</v>
      </c>
      <c r="L3416" s="2" t="s">
        <v>74</v>
      </c>
      <c r="M3416" s="2" t="s">
        <v>75</v>
      </c>
      <c r="N3416" s="2" t="s">
        <v>488</v>
      </c>
      <c r="O3416" s="2" t="s">
        <v>115</v>
      </c>
      <c r="P3416" s="2" t="str">
        <f>"2170564321                    "</f>
        <v xml:space="preserve">2170564321                    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3.75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1</v>
      </c>
      <c r="BI3416" s="2">
        <v>8.5</v>
      </c>
      <c r="BJ3416" s="2">
        <v>5.8</v>
      </c>
      <c r="BK3416" s="2">
        <v>9</v>
      </c>
      <c r="BL3416" s="2">
        <v>36.51</v>
      </c>
      <c r="BM3416" s="2">
        <v>5.1100000000000003</v>
      </c>
      <c r="BN3416" s="2">
        <v>41.62</v>
      </c>
      <c r="BO3416" s="2">
        <v>41.62</v>
      </c>
      <c r="BP3416" s="2"/>
      <c r="BQ3416" s="2" t="s">
        <v>489</v>
      </c>
      <c r="BR3416" s="2" t="s">
        <v>84</v>
      </c>
      <c r="BS3416" s="1" t="s">
        <v>1744</v>
      </c>
      <c r="BT3416" s="2"/>
      <c r="BU3416" s="2"/>
      <c r="BV3416" s="2"/>
      <c r="BW3416" s="2"/>
      <c r="BX3416" s="2"/>
      <c r="BY3416" s="2">
        <v>28875.9</v>
      </c>
      <c r="BZ3416" s="2"/>
      <c r="CA3416" s="2"/>
      <c r="CB3416" s="2"/>
      <c r="CC3416" s="2" t="s">
        <v>75</v>
      </c>
      <c r="CD3416" s="2">
        <v>1645</v>
      </c>
      <c r="CE3416" s="2" t="s">
        <v>89</v>
      </c>
      <c r="CF3416" s="2"/>
      <c r="CG3416" s="2"/>
      <c r="CH3416" s="2"/>
      <c r="CI3416" s="2">
        <v>1</v>
      </c>
      <c r="CJ3416" s="2" t="s">
        <v>1744</v>
      </c>
      <c r="CK3416" s="2">
        <v>22</v>
      </c>
      <c r="CL3416" s="2" t="s">
        <v>86</v>
      </c>
      <c r="CM3416" s="2"/>
    </row>
    <row r="3417" spans="1:91">
      <c r="A3417" s="2" t="s">
        <v>71</v>
      </c>
      <c r="B3417" s="2" t="s">
        <v>72</v>
      </c>
      <c r="C3417" s="2" t="s">
        <v>73</v>
      </c>
      <c r="D3417" s="2"/>
      <c r="E3417" s="2" t="str">
        <f>"FES1162545624"</f>
        <v>FES1162545624</v>
      </c>
      <c r="F3417" s="3">
        <v>42851</v>
      </c>
      <c r="G3417" s="2">
        <v>201710</v>
      </c>
      <c r="H3417" s="2" t="s">
        <v>74</v>
      </c>
      <c r="I3417" s="2" t="s">
        <v>75</v>
      </c>
      <c r="J3417" s="2" t="s">
        <v>76</v>
      </c>
      <c r="K3417" s="2" t="s">
        <v>77</v>
      </c>
      <c r="L3417" s="2" t="s">
        <v>112</v>
      </c>
      <c r="M3417" s="2" t="s">
        <v>113</v>
      </c>
      <c r="N3417" s="2" t="s">
        <v>114</v>
      </c>
      <c r="O3417" s="2" t="s">
        <v>115</v>
      </c>
      <c r="P3417" s="2" t="str">
        <f>"2170560954                    "</f>
        <v xml:space="preserve">2170560954                    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18.22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1</v>
      </c>
      <c r="BI3417" s="2">
        <v>8.5</v>
      </c>
      <c r="BJ3417" s="2">
        <v>1.7</v>
      </c>
      <c r="BK3417" s="2">
        <v>8.5</v>
      </c>
      <c r="BL3417" s="2">
        <v>177.34</v>
      </c>
      <c r="BM3417" s="2">
        <v>24.83</v>
      </c>
      <c r="BN3417" s="2">
        <v>202.17</v>
      </c>
      <c r="BO3417" s="2">
        <v>202.17</v>
      </c>
      <c r="BP3417" s="2"/>
      <c r="BQ3417" s="2" t="s">
        <v>116</v>
      </c>
      <c r="BR3417" s="2" t="s">
        <v>84</v>
      </c>
      <c r="BS3417" s="1" t="s">
        <v>1744</v>
      </c>
      <c r="BT3417" s="2"/>
      <c r="BU3417" s="2"/>
      <c r="BV3417" s="2"/>
      <c r="BW3417" s="2"/>
      <c r="BX3417" s="2"/>
      <c r="BY3417" s="2">
        <v>8509.25</v>
      </c>
      <c r="BZ3417" s="2"/>
      <c r="CA3417" s="2"/>
      <c r="CB3417" s="2"/>
      <c r="CC3417" s="2" t="s">
        <v>113</v>
      </c>
      <c r="CD3417" s="2">
        <v>3201</v>
      </c>
      <c r="CE3417" s="2" t="s">
        <v>89</v>
      </c>
      <c r="CF3417" s="2"/>
      <c r="CG3417" s="2"/>
      <c r="CH3417" s="2"/>
      <c r="CI3417" s="2">
        <v>1</v>
      </c>
      <c r="CJ3417" s="2" t="s">
        <v>1744</v>
      </c>
      <c r="CK3417" s="2">
        <v>21</v>
      </c>
      <c r="CL3417" s="2" t="s">
        <v>86</v>
      </c>
      <c r="CM3417" s="2"/>
    </row>
    <row r="3418" spans="1:91">
      <c r="A3418" s="2" t="s">
        <v>71</v>
      </c>
      <c r="B3418" s="2" t="s">
        <v>72</v>
      </c>
      <c r="C3418" s="2" t="s">
        <v>73</v>
      </c>
      <c r="D3418" s="2"/>
      <c r="E3418" s="2" t="str">
        <f>"FES1162545832"</f>
        <v>FES1162545832</v>
      </c>
      <c r="F3418" s="3">
        <v>42851</v>
      </c>
      <c r="G3418" s="2">
        <v>201710</v>
      </c>
      <c r="H3418" s="2" t="s">
        <v>74</v>
      </c>
      <c r="I3418" s="2" t="s">
        <v>75</v>
      </c>
      <c r="J3418" s="2" t="s">
        <v>76</v>
      </c>
      <c r="K3418" s="2" t="s">
        <v>77</v>
      </c>
      <c r="L3418" s="2" t="s">
        <v>74</v>
      </c>
      <c r="M3418" s="2" t="s">
        <v>75</v>
      </c>
      <c r="N3418" s="2" t="s">
        <v>3411</v>
      </c>
      <c r="O3418" s="2" t="s">
        <v>115</v>
      </c>
      <c r="P3418" s="2" t="str">
        <f>"2170564288                    "</f>
        <v xml:space="preserve">2170564288                    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3.35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1</v>
      </c>
      <c r="BI3418" s="2">
        <v>5</v>
      </c>
      <c r="BJ3418" s="2">
        <v>0.9</v>
      </c>
      <c r="BK3418" s="2">
        <v>5</v>
      </c>
      <c r="BL3418" s="2">
        <v>32.6</v>
      </c>
      <c r="BM3418" s="2">
        <v>4.5599999999999996</v>
      </c>
      <c r="BN3418" s="2">
        <v>37.159999999999997</v>
      </c>
      <c r="BO3418" s="2">
        <v>37.159999999999997</v>
      </c>
      <c r="BP3418" s="2"/>
      <c r="BQ3418" s="2"/>
      <c r="BR3418" s="2" t="s">
        <v>84</v>
      </c>
      <c r="BS3418" s="3">
        <v>42853</v>
      </c>
      <c r="BT3418" s="4">
        <v>0.41666666666666669</v>
      </c>
      <c r="BU3418" s="2" t="s">
        <v>3412</v>
      </c>
      <c r="BV3418" s="2" t="s">
        <v>86</v>
      </c>
      <c r="BW3418" s="2" t="s">
        <v>96</v>
      </c>
      <c r="BX3418" s="2" t="s">
        <v>812</v>
      </c>
      <c r="BY3418" s="2">
        <v>4700</v>
      </c>
      <c r="BZ3418" s="2"/>
      <c r="CA3418" s="2" t="s">
        <v>383</v>
      </c>
      <c r="CB3418" s="2"/>
      <c r="CC3418" s="2" t="s">
        <v>75</v>
      </c>
      <c r="CD3418" s="2">
        <v>1624</v>
      </c>
      <c r="CE3418" s="2" t="s">
        <v>89</v>
      </c>
      <c r="CF3418" s="5">
        <v>42853</v>
      </c>
      <c r="CG3418" s="2"/>
      <c r="CH3418" s="2"/>
      <c r="CI3418" s="2">
        <v>1</v>
      </c>
      <c r="CJ3418" s="2">
        <v>2</v>
      </c>
      <c r="CK3418" s="2">
        <v>22</v>
      </c>
      <c r="CL3418" s="2" t="s">
        <v>86</v>
      </c>
      <c r="CM3418" s="2"/>
    </row>
    <row r="3419" spans="1:91">
      <c r="A3419" s="2" t="s">
        <v>71</v>
      </c>
      <c r="B3419" s="2" t="s">
        <v>72</v>
      </c>
      <c r="C3419" s="2" t="s">
        <v>73</v>
      </c>
      <c r="D3419" s="2"/>
      <c r="E3419" s="2" t="str">
        <f>"FES1162545734"</f>
        <v>FES1162545734</v>
      </c>
      <c r="F3419" s="3">
        <v>42851</v>
      </c>
      <c r="G3419" s="2">
        <v>201710</v>
      </c>
      <c r="H3419" s="2" t="s">
        <v>74</v>
      </c>
      <c r="I3419" s="2" t="s">
        <v>75</v>
      </c>
      <c r="J3419" s="2" t="s">
        <v>76</v>
      </c>
      <c r="K3419" s="2" t="s">
        <v>77</v>
      </c>
      <c r="L3419" s="2" t="s">
        <v>358</v>
      </c>
      <c r="M3419" s="2" t="s">
        <v>359</v>
      </c>
      <c r="N3419" s="2" t="s">
        <v>360</v>
      </c>
      <c r="O3419" s="2" t="s">
        <v>115</v>
      </c>
      <c r="P3419" s="2" t="str">
        <f>"2170557878                    "</f>
        <v xml:space="preserve">2170557878                    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5.36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1</v>
      </c>
      <c r="BI3419" s="2">
        <v>2.2000000000000002</v>
      </c>
      <c r="BJ3419" s="2">
        <v>1.8</v>
      </c>
      <c r="BK3419" s="2">
        <v>2.5</v>
      </c>
      <c r="BL3419" s="2">
        <v>52.16</v>
      </c>
      <c r="BM3419" s="2">
        <v>7.3</v>
      </c>
      <c r="BN3419" s="2">
        <v>59.46</v>
      </c>
      <c r="BO3419" s="2">
        <v>59.46</v>
      </c>
      <c r="BP3419" s="2"/>
      <c r="BQ3419" s="2" t="s">
        <v>361</v>
      </c>
      <c r="BR3419" s="2" t="s">
        <v>84</v>
      </c>
      <c r="BS3419" s="3">
        <v>42853</v>
      </c>
      <c r="BT3419" s="4">
        <v>0.3125</v>
      </c>
      <c r="BU3419" s="2" t="s">
        <v>3352</v>
      </c>
      <c r="BV3419" s="2" t="s">
        <v>86</v>
      </c>
      <c r="BW3419" s="2" t="s">
        <v>104</v>
      </c>
      <c r="BX3419" s="2" t="s">
        <v>105</v>
      </c>
      <c r="BY3419" s="2">
        <v>9210.34</v>
      </c>
      <c r="BZ3419" s="2"/>
      <c r="CA3419" s="2"/>
      <c r="CB3419" s="2"/>
      <c r="CC3419" s="2" t="s">
        <v>359</v>
      </c>
      <c r="CD3419" s="2">
        <v>6229</v>
      </c>
      <c r="CE3419" s="2" t="s">
        <v>89</v>
      </c>
      <c r="CF3419" s="2"/>
      <c r="CG3419" s="2"/>
      <c r="CH3419" s="2"/>
      <c r="CI3419" s="2">
        <v>1</v>
      </c>
      <c r="CJ3419" s="2">
        <v>2</v>
      </c>
      <c r="CK3419" s="2">
        <v>21</v>
      </c>
      <c r="CL3419" s="2" t="s">
        <v>86</v>
      </c>
      <c r="CM3419" s="2"/>
    </row>
    <row r="3420" spans="1:91">
      <c r="A3420" s="2" t="s">
        <v>71</v>
      </c>
      <c r="B3420" s="2" t="s">
        <v>72</v>
      </c>
      <c r="C3420" s="2" t="s">
        <v>73</v>
      </c>
      <c r="D3420" s="2"/>
      <c r="E3420" s="2" t="str">
        <f>"FES1162545618"</f>
        <v>FES1162545618</v>
      </c>
      <c r="F3420" s="3">
        <v>42851</v>
      </c>
      <c r="G3420" s="2">
        <v>201710</v>
      </c>
      <c r="H3420" s="2" t="s">
        <v>74</v>
      </c>
      <c r="I3420" s="2" t="s">
        <v>75</v>
      </c>
      <c r="J3420" s="2" t="s">
        <v>76</v>
      </c>
      <c r="K3420" s="2" t="s">
        <v>77</v>
      </c>
      <c r="L3420" s="2" t="s">
        <v>112</v>
      </c>
      <c r="M3420" s="2" t="s">
        <v>113</v>
      </c>
      <c r="N3420" s="2" t="s">
        <v>114</v>
      </c>
      <c r="O3420" s="2" t="s">
        <v>115</v>
      </c>
      <c r="P3420" s="2" t="str">
        <f>"2170560717                    "</f>
        <v xml:space="preserve">2170560717                    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12.86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5.9</v>
      </c>
      <c r="BJ3420" s="2">
        <v>1.8</v>
      </c>
      <c r="BK3420" s="2">
        <v>6</v>
      </c>
      <c r="BL3420" s="2">
        <v>125.18</v>
      </c>
      <c r="BM3420" s="2">
        <v>17.53</v>
      </c>
      <c r="BN3420" s="2">
        <v>142.71</v>
      </c>
      <c r="BO3420" s="2">
        <v>142.71</v>
      </c>
      <c r="BP3420" s="2"/>
      <c r="BQ3420" s="2" t="s">
        <v>116</v>
      </c>
      <c r="BR3420" s="2" t="s">
        <v>84</v>
      </c>
      <c r="BS3420" s="1" t="s">
        <v>1744</v>
      </c>
      <c r="BT3420" s="2"/>
      <c r="BU3420" s="2"/>
      <c r="BV3420" s="2"/>
      <c r="BW3420" s="2"/>
      <c r="BX3420" s="2"/>
      <c r="BY3420" s="2">
        <v>9185.9500000000007</v>
      </c>
      <c r="BZ3420" s="2"/>
      <c r="CA3420" s="2"/>
      <c r="CB3420" s="2"/>
      <c r="CC3420" s="2" t="s">
        <v>113</v>
      </c>
      <c r="CD3420" s="2">
        <v>3201</v>
      </c>
      <c r="CE3420" s="2" t="s">
        <v>89</v>
      </c>
      <c r="CF3420" s="2"/>
      <c r="CG3420" s="2"/>
      <c r="CH3420" s="2"/>
      <c r="CI3420" s="2">
        <v>1</v>
      </c>
      <c r="CJ3420" s="2" t="s">
        <v>1744</v>
      </c>
      <c r="CK3420" s="2">
        <v>21</v>
      </c>
      <c r="CL3420" s="2" t="s">
        <v>86</v>
      </c>
      <c r="CM3420" s="2"/>
    </row>
    <row r="3421" spans="1:91">
      <c r="A3421" s="2" t="s">
        <v>71</v>
      </c>
      <c r="B3421" s="2" t="s">
        <v>72</v>
      </c>
      <c r="C3421" s="2" t="s">
        <v>73</v>
      </c>
      <c r="D3421" s="2"/>
      <c r="E3421" s="2" t="str">
        <f>"FES1162545828"</f>
        <v>FES1162545828</v>
      </c>
      <c r="F3421" s="3">
        <v>42851</v>
      </c>
      <c r="G3421" s="2">
        <v>201710</v>
      </c>
      <c r="H3421" s="2" t="s">
        <v>74</v>
      </c>
      <c r="I3421" s="2" t="s">
        <v>75</v>
      </c>
      <c r="J3421" s="2" t="s">
        <v>76</v>
      </c>
      <c r="K3421" s="2" t="s">
        <v>77</v>
      </c>
      <c r="L3421" s="2" t="s">
        <v>74</v>
      </c>
      <c r="M3421" s="2" t="s">
        <v>75</v>
      </c>
      <c r="N3421" s="2" t="s">
        <v>488</v>
      </c>
      <c r="O3421" s="2" t="s">
        <v>115</v>
      </c>
      <c r="P3421" s="2" t="str">
        <f>"2170564286                    "</f>
        <v xml:space="preserve">2170564286                    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3.35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1</v>
      </c>
      <c r="BI3421" s="2">
        <v>1</v>
      </c>
      <c r="BJ3421" s="2">
        <v>0.2</v>
      </c>
      <c r="BK3421" s="2">
        <v>1</v>
      </c>
      <c r="BL3421" s="2">
        <v>32.6</v>
      </c>
      <c r="BM3421" s="2">
        <v>4.5599999999999996</v>
      </c>
      <c r="BN3421" s="2">
        <v>37.159999999999997</v>
      </c>
      <c r="BO3421" s="2">
        <v>37.159999999999997</v>
      </c>
      <c r="BP3421" s="2"/>
      <c r="BQ3421" s="2" t="s">
        <v>489</v>
      </c>
      <c r="BR3421" s="2" t="s">
        <v>84</v>
      </c>
      <c r="BS3421" s="1" t="s">
        <v>1744</v>
      </c>
      <c r="BT3421" s="2"/>
      <c r="BU3421" s="2"/>
      <c r="BV3421" s="2"/>
      <c r="BW3421" s="2"/>
      <c r="BX3421" s="2"/>
      <c r="BY3421" s="2">
        <v>1200</v>
      </c>
      <c r="BZ3421" s="2"/>
      <c r="CA3421" s="2"/>
      <c r="CB3421" s="2"/>
      <c r="CC3421" s="2" t="s">
        <v>75</v>
      </c>
      <c r="CD3421" s="2">
        <v>1645</v>
      </c>
      <c r="CE3421" s="2" t="s">
        <v>118</v>
      </c>
      <c r="CF3421" s="2"/>
      <c r="CG3421" s="2"/>
      <c r="CH3421" s="2"/>
      <c r="CI3421" s="2">
        <v>1</v>
      </c>
      <c r="CJ3421" s="2" t="s">
        <v>1744</v>
      </c>
      <c r="CK3421" s="2">
        <v>22</v>
      </c>
      <c r="CL3421" s="2" t="s">
        <v>86</v>
      </c>
      <c r="CM3421" s="2"/>
    </row>
    <row r="3422" spans="1:91">
      <c r="A3422" s="2" t="s">
        <v>71</v>
      </c>
      <c r="B3422" s="2" t="s">
        <v>72</v>
      </c>
      <c r="C3422" s="2" t="s">
        <v>73</v>
      </c>
      <c r="D3422" s="2"/>
      <c r="E3422" s="2" t="str">
        <f>"FES1162545641"</f>
        <v>FES1162545641</v>
      </c>
      <c r="F3422" s="3">
        <v>42851</v>
      </c>
      <c r="G3422" s="2">
        <v>201710</v>
      </c>
      <c r="H3422" s="2" t="s">
        <v>74</v>
      </c>
      <c r="I3422" s="2" t="s">
        <v>75</v>
      </c>
      <c r="J3422" s="2" t="s">
        <v>76</v>
      </c>
      <c r="K3422" s="2" t="s">
        <v>77</v>
      </c>
      <c r="L3422" s="2" t="s">
        <v>99</v>
      </c>
      <c r="M3422" s="2" t="s">
        <v>100</v>
      </c>
      <c r="N3422" s="2" t="s">
        <v>108</v>
      </c>
      <c r="O3422" s="2" t="s">
        <v>115</v>
      </c>
      <c r="P3422" s="2" t="str">
        <f>"2170562015                    "</f>
        <v xml:space="preserve">2170562015                    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4.29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1</v>
      </c>
      <c r="BI3422" s="2">
        <v>1</v>
      </c>
      <c r="BJ3422" s="2">
        <v>0.2</v>
      </c>
      <c r="BK3422" s="2">
        <v>1</v>
      </c>
      <c r="BL3422" s="2">
        <v>41.73</v>
      </c>
      <c r="BM3422" s="2">
        <v>5.84</v>
      </c>
      <c r="BN3422" s="2">
        <v>47.57</v>
      </c>
      <c r="BO3422" s="2">
        <v>47.57</v>
      </c>
      <c r="BP3422" s="2"/>
      <c r="BQ3422" s="2" t="s">
        <v>109</v>
      </c>
      <c r="BR3422" s="2" t="s">
        <v>84</v>
      </c>
      <c r="BS3422" s="3">
        <v>42853</v>
      </c>
      <c r="BT3422" s="4">
        <v>0.375</v>
      </c>
      <c r="BU3422" s="2" t="s">
        <v>3001</v>
      </c>
      <c r="BV3422" s="2" t="s">
        <v>86</v>
      </c>
      <c r="BW3422" s="2"/>
      <c r="BX3422" s="2"/>
      <c r="BY3422" s="2">
        <v>1200</v>
      </c>
      <c r="BZ3422" s="2"/>
      <c r="CA3422" s="2" t="s">
        <v>106</v>
      </c>
      <c r="CB3422" s="2"/>
      <c r="CC3422" s="2" t="s">
        <v>100</v>
      </c>
      <c r="CD3422" s="2">
        <v>6001</v>
      </c>
      <c r="CE3422" s="2" t="s">
        <v>118</v>
      </c>
      <c r="CF3422" s="5">
        <v>42853</v>
      </c>
      <c r="CG3422" s="2"/>
      <c r="CH3422" s="2"/>
      <c r="CI3422" s="2">
        <v>1</v>
      </c>
      <c r="CJ3422" s="2">
        <v>2</v>
      </c>
      <c r="CK3422" s="2">
        <v>21</v>
      </c>
      <c r="CL3422" s="2" t="s">
        <v>86</v>
      </c>
      <c r="CM3422" s="2"/>
    </row>
    <row r="3423" spans="1:91">
      <c r="A3423" s="2" t="s">
        <v>71</v>
      </c>
      <c r="B3423" s="2" t="s">
        <v>72</v>
      </c>
      <c r="C3423" s="2" t="s">
        <v>73</v>
      </c>
      <c r="D3423" s="2"/>
      <c r="E3423" s="2" t="str">
        <f>"FES1162545599"</f>
        <v>FES1162545599</v>
      </c>
      <c r="F3423" s="3">
        <v>42851</v>
      </c>
      <c r="G3423" s="2">
        <v>201710</v>
      </c>
      <c r="H3423" s="2" t="s">
        <v>74</v>
      </c>
      <c r="I3423" s="2" t="s">
        <v>75</v>
      </c>
      <c r="J3423" s="2" t="s">
        <v>76</v>
      </c>
      <c r="K3423" s="2" t="s">
        <v>77</v>
      </c>
      <c r="L3423" s="2" t="s">
        <v>99</v>
      </c>
      <c r="M3423" s="2" t="s">
        <v>100</v>
      </c>
      <c r="N3423" s="2" t="s">
        <v>108</v>
      </c>
      <c r="O3423" s="2" t="s">
        <v>115</v>
      </c>
      <c r="P3423" s="2" t="str">
        <f>"2170559693                    "</f>
        <v xml:space="preserve">2170559693                    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4.29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  <c r="BG3423" s="2">
        <v>0</v>
      </c>
      <c r="BH3423" s="2">
        <v>1</v>
      </c>
      <c r="BI3423" s="2">
        <v>1</v>
      </c>
      <c r="BJ3423" s="2">
        <v>0.2</v>
      </c>
      <c r="BK3423" s="2">
        <v>1</v>
      </c>
      <c r="BL3423" s="2">
        <v>41.73</v>
      </c>
      <c r="BM3423" s="2">
        <v>5.84</v>
      </c>
      <c r="BN3423" s="2">
        <v>47.57</v>
      </c>
      <c r="BO3423" s="2">
        <v>47.57</v>
      </c>
      <c r="BP3423" s="2"/>
      <c r="BQ3423" s="2" t="s">
        <v>109</v>
      </c>
      <c r="BR3423" s="2" t="s">
        <v>84</v>
      </c>
      <c r="BS3423" s="3">
        <v>42853</v>
      </c>
      <c r="BT3423" s="4">
        <v>0.375</v>
      </c>
      <c r="BU3423" s="2" t="s">
        <v>3001</v>
      </c>
      <c r="BV3423" s="2" t="s">
        <v>86</v>
      </c>
      <c r="BW3423" s="2"/>
      <c r="BX3423" s="2"/>
      <c r="BY3423" s="2">
        <v>1200</v>
      </c>
      <c r="BZ3423" s="2"/>
      <c r="CA3423" s="2" t="s">
        <v>106</v>
      </c>
      <c r="CB3423" s="2"/>
      <c r="CC3423" s="2" t="s">
        <v>100</v>
      </c>
      <c r="CD3423" s="2">
        <v>6001</v>
      </c>
      <c r="CE3423" s="2" t="s">
        <v>118</v>
      </c>
      <c r="CF3423" s="5">
        <v>42853</v>
      </c>
      <c r="CG3423" s="2"/>
      <c r="CH3423" s="2"/>
      <c r="CI3423" s="2">
        <v>1</v>
      </c>
      <c r="CJ3423" s="2">
        <v>2</v>
      </c>
      <c r="CK3423" s="2">
        <v>21</v>
      </c>
      <c r="CL3423" s="2" t="s">
        <v>86</v>
      </c>
      <c r="CM3423" s="2"/>
    </row>
    <row r="3424" spans="1:91">
      <c r="A3424" s="2" t="s">
        <v>71</v>
      </c>
      <c r="B3424" s="2" t="s">
        <v>72</v>
      </c>
      <c r="C3424" s="2" t="s">
        <v>73</v>
      </c>
      <c r="D3424" s="2"/>
      <c r="E3424" s="2" t="str">
        <f>"FES1162545636"</f>
        <v>FES1162545636</v>
      </c>
      <c r="F3424" s="3">
        <v>42851</v>
      </c>
      <c r="G3424" s="2">
        <v>201710</v>
      </c>
      <c r="H3424" s="2" t="s">
        <v>74</v>
      </c>
      <c r="I3424" s="2" t="s">
        <v>75</v>
      </c>
      <c r="J3424" s="2" t="s">
        <v>76</v>
      </c>
      <c r="K3424" s="2" t="s">
        <v>77</v>
      </c>
      <c r="L3424" s="2" t="s">
        <v>112</v>
      </c>
      <c r="M3424" s="2" t="s">
        <v>113</v>
      </c>
      <c r="N3424" s="2" t="s">
        <v>114</v>
      </c>
      <c r="O3424" s="2" t="s">
        <v>115</v>
      </c>
      <c r="P3424" s="2" t="str">
        <f>"210561763                     "</f>
        <v xml:space="preserve">210561763                     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12.86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1</v>
      </c>
      <c r="BI3424" s="2">
        <v>5.6</v>
      </c>
      <c r="BJ3424" s="2">
        <v>1.6</v>
      </c>
      <c r="BK3424" s="2">
        <v>6</v>
      </c>
      <c r="BL3424" s="2">
        <v>125.18</v>
      </c>
      <c r="BM3424" s="2">
        <v>17.53</v>
      </c>
      <c r="BN3424" s="2">
        <v>142.71</v>
      </c>
      <c r="BO3424" s="2">
        <v>142.71</v>
      </c>
      <c r="BP3424" s="2"/>
      <c r="BQ3424" s="2" t="s">
        <v>116</v>
      </c>
      <c r="BR3424" s="2" t="s">
        <v>84</v>
      </c>
      <c r="BS3424" s="1" t="s">
        <v>1744</v>
      </c>
      <c r="BT3424" s="2"/>
      <c r="BU3424" s="2"/>
      <c r="BV3424" s="2"/>
      <c r="BW3424" s="2"/>
      <c r="BX3424" s="2"/>
      <c r="BY3424" s="2">
        <v>8144.79</v>
      </c>
      <c r="BZ3424" s="2"/>
      <c r="CA3424" s="2"/>
      <c r="CB3424" s="2"/>
      <c r="CC3424" s="2" t="s">
        <v>113</v>
      </c>
      <c r="CD3424" s="2">
        <v>3201</v>
      </c>
      <c r="CE3424" s="2" t="s">
        <v>89</v>
      </c>
      <c r="CF3424" s="2"/>
      <c r="CG3424" s="2"/>
      <c r="CH3424" s="2"/>
      <c r="CI3424" s="2">
        <v>1</v>
      </c>
      <c r="CJ3424" s="2" t="s">
        <v>1744</v>
      </c>
      <c r="CK3424" s="2">
        <v>21</v>
      </c>
      <c r="CL3424" s="2" t="s">
        <v>86</v>
      </c>
      <c r="CM3424" s="2"/>
    </row>
    <row r="3425" spans="1:91">
      <c r="A3425" s="2" t="s">
        <v>71</v>
      </c>
      <c r="B3425" s="2" t="s">
        <v>72</v>
      </c>
      <c r="C3425" s="2" t="s">
        <v>73</v>
      </c>
      <c r="D3425" s="2"/>
      <c r="E3425" s="2" t="str">
        <f>"FES1162545673"</f>
        <v>FES1162545673</v>
      </c>
      <c r="F3425" s="3">
        <v>42851</v>
      </c>
      <c r="G3425" s="2">
        <v>201710</v>
      </c>
      <c r="H3425" s="2" t="s">
        <v>74</v>
      </c>
      <c r="I3425" s="2" t="s">
        <v>75</v>
      </c>
      <c r="J3425" s="2" t="s">
        <v>76</v>
      </c>
      <c r="K3425" s="2" t="s">
        <v>77</v>
      </c>
      <c r="L3425" s="2" t="s">
        <v>131</v>
      </c>
      <c r="M3425" s="2" t="s">
        <v>132</v>
      </c>
      <c r="N3425" s="2" t="s">
        <v>1084</v>
      </c>
      <c r="O3425" s="2" t="s">
        <v>115</v>
      </c>
      <c r="P3425" s="2" t="str">
        <f>"2170564126                    "</f>
        <v xml:space="preserve">2170564126                    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19.29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1</v>
      </c>
      <c r="BI3425" s="2">
        <v>9</v>
      </c>
      <c r="BJ3425" s="2">
        <v>3.3</v>
      </c>
      <c r="BK3425" s="2">
        <v>9</v>
      </c>
      <c r="BL3425" s="2">
        <v>187.77</v>
      </c>
      <c r="BM3425" s="2">
        <v>26.29</v>
      </c>
      <c r="BN3425" s="2">
        <v>214.06</v>
      </c>
      <c r="BO3425" s="2">
        <v>214.06</v>
      </c>
      <c r="BP3425" s="2"/>
      <c r="BQ3425" s="2" t="s">
        <v>1085</v>
      </c>
      <c r="BR3425" s="2" t="s">
        <v>84</v>
      </c>
      <c r="BS3425" s="3">
        <v>42853</v>
      </c>
      <c r="BT3425" s="4">
        <v>0.41666666666666669</v>
      </c>
      <c r="BU3425" s="2" t="s">
        <v>3227</v>
      </c>
      <c r="BV3425" s="2" t="s">
        <v>86</v>
      </c>
      <c r="BW3425" s="2" t="s">
        <v>157</v>
      </c>
      <c r="BX3425" s="2" t="s">
        <v>1537</v>
      </c>
      <c r="BY3425" s="2">
        <v>16420.990000000002</v>
      </c>
      <c r="BZ3425" s="2"/>
      <c r="CA3425" s="2"/>
      <c r="CB3425" s="2"/>
      <c r="CC3425" s="2" t="s">
        <v>132</v>
      </c>
      <c r="CD3425" s="2">
        <v>7441</v>
      </c>
      <c r="CE3425" s="2" t="s">
        <v>89</v>
      </c>
      <c r="CF3425" s="2"/>
      <c r="CG3425" s="2"/>
      <c r="CH3425" s="2"/>
      <c r="CI3425" s="2">
        <v>1</v>
      </c>
      <c r="CJ3425" s="2">
        <v>2</v>
      </c>
      <c r="CK3425" s="2">
        <v>21</v>
      </c>
      <c r="CL3425" s="2" t="s">
        <v>86</v>
      </c>
      <c r="CM3425" s="2"/>
    </row>
    <row r="3426" spans="1:91">
      <c r="A3426" s="2" t="s">
        <v>71</v>
      </c>
      <c r="B3426" s="2" t="s">
        <v>72</v>
      </c>
      <c r="C3426" s="2" t="s">
        <v>73</v>
      </c>
      <c r="D3426" s="2"/>
      <c r="E3426" s="2" t="str">
        <f>"FES1162545660"</f>
        <v>FES1162545660</v>
      </c>
      <c r="F3426" s="3">
        <v>42851</v>
      </c>
      <c r="G3426" s="2">
        <v>201710</v>
      </c>
      <c r="H3426" s="2" t="s">
        <v>74</v>
      </c>
      <c r="I3426" s="2" t="s">
        <v>75</v>
      </c>
      <c r="J3426" s="2" t="s">
        <v>76</v>
      </c>
      <c r="K3426" s="2" t="s">
        <v>77</v>
      </c>
      <c r="L3426" s="2" t="s">
        <v>131</v>
      </c>
      <c r="M3426" s="2" t="s">
        <v>132</v>
      </c>
      <c r="N3426" s="2" t="s">
        <v>2146</v>
      </c>
      <c r="O3426" s="2" t="s">
        <v>115</v>
      </c>
      <c r="P3426" s="2" t="str">
        <f>"2170563886                    "</f>
        <v xml:space="preserve">2170563886                    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7.5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1</v>
      </c>
      <c r="BI3426" s="2">
        <v>2.2000000000000002</v>
      </c>
      <c r="BJ3426" s="2">
        <v>3.4</v>
      </c>
      <c r="BK3426" s="2">
        <v>3.5</v>
      </c>
      <c r="BL3426" s="2">
        <v>73.02</v>
      </c>
      <c r="BM3426" s="2">
        <v>10.220000000000001</v>
      </c>
      <c r="BN3426" s="2">
        <v>83.24</v>
      </c>
      <c r="BO3426" s="2">
        <v>83.24</v>
      </c>
      <c r="BP3426" s="2"/>
      <c r="BQ3426" s="2" t="s">
        <v>122</v>
      </c>
      <c r="BR3426" s="2" t="s">
        <v>84</v>
      </c>
      <c r="BS3426" s="3">
        <v>42853</v>
      </c>
      <c r="BT3426" s="4">
        <v>0.4152777777777778</v>
      </c>
      <c r="BU3426" s="2" t="s">
        <v>3413</v>
      </c>
      <c r="BV3426" s="2" t="s">
        <v>86</v>
      </c>
      <c r="BW3426" s="2" t="s">
        <v>484</v>
      </c>
      <c r="BX3426" s="2" t="s">
        <v>1370</v>
      </c>
      <c r="BY3426" s="2">
        <v>16982.78</v>
      </c>
      <c r="BZ3426" s="2"/>
      <c r="CA3426" s="2"/>
      <c r="CB3426" s="2"/>
      <c r="CC3426" s="2" t="s">
        <v>132</v>
      </c>
      <c r="CD3426" s="2">
        <v>7945</v>
      </c>
      <c r="CE3426" s="2" t="s">
        <v>89</v>
      </c>
      <c r="CF3426" s="2"/>
      <c r="CG3426" s="2"/>
      <c r="CH3426" s="2"/>
      <c r="CI3426" s="2">
        <v>1</v>
      </c>
      <c r="CJ3426" s="2">
        <v>2</v>
      </c>
      <c r="CK3426" s="2">
        <v>21</v>
      </c>
      <c r="CL3426" s="2" t="s">
        <v>86</v>
      </c>
      <c r="CM3426" s="2"/>
    </row>
    <row r="3427" spans="1:91">
      <c r="A3427" s="2" t="s">
        <v>71</v>
      </c>
      <c r="B3427" s="2" t="s">
        <v>72</v>
      </c>
      <c r="C3427" s="2" t="s">
        <v>73</v>
      </c>
      <c r="D3427" s="2"/>
      <c r="E3427" s="2" t="str">
        <f>"FES1162545596"</f>
        <v>FES1162545596</v>
      </c>
      <c r="F3427" s="3">
        <v>42851</v>
      </c>
      <c r="G3427" s="2">
        <v>201710</v>
      </c>
      <c r="H3427" s="2" t="s">
        <v>74</v>
      </c>
      <c r="I3427" s="2" t="s">
        <v>75</v>
      </c>
      <c r="J3427" s="2" t="s">
        <v>76</v>
      </c>
      <c r="K3427" s="2" t="s">
        <v>77</v>
      </c>
      <c r="L3427" s="2" t="s">
        <v>160</v>
      </c>
      <c r="M3427" s="2" t="s">
        <v>161</v>
      </c>
      <c r="N3427" s="2" t="s">
        <v>741</v>
      </c>
      <c r="O3427" s="2" t="s">
        <v>115</v>
      </c>
      <c r="P3427" s="2" t="str">
        <f>"2170554676                    "</f>
        <v xml:space="preserve">2170554676                    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15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1</v>
      </c>
      <c r="BI3427" s="2">
        <v>6.7</v>
      </c>
      <c r="BJ3427" s="2">
        <v>3.5</v>
      </c>
      <c r="BK3427" s="2">
        <v>7</v>
      </c>
      <c r="BL3427" s="2">
        <v>146.04</v>
      </c>
      <c r="BM3427" s="2">
        <v>20.45</v>
      </c>
      <c r="BN3427" s="2">
        <v>166.49</v>
      </c>
      <c r="BO3427" s="2">
        <v>166.49</v>
      </c>
      <c r="BP3427" s="2"/>
      <c r="BQ3427" s="2" t="s">
        <v>742</v>
      </c>
      <c r="BR3427" s="2" t="s">
        <v>84</v>
      </c>
      <c r="BS3427" s="3">
        <v>42853</v>
      </c>
      <c r="BT3427" s="4">
        <v>0.41666666666666669</v>
      </c>
      <c r="BU3427" s="2" t="s">
        <v>833</v>
      </c>
      <c r="BV3427" s="2" t="s">
        <v>86</v>
      </c>
      <c r="BW3427" s="2" t="s">
        <v>157</v>
      </c>
      <c r="BX3427" s="2" t="s">
        <v>251</v>
      </c>
      <c r="BY3427" s="2">
        <v>17526.38</v>
      </c>
      <c r="BZ3427" s="2"/>
      <c r="CA3427" s="2"/>
      <c r="CB3427" s="2"/>
      <c r="CC3427" s="2" t="s">
        <v>161</v>
      </c>
      <c r="CD3427" s="2">
        <v>5201</v>
      </c>
      <c r="CE3427" s="2" t="s">
        <v>89</v>
      </c>
      <c r="CF3427" s="2"/>
      <c r="CG3427" s="2"/>
      <c r="CH3427" s="2"/>
      <c r="CI3427" s="2">
        <v>1</v>
      </c>
      <c r="CJ3427" s="2">
        <v>2</v>
      </c>
      <c r="CK3427" s="2">
        <v>21</v>
      </c>
      <c r="CL3427" s="2" t="s">
        <v>86</v>
      </c>
      <c r="CM3427" s="2"/>
    </row>
    <row r="3428" spans="1:91">
      <c r="A3428" s="2" t="s">
        <v>71</v>
      </c>
      <c r="B3428" s="2" t="s">
        <v>72</v>
      </c>
      <c r="C3428" s="2" t="s">
        <v>73</v>
      </c>
      <c r="D3428" s="2"/>
      <c r="E3428" s="2" t="str">
        <f>"FES1162545826"</f>
        <v>FES1162545826</v>
      </c>
      <c r="F3428" s="3">
        <v>42851</v>
      </c>
      <c r="G3428" s="2">
        <v>201710</v>
      </c>
      <c r="H3428" s="2" t="s">
        <v>74</v>
      </c>
      <c r="I3428" s="2" t="s">
        <v>75</v>
      </c>
      <c r="J3428" s="2" t="s">
        <v>76</v>
      </c>
      <c r="K3428" s="2" t="s">
        <v>77</v>
      </c>
      <c r="L3428" s="2" t="s">
        <v>74</v>
      </c>
      <c r="M3428" s="2" t="s">
        <v>75</v>
      </c>
      <c r="N3428" s="2" t="s">
        <v>3414</v>
      </c>
      <c r="O3428" s="2" t="s">
        <v>115</v>
      </c>
      <c r="P3428" s="2" t="str">
        <f>"2170564284                    "</f>
        <v xml:space="preserve">2170564284                    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3.35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1</v>
      </c>
      <c r="BI3428" s="2">
        <v>1</v>
      </c>
      <c r="BJ3428" s="2">
        <v>0.2</v>
      </c>
      <c r="BK3428" s="2">
        <v>1</v>
      </c>
      <c r="BL3428" s="2">
        <v>32.6</v>
      </c>
      <c r="BM3428" s="2">
        <v>4.5599999999999996</v>
      </c>
      <c r="BN3428" s="2">
        <v>37.159999999999997</v>
      </c>
      <c r="BO3428" s="2">
        <v>37.159999999999997</v>
      </c>
      <c r="BP3428" s="2"/>
      <c r="BQ3428" s="2"/>
      <c r="BR3428" s="2" t="s">
        <v>84</v>
      </c>
      <c r="BS3428" s="3">
        <v>42853</v>
      </c>
      <c r="BT3428" s="4">
        <v>0.41666666666666669</v>
      </c>
      <c r="BU3428" s="2" t="s">
        <v>3415</v>
      </c>
      <c r="BV3428" s="2" t="s">
        <v>86</v>
      </c>
      <c r="BW3428" s="2" t="s">
        <v>164</v>
      </c>
      <c r="BX3428" s="2" t="s">
        <v>309</v>
      </c>
      <c r="BY3428" s="2">
        <v>1200</v>
      </c>
      <c r="BZ3428" s="2"/>
      <c r="CA3428" s="2"/>
      <c r="CB3428" s="2"/>
      <c r="CC3428" s="2" t="s">
        <v>75</v>
      </c>
      <c r="CD3428" s="2">
        <v>1609</v>
      </c>
      <c r="CE3428" s="2" t="s">
        <v>118</v>
      </c>
      <c r="CF3428" s="2"/>
      <c r="CG3428" s="2"/>
      <c r="CH3428" s="2"/>
      <c r="CI3428" s="2">
        <v>1</v>
      </c>
      <c r="CJ3428" s="2">
        <v>2</v>
      </c>
      <c r="CK3428" s="2">
        <v>22</v>
      </c>
      <c r="CL3428" s="2" t="s">
        <v>86</v>
      </c>
      <c r="CM3428" s="2"/>
    </row>
    <row r="3429" spans="1:91">
      <c r="A3429" s="2" t="s">
        <v>71</v>
      </c>
      <c r="B3429" s="2" t="s">
        <v>72</v>
      </c>
      <c r="C3429" s="2" t="s">
        <v>73</v>
      </c>
      <c r="D3429" s="2"/>
      <c r="E3429" s="2" t="str">
        <f>"FES1162545687"</f>
        <v>FES1162545687</v>
      </c>
      <c r="F3429" s="3">
        <v>42851</v>
      </c>
      <c r="G3429" s="2">
        <v>201710</v>
      </c>
      <c r="H3429" s="2" t="s">
        <v>74</v>
      </c>
      <c r="I3429" s="2" t="s">
        <v>75</v>
      </c>
      <c r="J3429" s="2" t="s">
        <v>76</v>
      </c>
      <c r="K3429" s="2" t="s">
        <v>77</v>
      </c>
      <c r="L3429" s="2" t="s">
        <v>131</v>
      </c>
      <c r="M3429" s="2" t="s">
        <v>132</v>
      </c>
      <c r="N3429" s="2" t="s">
        <v>2533</v>
      </c>
      <c r="O3429" s="2" t="s">
        <v>115</v>
      </c>
      <c r="P3429" s="2" t="str">
        <f>"2170564148                    "</f>
        <v xml:space="preserve">2170564148                    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4.29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1</v>
      </c>
      <c r="BI3429" s="2">
        <v>1</v>
      </c>
      <c r="BJ3429" s="2">
        <v>0.2</v>
      </c>
      <c r="BK3429" s="2">
        <v>1</v>
      </c>
      <c r="BL3429" s="2">
        <v>41.73</v>
      </c>
      <c r="BM3429" s="2">
        <v>5.84</v>
      </c>
      <c r="BN3429" s="2">
        <v>47.57</v>
      </c>
      <c r="BO3429" s="2">
        <v>47.57</v>
      </c>
      <c r="BP3429" s="2"/>
      <c r="BQ3429" s="2" t="s">
        <v>2534</v>
      </c>
      <c r="BR3429" s="2" t="s">
        <v>84</v>
      </c>
      <c r="BS3429" s="3">
        <v>42853</v>
      </c>
      <c r="BT3429" s="4">
        <v>0.41666666666666669</v>
      </c>
      <c r="BU3429" s="2" t="s">
        <v>562</v>
      </c>
      <c r="BV3429" s="2" t="s">
        <v>86</v>
      </c>
      <c r="BW3429" s="2" t="s">
        <v>157</v>
      </c>
      <c r="BX3429" s="2" t="s">
        <v>1537</v>
      </c>
      <c r="BY3429" s="2">
        <v>1200</v>
      </c>
      <c r="BZ3429" s="2"/>
      <c r="CA3429" s="2"/>
      <c r="CB3429" s="2"/>
      <c r="CC3429" s="2" t="s">
        <v>132</v>
      </c>
      <c r="CD3429" s="2">
        <v>7441</v>
      </c>
      <c r="CE3429" s="2" t="s">
        <v>118</v>
      </c>
      <c r="CF3429" s="2"/>
      <c r="CG3429" s="2"/>
      <c r="CH3429" s="2"/>
      <c r="CI3429" s="2">
        <v>1</v>
      </c>
      <c r="CJ3429" s="2">
        <v>2</v>
      </c>
      <c r="CK3429" s="2">
        <v>21</v>
      </c>
      <c r="CL3429" s="2" t="s">
        <v>86</v>
      </c>
      <c r="CM3429" s="2"/>
    </row>
    <row r="3430" spans="1:91">
      <c r="A3430" s="2" t="s">
        <v>71</v>
      </c>
      <c r="B3430" s="2" t="s">
        <v>72</v>
      </c>
      <c r="C3430" s="2" t="s">
        <v>73</v>
      </c>
      <c r="D3430" s="2"/>
      <c r="E3430" s="2" t="str">
        <f>"FES1162545881"</f>
        <v>FES1162545881</v>
      </c>
      <c r="F3430" s="3">
        <v>42851</v>
      </c>
      <c r="G3430" s="2">
        <v>201710</v>
      </c>
      <c r="H3430" s="2" t="s">
        <v>74</v>
      </c>
      <c r="I3430" s="2" t="s">
        <v>75</v>
      </c>
      <c r="J3430" s="2" t="s">
        <v>76</v>
      </c>
      <c r="K3430" s="2" t="s">
        <v>77</v>
      </c>
      <c r="L3430" s="2" t="s">
        <v>99</v>
      </c>
      <c r="M3430" s="2" t="s">
        <v>100</v>
      </c>
      <c r="N3430" s="2" t="s">
        <v>876</v>
      </c>
      <c r="O3430" s="2" t="s">
        <v>115</v>
      </c>
      <c r="P3430" s="2" t="str">
        <f>"2170564344                    "</f>
        <v xml:space="preserve">2170564344                    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4.29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1</v>
      </c>
      <c r="BI3430" s="2">
        <v>1</v>
      </c>
      <c r="BJ3430" s="2">
        <v>0.2</v>
      </c>
      <c r="BK3430" s="2">
        <v>1</v>
      </c>
      <c r="BL3430" s="2">
        <v>41.73</v>
      </c>
      <c r="BM3430" s="2">
        <v>5.84</v>
      </c>
      <c r="BN3430" s="2">
        <v>47.57</v>
      </c>
      <c r="BO3430" s="2">
        <v>47.57</v>
      </c>
      <c r="BP3430" s="2"/>
      <c r="BQ3430" s="2" t="s">
        <v>877</v>
      </c>
      <c r="BR3430" s="2" t="s">
        <v>84</v>
      </c>
      <c r="BS3430" s="3">
        <v>42853</v>
      </c>
      <c r="BT3430" s="4">
        <v>0.2986111111111111</v>
      </c>
      <c r="BU3430" s="2" t="s">
        <v>245</v>
      </c>
      <c r="BV3430" s="2" t="s">
        <v>86</v>
      </c>
      <c r="BW3430" s="2"/>
      <c r="BX3430" s="2"/>
      <c r="BY3430" s="2">
        <v>1200</v>
      </c>
      <c r="BZ3430" s="2"/>
      <c r="CA3430" s="2" t="s">
        <v>106</v>
      </c>
      <c r="CB3430" s="2"/>
      <c r="CC3430" s="2" t="s">
        <v>100</v>
      </c>
      <c r="CD3430" s="2">
        <v>6012</v>
      </c>
      <c r="CE3430" s="2" t="s">
        <v>118</v>
      </c>
      <c r="CF3430" s="5">
        <v>42853</v>
      </c>
      <c r="CG3430" s="2"/>
      <c r="CH3430" s="2"/>
      <c r="CI3430" s="2">
        <v>1</v>
      </c>
      <c r="CJ3430" s="2">
        <v>2</v>
      </c>
      <c r="CK3430" s="2">
        <v>21</v>
      </c>
      <c r="CL3430" s="2" t="s">
        <v>86</v>
      </c>
      <c r="CM3430" s="2"/>
    </row>
    <row r="3431" spans="1:91">
      <c r="A3431" s="2" t="s">
        <v>71</v>
      </c>
      <c r="B3431" s="2" t="s">
        <v>72</v>
      </c>
      <c r="C3431" s="2" t="s">
        <v>73</v>
      </c>
      <c r="D3431" s="2"/>
      <c r="E3431" s="2" t="str">
        <f>"FES1162545849"</f>
        <v>FES1162545849</v>
      </c>
      <c r="F3431" s="3">
        <v>42851</v>
      </c>
      <c r="G3431" s="2">
        <v>201710</v>
      </c>
      <c r="H3431" s="2" t="s">
        <v>74</v>
      </c>
      <c r="I3431" s="2" t="s">
        <v>75</v>
      </c>
      <c r="J3431" s="2" t="s">
        <v>76</v>
      </c>
      <c r="K3431" s="2" t="s">
        <v>77</v>
      </c>
      <c r="L3431" s="2" t="s">
        <v>187</v>
      </c>
      <c r="M3431" s="2" t="s">
        <v>146</v>
      </c>
      <c r="N3431" s="2" t="s">
        <v>2129</v>
      </c>
      <c r="O3431" s="2" t="s">
        <v>115</v>
      </c>
      <c r="P3431" s="2" t="str">
        <f>"2170564304                    "</f>
        <v xml:space="preserve">2170564304                    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4.29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1</v>
      </c>
      <c r="BI3431" s="2">
        <v>1</v>
      </c>
      <c r="BJ3431" s="2">
        <v>0.2</v>
      </c>
      <c r="BK3431" s="2">
        <v>1</v>
      </c>
      <c r="BL3431" s="2">
        <v>41.73</v>
      </c>
      <c r="BM3431" s="2">
        <v>5.84</v>
      </c>
      <c r="BN3431" s="2">
        <v>47.57</v>
      </c>
      <c r="BO3431" s="2">
        <v>47.57</v>
      </c>
      <c r="BP3431" s="2"/>
      <c r="BQ3431" s="2" t="s">
        <v>2130</v>
      </c>
      <c r="BR3431" s="2" t="s">
        <v>84</v>
      </c>
      <c r="BS3431" s="3">
        <v>42853</v>
      </c>
      <c r="BT3431" s="4">
        <v>0.40972222222222227</v>
      </c>
      <c r="BU3431" s="2" t="s">
        <v>3416</v>
      </c>
      <c r="BV3431" s="2" t="s">
        <v>86</v>
      </c>
      <c r="BW3431" s="2"/>
      <c r="BX3431" s="2"/>
      <c r="BY3431" s="2">
        <v>1200</v>
      </c>
      <c r="BZ3431" s="2"/>
      <c r="CA3431" s="2"/>
      <c r="CB3431" s="2"/>
      <c r="CC3431" s="2" t="s">
        <v>146</v>
      </c>
      <c r="CD3431" s="2">
        <v>157</v>
      </c>
      <c r="CE3431" s="2" t="s">
        <v>118</v>
      </c>
      <c r="CF3431" s="2"/>
      <c r="CG3431" s="2"/>
      <c r="CH3431" s="2"/>
      <c r="CI3431" s="2">
        <v>1</v>
      </c>
      <c r="CJ3431" s="2">
        <v>2</v>
      </c>
      <c r="CK3431" s="2">
        <v>21</v>
      </c>
      <c r="CL3431" s="2" t="s">
        <v>86</v>
      </c>
      <c r="CM3431" s="2"/>
    </row>
    <row r="3432" spans="1:91">
      <c r="A3432" s="2" t="s">
        <v>71</v>
      </c>
      <c r="B3432" s="2" t="s">
        <v>72</v>
      </c>
      <c r="C3432" s="2" t="s">
        <v>73</v>
      </c>
      <c r="D3432" s="2"/>
      <c r="E3432" s="2" t="str">
        <f>"FES1162545662"</f>
        <v>FES1162545662</v>
      </c>
      <c r="F3432" s="3">
        <v>42851</v>
      </c>
      <c r="G3432" s="2">
        <v>201710</v>
      </c>
      <c r="H3432" s="2" t="s">
        <v>74</v>
      </c>
      <c r="I3432" s="2" t="s">
        <v>75</v>
      </c>
      <c r="J3432" s="2" t="s">
        <v>76</v>
      </c>
      <c r="K3432" s="2" t="s">
        <v>77</v>
      </c>
      <c r="L3432" s="2" t="s">
        <v>176</v>
      </c>
      <c r="M3432" s="2" t="s">
        <v>176</v>
      </c>
      <c r="N3432" s="2" t="s">
        <v>177</v>
      </c>
      <c r="O3432" s="2" t="s">
        <v>115</v>
      </c>
      <c r="P3432" s="2" t="str">
        <f>"2170563940                    "</f>
        <v xml:space="preserve">2170563940                    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4.29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1</v>
      </c>
      <c r="BI3432" s="2">
        <v>1</v>
      </c>
      <c r="BJ3432" s="2">
        <v>0.2</v>
      </c>
      <c r="BK3432" s="2">
        <v>1</v>
      </c>
      <c r="BL3432" s="2">
        <v>41.73</v>
      </c>
      <c r="BM3432" s="2">
        <v>5.84</v>
      </c>
      <c r="BN3432" s="2">
        <v>47.57</v>
      </c>
      <c r="BO3432" s="2">
        <v>47.57</v>
      </c>
      <c r="BP3432" s="2"/>
      <c r="BQ3432" s="2" t="s">
        <v>178</v>
      </c>
      <c r="BR3432" s="2" t="s">
        <v>84</v>
      </c>
      <c r="BS3432" s="3">
        <v>42853</v>
      </c>
      <c r="BT3432" s="4">
        <v>0.45833333333333331</v>
      </c>
      <c r="BU3432" s="2" t="s">
        <v>3417</v>
      </c>
      <c r="BV3432" s="2" t="s">
        <v>86</v>
      </c>
      <c r="BW3432" s="2" t="s">
        <v>87</v>
      </c>
      <c r="BX3432" s="2" t="s">
        <v>1370</v>
      </c>
      <c r="BY3432" s="2">
        <v>1200</v>
      </c>
      <c r="BZ3432" s="2"/>
      <c r="CA3432" s="2"/>
      <c r="CB3432" s="2"/>
      <c r="CC3432" s="2" t="s">
        <v>176</v>
      </c>
      <c r="CD3432" s="2">
        <v>7646</v>
      </c>
      <c r="CE3432" s="2" t="s">
        <v>118</v>
      </c>
      <c r="CF3432" s="2"/>
      <c r="CG3432" s="2"/>
      <c r="CH3432" s="2"/>
      <c r="CI3432" s="2">
        <v>1</v>
      </c>
      <c r="CJ3432" s="2">
        <v>2</v>
      </c>
      <c r="CK3432" s="2">
        <v>21</v>
      </c>
      <c r="CL3432" s="2" t="s">
        <v>86</v>
      </c>
      <c r="CM3432" s="2"/>
    </row>
    <row r="3433" spans="1:91">
      <c r="A3433" s="2" t="s">
        <v>71</v>
      </c>
      <c r="B3433" s="2" t="s">
        <v>72</v>
      </c>
      <c r="C3433" s="2" t="s">
        <v>73</v>
      </c>
      <c r="D3433" s="2"/>
      <c r="E3433" s="2" t="str">
        <f>"FES1162545607"</f>
        <v>FES1162545607</v>
      </c>
      <c r="F3433" s="3">
        <v>42851</v>
      </c>
      <c r="G3433" s="2">
        <v>201710</v>
      </c>
      <c r="H3433" s="2" t="s">
        <v>74</v>
      </c>
      <c r="I3433" s="2" t="s">
        <v>75</v>
      </c>
      <c r="J3433" s="2" t="s">
        <v>76</v>
      </c>
      <c r="K3433" s="2" t="s">
        <v>77</v>
      </c>
      <c r="L3433" s="2" t="s">
        <v>99</v>
      </c>
      <c r="M3433" s="2" t="s">
        <v>100</v>
      </c>
      <c r="N3433" s="2" t="s">
        <v>108</v>
      </c>
      <c r="O3433" s="2" t="s">
        <v>115</v>
      </c>
      <c r="P3433" s="2" t="str">
        <f>"2170560223                    "</f>
        <v xml:space="preserve">2170560223                    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6.43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  <c r="BG3433" s="2">
        <v>0</v>
      </c>
      <c r="BH3433" s="2">
        <v>1</v>
      </c>
      <c r="BI3433" s="2">
        <v>2.6</v>
      </c>
      <c r="BJ3433" s="2">
        <v>0.9</v>
      </c>
      <c r="BK3433" s="2">
        <v>3</v>
      </c>
      <c r="BL3433" s="2">
        <v>62.59</v>
      </c>
      <c r="BM3433" s="2">
        <v>8.76</v>
      </c>
      <c r="BN3433" s="2">
        <v>71.349999999999994</v>
      </c>
      <c r="BO3433" s="2">
        <v>71.349999999999994</v>
      </c>
      <c r="BP3433" s="2"/>
      <c r="BQ3433" s="2" t="s">
        <v>109</v>
      </c>
      <c r="BR3433" s="2" t="s">
        <v>84</v>
      </c>
      <c r="BS3433" s="3">
        <v>42853</v>
      </c>
      <c r="BT3433" s="4">
        <v>0.375</v>
      </c>
      <c r="BU3433" s="2" t="s">
        <v>3001</v>
      </c>
      <c r="BV3433" s="2" t="s">
        <v>86</v>
      </c>
      <c r="BW3433" s="2" t="s">
        <v>484</v>
      </c>
      <c r="BX3433" s="2" t="s">
        <v>485</v>
      </c>
      <c r="BY3433" s="2">
        <v>4404.4799999999996</v>
      </c>
      <c r="BZ3433" s="2"/>
      <c r="CA3433" s="2" t="s">
        <v>106</v>
      </c>
      <c r="CB3433" s="2"/>
      <c r="CC3433" s="2" t="s">
        <v>100</v>
      </c>
      <c r="CD3433" s="2">
        <v>6001</v>
      </c>
      <c r="CE3433" s="2" t="s">
        <v>89</v>
      </c>
      <c r="CF3433" s="5">
        <v>42853</v>
      </c>
      <c r="CG3433" s="2"/>
      <c r="CH3433" s="2"/>
      <c r="CI3433" s="2">
        <v>1</v>
      </c>
      <c r="CJ3433" s="2">
        <v>2</v>
      </c>
      <c r="CK3433" s="2">
        <v>21</v>
      </c>
      <c r="CL3433" s="2" t="s">
        <v>86</v>
      </c>
      <c r="CM3433" s="2"/>
    </row>
    <row r="3434" spans="1:91">
      <c r="A3434" s="2" t="s">
        <v>71</v>
      </c>
      <c r="B3434" s="2" t="s">
        <v>72</v>
      </c>
      <c r="C3434" s="2" t="s">
        <v>73</v>
      </c>
      <c r="D3434" s="2"/>
      <c r="E3434" s="2" t="str">
        <f>"FES1162545824"</f>
        <v>FES1162545824</v>
      </c>
      <c r="F3434" s="3">
        <v>42851</v>
      </c>
      <c r="G3434" s="2">
        <v>201710</v>
      </c>
      <c r="H3434" s="2" t="s">
        <v>74</v>
      </c>
      <c r="I3434" s="2" t="s">
        <v>75</v>
      </c>
      <c r="J3434" s="2" t="s">
        <v>76</v>
      </c>
      <c r="K3434" s="2" t="s">
        <v>77</v>
      </c>
      <c r="L3434" s="2" t="s">
        <v>166</v>
      </c>
      <c r="M3434" s="2" t="s">
        <v>167</v>
      </c>
      <c r="N3434" s="2" t="s">
        <v>168</v>
      </c>
      <c r="O3434" s="2" t="s">
        <v>115</v>
      </c>
      <c r="P3434" s="2" t="str">
        <f>"2170564277                    "</f>
        <v xml:space="preserve">2170564277                    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3.35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1</v>
      </c>
      <c r="BI3434" s="2">
        <v>1</v>
      </c>
      <c r="BJ3434" s="2">
        <v>0.2</v>
      </c>
      <c r="BK3434" s="2">
        <v>1</v>
      </c>
      <c r="BL3434" s="2">
        <v>32.6</v>
      </c>
      <c r="BM3434" s="2">
        <v>4.5599999999999996</v>
      </c>
      <c r="BN3434" s="2">
        <v>37.159999999999997</v>
      </c>
      <c r="BO3434" s="2">
        <v>37.159999999999997</v>
      </c>
      <c r="BP3434" s="2"/>
      <c r="BQ3434" s="2" t="s">
        <v>169</v>
      </c>
      <c r="BR3434" s="2" t="s">
        <v>84</v>
      </c>
      <c r="BS3434" s="3">
        <v>42853</v>
      </c>
      <c r="BT3434" s="4">
        <v>0.38958333333333334</v>
      </c>
      <c r="BU3434" s="2" t="s">
        <v>1317</v>
      </c>
      <c r="BV3434" s="2" t="s">
        <v>86</v>
      </c>
      <c r="BW3434" s="2" t="s">
        <v>164</v>
      </c>
      <c r="BX3434" s="2" t="s">
        <v>309</v>
      </c>
      <c r="BY3434" s="2">
        <v>1200</v>
      </c>
      <c r="BZ3434" s="2"/>
      <c r="CA3434" s="2" t="s">
        <v>171</v>
      </c>
      <c r="CB3434" s="2"/>
      <c r="CC3434" s="2" t="s">
        <v>167</v>
      </c>
      <c r="CD3434" s="2">
        <v>2094</v>
      </c>
      <c r="CE3434" s="2" t="s">
        <v>118</v>
      </c>
      <c r="CF3434" s="5">
        <v>42853</v>
      </c>
      <c r="CG3434" s="2"/>
      <c r="CH3434" s="2"/>
      <c r="CI3434" s="2">
        <v>1</v>
      </c>
      <c r="CJ3434" s="2">
        <v>2</v>
      </c>
      <c r="CK3434" s="2">
        <v>22</v>
      </c>
      <c r="CL3434" s="2" t="s">
        <v>86</v>
      </c>
      <c r="CM3434" s="2"/>
    </row>
    <row r="3435" spans="1:91">
      <c r="A3435" s="2" t="s">
        <v>71</v>
      </c>
      <c r="B3435" s="2" t="s">
        <v>72</v>
      </c>
      <c r="C3435" s="2" t="s">
        <v>73</v>
      </c>
      <c r="D3435" s="2"/>
      <c r="E3435" s="2" t="str">
        <f>"FES1162545609"</f>
        <v>FES1162545609</v>
      </c>
      <c r="F3435" s="3">
        <v>42851</v>
      </c>
      <c r="G3435" s="2">
        <v>201710</v>
      </c>
      <c r="H3435" s="2" t="s">
        <v>74</v>
      </c>
      <c r="I3435" s="2" t="s">
        <v>75</v>
      </c>
      <c r="J3435" s="2" t="s">
        <v>76</v>
      </c>
      <c r="K3435" s="2" t="s">
        <v>77</v>
      </c>
      <c r="L3435" s="2" t="s">
        <v>99</v>
      </c>
      <c r="M3435" s="2" t="s">
        <v>100</v>
      </c>
      <c r="N3435" s="2" t="s">
        <v>108</v>
      </c>
      <c r="O3435" s="2" t="s">
        <v>115</v>
      </c>
      <c r="P3435" s="2" t="str">
        <f>"2170560229                    "</f>
        <v xml:space="preserve">2170560229                    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6.43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1</v>
      </c>
      <c r="BI3435" s="2">
        <v>2.6</v>
      </c>
      <c r="BJ3435" s="2">
        <v>0.9</v>
      </c>
      <c r="BK3435" s="2">
        <v>3</v>
      </c>
      <c r="BL3435" s="2">
        <v>62.59</v>
      </c>
      <c r="BM3435" s="2">
        <v>8.76</v>
      </c>
      <c r="BN3435" s="2">
        <v>71.349999999999994</v>
      </c>
      <c r="BO3435" s="2">
        <v>71.349999999999994</v>
      </c>
      <c r="BP3435" s="2"/>
      <c r="BQ3435" s="2" t="s">
        <v>109</v>
      </c>
      <c r="BR3435" s="2" t="s">
        <v>84</v>
      </c>
      <c r="BS3435" s="3">
        <v>42853</v>
      </c>
      <c r="BT3435" s="4">
        <v>0.375</v>
      </c>
      <c r="BU3435" s="2" t="s">
        <v>1885</v>
      </c>
      <c r="BV3435" s="2" t="s">
        <v>86</v>
      </c>
      <c r="BW3435" s="2"/>
      <c r="BX3435" s="2"/>
      <c r="BY3435" s="2">
        <v>4421.76</v>
      </c>
      <c r="BZ3435" s="2"/>
      <c r="CA3435" s="2" t="s">
        <v>106</v>
      </c>
      <c r="CB3435" s="2"/>
      <c r="CC3435" s="2" t="s">
        <v>100</v>
      </c>
      <c r="CD3435" s="2">
        <v>6001</v>
      </c>
      <c r="CE3435" s="2" t="s">
        <v>89</v>
      </c>
      <c r="CF3435" s="5">
        <v>42853</v>
      </c>
      <c r="CG3435" s="2"/>
      <c r="CH3435" s="2"/>
      <c r="CI3435" s="2">
        <v>1</v>
      </c>
      <c r="CJ3435" s="2">
        <v>2</v>
      </c>
      <c r="CK3435" s="2">
        <v>21</v>
      </c>
      <c r="CL3435" s="2" t="s">
        <v>86</v>
      </c>
      <c r="CM3435" s="2"/>
    </row>
    <row r="3436" spans="1:91">
      <c r="A3436" s="2" t="s">
        <v>71</v>
      </c>
      <c r="B3436" s="2" t="s">
        <v>72</v>
      </c>
      <c r="C3436" s="2" t="s">
        <v>73</v>
      </c>
      <c r="D3436" s="2"/>
      <c r="E3436" s="2" t="str">
        <f>"FES1162545890"</f>
        <v>FES1162545890</v>
      </c>
      <c r="F3436" s="3">
        <v>42851</v>
      </c>
      <c r="G3436" s="2">
        <v>201710</v>
      </c>
      <c r="H3436" s="2" t="s">
        <v>74</v>
      </c>
      <c r="I3436" s="2" t="s">
        <v>75</v>
      </c>
      <c r="J3436" s="2" t="s">
        <v>76</v>
      </c>
      <c r="K3436" s="2" t="s">
        <v>77</v>
      </c>
      <c r="L3436" s="2" t="s">
        <v>99</v>
      </c>
      <c r="M3436" s="2" t="s">
        <v>100</v>
      </c>
      <c r="N3436" s="2" t="s">
        <v>700</v>
      </c>
      <c r="O3436" s="2" t="s">
        <v>115</v>
      </c>
      <c r="P3436" s="2" t="str">
        <f>"2170564352                    "</f>
        <v xml:space="preserve">2170564352                    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4.29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1</v>
      </c>
      <c r="BI3436" s="2">
        <v>1</v>
      </c>
      <c r="BJ3436" s="2">
        <v>0.2</v>
      </c>
      <c r="BK3436" s="2">
        <v>1</v>
      </c>
      <c r="BL3436" s="2">
        <v>41.73</v>
      </c>
      <c r="BM3436" s="2">
        <v>5.84</v>
      </c>
      <c r="BN3436" s="2">
        <v>47.57</v>
      </c>
      <c r="BO3436" s="2">
        <v>47.57</v>
      </c>
      <c r="BP3436" s="2"/>
      <c r="BQ3436" s="2" t="s">
        <v>701</v>
      </c>
      <c r="BR3436" s="2" t="s">
        <v>84</v>
      </c>
      <c r="BS3436" s="3">
        <v>42853</v>
      </c>
      <c r="BT3436" s="4">
        <v>0.39583333333333331</v>
      </c>
      <c r="BU3436" s="2" t="s">
        <v>2829</v>
      </c>
      <c r="BV3436" s="2" t="s">
        <v>86</v>
      </c>
      <c r="BW3436" s="2"/>
      <c r="BX3436" s="2"/>
      <c r="BY3436" s="2">
        <v>1200</v>
      </c>
      <c r="BZ3436" s="2"/>
      <c r="CA3436" s="2" t="s">
        <v>106</v>
      </c>
      <c r="CB3436" s="2"/>
      <c r="CC3436" s="2" t="s">
        <v>100</v>
      </c>
      <c r="CD3436" s="2">
        <v>6001</v>
      </c>
      <c r="CE3436" s="2" t="s">
        <v>118</v>
      </c>
      <c r="CF3436" s="5">
        <v>42853</v>
      </c>
      <c r="CG3436" s="2"/>
      <c r="CH3436" s="2"/>
      <c r="CI3436" s="2">
        <v>1</v>
      </c>
      <c r="CJ3436" s="2">
        <v>2</v>
      </c>
      <c r="CK3436" s="2">
        <v>21</v>
      </c>
      <c r="CL3436" s="2" t="s">
        <v>86</v>
      </c>
      <c r="CM3436" s="2"/>
    </row>
    <row r="3437" spans="1:91">
      <c r="A3437" s="2" t="s">
        <v>71</v>
      </c>
      <c r="B3437" s="2" t="s">
        <v>72</v>
      </c>
      <c r="C3437" s="2" t="s">
        <v>73</v>
      </c>
      <c r="D3437" s="2"/>
      <c r="E3437" s="2" t="str">
        <f>"FES1162545889"</f>
        <v>FES1162545889</v>
      </c>
      <c r="F3437" s="3">
        <v>42851</v>
      </c>
      <c r="G3437" s="2">
        <v>201710</v>
      </c>
      <c r="H3437" s="2" t="s">
        <v>74</v>
      </c>
      <c r="I3437" s="2" t="s">
        <v>75</v>
      </c>
      <c r="J3437" s="2" t="s">
        <v>76</v>
      </c>
      <c r="K3437" s="2" t="s">
        <v>77</v>
      </c>
      <c r="L3437" s="2" t="s">
        <v>267</v>
      </c>
      <c r="M3437" s="2" t="s">
        <v>268</v>
      </c>
      <c r="N3437" s="2" t="s">
        <v>3418</v>
      </c>
      <c r="O3437" s="2" t="s">
        <v>115</v>
      </c>
      <c r="P3437" s="2" t="str">
        <f>"2170564351                    "</f>
        <v xml:space="preserve">2170564351                    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3.35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1</v>
      </c>
      <c r="BI3437" s="2">
        <v>1</v>
      </c>
      <c r="BJ3437" s="2">
        <v>0.2</v>
      </c>
      <c r="BK3437" s="2">
        <v>1</v>
      </c>
      <c r="BL3437" s="2">
        <v>32.6</v>
      </c>
      <c r="BM3437" s="2">
        <v>4.5599999999999996</v>
      </c>
      <c r="BN3437" s="2">
        <v>37.159999999999997</v>
      </c>
      <c r="BO3437" s="2">
        <v>37.159999999999997</v>
      </c>
      <c r="BP3437" s="2"/>
      <c r="BQ3437" s="2" t="s">
        <v>3419</v>
      </c>
      <c r="BR3437" s="2" t="s">
        <v>84</v>
      </c>
      <c r="BS3437" s="3">
        <v>42853</v>
      </c>
      <c r="BT3437" s="4">
        <v>0.41666666666666669</v>
      </c>
      <c r="BU3437" s="2" t="s">
        <v>2152</v>
      </c>
      <c r="BV3437" s="2" t="s">
        <v>86</v>
      </c>
      <c r="BW3437" s="2" t="s">
        <v>96</v>
      </c>
      <c r="BX3437" s="2" t="s">
        <v>2830</v>
      </c>
      <c r="BY3437" s="2">
        <v>1200</v>
      </c>
      <c r="BZ3437" s="2"/>
      <c r="CA3437" s="2"/>
      <c r="CB3437" s="2"/>
      <c r="CC3437" s="2" t="s">
        <v>268</v>
      </c>
      <c r="CD3437" s="2">
        <v>1709</v>
      </c>
      <c r="CE3437" s="2" t="s">
        <v>118</v>
      </c>
      <c r="CF3437" s="2"/>
      <c r="CG3437" s="2"/>
      <c r="CH3437" s="2"/>
      <c r="CI3437" s="2">
        <v>1</v>
      </c>
      <c r="CJ3437" s="2">
        <v>2</v>
      </c>
      <c r="CK3437" s="2">
        <v>22</v>
      </c>
      <c r="CL3437" s="2" t="s">
        <v>86</v>
      </c>
      <c r="CM3437" s="2"/>
    </row>
    <row r="3438" spans="1:91">
      <c r="A3438" s="2" t="s">
        <v>71</v>
      </c>
      <c r="B3438" s="2" t="s">
        <v>72</v>
      </c>
      <c r="C3438" s="2" t="s">
        <v>73</v>
      </c>
      <c r="D3438" s="2"/>
      <c r="E3438" s="2" t="str">
        <f>"FES1162545871"</f>
        <v>FES1162545871</v>
      </c>
      <c r="F3438" s="3">
        <v>42851</v>
      </c>
      <c r="G3438" s="2">
        <v>201710</v>
      </c>
      <c r="H3438" s="2" t="s">
        <v>74</v>
      </c>
      <c r="I3438" s="2" t="s">
        <v>75</v>
      </c>
      <c r="J3438" s="2" t="s">
        <v>76</v>
      </c>
      <c r="K3438" s="2" t="s">
        <v>77</v>
      </c>
      <c r="L3438" s="2" t="s">
        <v>74</v>
      </c>
      <c r="M3438" s="2" t="s">
        <v>75</v>
      </c>
      <c r="N3438" s="2" t="s">
        <v>488</v>
      </c>
      <c r="O3438" s="2" t="s">
        <v>115</v>
      </c>
      <c r="P3438" s="2" t="str">
        <f>"2170564335                    "</f>
        <v xml:space="preserve">2170564335                    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3.35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1</v>
      </c>
      <c r="BI3438" s="2">
        <v>2</v>
      </c>
      <c r="BJ3438" s="2">
        <v>0.2</v>
      </c>
      <c r="BK3438" s="2">
        <v>2</v>
      </c>
      <c r="BL3438" s="2">
        <v>32.6</v>
      </c>
      <c r="BM3438" s="2">
        <v>4.5599999999999996</v>
      </c>
      <c r="BN3438" s="2">
        <v>37.159999999999997</v>
      </c>
      <c r="BO3438" s="2">
        <v>37.159999999999997</v>
      </c>
      <c r="BP3438" s="2"/>
      <c r="BQ3438" s="2" t="s">
        <v>489</v>
      </c>
      <c r="BR3438" s="2" t="s">
        <v>84</v>
      </c>
      <c r="BS3438" s="1" t="s">
        <v>1744</v>
      </c>
      <c r="BT3438" s="2"/>
      <c r="BU3438" s="2"/>
      <c r="BV3438" s="2"/>
      <c r="BW3438" s="2"/>
      <c r="BX3438" s="2"/>
      <c r="BY3438" s="2">
        <v>1200</v>
      </c>
      <c r="BZ3438" s="2"/>
      <c r="CA3438" s="2"/>
      <c r="CB3438" s="2"/>
      <c r="CC3438" s="2" t="s">
        <v>75</v>
      </c>
      <c r="CD3438" s="2">
        <v>1645</v>
      </c>
      <c r="CE3438" s="2" t="s">
        <v>118</v>
      </c>
      <c r="CF3438" s="2"/>
      <c r="CG3438" s="2"/>
      <c r="CH3438" s="2"/>
      <c r="CI3438" s="2">
        <v>1</v>
      </c>
      <c r="CJ3438" s="2" t="s">
        <v>1744</v>
      </c>
      <c r="CK3438" s="2">
        <v>22</v>
      </c>
      <c r="CL3438" s="2" t="s">
        <v>86</v>
      </c>
      <c r="CM3438" s="2"/>
    </row>
    <row r="3439" spans="1:91">
      <c r="A3439" s="2" t="s">
        <v>71</v>
      </c>
      <c r="B3439" s="2" t="s">
        <v>72</v>
      </c>
      <c r="C3439" s="2" t="s">
        <v>73</v>
      </c>
      <c r="D3439" s="2"/>
      <c r="E3439" s="2" t="str">
        <f>"FES1162545722"</f>
        <v>FES1162545722</v>
      </c>
      <c r="F3439" s="3">
        <v>42851</v>
      </c>
      <c r="G3439" s="2">
        <v>201710</v>
      </c>
      <c r="H3439" s="2" t="s">
        <v>74</v>
      </c>
      <c r="I3439" s="2" t="s">
        <v>75</v>
      </c>
      <c r="J3439" s="2" t="s">
        <v>76</v>
      </c>
      <c r="K3439" s="2" t="s">
        <v>77</v>
      </c>
      <c r="L3439" s="2" t="s">
        <v>131</v>
      </c>
      <c r="M3439" s="2" t="s">
        <v>132</v>
      </c>
      <c r="N3439" s="2" t="s">
        <v>744</v>
      </c>
      <c r="O3439" s="2" t="s">
        <v>115</v>
      </c>
      <c r="P3439" s="2" t="str">
        <f>"2170564204                    "</f>
        <v xml:space="preserve">2170564204                    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22.51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1</v>
      </c>
      <c r="BI3439" s="2">
        <v>10.199999999999999</v>
      </c>
      <c r="BJ3439" s="2">
        <v>3.4</v>
      </c>
      <c r="BK3439" s="2">
        <v>10.5</v>
      </c>
      <c r="BL3439" s="2">
        <v>219.07</v>
      </c>
      <c r="BM3439" s="2">
        <v>30.67</v>
      </c>
      <c r="BN3439" s="2">
        <v>249.74</v>
      </c>
      <c r="BO3439" s="2">
        <v>249.74</v>
      </c>
      <c r="BP3439" s="2"/>
      <c r="BQ3439" s="2" t="s">
        <v>138</v>
      </c>
      <c r="BR3439" s="2" t="s">
        <v>84</v>
      </c>
      <c r="BS3439" s="3">
        <v>42853</v>
      </c>
      <c r="BT3439" s="4">
        <v>0.41666666666666669</v>
      </c>
      <c r="BU3439" s="2" t="s">
        <v>3420</v>
      </c>
      <c r="BV3439" s="2" t="s">
        <v>86</v>
      </c>
      <c r="BW3439" s="2" t="s">
        <v>157</v>
      </c>
      <c r="BX3439" s="2" t="s">
        <v>158</v>
      </c>
      <c r="BY3439" s="2">
        <v>16912.900000000001</v>
      </c>
      <c r="BZ3439" s="2"/>
      <c r="CA3439" s="2" t="s">
        <v>159</v>
      </c>
      <c r="CB3439" s="2"/>
      <c r="CC3439" s="2" t="s">
        <v>132</v>
      </c>
      <c r="CD3439" s="2">
        <v>7405</v>
      </c>
      <c r="CE3439" s="2" t="s">
        <v>89</v>
      </c>
      <c r="CF3439" s="2"/>
      <c r="CG3439" s="2"/>
      <c r="CH3439" s="2"/>
      <c r="CI3439" s="2">
        <v>1</v>
      </c>
      <c r="CJ3439" s="2">
        <v>2</v>
      </c>
      <c r="CK3439" s="2">
        <v>21</v>
      </c>
      <c r="CL3439" s="2" t="s">
        <v>86</v>
      </c>
      <c r="CM3439" s="2"/>
    </row>
    <row r="3440" spans="1:91">
      <c r="A3440" s="2" t="s">
        <v>71</v>
      </c>
      <c r="B3440" s="2" t="s">
        <v>72</v>
      </c>
      <c r="C3440" s="2" t="s">
        <v>73</v>
      </c>
      <c r="D3440" s="2"/>
      <c r="E3440" s="2" t="str">
        <f>"FES1162545879"</f>
        <v>FES1162545879</v>
      </c>
      <c r="F3440" s="3">
        <v>42851</v>
      </c>
      <c r="G3440" s="2">
        <v>201710</v>
      </c>
      <c r="H3440" s="2" t="s">
        <v>74</v>
      </c>
      <c r="I3440" s="2" t="s">
        <v>75</v>
      </c>
      <c r="J3440" s="2" t="s">
        <v>76</v>
      </c>
      <c r="K3440" s="2" t="s">
        <v>77</v>
      </c>
      <c r="L3440" s="2" t="s">
        <v>231</v>
      </c>
      <c r="M3440" s="2" t="s">
        <v>232</v>
      </c>
      <c r="N3440" s="2" t="s">
        <v>430</v>
      </c>
      <c r="O3440" s="2" t="s">
        <v>115</v>
      </c>
      <c r="P3440" s="2" t="str">
        <f>"2170564341                    "</f>
        <v xml:space="preserve">2170564341                    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6.03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1</v>
      </c>
      <c r="BI3440" s="2">
        <v>1</v>
      </c>
      <c r="BJ3440" s="2">
        <v>0.2</v>
      </c>
      <c r="BK3440" s="2">
        <v>1</v>
      </c>
      <c r="BL3440" s="2">
        <v>58.68</v>
      </c>
      <c r="BM3440" s="2">
        <v>8.2200000000000006</v>
      </c>
      <c r="BN3440" s="2">
        <v>66.900000000000006</v>
      </c>
      <c r="BO3440" s="2">
        <v>66.900000000000006</v>
      </c>
      <c r="BP3440" s="2"/>
      <c r="BQ3440" s="2" t="s">
        <v>431</v>
      </c>
      <c r="BR3440" s="2" t="s">
        <v>84</v>
      </c>
      <c r="BS3440" s="3">
        <v>42853</v>
      </c>
      <c r="BT3440" s="4">
        <v>0.52500000000000002</v>
      </c>
      <c r="BU3440" s="2" t="s">
        <v>2054</v>
      </c>
      <c r="BV3440" s="2" t="s">
        <v>86</v>
      </c>
      <c r="BW3440" s="2"/>
      <c r="BX3440" s="2"/>
      <c r="BY3440" s="2">
        <v>1200</v>
      </c>
      <c r="BZ3440" s="2"/>
      <c r="CA3440" s="2"/>
      <c r="CB3440" s="2"/>
      <c r="CC3440" s="2" t="s">
        <v>232</v>
      </c>
      <c r="CD3440" s="2">
        <v>250</v>
      </c>
      <c r="CE3440" s="2" t="s">
        <v>118</v>
      </c>
      <c r="CF3440" s="2"/>
      <c r="CG3440" s="2"/>
      <c r="CH3440" s="2"/>
      <c r="CI3440" s="2">
        <v>1</v>
      </c>
      <c r="CJ3440" s="2">
        <v>2</v>
      </c>
      <c r="CK3440" s="2">
        <v>24</v>
      </c>
      <c r="CL3440" s="2" t="s">
        <v>86</v>
      </c>
      <c r="CM3440" s="2"/>
    </row>
    <row r="3441" spans="1:91">
      <c r="A3441" s="2" t="s">
        <v>71</v>
      </c>
      <c r="B3441" s="2" t="s">
        <v>72</v>
      </c>
      <c r="C3441" s="2" t="s">
        <v>73</v>
      </c>
      <c r="D3441" s="2"/>
      <c r="E3441" s="2" t="str">
        <f>"FES1162545705"</f>
        <v>FES1162545705</v>
      </c>
      <c r="F3441" s="3">
        <v>42851</v>
      </c>
      <c r="G3441" s="2">
        <v>201710</v>
      </c>
      <c r="H3441" s="2" t="s">
        <v>74</v>
      </c>
      <c r="I3441" s="2" t="s">
        <v>75</v>
      </c>
      <c r="J3441" s="2" t="s">
        <v>76</v>
      </c>
      <c r="K3441" s="2" t="s">
        <v>77</v>
      </c>
      <c r="L3441" s="2" t="s">
        <v>3421</v>
      </c>
      <c r="M3441" s="2" t="s">
        <v>3422</v>
      </c>
      <c r="N3441" s="2" t="s">
        <v>3423</v>
      </c>
      <c r="O3441" s="2" t="s">
        <v>115</v>
      </c>
      <c r="P3441" s="2" t="str">
        <f>"2170564177                    "</f>
        <v xml:space="preserve">2170564177                    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100.21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1</v>
      </c>
      <c r="BI3441" s="2">
        <v>26.1</v>
      </c>
      <c r="BJ3441" s="2">
        <v>9.1999999999999993</v>
      </c>
      <c r="BK3441" s="2">
        <v>26.5</v>
      </c>
      <c r="BL3441" s="2">
        <v>975.37</v>
      </c>
      <c r="BM3441" s="2">
        <v>136.55000000000001</v>
      </c>
      <c r="BN3441" s="2">
        <v>1111.92</v>
      </c>
      <c r="BO3441" s="2">
        <v>1111.92</v>
      </c>
      <c r="BP3441" s="2"/>
      <c r="BQ3441" s="2" t="s">
        <v>122</v>
      </c>
      <c r="BR3441" s="2" t="s">
        <v>84</v>
      </c>
      <c r="BS3441" s="3">
        <v>42853</v>
      </c>
      <c r="BT3441" s="4">
        <v>0.54166666666666663</v>
      </c>
      <c r="BU3441" s="2" t="s">
        <v>3424</v>
      </c>
      <c r="BV3441" s="2" t="s">
        <v>86</v>
      </c>
      <c r="BW3441" s="2" t="s">
        <v>87</v>
      </c>
      <c r="BX3441" s="2" t="s">
        <v>88</v>
      </c>
      <c r="BY3441" s="2">
        <v>46068.74</v>
      </c>
      <c r="BZ3441" s="2"/>
      <c r="CA3441" s="2"/>
      <c r="CB3441" s="2"/>
      <c r="CC3441" s="2" t="s">
        <v>3422</v>
      </c>
      <c r="CD3441" s="2">
        <v>4490</v>
      </c>
      <c r="CE3441" s="2" t="s">
        <v>89</v>
      </c>
      <c r="CF3441" s="2"/>
      <c r="CG3441" s="2"/>
      <c r="CH3441" s="2"/>
      <c r="CI3441" s="2">
        <v>1</v>
      </c>
      <c r="CJ3441" s="2">
        <v>2</v>
      </c>
      <c r="CK3441" s="2">
        <v>23</v>
      </c>
      <c r="CL3441" s="2" t="s">
        <v>86</v>
      </c>
      <c r="CM3441" s="2"/>
    </row>
    <row r="3442" spans="1:91">
      <c r="A3442" s="2" t="s">
        <v>71</v>
      </c>
      <c r="B3442" s="2" t="s">
        <v>72</v>
      </c>
      <c r="C3442" s="2" t="s">
        <v>73</v>
      </c>
      <c r="D3442" s="2"/>
      <c r="E3442" s="2" t="str">
        <f>"FES1162545630"</f>
        <v>FES1162545630</v>
      </c>
      <c r="F3442" s="3">
        <v>42851</v>
      </c>
      <c r="G3442" s="2">
        <v>201710</v>
      </c>
      <c r="H3442" s="2" t="s">
        <v>74</v>
      </c>
      <c r="I3442" s="2" t="s">
        <v>75</v>
      </c>
      <c r="J3442" s="2" t="s">
        <v>76</v>
      </c>
      <c r="K3442" s="2" t="s">
        <v>77</v>
      </c>
      <c r="L3442" s="2" t="s">
        <v>112</v>
      </c>
      <c r="M3442" s="2" t="s">
        <v>113</v>
      </c>
      <c r="N3442" s="2" t="s">
        <v>114</v>
      </c>
      <c r="O3442" s="2" t="s">
        <v>115</v>
      </c>
      <c r="P3442" s="2" t="str">
        <f>"2170561523                    "</f>
        <v xml:space="preserve">2170561523                    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4.29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1</v>
      </c>
      <c r="BI3442" s="2">
        <v>1</v>
      </c>
      <c r="BJ3442" s="2">
        <v>0.2</v>
      </c>
      <c r="BK3442" s="2">
        <v>1</v>
      </c>
      <c r="BL3442" s="2">
        <v>41.73</v>
      </c>
      <c r="BM3442" s="2">
        <v>5.84</v>
      </c>
      <c r="BN3442" s="2">
        <v>47.57</v>
      </c>
      <c r="BO3442" s="2">
        <v>47.57</v>
      </c>
      <c r="BP3442" s="2"/>
      <c r="BQ3442" s="2" t="s">
        <v>116</v>
      </c>
      <c r="BR3442" s="2" t="s">
        <v>84</v>
      </c>
      <c r="BS3442" s="1" t="s">
        <v>1744</v>
      </c>
      <c r="BT3442" s="2"/>
      <c r="BU3442" s="2"/>
      <c r="BV3442" s="2"/>
      <c r="BW3442" s="2"/>
      <c r="BX3442" s="2"/>
      <c r="BY3442" s="2">
        <v>1200</v>
      </c>
      <c r="BZ3442" s="2"/>
      <c r="CA3442" s="2"/>
      <c r="CB3442" s="2"/>
      <c r="CC3442" s="2" t="s">
        <v>113</v>
      </c>
      <c r="CD3442" s="2">
        <v>3201</v>
      </c>
      <c r="CE3442" s="2" t="s">
        <v>118</v>
      </c>
      <c r="CF3442" s="2"/>
      <c r="CG3442" s="2"/>
      <c r="CH3442" s="2"/>
      <c r="CI3442" s="2">
        <v>1</v>
      </c>
      <c r="CJ3442" s="2" t="s">
        <v>1744</v>
      </c>
      <c r="CK3442" s="2">
        <v>21</v>
      </c>
      <c r="CL3442" s="2" t="s">
        <v>86</v>
      </c>
      <c r="CM3442" s="2"/>
    </row>
    <row r="3443" spans="1:91">
      <c r="A3443" s="2" t="s">
        <v>71</v>
      </c>
      <c r="B3443" s="2" t="s">
        <v>72</v>
      </c>
      <c r="C3443" s="2" t="s">
        <v>73</v>
      </c>
      <c r="D3443" s="2"/>
      <c r="E3443" s="2" t="str">
        <f>"FES1162545869"</f>
        <v>FES1162545869</v>
      </c>
      <c r="F3443" s="3">
        <v>42851</v>
      </c>
      <c r="G3443" s="2">
        <v>201710</v>
      </c>
      <c r="H3443" s="2" t="s">
        <v>74</v>
      </c>
      <c r="I3443" s="2" t="s">
        <v>75</v>
      </c>
      <c r="J3443" s="2" t="s">
        <v>76</v>
      </c>
      <c r="K3443" s="2" t="s">
        <v>77</v>
      </c>
      <c r="L3443" s="2" t="s">
        <v>187</v>
      </c>
      <c r="M3443" s="2" t="s">
        <v>146</v>
      </c>
      <c r="N3443" s="2" t="s">
        <v>722</v>
      </c>
      <c r="O3443" s="2" t="s">
        <v>115</v>
      </c>
      <c r="P3443" s="2" t="str">
        <f>"2170564332                    "</f>
        <v xml:space="preserve">2170564332                    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4.29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1</v>
      </c>
      <c r="BI3443" s="2">
        <v>1</v>
      </c>
      <c r="BJ3443" s="2">
        <v>0.2</v>
      </c>
      <c r="BK3443" s="2">
        <v>1</v>
      </c>
      <c r="BL3443" s="2">
        <v>41.73</v>
      </c>
      <c r="BM3443" s="2">
        <v>5.84</v>
      </c>
      <c r="BN3443" s="2">
        <v>47.57</v>
      </c>
      <c r="BO3443" s="2">
        <v>47.57</v>
      </c>
      <c r="BP3443" s="2"/>
      <c r="BQ3443" s="2" t="s">
        <v>723</v>
      </c>
      <c r="BR3443" s="2" t="s">
        <v>84</v>
      </c>
      <c r="BS3443" s="3">
        <v>42853</v>
      </c>
      <c r="BT3443" s="4">
        <v>0.38194444444444442</v>
      </c>
      <c r="BU3443" s="2" t="s">
        <v>3425</v>
      </c>
      <c r="BV3443" s="2" t="s">
        <v>86</v>
      </c>
      <c r="BW3443" s="2"/>
      <c r="BX3443" s="2"/>
      <c r="BY3443" s="2">
        <v>1200</v>
      </c>
      <c r="BZ3443" s="2"/>
      <c r="CA3443" s="2"/>
      <c r="CB3443" s="2"/>
      <c r="CC3443" s="2" t="s">
        <v>146</v>
      </c>
      <c r="CD3443" s="2">
        <v>200</v>
      </c>
      <c r="CE3443" s="2" t="s">
        <v>118</v>
      </c>
      <c r="CF3443" s="2"/>
      <c r="CG3443" s="2"/>
      <c r="CH3443" s="2"/>
      <c r="CI3443" s="2">
        <v>1</v>
      </c>
      <c r="CJ3443" s="2">
        <v>2</v>
      </c>
      <c r="CK3443" s="2">
        <v>21</v>
      </c>
      <c r="CL3443" s="2" t="s">
        <v>86</v>
      </c>
      <c r="CM3443" s="2"/>
    </row>
    <row r="3444" spans="1:91">
      <c r="A3444" s="2" t="s">
        <v>71</v>
      </c>
      <c r="B3444" s="2" t="s">
        <v>72</v>
      </c>
      <c r="C3444" s="2" t="s">
        <v>73</v>
      </c>
      <c r="D3444" s="2"/>
      <c r="E3444" s="2" t="str">
        <f>"FES1162545820"</f>
        <v>FES1162545820</v>
      </c>
      <c r="F3444" s="3">
        <v>42851</v>
      </c>
      <c r="G3444" s="2">
        <v>201710</v>
      </c>
      <c r="H3444" s="2" t="s">
        <v>74</v>
      </c>
      <c r="I3444" s="2" t="s">
        <v>75</v>
      </c>
      <c r="J3444" s="2" t="s">
        <v>76</v>
      </c>
      <c r="K3444" s="2" t="s">
        <v>77</v>
      </c>
      <c r="L3444" s="2" t="s">
        <v>131</v>
      </c>
      <c r="M3444" s="2" t="s">
        <v>132</v>
      </c>
      <c r="N3444" s="2" t="s">
        <v>1220</v>
      </c>
      <c r="O3444" s="2" t="s">
        <v>115</v>
      </c>
      <c r="P3444" s="2" t="str">
        <f>"2170564273                    "</f>
        <v xml:space="preserve">2170564273                    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4.29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1</v>
      </c>
      <c r="BI3444" s="2">
        <v>1</v>
      </c>
      <c r="BJ3444" s="2">
        <v>0.2</v>
      </c>
      <c r="BK3444" s="2">
        <v>1</v>
      </c>
      <c r="BL3444" s="2">
        <v>41.73</v>
      </c>
      <c r="BM3444" s="2">
        <v>5.84</v>
      </c>
      <c r="BN3444" s="2">
        <v>47.57</v>
      </c>
      <c r="BO3444" s="2">
        <v>47.57</v>
      </c>
      <c r="BP3444" s="2"/>
      <c r="BQ3444" s="2" t="s">
        <v>122</v>
      </c>
      <c r="BR3444" s="2" t="s">
        <v>84</v>
      </c>
      <c r="BS3444" s="3">
        <v>42853</v>
      </c>
      <c r="BT3444" s="4">
        <v>0.40972222222222227</v>
      </c>
      <c r="BU3444" s="2" t="s">
        <v>3426</v>
      </c>
      <c r="BV3444" s="2" t="s">
        <v>86</v>
      </c>
      <c r="BW3444" s="2" t="s">
        <v>484</v>
      </c>
      <c r="BX3444" s="2" t="s">
        <v>1370</v>
      </c>
      <c r="BY3444" s="2">
        <v>1200</v>
      </c>
      <c r="BZ3444" s="2"/>
      <c r="CA3444" s="2"/>
      <c r="CB3444" s="2"/>
      <c r="CC3444" s="2" t="s">
        <v>132</v>
      </c>
      <c r="CD3444" s="2">
        <v>7500</v>
      </c>
      <c r="CE3444" s="2" t="s">
        <v>118</v>
      </c>
      <c r="CF3444" s="2"/>
      <c r="CG3444" s="2"/>
      <c r="CH3444" s="2"/>
      <c r="CI3444" s="2">
        <v>1</v>
      </c>
      <c r="CJ3444" s="2">
        <v>2</v>
      </c>
      <c r="CK3444" s="2">
        <v>21</v>
      </c>
      <c r="CL3444" s="2" t="s">
        <v>86</v>
      </c>
      <c r="CM3444" s="2"/>
    </row>
    <row r="3445" spans="1:91">
      <c r="A3445" s="2" t="s">
        <v>71</v>
      </c>
      <c r="B3445" s="2" t="s">
        <v>72</v>
      </c>
      <c r="C3445" s="2" t="s">
        <v>73</v>
      </c>
      <c r="D3445" s="2"/>
      <c r="E3445" s="2" t="str">
        <f>"FES1162545887"</f>
        <v>FES1162545887</v>
      </c>
      <c r="F3445" s="3">
        <v>42851</v>
      </c>
      <c r="G3445" s="2">
        <v>201710</v>
      </c>
      <c r="H3445" s="2" t="s">
        <v>74</v>
      </c>
      <c r="I3445" s="2" t="s">
        <v>75</v>
      </c>
      <c r="J3445" s="2" t="s">
        <v>76</v>
      </c>
      <c r="K3445" s="2" t="s">
        <v>77</v>
      </c>
      <c r="L3445" s="2" t="s">
        <v>166</v>
      </c>
      <c r="M3445" s="2" t="s">
        <v>167</v>
      </c>
      <c r="N3445" s="2" t="s">
        <v>3427</v>
      </c>
      <c r="O3445" s="2" t="s">
        <v>115</v>
      </c>
      <c r="P3445" s="2" t="str">
        <f>"2170564349                    "</f>
        <v xml:space="preserve">2170564349                    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3.35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1</v>
      </c>
      <c r="BI3445" s="2">
        <v>1</v>
      </c>
      <c r="BJ3445" s="2">
        <v>0.2</v>
      </c>
      <c r="BK3445" s="2">
        <v>1</v>
      </c>
      <c r="BL3445" s="2">
        <v>32.6</v>
      </c>
      <c r="BM3445" s="2">
        <v>4.5599999999999996</v>
      </c>
      <c r="BN3445" s="2">
        <v>37.159999999999997</v>
      </c>
      <c r="BO3445" s="2">
        <v>37.159999999999997</v>
      </c>
      <c r="BP3445" s="2"/>
      <c r="BQ3445" s="2" t="s">
        <v>3428</v>
      </c>
      <c r="BR3445" s="2" t="s">
        <v>84</v>
      </c>
      <c r="BS3445" s="3">
        <v>42853</v>
      </c>
      <c r="BT3445" s="4">
        <v>0.41666666666666669</v>
      </c>
      <c r="BU3445" s="2" t="s">
        <v>2152</v>
      </c>
      <c r="BV3445" s="2" t="s">
        <v>86</v>
      </c>
      <c r="BW3445" s="2" t="s">
        <v>96</v>
      </c>
      <c r="BX3445" s="2" t="s">
        <v>2830</v>
      </c>
      <c r="BY3445" s="2">
        <v>1200</v>
      </c>
      <c r="BZ3445" s="2"/>
      <c r="CA3445" s="2"/>
      <c r="CB3445" s="2"/>
      <c r="CC3445" s="2" t="s">
        <v>167</v>
      </c>
      <c r="CD3445" s="2">
        <v>2093</v>
      </c>
      <c r="CE3445" s="2" t="s">
        <v>118</v>
      </c>
      <c r="CF3445" s="2"/>
      <c r="CG3445" s="2"/>
      <c r="CH3445" s="2"/>
      <c r="CI3445" s="2">
        <v>1</v>
      </c>
      <c r="CJ3445" s="2">
        <v>2</v>
      </c>
      <c r="CK3445" s="2">
        <v>22</v>
      </c>
      <c r="CL3445" s="2" t="s">
        <v>86</v>
      </c>
      <c r="CM3445" s="2"/>
    </row>
    <row r="3446" spans="1:91">
      <c r="A3446" s="2" t="s">
        <v>71</v>
      </c>
      <c r="B3446" s="2" t="s">
        <v>72</v>
      </c>
      <c r="C3446" s="2" t="s">
        <v>73</v>
      </c>
      <c r="D3446" s="2"/>
      <c r="E3446" s="2" t="str">
        <f>"FES1162545886"</f>
        <v>FES1162545886</v>
      </c>
      <c r="F3446" s="3">
        <v>42851</v>
      </c>
      <c r="G3446" s="2">
        <v>201710</v>
      </c>
      <c r="H3446" s="2" t="s">
        <v>74</v>
      </c>
      <c r="I3446" s="2" t="s">
        <v>75</v>
      </c>
      <c r="J3446" s="2" t="s">
        <v>76</v>
      </c>
      <c r="K3446" s="2" t="s">
        <v>77</v>
      </c>
      <c r="L3446" s="2" t="s">
        <v>220</v>
      </c>
      <c r="M3446" s="2" t="s">
        <v>221</v>
      </c>
      <c r="N3446" s="2" t="s">
        <v>222</v>
      </c>
      <c r="O3446" s="2" t="s">
        <v>115</v>
      </c>
      <c r="P3446" s="2" t="str">
        <f>"2170564346                    "</f>
        <v xml:space="preserve">2170564346                    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4.29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1</v>
      </c>
      <c r="BI3446" s="2">
        <v>1</v>
      </c>
      <c r="BJ3446" s="2">
        <v>0.2</v>
      </c>
      <c r="BK3446" s="2">
        <v>1</v>
      </c>
      <c r="BL3446" s="2">
        <v>41.73</v>
      </c>
      <c r="BM3446" s="2">
        <v>5.84</v>
      </c>
      <c r="BN3446" s="2">
        <v>47.57</v>
      </c>
      <c r="BO3446" s="2">
        <v>47.57</v>
      </c>
      <c r="BP3446" s="2"/>
      <c r="BQ3446" s="2" t="s">
        <v>223</v>
      </c>
      <c r="BR3446" s="2" t="s">
        <v>84</v>
      </c>
      <c r="BS3446" s="3">
        <v>42853</v>
      </c>
      <c r="BT3446" s="4">
        <v>0.33333333333333331</v>
      </c>
      <c r="BU3446" s="2" t="s">
        <v>1968</v>
      </c>
      <c r="BV3446" s="2" t="s">
        <v>86</v>
      </c>
      <c r="BW3446" s="2"/>
      <c r="BX3446" s="2"/>
      <c r="BY3446" s="2">
        <v>1200</v>
      </c>
      <c r="BZ3446" s="2"/>
      <c r="CA3446" s="2"/>
      <c r="CB3446" s="2"/>
      <c r="CC3446" s="2" t="s">
        <v>221</v>
      </c>
      <c r="CD3446" s="2">
        <v>6536</v>
      </c>
      <c r="CE3446" s="2" t="s">
        <v>118</v>
      </c>
      <c r="CF3446" s="2"/>
      <c r="CG3446" s="2"/>
      <c r="CH3446" s="2"/>
      <c r="CI3446" s="2">
        <v>1</v>
      </c>
      <c r="CJ3446" s="2">
        <v>2</v>
      </c>
      <c r="CK3446" s="2">
        <v>21</v>
      </c>
      <c r="CL3446" s="2" t="s">
        <v>86</v>
      </c>
      <c r="CM3446" s="2"/>
    </row>
    <row r="3447" spans="1:91">
      <c r="A3447" s="2" t="s">
        <v>71</v>
      </c>
      <c r="B3447" s="2" t="s">
        <v>72</v>
      </c>
      <c r="C3447" s="2" t="s">
        <v>73</v>
      </c>
      <c r="D3447" s="2"/>
      <c r="E3447" s="2" t="str">
        <f>"FES1162545748"</f>
        <v>FES1162545748</v>
      </c>
      <c r="F3447" s="3">
        <v>42851</v>
      </c>
      <c r="G3447" s="2">
        <v>201710</v>
      </c>
      <c r="H3447" s="2" t="s">
        <v>74</v>
      </c>
      <c r="I3447" s="2" t="s">
        <v>75</v>
      </c>
      <c r="J3447" s="2" t="s">
        <v>76</v>
      </c>
      <c r="K3447" s="2" t="s">
        <v>77</v>
      </c>
      <c r="L3447" s="2" t="s">
        <v>663</v>
      </c>
      <c r="M3447" s="2" t="s">
        <v>664</v>
      </c>
      <c r="N3447" s="2" t="s">
        <v>665</v>
      </c>
      <c r="O3447" s="2" t="s">
        <v>115</v>
      </c>
      <c r="P3447" s="2" t="str">
        <f>"2170561675                    "</f>
        <v xml:space="preserve">2170561675                    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36.44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1</v>
      </c>
      <c r="BI3447" s="2">
        <v>9.4</v>
      </c>
      <c r="BJ3447" s="2">
        <v>1.7</v>
      </c>
      <c r="BK3447" s="2">
        <v>9.5</v>
      </c>
      <c r="BL3447" s="2">
        <v>354.68</v>
      </c>
      <c r="BM3447" s="2">
        <v>49.66</v>
      </c>
      <c r="BN3447" s="2">
        <v>404.34</v>
      </c>
      <c r="BO3447" s="2">
        <v>404.34</v>
      </c>
      <c r="BP3447" s="2"/>
      <c r="BQ3447" s="2" t="s">
        <v>666</v>
      </c>
      <c r="BR3447" s="2" t="s">
        <v>84</v>
      </c>
      <c r="BS3447" s="3">
        <v>42853</v>
      </c>
      <c r="BT3447" s="4">
        <v>0.54166666666666663</v>
      </c>
      <c r="BU3447" s="2" t="s">
        <v>245</v>
      </c>
      <c r="BV3447" s="2" t="s">
        <v>86</v>
      </c>
      <c r="BW3447" s="2" t="s">
        <v>87</v>
      </c>
      <c r="BX3447" s="2" t="s">
        <v>88</v>
      </c>
      <c r="BY3447" s="2">
        <v>8588.16</v>
      </c>
      <c r="BZ3447" s="2"/>
      <c r="CA3447" s="2"/>
      <c r="CB3447" s="2"/>
      <c r="CC3447" s="2" t="s">
        <v>664</v>
      </c>
      <c r="CD3447" s="2">
        <v>4399</v>
      </c>
      <c r="CE3447" s="2" t="s">
        <v>89</v>
      </c>
      <c r="CF3447" s="2"/>
      <c r="CG3447" s="2"/>
      <c r="CH3447" s="2"/>
      <c r="CI3447" s="2">
        <v>1</v>
      </c>
      <c r="CJ3447" s="2">
        <v>2</v>
      </c>
      <c r="CK3447" s="2">
        <v>23</v>
      </c>
      <c r="CL3447" s="2" t="s">
        <v>86</v>
      </c>
      <c r="CM3447" s="2"/>
    </row>
    <row r="3448" spans="1:91">
      <c r="A3448" s="2" t="s">
        <v>71</v>
      </c>
      <c r="B3448" s="2" t="s">
        <v>72</v>
      </c>
      <c r="C3448" s="2" t="s">
        <v>73</v>
      </c>
      <c r="D3448" s="2"/>
      <c r="E3448" s="2" t="str">
        <f>"FES1162545859"</f>
        <v>FES1162545859</v>
      </c>
      <c r="F3448" s="3">
        <v>42851</v>
      </c>
      <c r="G3448" s="2">
        <v>201710</v>
      </c>
      <c r="H3448" s="2" t="s">
        <v>74</v>
      </c>
      <c r="I3448" s="2" t="s">
        <v>75</v>
      </c>
      <c r="J3448" s="2" t="s">
        <v>76</v>
      </c>
      <c r="K3448" s="2" t="s">
        <v>77</v>
      </c>
      <c r="L3448" s="2" t="s">
        <v>443</v>
      </c>
      <c r="M3448" s="2" t="s">
        <v>444</v>
      </c>
      <c r="N3448" s="2" t="s">
        <v>445</v>
      </c>
      <c r="O3448" s="2" t="s">
        <v>115</v>
      </c>
      <c r="P3448" s="2" t="str">
        <f>"2170562257                    "</f>
        <v xml:space="preserve">2170562257                    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4.29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1</v>
      </c>
      <c r="BI3448" s="2">
        <v>1</v>
      </c>
      <c r="BJ3448" s="2">
        <v>0.2</v>
      </c>
      <c r="BK3448" s="2">
        <v>1</v>
      </c>
      <c r="BL3448" s="2">
        <v>41.73</v>
      </c>
      <c r="BM3448" s="2">
        <v>5.84</v>
      </c>
      <c r="BN3448" s="2">
        <v>47.57</v>
      </c>
      <c r="BO3448" s="2">
        <v>47.57</v>
      </c>
      <c r="BP3448" s="2"/>
      <c r="BQ3448" s="2" t="s">
        <v>129</v>
      </c>
      <c r="BR3448" s="2" t="s">
        <v>84</v>
      </c>
      <c r="BS3448" s="1" t="s">
        <v>1744</v>
      </c>
      <c r="BT3448" s="2"/>
      <c r="BU3448" s="2"/>
      <c r="BV3448" s="2"/>
      <c r="BW3448" s="2"/>
      <c r="BX3448" s="2"/>
      <c r="BY3448" s="2">
        <v>1200</v>
      </c>
      <c r="BZ3448" s="2"/>
      <c r="CA3448" s="2"/>
      <c r="CB3448" s="2"/>
      <c r="CC3448" s="2" t="s">
        <v>444</v>
      </c>
      <c r="CD3448" s="2">
        <v>7130</v>
      </c>
      <c r="CE3448" s="2" t="s">
        <v>118</v>
      </c>
      <c r="CF3448" s="2"/>
      <c r="CG3448" s="2"/>
      <c r="CH3448" s="2"/>
      <c r="CI3448" s="2">
        <v>1</v>
      </c>
      <c r="CJ3448" s="2" t="s">
        <v>1744</v>
      </c>
      <c r="CK3448" s="2">
        <v>21</v>
      </c>
      <c r="CL3448" s="2" t="s">
        <v>86</v>
      </c>
      <c r="CM3448" s="2"/>
    </row>
    <row r="3449" spans="1:91">
      <c r="A3449" s="2" t="s">
        <v>71</v>
      </c>
      <c r="B3449" s="2" t="s">
        <v>72</v>
      </c>
      <c r="C3449" s="2" t="s">
        <v>73</v>
      </c>
      <c r="D3449" s="2"/>
      <c r="E3449" s="2" t="str">
        <f>"FES1162545789"</f>
        <v>FES1162545789</v>
      </c>
      <c r="F3449" s="3">
        <v>42851</v>
      </c>
      <c r="G3449" s="2">
        <v>201710</v>
      </c>
      <c r="H3449" s="2" t="s">
        <v>74</v>
      </c>
      <c r="I3449" s="2" t="s">
        <v>75</v>
      </c>
      <c r="J3449" s="2" t="s">
        <v>76</v>
      </c>
      <c r="K3449" s="2" t="s">
        <v>77</v>
      </c>
      <c r="L3449" s="2" t="s">
        <v>275</v>
      </c>
      <c r="M3449" s="2" t="s">
        <v>276</v>
      </c>
      <c r="N3449" s="2" t="s">
        <v>277</v>
      </c>
      <c r="O3449" s="2" t="s">
        <v>115</v>
      </c>
      <c r="P3449" s="2" t="str">
        <f>"2170562475                    "</f>
        <v xml:space="preserve">2170562475                    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7.5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1</v>
      </c>
      <c r="BI3449" s="2">
        <v>3.5</v>
      </c>
      <c r="BJ3449" s="2">
        <v>1.8</v>
      </c>
      <c r="BK3449" s="2">
        <v>3.5</v>
      </c>
      <c r="BL3449" s="2">
        <v>73.02</v>
      </c>
      <c r="BM3449" s="2">
        <v>10.220000000000001</v>
      </c>
      <c r="BN3449" s="2">
        <v>83.24</v>
      </c>
      <c r="BO3449" s="2">
        <v>83.24</v>
      </c>
      <c r="BP3449" s="2"/>
      <c r="BQ3449" s="2" t="s">
        <v>278</v>
      </c>
      <c r="BR3449" s="2" t="s">
        <v>84</v>
      </c>
      <c r="BS3449" s="3">
        <v>42853</v>
      </c>
      <c r="BT3449" s="4">
        <v>0.34166666666666662</v>
      </c>
      <c r="BU3449" s="2" t="s">
        <v>1831</v>
      </c>
      <c r="BV3449" s="2" t="s">
        <v>86</v>
      </c>
      <c r="BW3449" s="2" t="s">
        <v>2282</v>
      </c>
      <c r="BX3449" s="2" t="s">
        <v>88</v>
      </c>
      <c r="BY3449" s="2">
        <v>9106.51</v>
      </c>
      <c r="BZ3449" s="2"/>
      <c r="CA3449" s="2"/>
      <c r="CB3449" s="2"/>
      <c r="CC3449" s="2" t="s">
        <v>276</v>
      </c>
      <c r="CD3449" s="2">
        <v>4126</v>
      </c>
      <c r="CE3449" s="2" t="s">
        <v>89</v>
      </c>
      <c r="CF3449" s="2"/>
      <c r="CG3449" s="2"/>
      <c r="CH3449" s="2"/>
      <c r="CI3449" s="2">
        <v>1</v>
      </c>
      <c r="CJ3449" s="2">
        <v>2</v>
      </c>
      <c r="CK3449" s="2">
        <v>21</v>
      </c>
      <c r="CL3449" s="2" t="s">
        <v>86</v>
      </c>
      <c r="CM3449" s="2"/>
    </row>
    <row r="3450" spans="1:91">
      <c r="A3450" s="2" t="s">
        <v>71</v>
      </c>
      <c r="B3450" s="2" t="s">
        <v>72</v>
      </c>
      <c r="C3450" s="2" t="s">
        <v>73</v>
      </c>
      <c r="D3450" s="2"/>
      <c r="E3450" s="2" t="str">
        <f>"FES1162545876"</f>
        <v>FES1162545876</v>
      </c>
      <c r="F3450" s="3">
        <v>42851</v>
      </c>
      <c r="G3450" s="2">
        <v>201710</v>
      </c>
      <c r="H3450" s="2" t="s">
        <v>74</v>
      </c>
      <c r="I3450" s="2" t="s">
        <v>75</v>
      </c>
      <c r="J3450" s="2" t="s">
        <v>76</v>
      </c>
      <c r="K3450" s="2" t="s">
        <v>77</v>
      </c>
      <c r="L3450" s="2" t="s">
        <v>176</v>
      </c>
      <c r="M3450" s="2" t="s">
        <v>176</v>
      </c>
      <c r="N3450" s="2" t="s">
        <v>1775</v>
      </c>
      <c r="O3450" s="2" t="s">
        <v>115</v>
      </c>
      <c r="P3450" s="2" t="str">
        <f>"2170563004                    "</f>
        <v xml:space="preserve">2170563004                    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6.43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1</v>
      </c>
      <c r="BI3450" s="2">
        <v>2.6</v>
      </c>
      <c r="BJ3450" s="2">
        <v>1</v>
      </c>
      <c r="BK3450" s="2">
        <v>3</v>
      </c>
      <c r="BL3450" s="2">
        <v>62.59</v>
      </c>
      <c r="BM3450" s="2">
        <v>8.76</v>
      </c>
      <c r="BN3450" s="2">
        <v>71.349999999999994</v>
      </c>
      <c r="BO3450" s="2">
        <v>71.349999999999994</v>
      </c>
      <c r="BP3450" s="2"/>
      <c r="BQ3450" s="2" t="s">
        <v>122</v>
      </c>
      <c r="BR3450" s="2" t="s">
        <v>84</v>
      </c>
      <c r="BS3450" s="1" t="s">
        <v>1744</v>
      </c>
      <c r="BT3450" s="2"/>
      <c r="BU3450" s="2"/>
      <c r="BV3450" s="2"/>
      <c r="BW3450" s="2"/>
      <c r="BX3450" s="2"/>
      <c r="BY3450" s="2">
        <v>4901.4399999999996</v>
      </c>
      <c r="BZ3450" s="2"/>
      <c r="CA3450" s="2"/>
      <c r="CB3450" s="2"/>
      <c r="CC3450" s="2" t="s">
        <v>176</v>
      </c>
      <c r="CD3450" s="2">
        <v>7646</v>
      </c>
      <c r="CE3450" s="2" t="s">
        <v>89</v>
      </c>
      <c r="CF3450" s="2"/>
      <c r="CG3450" s="2"/>
      <c r="CH3450" s="2"/>
      <c r="CI3450" s="2">
        <v>1</v>
      </c>
      <c r="CJ3450" s="2" t="s">
        <v>1744</v>
      </c>
      <c r="CK3450" s="2">
        <v>21</v>
      </c>
      <c r="CL3450" s="2" t="s">
        <v>86</v>
      </c>
      <c r="CM3450" s="2"/>
    </row>
    <row r="3451" spans="1:91">
      <c r="A3451" s="2" t="s">
        <v>71</v>
      </c>
      <c r="B3451" s="2" t="s">
        <v>72</v>
      </c>
      <c r="C3451" s="2" t="s">
        <v>73</v>
      </c>
      <c r="D3451" s="2"/>
      <c r="E3451" s="2" t="str">
        <f>"FES1162545891"</f>
        <v>FES1162545891</v>
      </c>
      <c r="F3451" s="3">
        <v>42851</v>
      </c>
      <c r="G3451" s="2">
        <v>201710</v>
      </c>
      <c r="H3451" s="2" t="s">
        <v>74</v>
      </c>
      <c r="I3451" s="2" t="s">
        <v>75</v>
      </c>
      <c r="J3451" s="2" t="s">
        <v>76</v>
      </c>
      <c r="K3451" s="2" t="s">
        <v>77</v>
      </c>
      <c r="L3451" s="2" t="s">
        <v>369</v>
      </c>
      <c r="M3451" s="2" t="s">
        <v>370</v>
      </c>
      <c r="N3451" s="2" t="s">
        <v>465</v>
      </c>
      <c r="O3451" s="2" t="s">
        <v>115</v>
      </c>
      <c r="P3451" s="2" t="str">
        <f>"2170564354                    "</f>
        <v xml:space="preserve">2170564354                    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8.31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1</v>
      </c>
      <c r="BI3451" s="2">
        <v>1</v>
      </c>
      <c r="BJ3451" s="2">
        <v>0.2</v>
      </c>
      <c r="BK3451" s="2">
        <v>1</v>
      </c>
      <c r="BL3451" s="2">
        <v>80.849999999999994</v>
      </c>
      <c r="BM3451" s="2">
        <v>11.32</v>
      </c>
      <c r="BN3451" s="2">
        <v>92.17</v>
      </c>
      <c r="BO3451" s="2">
        <v>92.17</v>
      </c>
      <c r="BP3451" s="2"/>
      <c r="BQ3451" s="2" t="s">
        <v>466</v>
      </c>
      <c r="BR3451" s="2" t="s">
        <v>84</v>
      </c>
      <c r="BS3451" s="3">
        <v>42853</v>
      </c>
      <c r="BT3451" s="4">
        <v>0.54166666666666663</v>
      </c>
      <c r="BU3451" s="2" t="s">
        <v>3429</v>
      </c>
      <c r="BV3451" s="2" t="s">
        <v>86</v>
      </c>
      <c r="BW3451" s="2" t="s">
        <v>87</v>
      </c>
      <c r="BX3451" s="2" t="s">
        <v>88</v>
      </c>
      <c r="BY3451" s="2">
        <v>1200</v>
      </c>
      <c r="BZ3451" s="2"/>
      <c r="CA3451" s="2"/>
      <c r="CB3451" s="2"/>
      <c r="CC3451" s="2" t="s">
        <v>370</v>
      </c>
      <c r="CD3451" s="2">
        <v>4252</v>
      </c>
      <c r="CE3451" s="2" t="s">
        <v>118</v>
      </c>
      <c r="CF3451" s="2"/>
      <c r="CG3451" s="2"/>
      <c r="CH3451" s="2"/>
      <c r="CI3451" s="2">
        <v>1</v>
      </c>
      <c r="CJ3451" s="2">
        <v>2</v>
      </c>
      <c r="CK3451" s="2">
        <v>23</v>
      </c>
      <c r="CL3451" s="2" t="s">
        <v>86</v>
      </c>
      <c r="CM3451" s="2"/>
    </row>
    <row r="3452" spans="1:91">
      <c r="A3452" s="2" t="s">
        <v>71</v>
      </c>
      <c r="B3452" s="2" t="s">
        <v>72</v>
      </c>
      <c r="C3452" s="2" t="s">
        <v>73</v>
      </c>
      <c r="D3452" s="2"/>
      <c r="E3452" s="2" t="str">
        <f>"FES1162545878"</f>
        <v>FES1162545878</v>
      </c>
      <c r="F3452" s="3">
        <v>42851</v>
      </c>
      <c r="G3452" s="2">
        <v>201710</v>
      </c>
      <c r="H3452" s="2" t="s">
        <v>74</v>
      </c>
      <c r="I3452" s="2" t="s">
        <v>75</v>
      </c>
      <c r="J3452" s="2" t="s">
        <v>76</v>
      </c>
      <c r="K3452" s="2" t="s">
        <v>77</v>
      </c>
      <c r="L3452" s="2" t="s">
        <v>126</v>
      </c>
      <c r="M3452" s="2" t="s">
        <v>127</v>
      </c>
      <c r="N3452" s="2" t="s">
        <v>2172</v>
      </c>
      <c r="O3452" s="2" t="s">
        <v>115</v>
      </c>
      <c r="P3452" s="2" t="str">
        <f>"2170564338                    "</f>
        <v xml:space="preserve">2170564338                    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4.29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1</v>
      </c>
      <c r="BI3452" s="2">
        <v>1</v>
      </c>
      <c r="BJ3452" s="2">
        <v>0.2</v>
      </c>
      <c r="BK3452" s="2">
        <v>1</v>
      </c>
      <c r="BL3452" s="2">
        <v>41.73</v>
      </c>
      <c r="BM3452" s="2">
        <v>5.84</v>
      </c>
      <c r="BN3452" s="2">
        <v>47.57</v>
      </c>
      <c r="BO3452" s="2">
        <v>47.57</v>
      </c>
      <c r="BP3452" s="2"/>
      <c r="BQ3452" s="2" t="s">
        <v>2173</v>
      </c>
      <c r="BR3452" s="2" t="s">
        <v>84</v>
      </c>
      <c r="BS3452" s="3">
        <v>42853</v>
      </c>
      <c r="BT3452" s="4">
        <v>0.41666666666666669</v>
      </c>
      <c r="BU3452" s="2" t="s">
        <v>3430</v>
      </c>
      <c r="BV3452" s="2" t="s">
        <v>111</v>
      </c>
      <c r="BW3452" s="2"/>
      <c r="BX3452" s="2"/>
      <c r="BY3452" s="2">
        <v>1200</v>
      </c>
      <c r="BZ3452" s="2"/>
      <c r="CA3452" s="2"/>
      <c r="CB3452" s="2"/>
      <c r="CC3452" s="2" t="s">
        <v>127</v>
      </c>
      <c r="CD3452" s="2">
        <v>6850</v>
      </c>
      <c r="CE3452" s="2" t="s">
        <v>118</v>
      </c>
      <c r="CF3452" s="2"/>
      <c r="CG3452" s="2"/>
      <c r="CH3452" s="2"/>
      <c r="CI3452" s="2">
        <v>3</v>
      </c>
      <c r="CJ3452" s="2">
        <v>2</v>
      </c>
      <c r="CK3452" s="2">
        <v>21</v>
      </c>
      <c r="CL3452" s="2" t="s">
        <v>86</v>
      </c>
      <c r="CM3452" s="2"/>
    </row>
    <row r="3453" spans="1:91">
      <c r="A3453" s="2" t="s">
        <v>71</v>
      </c>
      <c r="B3453" s="2" t="s">
        <v>72</v>
      </c>
      <c r="C3453" s="2" t="s">
        <v>73</v>
      </c>
      <c r="D3453" s="2"/>
      <c r="E3453" s="2" t="str">
        <f>"FES1162545594"</f>
        <v>FES1162545594</v>
      </c>
      <c r="F3453" s="3">
        <v>42851</v>
      </c>
      <c r="G3453" s="2">
        <v>201710</v>
      </c>
      <c r="H3453" s="2" t="s">
        <v>74</v>
      </c>
      <c r="I3453" s="2" t="s">
        <v>75</v>
      </c>
      <c r="J3453" s="2" t="s">
        <v>76</v>
      </c>
      <c r="K3453" s="2" t="s">
        <v>77</v>
      </c>
      <c r="L3453" s="2" t="s">
        <v>180</v>
      </c>
      <c r="M3453" s="2" t="s">
        <v>181</v>
      </c>
      <c r="N3453" s="2" t="s">
        <v>3431</v>
      </c>
      <c r="O3453" s="2" t="s">
        <v>115</v>
      </c>
      <c r="P3453" s="2" t="str">
        <f>"2170561829                    "</f>
        <v xml:space="preserve">2170561829                    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4.29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1</v>
      </c>
      <c r="BI3453" s="2">
        <v>1</v>
      </c>
      <c r="BJ3453" s="2">
        <v>0.2</v>
      </c>
      <c r="BK3453" s="2">
        <v>1</v>
      </c>
      <c r="BL3453" s="2">
        <v>41.73</v>
      </c>
      <c r="BM3453" s="2">
        <v>5.84</v>
      </c>
      <c r="BN3453" s="2">
        <v>47.57</v>
      </c>
      <c r="BO3453" s="2">
        <v>47.57</v>
      </c>
      <c r="BP3453" s="2"/>
      <c r="BQ3453" s="2" t="s">
        <v>129</v>
      </c>
      <c r="BR3453" s="2" t="s">
        <v>84</v>
      </c>
      <c r="BS3453" s="3">
        <v>42853</v>
      </c>
      <c r="BT3453" s="4">
        <v>0.54166666666666663</v>
      </c>
      <c r="BU3453" s="2" t="s">
        <v>3432</v>
      </c>
      <c r="BV3453" s="2" t="s">
        <v>86</v>
      </c>
      <c r="BW3453" s="2" t="s">
        <v>2282</v>
      </c>
      <c r="BX3453" s="2" t="s">
        <v>88</v>
      </c>
      <c r="BY3453" s="2">
        <v>1200</v>
      </c>
      <c r="BZ3453" s="2"/>
      <c r="CA3453" s="2"/>
      <c r="CB3453" s="2"/>
      <c r="CC3453" s="2" t="s">
        <v>181</v>
      </c>
      <c r="CD3453" s="2">
        <v>4051</v>
      </c>
      <c r="CE3453" s="2" t="s">
        <v>118</v>
      </c>
      <c r="CF3453" s="2"/>
      <c r="CG3453" s="2"/>
      <c r="CH3453" s="2"/>
      <c r="CI3453" s="2">
        <v>1</v>
      </c>
      <c r="CJ3453" s="2">
        <v>2</v>
      </c>
      <c r="CK3453" s="2">
        <v>21</v>
      </c>
      <c r="CL3453" s="2" t="s">
        <v>86</v>
      </c>
      <c r="CM3453" s="2"/>
    </row>
    <row r="3454" spans="1:91">
      <c r="A3454" s="2" t="s">
        <v>71</v>
      </c>
      <c r="B3454" s="2" t="s">
        <v>72</v>
      </c>
      <c r="C3454" s="2" t="s">
        <v>73</v>
      </c>
      <c r="D3454" s="2"/>
      <c r="E3454" s="2" t="str">
        <f>"FES1162545633"</f>
        <v>FES1162545633</v>
      </c>
      <c r="F3454" s="3">
        <v>42851</v>
      </c>
      <c r="G3454" s="2">
        <v>201710</v>
      </c>
      <c r="H3454" s="2" t="s">
        <v>74</v>
      </c>
      <c r="I3454" s="2" t="s">
        <v>75</v>
      </c>
      <c r="J3454" s="2" t="s">
        <v>76</v>
      </c>
      <c r="K3454" s="2" t="s">
        <v>77</v>
      </c>
      <c r="L3454" s="2" t="s">
        <v>112</v>
      </c>
      <c r="M3454" s="2" t="s">
        <v>113</v>
      </c>
      <c r="N3454" s="2" t="s">
        <v>114</v>
      </c>
      <c r="O3454" s="2" t="s">
        <v>115</v>
      </c>
      <c r="P3454" s="2" t="str">
        <f>"2170561724                    "</f>
        <v xml:space="preserve">2170561724                    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4.29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1</v>
      </c>
      <c r="BI3454" s="2">
        <v>1</v>
      </c>
      <c r="BJ3454" s="2">
        <v>0.2</v>
      </c>
      <c r="BK3454" s="2">
        <v>1</v>
      </c>
      <c r="BL3454" s="2">
        <v>41.73</v>
      </c>
      <c r="BM3454" s="2">
        <v>5.84</v>
      </c>
      <c r="BN3454" s="2">
        <v>47.57</v>
      </c>
      <c r="BO3454" s="2">
        <v>47.57</v>
      </c>
      <c r="BP3454" s="2"/>
      <c r="BQ3454" s="2" t="s">
        <v>116</v>
      </c>
      <c r="BR3454" s="2" t="s">
        <v>84</v>
      </c>
      <c r="BS3454" s="1" t="s">
        <v>1744</v>
      </c>
      <c r="BT3454" s="2"/>
      <c r="BU3454" s="2"/>
      <c r="BV3454" s="2"/>
      <c r="BW3454" s="2"/>
      <c r="BX3454" s="2"/>
      <c r="BY3454" s="2">
        <v>1200</v>
      </c>
      <c r="BZ3454" s="2"/>
      <c r="CA3454" s="2"/>
      <c r="CB3454" s="2"/>
      <c r="CC3454" s="2" t="s">
        <v>113</v>
      </c>
      <c r="CD3454" s="2">
        <v>3201</v>
      </c>
      <c r="CE3454" s="2" t="s">
        <v>118</v>
      </c>
      <c r="CF3454" s="2"/>
      <c r="CG3454" s="2"/>
      <c r="CH3454" s="2"/>
      <c r="CI3454" s="2">
        <v>1</v>
      </c>
      <c r="CJ3454" s="2" t="s">
        <v>1744</v>
      </c>
      <c r="CK3454" s="2">
        <v>21</v>
      </c>
      <c r="CL3454" s="2" t="s">
        <v>86</v>
      </c>
      <c r="CM3454" s="2"/>
    </row>
    <row r="3455" spans="1:91">
      <c r="A3455" s="2" t="s">
        <v>71</v>
      </c>
      <c r="B3455" s="2" t="s">
        <v>72</v>
      </c>
      <c r="C3455" s="2" t="s">
        <v>73</v>
      </c>
      <c r="D3455" s="2"/>
      <c r="E3455" s="2" t="str">
        <f>"FES1162545653"</f>
        <v>FES1162545653</v>
      </c>
      <c r="F3455" s="3">
        <v>42851</v>
      </c>
      <c r="G3455" s="2">
        <v>201710</v>
      </c>
      <c r="H3455" s="2" t="s">
        <v>74</v>
      </c>
      <c r="I3455" s="2" t="s">
        <v>75</v>
      </c>
      <c r="J3455" s="2" t="s">
        <v>76</v>
      </c>
      <c r="K3455" s="2" t="s">
        <v>77</v>
      </c>
      <c r="L3455" s="2" t="s">
        <v>549</v>
      </c>
      <c r="M3455" s="2" t="s">
        <v>550</v>
      </c>
      <c r="N3455" s="2" t="s">
        <v>689</v>
      </c>
      <c r="O3455" s="2" t="s">
        <v>115</v>
      </c>
      <c r="P3455" s="2" t="str">
        <f>"2170563727                    "</f>
        <v xml:space="preserve">2170563727                    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4.29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1</v>
      </c>
      <c r="BI3455" s="2">
        <v>1</v>
      </c>
      <c r="BJ3455" s="2">
        <v>0.2</v>
      </c>
      <c r="BK3455" s="2">
        <v>1</v>
      </c>
      <c r="BL3455" s="2">
        <v>41.73</v>
      </c>
      <c r="BM3455" s="2">
        <v>5.84</v>
      </c>
      <c r="BN3455" s="2">
        <v>47.57</v>
      </c>
      <c r="BO3455" s="2">
        <v>47.57</v>
      </c>
      <c r="BP3455" s="2"/>
      <c r="BQ3455" s="2" t="s">
        <v>690</v>
      </c>
      <c r="BR3455" s="2" t="s">
        <v>84</v>
      </c>
      <c r="BS3455" s="3">
        <v>42853</v>
      </c>
      <c r="BT3455" s="4">
        <v>0.4375</v>
      </c>
      <c r="BU3455" s="2" t="s">
        <v>1132</v>
      </c>
      <c r="BV3455" s="2" t="s">
        <v>86</v>
      </c>
      <c r="BW3455" s="2" t="s">
        <v>87</v>
      </c>
      <c r="BX3455" s="2" t="s">
        <v>2283</v>
      </c>
      <c r="BY3455" s="2">
        <v>1200</v>
      </c>
      <c r="BZ3455" s="2"/>
      <c r="CA3455" s="2"/>
      <c r="CB3455" s="2"/>
      <c r="CC3455" s="2" t="s">
        <v>550</v>
      </c>
      <c r="CD3455" s="2">
        <v>3699</v>
      </c>
      <c r="CE3455" s="2" t="s">
        <v>118</v>
      </c>
      <c r="CF3455" s="2"/>
      <c r="CG3455" s="2"/>
      <c r="CH3455" s="2"/>
      <c r="CI3455" s="2">
        <v>1</v>
      </c>
      <c r="CJ3455" s="2">
        <v>2</v>
      </c>
      <c r="CK3455" s="2">
        <v>21</v>
      </c>
      <c r="CL3455" s="2" t="s">
        <v>86</v>
      </c>
      <c r="CM3455" s="2"/>
    </row>
    <row r="3456" spans="1:91">
      <c r="A3456" s="2" t="s">
        <v>71</v>
      </c>
      <c r="B3456" s="2" t="s">
        <v>72</v>
      </c>
      <c r="C3456" s="2" t="s">
        <v>73</v>
      </c>
      <c r="D3456" s="2"/>
      <c r="E3456" s="2" t="str">
        <f>"FES1162545612"</f>
        <v>FES1162545612</v>
      </c>
      <c r="F3456" s="3">
        <v>42851</v>
      </c>
      <c r="G3456" s="2">
        <v>201710</v>
      </c>
      <c r="H3456" s="2" t="s">
        <v>74</v>
      </c>
      <c r="I3456" s="2" t="s">
        <v>75</v>
      </c>
      <c r="J3456" s="2" t="s">
        <v>76</v>
      </c>
      <c r="K3456" s="2" t="s">
        <v>77</v>
      </c>
      <c r="L3456" s="2" t="s">
        <v>99</v>
      </c>
      <c r="M3456" s="2" t="s">
        <v>100</v>
      </c>
      <c r="N3456" s="2" t="s">
        <v>108</v>
      </c>
      <c r="O3456" s="2" t="s">
        <v>115</v>
      </c>
      <c r="P3456" s="2" t="str">
        <f>"2170560306                    "</f>
        <v xml:space="preserve">2170560306                    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4.29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1</v>
      </c>
      <c r="BI3456" s="2">
        <v>1</v>
      </c>
      <c r="BJ3456" s="2">
        <v>0.2</v>
      </c>
      <c r="BK3456" s="2">
        <v>1</v>
      </c>
      <c r="BL3456" s="2">
        <v>41.73</v>
      </c>
      <c r="BM3456" s="2">
        <v>5.84</v>
      </c>
      <c r="BN3456" s="2">
        <v>47.57</v>
      </c>
      <c r="BO3456" s="2">
        <v>47.57</v>
      </c>
      <c r="BP3456" s="2"/>
      <c r="BQ3456" s="2" t="s">
        <v>109</v>
      </c>
      <c r="BR3456" s="2" t="s">
        <v>84</v>
      </c>
      <c r="BS3456" s="3">
        <v>42853</v>
      </c>
      <c r="BT3456" s="4">
        <v>0.375</v>
      </c>
      <c r="BU3456" s="2" t="s">
        <v>3001</v>
      </c>
      <c r="BV3456" s="2" t="s">
        <v>86</v>
      </c>
      <c r="BW3456" s="2"/>
      <c r="BX3456" s="2"/>
      <c r="BY3456" s="2">
        <v>1200</v>
      </c>
      <c r="BZ3456" s="2"/>
      <c r="CA3456" s="2" t="s">
        <v>106</v>
      </c>
      <c r="CB3456" s="2"/>
      <c r="CC3456" s="2" t="s">
        <v>100</v>
      </c>
      <c r="CD3456" s="2">
        <v>6001</v>
      </c>
      <c r="CE3456" s="2" t="s">
        <v>118</v>
      </c>
      <c r="CF3456" s="5">
        <v>42853</v>
      </c>
      <c r="CG3456" s="2"/>
      <c r="CH3456" s="2"/>
      <c r="CI3456" s="2">
        <v>1</v>
      </c>
      <c r="CJ3456" s="2">
        <v>2</v>
      </c>
      <c r="CK3456" s="2">
        <v>21</v>
      </c>
      <c r="CL3456" s="2" t="s">
        <v>86</v>
      </c>
      <c r="CM3456" s="2"/>
    </row>
    <row r="3457" spans="1:91">
      <c r="A3457" s="2" t="s">
        <v>71</v>
      </c>
      <c r="B3457" s="2" t="s">
        <v>72</v>
      </c>
      <c r="C3457" s="2" t="s">
        <v>73</v>
      </c>
      <c r="D3457" s="2"/>
      <c r="E3457" s="2" t="str">
        <f>"FES1162545739"</f>
        <v>FES1162545739</v>
      </c>
      <c r="F3457" s="3">
        <v>42851</v>
      </c>
      <c r="G3457" s="2">
        <v>201710</v>
      </c>
      <c r="H3457" s="2" t="s">
        <v>74</v>
      </c>
      <c r="I3457" s="2" t="s">
        <v>75</v>
      </c>
      <c r="J3457" s="2" t="s">
        <v>76</v>
      </c>
      <c r="K3457" s="2" t="s">
        <v>77</v>
      </c>
      <c r="L3457" s="2" t="s">
        <v>74</v>
      </c>
      <c r="M3457" s="2" t="s">
        <v>75</v>
      </c>
      <c r="N3457" s="2" t="s">
        <v>488</v>
      </c>
      <c r="O3457" s="2" t="s">
        <v>115</v>
      </c>
      <c r="P3457" s="2" t="str">
        <f>"2170560588                    "</f>
        <v xml:space="preserve">2170560588                    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3.35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1</v>
      </c>
      <c r="BI3457" s="2">
        <v>1</v>
      </c>
      <c r="BJ3457" s="2">
        <v>0.2</v>
      </c>
      <c r="BK3457" s="2">
        <v>1</v>
      </c>
      <c r="BL3457" s="2">
        <v>32.6</v>
      </c>
      <c r="BM3457" s="2">
        <v>4.5599999999999996</v>
      </c>
      <c r="BN3457" s="2">
        <v>37.159999999999997</v>
      </c>
      <c r="BO3457" s="2">
        <v>37.159999999999997</v>
      </c>
      <c r="BP3457" s="2"/>
      <c r="BQ3457" s="2" t="s">
        <v>489</v>
      </c>
      <c r="BR3457" s="2" t="s">
        <v>84</v>
      </c>
      <c r="BS3457" s="1" t="s">
        <v>1744</v>
      </c>
      <c r="BT3457" s="2"/>
      <c r="BU3457" s="2"/>
      <c r="BV3457" s="2"/>
      <c r="BW3457" s="2"/>
      <c r="BX3457" s="2"/>
      <c r="BY3457" s="2">
        <v>1200</v>
      </c>
      <c r="BZ3457" s="2"/>
      <c r="CA3457" s="2"/>
      <c r="CB3457" s="2"/>
      <c r="CC3457" s="2" t="s">
        <v>75</v>
      </c>
      <c r="CD3457" s="2">
        <v>1645</v>
      </c>
      <c r="CE3457" s="2" t="s">
        <v>118</v>
      </c>
      <c r="CF3457" s="2"/>
      <c r="CG3457" s="2"/>
      <c r="CH3457" s="2"/>
      <c r="CI3457" s="2">
        <v>1</v>
      </c>
      <c r="CJ3457" s="2" t="s">
        <v>1744</v>
      </c>
      <c r="CK3457" s="2">
        <v>22</v>
      </c>
      <c r="CL3457" s="2" t="s">
        <v>86</v>
      </c>
      <c r="CM3457" s="2"/>
    </row>
    <row r="3458" spans="1:91">
      <c r="A3458" s="2" t="s">
        <v>71</v>
      </c>
      <c r="B3458" s="2" t="s">
        <v>72</v>
      </c>
      <c r="C3458" s="2" t="s">
        <v>73</v>
      </c>
      <c r="D3458" s="2"/>
      <c r="E3458" s="2" t="str">
        <f>"FES1162545688"</f>
        <v>FES1162545688</v>
      </c>
      <c r="F3458" s="3">
        <v>42851</v>
      </c>
      <c r="G3458" s="2">
        <v>201710</v>
      </c>
      <c r="H3458" s="2" t="s">
        <v>74</v>
      </c>
      <c r="I3458" s="2" t="s">
        <v>75</v>
      </c>
      <c r="J3458" s="2" t="s">
        <v>76</v>
      </c>
      <c r="K3458" s="2" t="s">
        <v>77</v>
      </c>
      <c r="L3458" s="2" t="s">
        <v>131</v>
      </c>
      <c r="M3458" s="2" t="s">
        <v>132</v>
      </c>
      <c r="N3458" s="2" t="s">
        <v>353</v>
      </c>
      <c r="O3458" s="2" t="s">
        <v>115</v>
      </c>
      <c r="P3458" s="2" t="str">
        <f>"2170564151                    "</f>
        <v xml:space="preserve">2170564151                    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22.51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1</v>
      </c>
      <c r="BI3458" s="2">
        <v>6</v>
      </c>
      <c r="BJ3458" s="2">
        <v>10.4</v>
      </c>
      <c r="BK3458" s="2">
        <v>10.5</v>
      </c>
      <c r="BL3458" s="2">
        <v>219.07</v>
      </c>
      <c r="BM3458" s="2">
        <v>30.67</v>
      </c>
      <c r="BN3458" s="2">
        <v>249.74</v>
      </c>
      <c r="BO3458" s="2">
        <v>249.74</v>
      </c>
      <c r="BP3458" s="2"/>
      <c r="BQ3458" s="2" t="s">
        <v>3433</v>
      </c>
      <c r="BR3458" s="2" t="s">
        <v>84</v>
      </c>
      <c r="BS3458" s="3">
        <v>42853</v>
      </c>
      <c r="BT3458" s="4">
        <v>0.35069444444444442</v>
      </c>
      <c r="BU3458" s="2" t="s">
        <v>3434</v>
      </c>
      <c r="BV3458" s="2" t="s">
        <v>86</v>
      </c>
      <c r="BW3458" s="2" t="s">
        <v>157</v>
      </c>
      <c r="BX3458" s="2" t="s">
        <v>1537</v>
      </c>
      <c r="BY3458" s="2">
        <v>51948</v>
      </c>
      <c r="BZ3458" s="2"/>
      <c r="CA3458" s="2" t="s">
        <v>2870</v>
      </c>
      <c r="CB3458" s="2"/>
      <c r="CC3458" s="2" t="s">
        <v>132</v>
      </c>
      <c r="CD3458" s="2">
        <v>7460</v>
      </c>
      <c r="CE3458" s="2" t="s">
        <v>89</v>
      </c>
      <c r="CF3458" s="5">
        <v>42853</v>
      </c>
      <c r="CG3458" s="2"/>
      <c r="CH3458" s="2"/>
      <c r="CI3458" s="2">
        <v>1</v>
      </c>
      <c r="CJ3458" s="2">
        <v>2</v>
      </c>
      <c r="CK3458" s="2">
        <v>21</v>
      </c>
      <c r="CL3458" s="2" t="s">
        <v>86</v>
      </c>
      <c r="CM3458" s="2"/>
    </row>
    <row r="3459" spans="1:91">
      <c r="A3459" s="2" t="s">
        <v>71</v>
      </c>
      <c r="B3459" s="2" t="s">
        <v>72</v>
      </c>
      <c r="C3459" s="2" t="s">
        <v>73</v>
      </c>
      <c r="D3459" s="2"/>
      <c r="E3459" s="2" t="str">
        <f>"FES1162545586"</f>
        <v>FES1162545586</v>
      </c>
      <c r="F3459" s="3">
        <v>42851</v>
      </c>
      <c r="G3459" s="2">
        <v>201710</v>
      </c>
      <c r="H3459" s="2" t="s">
        <v>74</v>
      </c>
      <c r="I3459" s="2" t="s">
        <v>75</v>
      </c>
      <c r="J3459" s="2" t="s">
        <v>76</v>
      </c>
      <c r="K3459" s="2" t="s">
        <v>77</v>
      </c>
      <c r="L3459" s="2" t="s">
        <v>401</v>
      </c>
      <c r="M3459" s="2" t="s">
        <v>402</v>
      </c>
      <c r="N3459" s="2" t="s">
        <v>2757</v>
      </c>
      <c r="O3459" s="2" t="s">
        <v>115</v>
      </c>
      <c r="P3459" s="2" t="str">
        <f>"2170564105                    "</f>
        <v xml:space="preserve">2170564105                    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4.29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1</v>
      </c>
      <c r="BI3459" s="2">
        <v>1</v>
      </c>
      <c r="BJ3459" s="2">
        <v>0.2</v>
      </c>
      <c r="BK3459" s="2">
        <v>1</v>
      </c>
      <c r="BL3459" s="2">
        <v>41.73</v>
      </c>
      <c r="BM3459" s="2">
        <v>5.84</v>
      </c>
      <c r="BN3459" s="2">
        <v>47.57</v>
      </c>
      <c r="BO3459" s="2">
        <v>47.57</v>
      </c>
      <c r="BP3459" s="2"/>
      <c r="BQ3459" s="2" t="s">
        <v>116</v>
      </c>
      <c r="BR3459" s="2" t="s">
        <v>84</v>
      </c>
      <c r="BS3459" s="1" t="s">
        <v>1744</v>
      </c>
      <c r="BT3459" s="2"/>
      <c r="BU3459" s="2"/>
      <c r="BV3459" s="2"/>
      <c r="BW3459" s="2"/>
      <c r="BX3459" s="2"/>
      <c r="BY3459" s="2">
        <v>1200</v>
      </c>
      <c r="BZ3459" s="2"/>
      <c r="CA3459" s="2"/>
      <c r="CB3459" s="2"/>
      <c r="CC3459" s="2" t="s">
        <v>402</v>
      </c>
      <c r="CD3459" s="2">
        <v>4113</v>
      </c>
      <c r="CE3459" s="2" t="s">
        <v>118</v>
      </c>
      <c r="CF3459" s="2"/>
      <c r="CG3459" s="2"/>
      <c r="CH3459" s="2"/>
      <c r="CI3459" s="2">
        <v>1</v>
      </c>
      <c r="CJ3459" s="2" t="s">
        <v>1744</v>
      </c>
      <c r="CK3459" s="2">
        <v>21</v>
      </c>
      <c r="CL3459" s="2" t="s">
        <v>86</v>
      </c>
      <c r="CM3459" s="2"/>
    </row>
    <row r="3460" spans="1:91">
      <c r="A3460" s="2" t="s">
        <v>71</v>
      </c>
      <c r="B3460" s="2" t="s">
        <v>72</v>
      </c>
      <c r="C3460" s="2" t="s">
        <v>73</v>
      </c>
      <c r="D3460" s="2"/>
      <c r="E3460" s="2" t="str">
        <f>"FES1162545730"</f>
        <v>FES1162545730</v>
      </c>
      <c r="F3460" s="3">
        <v>42851</v>
      </c>
      <c r="G3460" s="2">
        <v>201710</v>
      </c>
      <c r="H3460" s="2" t="s">
        <v>74</v>
      </c>
      <c r="I3460" s="2" t="s">
        <v>75</v>
      </c>
      <c r="J3460" s="2" t="s">
        <v>76</v>
      </c>
      <c r="K3460" s="2" t="s">
        <v>77</v>
      </c>
      <c r="L3460" s="2" t="s">
        <v>506</v>
      </c>
      <c r="M3460" s="2" t="s">
        <v>507</v>
      </c>
      <c r="N3460" s="2" t="s">
        <v>1368</v>
      </c>
      <c r="O3460" s="2" t="s">
        <v>115</v>
      </c>
      <c r="P3460" s="2" t="str">
        <f>"2170564215                    "</f>
        <v xml:space="preserve">2170564215                    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42.07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1</v>
      </c>
      <c r="BI3460" s="2">
        <v>10.7</v>
      </c>
      <c r="BJ3460" s="2">
        <v>3.4</v>
      </c>
      <c r="BK3460" s="2">
        <v>11</v>
      </c>
      <c r="BL3460" s="2">
        <v>409.45</v>
      </c>
      <c r="BM3460" s="2">
        <v>57.32</v>
      </c>
      <c r="BN3460" s="2">
        <v>466.77</v>
      </c>
      <c r="BO3460" s="2">
        <v>466.77</v>
      </c>
      <c r="BP3460" s="2"/>
      <c r="BQ3460" s="2" t="s">
        <v>83</v>
      </c>
      <c r="BR3460" s="2" t="s">
        <v>84</v>
      </c>
      <c r="BS3460" s="1" t="s">
        <v>1744</v>
      </c>
      <c r="BT3460" s="2"/>
      <c r="BU3460" s="2"/>
      <c r="BV3460" s="2"/>
      <c r="BW3460" s="2"/>
      <c r="BX3460" s="2"/>
      <c r="BY3460" s="2">
        <v>16829.400000000001</v>
      </c>
      <c r="BZ3460" s="2"/>
      <c r="CA3460" s="2"/>
      <c r="CB3460" s="2"/>
      <c r="CC3460" s="2" t="s">
        <v>507</v>
      </c>
      <c r="CD3460" s="2">
        <v>7380</v>
      </c>
      <c r="CE3460" s="2" t="s">
        <v>89</v>
      </c>
      <c r="CF3460" s="2"/>
      <c r="CG3460" s="2"/>
      <c r="CH3460" s="2"/>
      <c r="CI3460" s="2">
        <v>3</v>
      </c>
      <c r="CJ3460" s="2" t="s">
        <v>1744</v>
      </c>
      <c r="CK3460" s="2">
        <v>23</v>
      </c>
      <c r="CL3460" s="2" t="s">
        <v>86</v>
      </c>
      <c r="CM3460" s="2"/>
    </row>
    <row r="3461" spans="1:91">
      <c r="A3461" s="2" t="s">
        <v>71</v>
      </c>
      <c r="B3461" s="2" t="s">
        <v>72</v>
      </c>
      <c r="C3461" s="2" t="s">
        <v>73</v>
      </c>
      <c r="D3461" s="2"/>
      <c r="E3461" s="2" t="str">
        <f>"FES1162545652"</f>
        <v>FES1162545652</v>
      </c>
      <c r="F3461" s="3">
        <v>42851</v>
      </c>
      <c r="G3461" s="2">
        <v>201710</v>
      </c>
      <c r="H3461" s="2" t="s">
        <v>74</v>
      </c>
      <c r="I3461" s="2" t="s">
        <v>75</v>
      </c>
      <c r="J3461" s="2" t="s">
        <v>76</v>
      </c>
      <c r="K3461" s="2" t="s">
        <v>77</v>
      </c>
      <c r="L3461" s="2" t="s">
        <v>220</v>
      </c>
      <c r="M3461" s="2" t="s">
        <v>221</v>
      </c>
      <c r="N3461" s="2" t="s">
        <v>222</v>
      </c>
      <c r="O3461" s="2" t="s">
        <v>115</v>
      </c>
      <c r="P3461" s="2" t="str">
        <f>"2170563694                    "</f>
        <v xml:space="preserve">2170563694                    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9.65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1</v>
      </c>
      <c r="BI3461" s="2">
        <v>3</v>
      </c>
      <c r="BJ3461" s="2">
        <v>4.4000000000000004</v>
      </c>
      <c r="BK3461" s="2">
        <v>4.5</v>
      </c>
      <c r="BL3461" s="2">
        <v>93.89</v>
      </c>
      <c r="BM3461" s="2">
        <v>13.14</v>
      </c>
      <c r="BN3461" s="2">
        <v>107.03</v>
      </c>
      <c r="BO3461" s="2">
        <v>107.03</v>
      </c>
      <c r="BP3461" s="2"/>
      <c r="BQ3461" s="2" t="s">
        <v>223</v>
      </c>
      <c r="BR3461" s="2" t="s">
        <v>84</v>
      </c>
      <c r="BS3461" s="3">
        <v>42853</v>
      </c>
      <c r="BT3461" s="4">
        <v>0.33333333333333331</v>
      </c>
      <c r="BU3461" s="2" t="s">
        <v>1968</v>
      </c>
      <c r="BV3461" s="2" t="s">
        <v>86</v>
      </c>
      <c r="BW3461" s="2"/>
      <c r="BX3461" s="2"/>
      <c r="BY3461" s="2">
        <v>22176</v>
      </c>
      <c r="BZ3461" s="2"/>
      <c r="CA3461" s="2"/>
      <c r="CB3461" s="2"/>
      <c r="CC3461" s="2" t="s">
        <v>221</v>
      </c>
      <c r="CD3461" s="2">
        <v>6536</v>
      </c>
      <c r="CE3461" s="2" t="s">
        <v>89</v>
      </c>
      <c r="CF3461" s="2"/>
      <c r="CG3461" s="2"/>
      <c r="CH3461" s="2"/>
      <c r="CI3461" s="2">
        <v>1</v>
      </c>
      <c r="CJ3461" s="2">
        <v>2</v>
      </c>
      <c r="CK3461" s="2">
        <v>21</v>
      </c>
      <c r="CL3461" s="2" t="s">
        <v>86</v>
      </c>
      <c r="CM3461" s="2"/>
    </row>
    <row r="3462" spans="1:91">
      <c r="A3462" s="2" t="s">
        <v>71</v>
      </c>
      <c r="B3462" s="2" t="s">
        <v>72</v>
      </c>
      <c r="C3462" s="2" t="s">
        <v>73</v>
      </c>
      <c r="D3462" s="2"/>
      <c r="E3462" s="2" t="str">
        <f>"FES1162545866"</f>
        <v>FES1162545866</v>
      </c>
      <c r="F3462" s="3">
        <v>42851</v>
      </c>
      <c r="G3462" s="2">
        <v>201710</v>
      </c>
      <c r="H3462" s="2" t="s">
        <v>74</v>
      </c>
      <c r="I3462" s="2" t="s">
        <v>75</v>
      </c>
      <c r="J3462" s="2" t="s">
        <v>76</v>
      </c>
      <c r="K3462" s="2" t="s">
        <v>77</v>
      </c>
      <c r="L3462" s="2" t="s">
        <v>131</v>
      </c>
      <c r="M3462" s="2" t="s">
        <v>132</v>
      </c>
      <c r="N3462" s="2" t="s">
        <v>649</v>
      </c>
      <c r="O3462" s="2" t="s">
        <v>115</v>
      </c>
      <c r="P3462" s="2" t="str">
        <f>"2170562533                    "</f>
        <v xml:space="preserve">2170562533                    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4.29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1</v>
      </c>
      <c r="BI3462" s="2">
        <v>1.1000000000000001</v>
      </c>
      <c r="BJ3462" s="2">
        <v>1</v>
      </c>
      <c r="BK3462" s="2">
        <v>1.5</v>
      </c>
      <c r="BL3462" s="2">
        <v>41.73</v>
      </c>
      <c r="BM3462" s="2">
        <v>5.84</v>
      </c>
      <c r="BN3462" s="2">
        <v>47.57</v>
      </c>
      <c r="BO3462" s="2">
        <v>47.57</v>
      </c>
      <c r="BP3462" s="2"/>
      <c r="BQ3462" s="2" t="s">
        <v>650</v>
      </c>
      <c r="BR3462" s="2" t="s">
        <v>84</v>
      </c>
      <c r="BS3462" s="3">
        <v>42853</v>
      </c>
      <c r="BT3462" s="4">
        <v>0.41666666666666669</v>
      </c>
      <c r="BU3462" s="2" t="s">
        <v>904</v>
      </c>
      <c r="BV3462" s="2" t="s">
        <v>86</v>
      </c>
      <c r="BW3462" s="2" t="s">
        <v>157</v>
      </c>
      <c r="BX3462" s="2" t="s">
        <v>158</v>
      </c>
      <c r="BY3462" s="2">
        <v>4811.88</v>
      </c>
      <c r="BZ3462" s="2"/>
      <c r="CA3462" s="2" t="s">
        <v>159</v>
      </c>
      <c r="CB3462" s="2"/>
      <c r="CC3462" s="2" t="s">
        <v>132</v>
      </c>
      <c r="CD3462" s="2">
        <v>7405</v>
      </c>
      <c r="CE3462" s="2" t="s">
        <v>89</v>
      </c>
      <c r="CF3462" s="2"/>
      <c r="CG3462" s="2"/>
      <c r="CH3462" s="2"/>
      <c r="CI3462" s="2">
        <v>1</v>
      </c>
      <c r="CJ3462" s="2">
        <v>2</v>
      </c>
      <c r="CK3462" s="2">
        <v>21</v>
      </c>
      <c r="CL3462" s="2" t="s">
        <v>86</v>
      </c>
      <c r="CM3462" s="2"/>
    </row>
    <row r="3463" spans="1:91">
      <c r="A3463" s="2" t="s">
        <v>71</v>
      </c>
      <c r="B3463" s="2" t="s">
        <v>72</v>
      </c>
      <c r="C3463" s="2" t="s">
        <v>73</v>
      </c>
      <c r="D3463" s="2"/>
      <c r="E3463" s="2" t="str">
        <f>"FES1162545794"</f>
        <v>FES1162545794</v>
      </c>
      <c r="F3463" s="3">
        <v>42851</v>
      </c>
      <c r="G3463" s="2">
        <v>201710</v>
      </c>
      <c r="H3463" s="2" t="s">
        <v>74</v>
      </c>
      <c r="I3463" s="2" t="s">
        <v>75</v>
      </c>
      <c r="J3463" s="2" t="s">
        <v>76</v>
      </c>
      <c r="K3463" s="2" t="s">
        <v>77</v>
      </c>
      <c r="L3463" s="2" t="s">
        <v>131</v>
      </c>
      <c r="M3463" s="2" t="s">
        <v>132</v>
      </c>
      <c r="N3463" s="2" t="s">
        <v>1439</v>
      </c>
      <c r="O3463" s="2" t="s">
        <v>115</v>
      </c>
      <c r="P3463" s="2" t="str">
        <f>"2170563983                    "</f>
        <v xml:space="preserve">2170563983                    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9.65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1</v>
      </c>
      <c r="BI3463" s="2">
        <v>4</v>
      </c>
      <c r="BJ3463" s="2">
        <v>4.0999999999999996</v>
      </c>
      <c r="BK3463" s="2">
        <v>4.5</v>
      </c>
      <c r="BL3463" s="2">
        <v>93.89</v>
      </c>
      <c r="BM3463" s="2">
        <v>13.14</v>
      </c>
      <c r="BN3463" s="2">
        <v>107.03</v>
      </c>
      <c r="BO3463" s="2">
        <v>107.03</v>
      </c>
      <c r="BP3463" s="2"/>
      <c r="BQ3463" s="2" t="s">
        <v>1440</v>
      </c>
      <c r="BR3463" s="2" t="s">
        <v>84</v>
      </c>
      <c r="BS3463" s="1" t="s">
        <v>1744</v>
      </c>
      <c r="BT3463" s="2"/>
      <c r="BU3463" s="2"/>
      <c r="BV3463" s="2"/>
      <c r="BW3463" s="2"/>
      <c r="BX3463" s="2"/>
      <c r="BY3463" s="2">
        <v>20358</v>
      </c>
      <c r="BZ3463" s="2"/>
      <c r="CA3463" s="2"/>
      <c r="CB3463" s="2"/>
      <c r="CC3463" s="2" t="s">
        <v>132</v>
      </c>
      <c r="CD3463" s="2">
        <v>7490</v>
      </c>
      <c r="CE3463" s="2" t="s">
        <v>89</v>
      </c>
      <c r="CF3463" s="2"/>
      <c r="CG3463" s="2"/>
      <c r="CH3463" s="2"/>
      <c r="CI3463" s="2">
        <v>1</v>
      </c>
      <c r="CJ3463" s="2" t="s">
        <v>1744</v>
      </c>
      <c r="CK3463" s="2">
        <v>21</v>
      </c>
      <c r="CL3463" s="2" t="s">
        <v>86</v>
      </c>
      <c r="CM3463" s="2"/>
    </row>
    <row r="3464" spans="1:91">
      <c r="A3464" s="2" t="s">
        <v>71</v>
      </c>
      <c r="B3464" s="2" t="s">
        <v>72</v>
      </c>
      <c r="C3464" s="2" t="s">
        <v>73</v>
      </c>
      <c r="D3464" s="2"/>
      <c r="E3464" s="2" t="str">
        <f>"FES1162545884"</f>
        <v>FES1162545884</v>
      </c>
      <c r="F3464" s="3">
        <v>42851</v>
      </c>
      <c r="G3464" s="2">
        <v>201710</v>
      </c>
      <c r="H3464" s="2" t="s">
        <v>74</v>
      </c>
      <c r="I3464" s="2" t="s">
        <v>75</v>
      </c>
      <c r="J3464" s="2" t="s">
        <v>76</v>
      </c>
      <c r="K3464" s="2" t="s">
        <v>77</v>
      </c>
      <c r="L3464" s="2" t="s">
        <v>166</v>
      </c>
      <c r="M3464" s="2" t="s">
        <v>167</v>
      </c>
      <c r="N3464" s="2" t="s">
        <v>168</v>
      </c>
      <c r="O3464" s="2" t="s">
        <v>115</v>
      </c>
      <c r="P3464" s="2" t="str">
        <f>"2170563713                    "</f>
        <v xml:space="preserve">2170563713                    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3.35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1</v>
      </c>
      <c r="BI3464" s="2">
        <v>3</v>
      </c>
      <c r="BJ3464" s="2">
        <v>0.9</v>
      </c>
      <c r="BK3464" s="2">
        <v>3</v>
      </c>
      <c r="BL3464" s="2">
        <v>32.6</v>
      </c>
      <c r="BM3464" s="2">
        <v>4.5599999999999996</v>
      </c>
      <c r="BN3464" s="2">
        <v>37.159999999999997</v>
      </c>
      <c r="BO3464" s="2">
        <v>37.159999999999997</v>
      </c>
      <c r="BP3464" s="2"/>
      <c r="BQ3464" s="2" t="s">
        <v>169</v>
      </c>
      <c r="BR3464" s="2" t="s">
        <v>84</v>
      </c>
      <c r="BS3464" s="3">
        <v>42853</v>
      </c>
      <c r="BT3464" s="4">
        <v>0.3888888888888889</v>
      </c>
      <c r="BU3464" s="2" t="s">
        <v>1317</v>
      </c>
      <c r="BV3464" s="2" t="s">
        <v>86</v>
      </c>
      <c r="BW3464" s="2" t="s">
        <v>164</v>
      </c>
      <c r="BX3464" s="2" t="s">
        <v>309</v>
      </c>
      <c r="BY3464" s="2">
        <v>4352</v>
      </c>
      <c r="BZ3464" s="2"/>
      <c r="CA3464" s="2" t="s">
        <v>171</v>
      </c>
      <c r="CB3464" s="2"/>
      <c r="CC3464" s="2" t="s">
        <v>167</v>
      </c>
      <c r="CD3464" s="2">
        <v>2094</v>
      </c>
      <c r="CE3464" s="2" t="s">
        <v>89</v>
      </c>
      <c r="CF3464" s="5">
        <v>42853</v>
      </c>
      <c r="CG3464" s="2"/>
      <c r="CH3464" s="2"/>
      <c r="CI3464" s="2">
        <v>1</v>
      </c>
      <c r="CJ3464" s="2">
        <v>2</v>
      </c>
      <c r="CK3464" s="2">
        <v>22</v>
      </c>
      <c r="CL3464" s="2" t="s">
        <v>86</v>
      </c>
      <c r="CM3464" s="2"/>
    </row>
    <row r="3465" spans="1:91">
      <c r="A3465" s="2" t="s">
        <v>71</v>
      </c>
      <c r="B3465" s="2" t="s">
        <v>72</v>
      </c>
      <c r="C3465" s="2" t="s">
        <v>73</v>
      </c>
      <c r="D3465" s="2"/>
      <c r="E3465" s="2" t="str">
        <f>"FES1162545894"</f>
        <v>FES1162545894</v>
      </c>
      <c r="F3465" s="3">
        <v>42851</v>
      </c>
      <c r="G3465" s="2">
        <v>201710</v>
      </c>
      <c r="H3465" s="2" t="s">
        <v>74</v>
      </c>
      <c r="I3465" s="2" t="s">
        <v>75</v>
      </c>
      <c r="J3465" s="2" t="s">
        <v>76</v>
      </c>
      <c r="K3465" s="2" t="s">
        <v>77</v>
      </c>
      <c r="L3465" s="2" t="s">
        <v>99</v>
      </c>
      <c r="M3465" s="2" t="s">
        <v>100</v>
      </c>
      <c r="N3465" s="2" t="s">
        <v>1682</v>
      </c>
      <c r="O3465" s="2" t="s">
        <v>115</v>
      </c>
      <c r="P3465" s="2" t="str">
        <f>"2170564226                    "</f>
        <v xml:space="preserve">2170564226                    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5.36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1</v>
      </c>
      <c r="BI3465" s="2">
        <v>2.1</v>
      </c>
      <c r="BJ3465" s="2">
        <v>1</v>
      </c>
      <c r="BK3465" s="2">
        <v>2.5</v>
      </c>
      <c r="BL3465" s="2">
        <v>52.16</v>
      </c>
      <c r="BM3465" s="2">
        <v>7.3</v>
      </c>
      <c r="BN3465" s="2">
        <v>59.46</v>
      </c>
      <c r="BO3465" s="2">
        <v>59.46</v>
      </c>
      <c r="BP3465" s="2"/>
      <c r="BQ3465" s="2" t="s">
        <v>1683</v>
      </c>
      <c r="BR3465" s="2" t="s">
        <v>84</v>
      </c>
      <c r="BS3465" s="3">
        <v>42851</v>
      </c>
      <c r="BT3465" s="4">
        <v>0.33333333333333331</v>
      </c>
      <c r="BU3465" s="2" t="s">
        <v>3435</v>
      </c>
      <c r="BV3465" s="2" t="s">
        <v>111</v>
      </c>
      <c r="BW3465" s="2"/>
      <c r="BX3465" s="2"/>
      <c r="BY3465" s="2">
        <v>4959</v>
      </c>
      <c r="BZ3465" s="2"/>
      <c r="CA3465" s="2"/>
      <c r="CB3465" s="2"/>
      <c r="CC3465" s="2" t="s">
        <v>100</v>
      </c>
      <c r="CD3465" s="2">
        <v>6001</v>
      </c>
      <c r="CE3465" s="2" t="s">
        <v>89</v>
      </c>
      <c r="CF3465" s="2"/>
      <c r="CG3465" s="2"/>
      <c r="CH3465" s="2"/>
      <c r="CI3465" s="2">
        <v>1</v>
      </c>
      <c r="CJ3465" s="2">
        <v>0</v>
      </c>
      <c r="CK3465" s="2">
        <v>21</v>
      </c>
      <c r="CL3465" s="2" t="s">
        <v>86</v>
      </c>
      <c r="CM3465" s="2"/>
    </row>
    <row r="3466" spans="1:91">
      <c r="A3466" s="2" t="s">
        <v>71</v>
      </c>
      <c r="B3466" s="2" t="s">
        <v>72</v>
      </c>
      <c r="C3466" s="2" t="s">
        <v>73</v>
      </c>
      <c r="D3466" s="2"/>
      <c r="E3466" s="2" t="str">
        <f>"FES1162545753"</f>
        <v>FES1162545753</v>
      </c>
      <c r="F3466" s="3">
        <v>42851</v>
      </c>
      <c r="G3466" s="2">
        <v>201710</v>
      </c>
      <c r="H3466" s="2" t="s">
        <v>74</v>
      </c>
      <c r="I3466" s="2" t="s">
        <v>75</v>
      </c>
      <c r="J3466" s="2" t="s">
        <v>76</v>
      </c>
      <c r="K3466" s="2" t="s">
        <v>77</v>
      </c>
      <c r="L3466" s="2" t="s">
        <v>112</v>
      </c>
      <c r="M3466" s="2" t="s">
        <v>113</v>
      </c>
      <c r="N3466" s="2" t="s">
        <v>114</v>
      </c>
      <c r="O3466" s="2" t="s">
        <v>115</v>
      </c>
      <c r="P3466" s="2" t="str">
        <f>"2170561727                    "</f>
        <v xml:space="preserve">2170561727                    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4.29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1</v>
      </c>
      <c r="BI3466" s="2">
        <v>1</v>
      </c>
      <c r="BJ3466" s="2">
        <v>0.2</v>
      </c>
      <c r="BK3466" s="2">
        <v>1</v>
      </c>
      <c r="BL3466" s="2">
        <v>41.73</v>
      </c>
      <c r="BM3466" s="2">
        <v>5.84</v>
      </c>
      <c r="BN3466" s="2">
        <v>47.57</v>
      </c>
      <c r="BO3466" s="2">
        <v>47.57</v>
      </c>
      <c r="BP3466" s="2"/>
      <c r="BQ3466" s="2" t="s">
        <v>116</v>
      </c>
      <c r="BR3466" s="2" t="s">
        <v>84</v>
      </c>
      <c r="BS3466" s="1" t="s">
        <v>1744</v>
      </c>
      <c r="BT3466" s="2"/>
      <c r="BU3466" s="2"/>
      <c r="BV3466" s="2"/>
      <c r="BW3466" s="2"/>
      <c r="BX3466" s="2"/>
      <c r="BY3466" s="2">
        <v>1200</v>
      </c>
      <c r="BZ3466" s="2"/>
      <c r="CA3466" s="2"/>
      <c r="CB3466" s="2"/>
      <c r="CC3466" s="2" t="s">
        <v>113</v>
      </c>
      <c r="CD3466" s="2">
        <v>3201</v>
      </c>
      <c r="CE3466" s="2" t="s">
        <v>118</v>
      </c>
      <c r="CF3466" s="2"/>
      <c r="CG3466" s="2"/>
      <c r="CH3466" s="2"/>
      <c r="CI3466" s="2">
        <v>1</v>
      </c>
      <c r="CJ3466" s="2" t="s">
        <v>1744</v>
      </c>
      <c r="CK3466" s="2">
        <v>21</v>
      </c>
      <c r="CL3466" s="2" t="s">
        <v>86</v>
      </c>
      <c r="CM3466" s="2"/>
    </row>
    <row r="3467" spans="1:91">
      <c r="A3467" s="2" t="s">
        <v>71</v>
      </c>
      <c r="B3467" s="2" t="s">
        <v>72</v>
      </c>
      <c r="C3467" s="2" t="s">
        <v>73</v>
      </c>
      <c r="D3467" s="2"/>
      <c r="E3467" s="2" t="str">
        <f>"FES1162545752"</f>
        <v>FES1162545752</v>
      </c>
      <c r="F3467" s="3">
        <v>42851</v>
      </c>
      <c r="G3467" s="2">
        <v>201710</v>
      </c>
      <c r="H3467" s="2" t="s">
        <v>74</v>
      </c>
      <c r="I3467" s="2" t="s">
        <v>75</v>
      </c>
      <c r="J3467" s="2" t="s">
        <v>76</v>
      </c>
      <c r="K3467" s="2" t="s">
        <v>77</v>
      </c>
      <c r="L3467" s="2" t="s">
        <v>131</v>
      </c>
      <c r="M3467" s="2" t="s">
        <v>132</v>
      </c>
      <c r="N3467" s="2" t="s">
        <v>1220</v>
      </c>
      <c r="O3467" s="2" t="s">
        <v>115</v>
      </c>
      <c r="P3467" s="2" t="str">
        <f>"2170561723                    "</f>
        <v xml:space="preserve">2170561723                    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5.36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1</v>
      </c>
      <c r="BI3467" s="2">
        <v>2.4</v>
      </c>
      <c r="BJ3467" s="2">
        <v>0.8</v>
      </c>
      <c r="BK3467" s="2">
        <v>2.5</v>
      </c>
      <c r="BL3467" s="2">
        <v>52.16</v>
      </c>
      <c r="BM3467" s="2">
        <v>7.3</v>
      </c>
      <c r="BN3467" s="2">
        <v>59.46</v>
      </c>
      <c r="BO3467" s="2">
        <v>59.46</v>
      </c>
      <c r="BP3467" s="2"/>
      <c r="BQ3467" s="2" t="s">
        <v>122</v>
      </c>
      <c r="BR3467" s="2" t="s">
        <v>84</v>
      </c>
      <c r="BS3467" s="3">
        <v>42853</v>
      </c>
      <c r="BT3467" s="4">
        <v>0.40972222222222227</v>
      </c>
      <c r="BU3467" s="2" t="s">
        <v>3426</v>
      </c>
      <c r="BV3467" s="2" t="s">
        <v>86</v>
      </c>
      <c r="BW3467" s="2" t="s">
        <v>484</v>
      </c>
      <c r="BX3467" s="2" t="s">
        <v>1370</v>
      </c>
      <c r="BY3467" s="2">
        <v>4054.6</v>
      </c>
      <c r="BZ3467" s="2"/>
      <c r="CA3467" s="2"/>
      <c r="CB3467" s="2"/>
      <c r="CC3467" s="2" t="s">
        <v>132</v>
      </c>
      <c r="CD3467" s="2">
        <v>7500</v>
      </c>
      <c r="CE3467" s="2" t="s">
        <v>89</v>
      </c>
      <c r="CF3467" s="2"/>
      <c r="CG3467" s="2"/>
      <c r="CH3467" s="2"/>
      <c r="CI3467" s="2">
        <v>1</v>
      </c>
      <c r="CJ3467" s="2">
        <v>2</v>
      </c>
      <c r="CK3467" s="2">
        <v>21</v>
      </c>
      <c r="CL3467" s="2" t="s">
        <v>86</v>
      </c>
      <c r="CM3467" s="2"/>
    </row>
    <row r="3468" spans="1:91">
      <c r="A3468" s="2" t="s">
        <v>71</v>
      </c>
      <c r="B3468" s="2" t="s">
        <v>72</v>
      </c>
      <c r="C3468" s="2" t="s">
        <v>73</v>
      </c>
      <c r="D3468" s="2"/>
      <c r="E3468" s="2" t="str">
        <f>"FES1162545626"</f>
        <v>FES1162545626</v>
      </c>
      <c r="F3468" s="3">
        <v>42851</v>
      </c>
      <c r="G3468" s="2">
        <v>201710</v>
      </c>
      <c r="H3468" s="2" t="s">
        <v>74</v>
      </c>
      <c r="I3468" s="2" t="s">
        <v>75</v>
      </c>
      <c r="J3468" s="2" t="s">
        <v>76</v>
      </c>
      <c r="K3468" s="2" t="s">
        <v>77</v>
      </c>
      <c r="L3468" s="2" t="s">
        <v>99</v>
      </c>
      <c r="M3468" s="2" t="s">
        <v>100</v>
      </c>
      <c r="N3468" s="2" t="s">
        <v>108</v>
      </c>
      <c r="O3468" s="2" t="s">
        <v>115</v>
      </c>
      <c r="P3468" s="2" t="str">
        <f>"2170561042                    "</f>
        <v xml:space="preserve">2170561042                    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4.29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1</v>
      </c>
      <c r="BI3468" s="2">
        <v>1</v>
      </c>
      <c r="BJ3468" s="2">
        <v>0.2</v>
      </c>
      <c r="BK3468" s="2">
        <v>1</v>
      </c>
      <c r="BL3468" s="2">
        <v>41.73</v>
      </c>
      <c r="BM3468" s="2">
        <v>5.84</v>
      </c>
      <c r="BN3468" s="2">
        <v>47.57</v>
      </c>
      <c r="BO3468" s="2">
        <v>47.57</v>
      </c>
      <c r="BP3468" s="2"/>
      <c r="BQ3468" s="2" t="s">
        <v>109</v>
      </c>
      <c r="BR3468" s="2" t="s">
        <v>84</v>
      </c>
      <c r="BS3468" s="3">
        <v>42853</v>
      </c>
      <c r="BT3468" s="4">
        <v>0.375</v>
      </c>
      <c r="BU3468" s="2" t="s">
        <v>3001</v>
      </c>
      <c r="BV3468" s="2" t="s">
        <v>86</v>
      </c>
      <c r="BW3468" s="2"/>
      <c r="BX3468" s="2"/>
      <c r="BY3468" s="2">
        <v>1200</v>
      </c>
      <c r="BZ3468" s="2"/>
      <c r="CA3468" s="2" t="s">
        <v>106</v>
      </c>
      <c r="CB3468" s="2"/>
      <c r="CC3468" s="2" t="s">
        <v>100</v>
      </c>
      <c r="CD3468" s="2">
        <v>6001</v>
      </c>
      <c r="CE3468" s="2" t="s">
        <v>118</v>
      </c>
      <c r="CF3468" s="5">
        <v>42853</v>
      </c>
      <c r="CG3468" s="2"/>
      <c r="CH3468" s="2"/>
      <c r="CI3468" s="2">
        <v>1</v>
      </c>
      <c r="CJ3468" s="2">
        <v>2</v>
      </c>
      <c r="CK3468" s="2">
        <v>21</v>
      </c>
      <c r="CL3468" s="2" t="s">
        <v>86</v>
      </c>
      <c r="CM3468" s="2"/>
    </row>
    <row r="3469" spans="1:91">
      <c r="A3469" s="2" t="s">
        <v>71</v>
      </c>
      <c r="B3469" s="2" t="s">
        <v>72</v>
      </c>
      <c r="C3469" s="2" t="s">
        <v>73</v>
      </c>
      <c r="D3469" s="2"/>
      <c r="E3469" s="2" t="str">
        <f>"FES1162545716"</f>
        <v>FES1162545716</v>
      </c>
      <c r="F3469" s="3">
        <v>42851</v>
      </c>
      <c r="G3469" s="2">
        <v>201710</v>
      </c>
      <c r="H3469" s="2" t="s">
        <v>74</v>
      </c>
      <c r="I3469" s="2" t="s">
        <v>75</v>
      </c>
      <c r="J3469" s="2" t="s">
        <v>76</v>
      </c>
      <c r="K3469" s="2" t="s">
        <v>77</v>
      </c>
      <c r="L3469" s="2" t="s">
        <v>294</v>
      </c>
      <c r="M3469" s="2" t="s">
        <v>295</v>
      </c>
      <c r="N3469" s="2" t="s">
        <v>1079</v>
      </c>
      <c r="O3469" s="2" t="s">
        <v>115</v>
      </c>
      <c r="P3469" s="2" t="str">
        <f>"2170564198                    "</f>
        <v xml:space="preserve">2170564198                    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4.29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1</v>
      </c>
      <c r="BI3469" s="2">
        <v>1</v>
      </c>
      <c r="BJ3469" s="2">
        <v>0.2</v>
      </c>
      <c r="BK3469" s="2">
        <v>1</v>
      </c>
      <c r="BL3469" s="2">
        <v>41.73</v>
      </c>
      <c r="BM3469" s="2">
        <v>5.84</v>
      </c>
      <c r="BN3469" s="2">
        <v>47.57</v>
      </c>
      <c r="BO3469" s="2">
        <v>47.57</v>
      </c>
      <c r="BP3469" s="2"/>
      <c r="BQ3469" s="2" t="s">
        <v>129</v>
      </c>
      <c r="BR3469" s="2" t="s">
        <v>84</v>
      </c>
      <c r="BS3469" s="3">
        <v>42853</v>
      </c>
      <c r="BT3469" s="4">
        <v>0.4375</v>
      </c>
      <c r="BU3469" s="2" t="s">
        <v>3436</v>
      </c>
      <c r="BV3469" s="2" t="s">
        <v>86</v>
      </c>
      <c r="BW3469" s="2" t="s">
        <v>2282</v>
      </c>
      <c r="BX3469" s="2" t="s">
        <v>88</v>
      </c>
      <c r="BY3469" s="2">
        <v>1200</v>
      </c>
      <c r="BZ3469" s="2"/>
      <c r="CA3469" s="2"/>
      <c r="CB3469" s="2"/>
      <c r="CC3469" s="2" t="s">
        <v>295</v>
      </c>
      <c r="CD3469" s="2">
        <v>3610</v>
      </c>
      <c r="CE3469" s="2" t="s">
        <v>118</v>
      </c>
      <c r="CF3469" s="2"/>
      <c r="CG3469" s="2"/>
      <c r="CH3469" s="2"/>
      <c r="CI3469" s="2">
        <v>1</v>
      </c>
      <c r="CJ3469" s="2">
        <v>2</v>
      </c>
      <c r="CK3469" s="2">
        <v>21</v>
      </c>
      <c r="CL3469" s="2" t="s">
        <v>86</v>
      </c>
      <c r="CM3469" s="2"/>
    </row>
    <row r="3470" spans="1:91">
      <c r="A3470" s="2" t="s">
        <v>71</v>
      </c>
      <c r="B3470" s="2" t="s">
        <v>72</v>
      </c>
      <c r="C3470" s="2" t="s">
        <v>73</v>
      </c>
      <c r="D3470" s="2"/>
      <c r="E3470" s="2" t="str">
        <f>"FES1162545754"</f>
        <v>FES1162545754</v>
      </c>
      <c r="F3470" s="3">
        <v>42851</v>
      </c>
      <c r="G3470" s="2">
        <v>201710</v>
      </c>
      <c r="H3470" s="2" t="s">
        <v>74</v>
      </c>
      <c r="I3470" s="2" t="s">
        <v>75</v>
      </c>
      <c r="J3470" s="2" t="s">
        <v>76</v>
      </c>
      <c r="K3470" s="2" t="s">
        <v>77</v>
      </c>
      <c r="L3470" s="2" t="s">
        <v>112</v>
      </c>
      <c r="M3470" s="2" t="s">
        <v>113</v>
      </c>
      <c r="N3470" s="2" t="s">
        <v>239</v>
      </c>
      <c r="O3470" s="2" t="s">
        <v>115</v>
      </c>
      <c r="P3470" s="2" t="str">
        <f>"2170561740                    "</f>
        <v xml:space="preserve">2170561740                    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4.29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1</v>
      </c>
      <c r="BI3470" s="2">
        <v>1</v>
      </c>
      <c r="BJ3470" s="2">
        <v>0.2</v>
      </c>
      <c r="BK3470" s="2">
        <v>1</v>
      </c>
      <c r="BL3470" s="2">
        <v>41.73</v>
      </c>
      <c r="BM3470" s="2">
        <v>5.84</v>
      </c>
      <c r="BN3470" s="2">
        <v>47.57</v>
      </c>
      <c r="BO3470" s="2">
        <v>47.57</v>
      </c>
      <c r="BP3470" s="2"/>
      <c r="BQ3470" s="2" t="s">
        <v>240</v>
      </c>
      <c r="BR3470" s="2" t="s">
        <v>84</v>
      </c>
      <c r="BS3470" s="1" t="s">
        <v>1744</v>
      </c>
      <c r="BT3470" s="2"/>
      <c r="BU3470" s="2"/>
      <c r="BV3470" s="2"/>
      <c r="BW3470" s="2"/>
      <c r="BX3470" s="2"/>
      <c r="BY3470" s="2">
        <v>1200</v>
      </c>
      <c r="BZ3470" s="2"/>
      <c r="CA3470" s="2"/>
      <c r="CB3470" s="2"/>
      <c r="CC3470" s="2" t="s">
        <v>113</v>
      </c>
      <c r="CD3470" s="2">
        <v>3201</v>
      </c>
      <c r="CE3470" s="2" t="s">
        <v>118</v>
      </c>
      <c r="CF3470" s="2"/>
      <c r="CG3470" s="2"/>
      <c r="CH3470" s="2"/>
      <c r="CI3470" s="2">
        <v>1</v>
      </c>
      <c r="CJ3470" s="2" t="s">
        <v>1744</v>
      </c>
      <c r="CK3470" s="2">
        <v>21</v>
      </c>
      <c r="CL3470" s="2" t="s">
        <v>86</v>
      </c>
      <c r="CM3470" s="2"/>
    </row>
    <row r="3471" spans="1:91">
      <c r="A3471" s="2" t="s">
        <v>71</v>
      </c>
      <c r="B3471" s="2" t="s">
        <v>72</v>
      </c>
      <c r="C3471" s="2" t="s">
        <v>73</v>
      </c>
      <c r="D3471" s="2"/>
      <c r="E3471" s="2" t="str">
        <f>"FES1162545603"</f>
        <v>FES1162545603</v>
      </c>
      <c r="F3471" s="3">
        <v>42851</v>
      </c>
      <c r="G3471" s="2">
        <v>201710</v>
      </c>
      <c r="H3471" s="2" t="s">
        <v>74</v>
      </c>
      <c r="I3471" s="2" t="s">
        <v>75</v>
      </c>
      <c r="J3471" s="2" t="s">
        <v>76</v>
      </c>
      <c r="K3471" s="2" t="s">
        <v>77</v>
      </c>
      <c r="L3471" s="2" t="s">
        <v>99</v>
      </c>
      <c r="M3471" s="2" t="s">
        <v>100</v>
      </c>
      <c r="N3471" s="2" t="s">
        <v>108</v>
      </c>
      <c r="O3471" s="2" t="s">
        <v>115</v>
      </c>
      <c r="P3471" s="2" t="str">
        <f>"2170559856                    "</f>
        <v xml:space="preserve">2170559856                    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4.29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1</v>
      </c>
      <c r="BI3471" s="2">
        <v>1</v>
      </c>
      <c r="BJ3471" s="2">
        <v>0.2</v>
      </c>
      <c r="BK3471" s="2">
        <v>1</v>
      </c>
      <c r="BL3471" s="2">
        <v>41.73</v>
      </c>
      <c r="BM3471" s="2">
        <v>5.84</v>
      </c>
      <c r="BN3471" s="2">
        <v>47.57</v>
      </c>
      <c r="BO3471" s="2">
        <v>47.57</v>
      </c>
      <c r="BP3471" s="2"/>
      <c r="BQ3471" s="2" t="s">
        <v>109</v>
      </c>
      <c r="BR3471" s="2" t="s">
        <v>84</v>
      </c>
      <c r="BS3471" s="3">
        <v>42853</v>
      </c>
      <c r="BT3471" s="4">
        <v>0.375</v>
      </c>
      <c r="BU3471" s="2" t="s">
        <v>3001</v>
      </c>
      <c r="BV3471" s="2" t="s">
        <v>86</v>
      </c>
      <c r="BW3471" s="2"/>
      <c r="BX3471" s="2"/>
      <c r="BY3471" s="2">
        <v>1200</v>
      </c>
      <c r="BZ3471" s="2"/>
      <c r="CA3471" s="2" t="s">
        <v>106</v>
      </c>
      <c r="CB3471" s="2"/>
      <c r="CC3471" s="2" t="s">
        <v>100</v>
      </c>
      <c r="CD3471" s="2">
        <v>6001</v>
      </c>
      <c r="CE3471" s="2" t="s">
        <v>118</v>
      </c>
      <c r="CF3471" s="5">
        <v>42853</v>
      </c>
      <c r="CG3471" s="2"/>
      <c r="CH3471" s="2"/>
      <c r="CI3471" s="2">
        <v>1</v>
      </c>
      <c r="CJ3471" s="2">
        <v>2</v>
      </c>
      <c r="CK3471" s="2">
        <v>21</v>
      </c>
      <c r="CL3471" s="2" t="s">
        <v>86</v>
      </c>
      <c r="CM3471" s="2"/>
    </row>
    <row r="3472" spans="1:91">
      <c r="A3472" s="2" t="s">
        <v>71</v>
      </c>
      <c r="B3472" s="2" t="s">
        <v>72</v>
      </c>
      <c r="C3472" s="2" t="s">
        <v>73</v>
      </c>
      <c r="D3472" s="2"/>
      <c r="E3472" s="2" t="str">
        <f>"FES1162545683"</f>
        <v>FES1162545683</v>
      </c>
      <c r="F3472" s="3">
        <v>42851</v>
      </c>
      <c r="G3472" s="2">
        <v>201710</v>
      </c>
      <c r="H3472" s="2" t="s">
        <v>74</v>
      </c>
      <c r="I3472" s="2" t="s">
        <v>75</v>
      </c>
      <c r="J3472" s="2" t="s">
        <v>76</v>
      </c>
      <c r="K3472" s="2" t="s">
        <v>77</v>
      </c>
      <c r="L3472" s="2" t="s">
        <v>609</v>
      </c>
      <c r="M3472" s="2" t="s">
        <v>610</v>
      </c>
      <c r="N3472" s="2" t="s">
        <v>982</v>
      </c>
      <c r="O3472" s="2" t="s">
        <v>115</v>
      </c>
      <c r="P3472" s="2" t="str">
        <f>"2170564133                    "</f>
        <v xml:space="preserve">2170564133                    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4.29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1</v>
      </c>
      <c r="BI3472" s="2">
        <v>1</v>
      </c>
      <c r="BJ3472" s="2">
        <v>0.2</v>
      </c>
      <c r="BK3472" s="2">
        <v>1</v>
      </c>
      <c r="BL3472" s="2">
        <v>41.73</v>
      </c>
      <c r="BM3472" s="2">
        <v>5.84</v>
      </c>
      <c r="BN3472" s="2">
        <v>47.57</v>
      </c>
      <c r="BO3472" s="2">
        <v>47.57</v>
      </c>
      <c r="BP3472" s="2"/>
      <c r="BQ3472" s="2" t="s">
        <v>129</v>
      </c>
      <c r="BR3472" s="2" t="s">
        <v>84</v>
      </c>
      <c r="BS3472" s="3">
        <v>42853</v>
      </c>
      <c r="BT3472" s="4">
        <v>0.5</v>
      </c>
      <c r="BU3472" s="2" t="s">
        <v>3410</v>
      </c>
      <c r="BV3472" s="2" t="s">
        <v>86</v>
      </c>
      <c r="BW3472" s="2"/>
      <c r="BX3472" s="2"/>
      <c r="BY3472" s="2">
        <v>1200</v>
      </c>
      <c r="BZ3472" s="2"/>
      <c r="CA3472" s="2"/>
      <c r="CB3472" s="2"/>
      <c r="CC3472" s="2" t="s">
        <v>610</v>
      </c>
      <c r="CD3472" s="2">
        <v>1911</v>
      </c>
      <c r="CE3472" s="2" t="s">
        <v>118</v>
      </c>
      <c r="CF3472" s="2"/>
      <c r="CG3472" s="2"/>
      <c r="CH3472" s="2"/>
      <c r="CI3472" s="2">
        <v>1</v>
      </c>
      <c r="CJ3472" s="2">
        <v>2</v>
      </c>
      <c r="CK3472" s="2">
        <v>21</v>
      </c>
      <c r="CL3472" s="2" t="s">
        <v>86</v>
      </c>
      <c r="CM3472" s="2"/>
    </row>
    <row r="3473" spans="1:91">
      <c r="A3473" s="2" t="s">
        <v>71</v>
      </c>
      <c r="B3473" s="2" t="s">
        <v>72</v>
      </c>
      <c r="C3473" s="2" t="s">
        <v>73</v>
      </c>
      <c r="D3473" s="2"/>
      <c r="E3473" s="2" t="str">
        <f>"FES1162545605"</f>
        <v>FES1162545605</v>
      </c>
      <c r="F3473" s="3">
        <v>42851</v>
      </c>
      <c r="G3473" s="2">
        <v>201710</v>
      </c>
      <c r="H3473" s="2" t="s">
        <v>74</v>
      </c>
      <c r="I3473" s="2" t="s">
        <v>75</v>
      </c>
      <c r="J3473" s="2" t="s">
        <v>76</v>
      </c>
      <c r="K3473" s="2" t="s">
        <v>77</v>
      </c>
      <c r="L3473" s="2" t="s">
        <v>99</v>
      </c>
      <c r="M3473" s="2" t="s">
        <v>100</v>
      </c>
      <c r="N3473" s="2" t="s">
        <v>108</v>
      </c>
      <c r="O3473" s="2" t="s">
        <v>115</v>
      </c>
      <c r="P3473" s="2" t="str">
        <f>"2170560219                    "</f>
        <v xml:space="preserve">2170560219                    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4.29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1</v>
      </c>
      <c r="BI3473" s="2">
        <v>1</v>
      </c>
      <c r="BJ3473" s="2">
        <v>0.2</v>
      </c>
      <c r="BK3473" s="2">
        <v>1</v>
      </c>
      <c r="BL3473" s="2">
        <v>41.73</v>
      </c>
      <c r="BM3473" s="2">
        <v>5.84</v>
      </c>
      <c r="BN3473" s="2">
        <v>47.57</v>
      </c>
      <c r="BO3473" s="2">
        <v>47.57</v>
      </c>
      <c r="BP3473" s="2"/>
      <c r="BQ3473" s="2" t="s">
        <v>109</v>
      </c>
      <c r="BR3473" s="2" t="s">
        <v>84</v>
      </c>
      <c r="BS3473" s="3">
        <v>42853</v>
      </c>
      <c r="BT3473" s="4">
        <v>0.375</v>
      </c>
      <c r="BU3473" s="2" t="s">
        <v>3001</v>
      </c>
      <c r="BV3473" s="2" t="s">
        <v>86</v>
      </c>
      <c r="BW3473" s="2"/>
      <c r="BX3473" s="2"/>
      <c r="BY3473" s="2">
        <v>1200</v>
      </c>
      <c r="BZ3473" s="2"/>
      <c r="CA3473" s="2" t="s">
        <v>106</v>
      </c>
      <c r="CB3473" s="2"/>
      <c r="CC3473" s="2" t="s">
        <v>100</v>
      </c>
      <c r="CD3473" s="2">
        <v>6001</v>
      </c>
      <c r="CE3473" s="2" t="s">
        <v>118</v>
      </c>
      <c r="CF3473" s="5">
        <v>42853</v>
      </c>
      <c r="CG3473" s="2"/>
      <c r="CH3473" s="2"/>
      <c r="CI3473" s="2">
        <v>1</v>
      </c>
      <c r="CJ3473" s="2">
        <v>2</v>
      </c>
      <c r="CK3473" s="2">
        <v>21</v>
      </c>
      <c r="CL3473" s="2" t="s">
        <v>86</v>
      </c>
      <c r="CM3473" s="2"/>
    </row>
    <row r="3474" spans="1:91">
      <c r="A3474" s="2" t="s">
        <v>71</v>
      </c>
      <c r="B3474" s="2" t="s">
        <v>72</v>
      </c>
      <c r="C3474" s="2" t="s">
        <v>73</v>
      </c>
      <c r="D3474" s="2"/>
      <c r="E3474" s="2" t="str">
        <f>"FES1162545707"</f>
        <v>FES1162545707</v>
      </c>
      <c r="F3474" s="3">
        <v>42851</v>
      </c>
      <c r="G3474" s="2">
        <v>201710</v>
      </c>
      <c r="H3474" s="2" t="s">
        <v>74</v>
      </c>
      <c r="I3474" s="2" t="s">
        <v>75</v>
      </c>
      <c r="J3474" s="2" t="s">
        <v>76</v>
      </c>
      <c r="K3474" s="2" t="s">
        <v>77</v>
      </c>
      <c r="L3474" s="2" t="s">
        <v>131</v>
      </c>
      <c r="M3474" s="2" t="s">
        <v>132</v>
      </c>
      <c r="N3474" s="2" t="s">
        <v>744</v>
      </c>
      <c r="O3474" s="2" t="s">
        <v>115</v>
      </c>
      <c r="P3474" s="2" t="str">
        <f>"2170564181                    "</f>
        <v xml:space="preserve">2170564181                    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4.29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1</v>
      </c>
      <c r="BI3474" s="2">
        <v>1</v>
      </c>
      <c r="BJ3474" s="2">
        <v>0.2</v>
      </c>
      <c r="BK3474" s="2">
        <v>1</v>
      </c>
      <c r="BL3474" s="2">
        <v>41.73</v>
      </c>
      <c r="BM3474" s="2">
        <v>5.84</v>
      </c>
      <c r="BN3474" s="2">
        <v>47.57</v>
      </c>
      <c r="BO3474" s="2">
        <v>47.57</v>
      </c>
      <c r="BP3474" s="2"/>
      <c r="BQ3474" s="2" t="s">
        <v>138</v>
      </c>
      <c r="BR3474" s="2" t="s">
        <v>84</v>
      </c>
      <c r="BS3474" s="3">
        <v>42853</v>
      </c>
      <c r="BT3474" s="4">
        <v>0.41666666666666669</v>
      </c>
      <c r="BU3474" s="2" t="s">
        <v>3420</v>
      </c>
      <c r="BV3474" s="2" t="s">
        <v>86</v>
      </c>
      <c r="BW3474" s="2" t="s">
        <v>157</v>
      </c>
      <c r="BX3474" s="2" t="s">
        <v>158</v>
      </c>
      <c r="BY3474" s="2">
        <v>1200</v>
      </c>
      <c r="BZ3474" s="2"/>
      <c r="CA3474" s="2" t="s">
        <v>159</v>
      </c>
      <c r="CB3474" s="2"/>
      <c r="CC3474" s="2" t="s">
        <v>132</v>
      </c>
      <c r="CD3474" s="2">
        <v>7405</v>
      </c>
      <c r="CE3474" s="2" t="s">
        <v>118</v>
      </c>
      <c r="CF3474" s="2"/>
      <c r="CG3474" s="2"/>
      <c r="CH3474" s="2"/>
      <c r="CI3474" s="2">
        <v>1</v>
      </c>
      <c r="CJ3474" s="2">
        <v>2</v>
      </c>
      <c r="CK3474" s="2">
        <v>21</v>
      </c>
      <c r="CL3474" s="2" t="s">
        <v>86</v>
      </c>
      <c r="CM3474" s="2"/>
    </row>
    <row r="3475" spans="1:91">
      <c r="A3475" s="2" t="s">
        <v>71</v>
      </c>
      <c r="B3475" s="2" t="s">
        <v>72</v>
      </c>
      <c r="C3475" s="2" t="s">
        <v>73</v>
      </c>
      <c r="D3475" s="2"/>
      <c r="E3475" s="2" t="str">
        <f>"FES1162545827"</f>
        <v>FES1162545827</v>
      </c>
      <c r="F3475" s="3">
        <v>42851</v>
      </c>
      <c r="G3475" s="2">
        <v>201710</v>
      </c>
      <c r="H3475" s="2" t="s">
        <v>74</v>
      </c>
      <c r="I3475" s="2" t="s">
        <v>75</v>
      </c>
      <c r="J3475" s="2" t="s">
        <v>76</v>
      </c>
      <c r="K3475" s="2" t="s">
        <v>77</v>
      </c>
      <c r="L3475" s="2" t="s">
        <v>166</v>
      </c>
      <c r="M3475" s="2" t="s">
        <v>167</v>
      </c>
      <c r="N3475" s="2" t="s">
        <v>168</v>
      </c>
      <c r="O3475" s="2" t="s">
        <v>115</v>
      </c>
      <c r="P3475" s="2" t="str">
        <f>"2170564285                    "</f>
        <v xml:space="preserve">2170564285                    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3.35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1</v>
      </c>
      <c r="BI3475" s="2">
        <v>1</v>
      </c>
      <c r="BJ3475" s="2">
        <v>0.2</v>
      </c>
      <c r="BK3475" s="2">
        <v>1</v>
      </c>
      <c r="BL3475" s="2">
        <v>32.6</v>
      </c>
      <c r="BM3475" s="2">
        <v>4.5599999999999996</v>
      </c>
      <c r="BN3475" s="2">
        <v>37.159999999999997</v>
      </c>
      <c r="BO3475" s="2">
        <v>37.159999999999997</v>
      </c>
      <c r="BP3475" s="2"/>
      <c r="BQ3475" s="2" t="s">
        <v>169</v>
      </c>
      <c r="BR3475" s="2" t="s">
        <v>84</v>
      </c>
      <c r="BS3475" s="3">
        <v>42853</v>
      </c>
      <c r="BT3475" s="4">
        <v>0.38750000000000001</v>
      </c>
      <c r="BU3475" s="2" t="s">
        <v>1317</v>
      </c>
      <c r="BV3475" s="2" t="s">
        <v>86</v>
      </c>
      <c r="BW3475" s="2" t="s">
        <v>164</v>
      </c>
      <c r="BX3475" s="2" t="s">
        <v>309</v>
      </c>
      <c r="BY3475" s="2">
        <v>1200</v>
      </c>
      <c r="BZ3475" s="2"/>
      <c r="CA3475" s="2" t="s">
        <v>171</v>
      </c>
      <c r="CB3475" s="2"/>
      <c r="CC3475" s="2" t="s">
        <v>167</v>
      </c>
      <c r="CD3475" s="2">
        <v>2094</v>
      </c>
      <c r="CE3475" s="2" t="s">
        <v>118</v>
      </c>
      <c r="CF3475" s="5">
        <v>42853</v>
      </c>
      <c r="CG3475" s="2"/>
      <c r="CH3475" s="2"/>
      <c r="CI3475" s="2">
        <v>1</v>
      </c>
      <c r="CJ3475" s="2">
        <v>2</v>
      </c>
      <c r="CK3475" s="2">
        <v>22</v>
      </c>
      <c r="CL3475" s="2" t="s">
        <v>86</v>
      </c>
      <c r="CM3475" s="2"/>
    </row>
    <row r="3476" spans="1:91">
      <c r="A3476" s="2" t="s">
        <v>71</v>
      </c>
      <c r="B3476" s="2" t="s">
        <v>72</v>
      </c>
      <c r="C3476" s="2" t="s">
        <v>73</v>
      </c>
      <c r="D3476" s="2"/>
      <c r="E3476" s="2" t="str">
        <f>"FES1162545781"</f>
        <v>FES1162545781</v>
      </c>
      <c r="F3476" s="3">
        <v>42851</v>
      </c>
      <c r="G3476" s="2">
        <v>201710</v>
      </c>
      <c r="H3476" s="2" t="s">
        <v>74</v>
      </c>
      <c r="I3476" s="2" t="s">
        <v>75</v>
      </c>
      <c r="J3476" s="2" t="s">
        <v>76</v>
      </c>
      <c r="K3476" s="2" t="s">
        <v>77</v>
      </c>
      <c r="L3476" s="2" t="s">
        <v>99</v>
      </c>
      <c r="M3476" s="2" t="s">
        <v>100</v>
      </c>
      <c r="N3476" s="2" t="s">
        <v>583</v>
      </c>
      <c r="O3476" s="2" t="s">
        <v>115</v>
      </c>
      <c r="P3476" s="2" t="str">
        <f>"2170564225                    "</f>
        <v xml:space="preserve">2170564225                    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4.29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1</v>
      </c>
      <c r="BI3476" s="2">
        <v>1</v>
      </c>
      <c r="BJ3476" s="2">
        <v>0.2</v>
      </c>
      <c r="BK3476" s="2">
        <v>1</v>
      </c>
      <c r="BL3476" s="2">
        <v>41.73</v>
      </c>
      <c r="BM3476" s="2">
        <v>5.84</v>
      </c>
      <c r="BN3476" s="2">
        <v>47.57</v>
      </c>
      <c r="BO3476" s="2">
        <v>47.57</v>
      </c>
      <c r="BP3476" s="2"/>
      <c r="BQ3476" s="2" t="s">
        <v>584</v>
      </c>
      <c r="BR3476" s="2" t="s">
        <v>84</v>
      </c>
      <c r="BS3476" s="3">
        <v>42853</v>
      </c>
      <c r="BT3476" s="4">
        <v>0.3125</v>
      </c>
      <c r="BU3476" s="2" t="s">
        <v>607</v>
      </c>
      <c r="BV3476" s="2" t="s">
        <v>86</v>
      </c>
      <c r="BW3476" s="2"/>
      <c r="BX3476" s="2"/>
      <c r="BY3476" s="2">
        <v>1200</v>
      </c>
      <c r="BZ3476" s="2"/>
      <c r="CA3476" s="2" t="s">
        <v>154</v>
      </c>
      <c r="CB3476" s="2"/>
      <c r="CC3476" s="2" t="s">
        <v>100</v>
      </c>
      <c r="CD3476" s="2">
        <v>6001</v>
      </c>
      <c r="CE3476" s="2" t="s">
        <v>118</v>
      </c>
      <c r="CF3476" s="5">
        <v>42853</v>
      </c>
      <c r="CG3476" s="2"/>
      <c r="CH3476" s="2"/>
      <c r="CI3476" s="2">
        <v>1</v>
      </c>
      <c r="CJ3476" s="2">
        <v>2</v>
      </c>
      <c r="CK3476" s="2">
        <v>21</v>
      </c>
      <c r="CL3476" s="2" t="s">
        <v>86</v>
      </c>
      <c r="CM3476" s="2"/>
    </row>
    <row r="3477" spans="1:91">
      <c r="A3477" s="2" t="s">
        <v>71</v>
      </c>
      <c r="B3477" s="2" t="s">
        <v>72</v>
      </c>
      <c r="C3477" s="2" t="s">
        <v>73</v>
      </c>
      <c r="D3477" s="2"/>
      <c r="E3477" s="2" t="str">
        <f>"FES1162545776"</f>
        <v>FES1162545776</v>
      </c>
      <c r="F3477" s="3">
        <v>42851</v>
      </c>
      <c r="G3477" s="2">
        <v>201710</v>
      </c>
      <c r="H3477" s="2" t="s">
        <v>74</v>
      </c>
      <c r="I3477" s="2" t="s">
        <v>75</v>
      </c>
      <c r="J3477" s="2" t="s">
        <v>76</v>
      </c>
      <c r="K3477" s="2" t="s">
        <v>77</v>
      </c>
      <c r="L3477" s="2" t="s">
        <v>131</v>
      </c>
      <c r="M3477" s="2" t="s">
        <v>132</v>
      </c>
      <c r="N3477" s="2" t="s">
        <v>744</v>
      </c>
      <c r="O3477" s="2" t="s">
        <v>115</v>
      </c>
      <c r="P3477" s="2" t="str">
        <f>"2170563811                    "</f>
        <v xml:space="preserve">2170563811                    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4.29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1</v>
      </c>
      <c r="BI3477" s="2">
        <v>1</v>
      </c>
      <c r="BJ3477" s="2">
        <v>0.2</v>
      </c>
      <c r="BK3477" s="2">
        <v>1</v>
      </c>
      <c r="BL3477" s="2">
        <v>41.73</v>
      </c>
      <c r="BM3477" s="2">
        <v>5.84</v>
      </c>
      <c r="BN3477" s="2">
        <v>47.57</v>
      </c>
      <c r="BO3477" s="2">
        <v>47.57</v>
      </c>
      <c r="BP3477" s="2"/>
      <c r="BQ3477" s="2" t="s">
        <v>138</v>
      </c>
      <c r="BR3477" s="2" t="s">
        <v>84</v>
      </c>
      <c r="BS3477" s="3">
        <v>42853</v>
      </c>
      <c r="BT3477" s="4">
        <v>0.41666666666666669</v>
      </c>
      <c r="BU3477" s="2" t="s">
        <v>3420</v>
      </c>
      <c r="BV3477" s="2" t="s">
        <v>86</v>
      </c>
      <c r="BW3477" s="2" t="s">
        <v>157</v>
      </c>
      <c r="BX3477" s="2" t="s">
        <v>158</v>
      </c>
      <c r="BY3477" s="2">
        <v>1200</v>
      </c>
      <c r="BZ3477" s="2"/>
      <c r="CA3477" s="2" t="s">
        <v>159</v>
      </c>
      <c r="CB3477" s="2"/>
      <c r="CC3477" s="2" t="s">
        <v>132</v>
      </c>
      <c r="CD3477" s="2">
        <v>7405</v>
      </c>
      <c r="CE3477" s="2" t="s">
        <v>118</v>
      </c>
      <c r="CF3477" s="2"/>
      <c r="CG3477" s="2"/>
      <c r="CH3477" s="2"/>
      <c r="CI3477" s="2">
        <v>1</v>
      </c>
      <c r="CJ3477" s="2">
        <v>2</v>
      </c>
      <c r="CK3477" s="2">
        <v>21</v>
      </c>
      <c r="CL3477" s="2" t="s">
        <v>86</v>
      </c>
      <c r="CM3477" s="2"/>
    </row>
    <row r="3478" spans="1:91">
      <c r="A3478" s="2" t="s">
        <v>71</v>
      </c>
      <c r="B3478" s="2" t="s">
        <v>72</v>
      </c>
      <c r="C3478" s="2" t="s">
        <v>73</v>
      </c>
      <c r="D3478" s="2"/>
      <c r="E3478" s="2" t="str">
        <f>"FES1162545856"</f>
        <v>FES1162545856</v>
      </c>
      <c r="F3478" s="3">
        <v>42851</v>
      </c>
      <c r="G3478" s="2">
        <v>201710</v>
      </c>
      <c r="H3478" s="2" t="s">
        <v>74</v>
      </c>
      <c r="I3478" s="2" t="s">
        <v>75</v>
      </c>
      <c r="J3478" s="2" t="s">
        <v>76</v>
      </c>
      <c r="K3478" s="2" t="s">
        <v>77</v>
      </c>
      <c r="L3478" s="2" t="s">
        <v>401</v>
      </c>
      <c r="M3478" s="2" t="s">
        <v>402</v>
      </c>
      <c r="N3478" s="2" t="s">
        <v>571</v>
      </c>
      <c r="O3478" s="2" t="s">
        <v>115</v>
      </c>
      <c r="P3478" s="2" t="str">
        <f>"2170564319                    "</f>
        <v xml:space="preserve">2170564319                    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4.29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1</v>
      </c>
      <c r="BI3478" s="2">
        <v>1</v>
      </c>
      <c r="BJ3478" s="2">
        <v>0.2</v>
      </c>
      <c r="BK3478" s="2">
        <v>1</v>
      </c>
      <c r="BL3478" s="2">
        <v>41.73</v>
      </c>
      <c r="BM3478" s="2">
        <v>5.84</v>
      </c>
      <c r="BN3478" s="2">
        <v>47.57</v>
      </c>
      <c r="BO3478" s="2">
        <v>47.57</v>
      </c>
      <c r="BP3478" s="2"/>
      <c r="BQ3478" s="2" t="s">
        <v>83</v>
      </c>
      <c r="BR3478" s="2" t="s">
        <v>84</v>
      </c>
      <c r="BS3478" s="1" t="s">
        <v>1744</v>
      </c>
      <c r="BT3478" s="2"/>
      <c r="BU3478" s="2"/>
      <c r="BV3478" s="2"/>
      <c r="BW3478" s="2"/>
      <c r="BX3478" s="2"/>
      <c r="BY3478" s="2">
        <v>1200</v>
      </c>
      <c r="BZ3478" s="2"/>
      <c r="CA3478" s="2"/>
      <c r="CB3478" s="2"/>
      <c r="CC3478" s="2" t="s">
        <v>402</v>
      </c>
      <c r="CD3478" s="2">
        <v>4133</v>
      </c>
      <c r="CE3478" s="2" t="s">
        <v>118</v>
      </c>
      <c r="CF3478" s="2"/>
      <c r="CG3478" s="2"/>
      <c r="CH3478" s="2"/>
      <c r="CI3478" s="2">
        <v>1</v>
      </c>
      <c r="CJ3478" s="2" t="s">
        <v>1744</v>
      </c>
      <c r="CK3478" s="2">
        <v>21</v>
      </c>
      <c r="CL3478" s="2" t="s">
        <v>86</v>
      </c>
      <c r="CM3478" s="2"/>
    </row>
    <row r="3479" spans="1:91">
      <c r="A3479" s="2" t="s">
        <v>71</v>
      </c>
      <c r="B3479" s="2" t="s">
        <v>72</v>
      </c>
      <c r="C3479" s="2" t="s">
        <v>73</v>
      </c>
      <c r="D3479" s="2"/>
      <c r="E3479" s="2" t="str">
        <f>"FES1162545657"</f>
        <v>FES1162545657</v>
      </c>
      <c r="F3479" s="3">
        <v>42851</v>
      </c>
      <c r="G3479" s="2">
        <v>201710</v>
      </c>
      <c r="H3479" s="2" t="s">
        <v>74</v>
      </c>
      <c r="I3479" s="2" t="s">
        <v>75</v>
      </c>
      <c r="J3479" s="2" t="s">
        <v>76</v>
      </c>
      <c r="K3479" s="2" t="s">
        <v>77</v>
      </c>
      <c r="L3479" s="2" t="s">
        <v>131</v>
      </c>
      <c r="M3479" s="2" t="s">
        <v>132</v>
      </c>
      <c r="N3479" s="2" t="s">
        <v>744</v>
      </c>
      <c r="O3479" s="2" t="s">
        <v>115</v>
      </c>
      <c r="P3479" s="2" t="str">
        <f>"2170563811                    "</f>
        <v xml:space="preserve">2170563811                    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4.29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1</v>
      </c>
      <c r="BI3479" s="2">
        <v>1</v>
      </c>
      <c r="BJ3479" s="2">
        <v>0.2</v>
      </c>
      <c r="BK3479" s="2">
        <v>1</v>
      </c>
      <c r="BL3479" s="2">
        <v>41.73</v>
      </c>
      <c r="BM3479" s="2">
        <v>5.84</v>
      </c>
      <c r="BN3479" s="2">
        <v>47.57</v>
      </c>
      <c r="BO3479" s="2">
        <v>47.57</v>
      </c>
      <c r="BP3479" s="2"/>
      <c r="BQ3479" s="2" t="s">
        <v>138</v>
      </c>
      <c r="BR3479" s="2" t="s">
        <v>84</v>
      </c>
      <c r="BS3479" s="3">
        <v>42853</v>
      </c>
      <c r="BT3479" s="4">
        <v>0.41666666666666669</v>
      </c>
      <c r="BU3479" s="2" t="s">
        <v>3420</v>
      </c>
      <c r="BV3479" s="2" t="s">
        <v>86</v>
      </c>
      <c r="BW3479" s="2" t="s">
        <v>157</v>
      </c>
      <c r="BX3479" s="2" t="s">
        <v>158</v>
      </c>
      <c r="BY3479" s="2">
        <v>1200</v>
      </c>
      <c r="BZ3479" s="2"/>
      <c r="CA3479" s="2" t="s">
        <v>159</v>
      </c>
      <c r="CB3479" s="2"/>
      <c r="CC3479" s="2" t="s">
        <v>132</v>
      </c>
      <c r="CD3479" s="2">
        <v>7405</v>
      </c>
      <c r="CE3479" s="2" t="s">
        <v>118</v>
      </c>
      <c r="CF3479" s="2"/>
      <c r="CG3479" s="2"/>
      <c r="CH3479" s="2"/>
      <c r="CI3479" s="2">
        <v>1</v>
      </c>
      <c r="CJ3479" s="2">
        <v>2</v>
      </c>
      <c r="CK3479" s="2">
        <v>21</v>
      </c>
      <c r="CL3479" s="2" t="s">
        <v>86</v>
      </c>
      <c r="CM3479" s="2"/>
    </row>
    <row r="3480" spans="1:91">
      <c r="A3480" s="2" t="s">
        <v>71</v>
      </c>
      <c r="B3480" s="2" t="s">
        <v>72</v>
      </c>
      <c r="C3480" s="2" t="s">
        <v>73</v>
      </c>
      <c r="D3480" s="2"/>
      <c r="E3480" s="2" t="str">
        <f>"FES1162545821"</f>
        <v>FES1162545821</v>
      </c>
      <c r="F3480" s="3">
        <v>42851</v>
      </c>
      <c r="G3480" s="2">
        <v>201710</v>
      </c>
      <c r="H3480" s="2" t="s">
        <v>74</v>
      </c>
      <c r="I3480" s="2" t="s">
        <v>75</v>
      </c>
      <c r="J3480" s="2" t="s">
        <v>76</v>
      </c>
      <c r="K3480" s="2" t="s">
        <v>77</v>
      </c>
      <c r="L3480" s="2" t="s">
        <v>267</v>
      </c>
      <c r="M3480" s="2" t="s">
        <v>268</v>
      </c>
      <c r="N3480" s="2" t="s">
        <v>3121</v>
      </c>
      <c r="O3480" s="2" t="s">
        <v>115</v>
      </c>
      <c r="P3480" s="2" t="str">
        <f>"2170564274                    "</f>
        <v xml:space="preserve">2170564274                    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3.35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1</v>
      </c>
      <c r="BI3480" s="2">
        <v>1</v>
      </c>
      <c r="BJ3480" s="2">
        <v>0.2</v>
      </c>
      <c r="BK3480" s="2">
        <v>1</v>
      </c>
      <c r="BL3480" s="2">
        <v>32.6</v>
      </c>
      <c r="BM3480" s="2">
        <v>4.5599999999999996</v>
      </c>
      <c r="BN3480" s="2">
        <v>37.159999999999997</v>
      </c>
      <c r="BO3480" s="2">
        <v>37.159999999999997</v>
      </c>
      <c r="BP3480" s="2"/>
      <c r="BQ3480" s="2"/>
      <c r="BR3480" s="2" t="s">
        <v>84</v>
      </c>
      <c r="BS3480" s="1" t="s">
        <v>1744</v>
      </c>
      <c r="BT3480" s="2"/>
      <c r="BU3480" s="2"/>
      <c r="BV3480" s="2"/>
      <c r="BW3480" s="2"/>
      <c r="BX3480" s="2"/>
      <c r="BY3480" s="2">
        <v>1200</v>
      </c>
      <c r="BZ3480" s="2"/>
      <c r="CA3480" s="2"/>
      <c r="CB3480" s="2"/>
      <c r="CC3480" s="2" t="s">
        <v>268</v>
      </c>
      <c r="CD3480" s="2">
        <v>1709</v>
      </c>
      <c r="CE3480" s="2" t="s">
        <v>118</v>
      </c>
      <c r="CF3480" s="2"/>
      <c r="CG3480" s="2"/>
      <c r="CH3480" s="2"/>
      <c r="CI3480" s="2">
        <v>1</v>
      </c>
      <c r="CJ3480" s="2" t="s">
        <v>1744</v>
      </c>
      <c r="CK3480" s="2">
        <v>22</v>
      </c>
      <c r="CL3480" s="2" t="s">
        <v>86</v>
      </c>
      <c r="CM3480" s="2"/>
    </row>
    <row r="3481" spans="1:91">
      <c r="A3481" s="2" t="s">
        <v>71</v>
      </c>
      <c r="B3481" s="2" t="s">
        <v>72</v>
      </c>
      <c r="C3481" s="2" t="s">
        <v>73</v>
      </c>
      <c r="D3481" s="2"/>
      <c r="E3481" s="2" t="str">
        <f>"FES1162545601"</f>
        <v>FES1162545601</v>
      </c>
      <c r="F3481" s="3">
        <v>42851</v>
      </c>
      <c r="G3481" s="2">
        <v>201710</v>
      </c>
      <c r="H3481" s="2" t="s">
        <v>74</v>
      </c>
      <c r="I3481" s="2" t="s">
        <v>75</v>
      </c>
      <c r="J3481" s="2" t="s">
        <v>76</v>
      </c>
      <c r="K3481" s="2" t="s">
        <v>77</v>
      </c>
      <c r="L3481" s="2" t="s">
        <v>99</v>
      </c>
      <c r="M3481" s="2" t="s">
        <v>100</v>
      </c>
      <c r="N3481" s="2" t="s">
        <v>108</v>
      </c>
      <c r="O3481" s="2" t="s">
        <v>115</v>
      </c>
      <c r="P3481" s="2" t="str">
        <f>"2170559740                    "</f>
        <v xml:space="preserve">2170559740                    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4.29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1</v>
      </c>
      <c r="BI3481" s="2">
        <v>1</v>
      </c>
      <c r="BJ3481" s="2">
        <v>0.2</v>
      </c>
      <c r="BK3481" s="2">
        <v>1</v>
      </c>
      <c r="BL3481" s="2">
        <v>41.73</v>
      </c>
      <c r="BM3481" s="2">
        <v>5.84</v>
      </c>
      <c r="BN3481" s="2">
        <v>47.57</v>
      </c>
      <c r="BO3481" s="2">
        <v>47.57</v>
      </c>
      <c r="BP3481" s="2"/>
      <c r="BQ3481" s="2" t="s">
        <v>109</v>
      </c>
      <c r="BR3481" s="2" t="s">
        <v>84</v>
      </c>
      <c r="BS3481" s="3">
        <v>42853</v>
      </c>
      <c r="BT3481" s="4">
        <v>0.375</v>
      </c>
      <c r="BU3481" s="2" t="s">
        <v>3001</v>
      </c>
      <c r="BV3481" s="2" t="s">
        <v>86</v>
      </c>
      <c r="BW3481" s="2"/>
      <c r="BX3481" s="2"/>
      <c r="BY3481" s="2">
        <v>1200</v>
      </c>
      <c r="BZ3481" s="2"/>
      <c r="CA3481" s="2" t="s">
        <v>106</v>
      </c>
      <c r="CB3481" s="2"/>
      <c r="CC3481" s="2" t="s">
        <v>100</v>
      </c>
      <c r="CD3481" s="2">
        <v>6001</v>
      </c>
      <c r="CE3481" s="2" t="s">
        <v>118</v>
      </c>
      <c r="CF3481" s="5">
        <v>42853</v>
      </c>
      <c r="CG3481" s="2"/>
      <c r="CH3481" s="2"/>
      <c r="CI3481" s="2">
        <v>1</v>
      </c>
      <c r="CJ3481" s="2">
        <v>2</v>
      </c>
      <c r="CK3481" s="2">
        <v>21</v>
      </c>
      <c r="CL3481" s="2" t="s">
        <v>86</v>
      </c>
      <c r="CM3481" s="2"/>
    </row>
    <row r="3482" spans="1:91">
      <c r="A3482" s="2" t="s">
        <v>71</v>
      </c>
      <c r="B3482" s="2" t="s">
        <v>72</v>
      </c>
      <c r="C3482" s="2" t="s">
        <v>73</v>
      </c>
      <c r="D3482" s="2"/>
      <c r="E3482" s="2" t="str">
        <f>"FES1162545750"</f>
        <v>FES1162545750</v>
      </c>
      <c r="F3482" s="3">
        <v>42851</v>
      </c>
      <c r="G3482" s="2">
        <v>201710</v>
      </c>
      <c r="H3482" s="2" t="s">
        <v>74</v>
      </c>
      <c r="I3482" s="2" t="s">
        <v>75</v>
      </c>
      <c r="J3482" s="2" t="s">
        <v>76</v>
      </c>
      <c r="K3482" s="2" t="s">
        <v>77</v>
      </c>
      <c r="L3482" s="2" t="s">
        <v>180</v>
      </c>
      <c r="M3482" s="2" t="s">
        <v>181</v>
      </c>
      <c r="N3482" s="2" t="s">
        <v>182</v>
      </c>
      <c r="O3482" s="2" t="s">
        <v>115</v>
      </c>
      <c r="P3482" s="2" t="str">
        <f>"2170561710                    "</f>
        <v xml:space="preserve">2170561710                    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4.29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1</v>
      </c>
      <c r="BI3482" s="2">
        <v>1</v>
      </c>
      <c r="BJ3482" s="2">
        <v>0.2</v>
      </c>
      <c r="BK3482" s="2">
        <v>1</v>
      </c>
      <c r="BL3482" s="2">
        <v>41.73</v>
      </c>
      <c r="BM3482" s="2">
        <v>5.84</v>
      </c>
      <c r="BN3482" s="2">
        <v>47.57</v>
      </c>
      <c r="BO3482" s="2">
        <v>47.57</v>
      </c>
      <c r="BP3482" s="2"/>
      <c r="BQ3482" s="2" t="s">
        <v>183</v>
      </c>
      <c r="BR3482" s="2" t="s">
        <v>84</v>
      </c>
      <c r="BS3482" s="1" t="s">
        <v>1744</v>
      </c>
      <c r="BT3482" s="2"/>
      <c r="BU3482" s="2"/>
      <c r="BV3482" s="2"/>
      <c r="BW3482" s="2"/>
      <c r="BX3482" s="2"/>
      <c r="BY3482" s="2">
        <v>1200</v>
      </c>
      <c r="BZ3482" s="2"/>
      <c r="CA3482" s="2"/>
      <c r="CB3482" s="2"/>
      <c r="CC3482" s="2" t="s">
        <v>181</v>
      </c>
      <c r="CD3482" s="2">
        <v>4001</v>
      </c>
      <c r="CE3482" s="2" t="s">
        <v>118</v>
      </c>
      <c r="CF3482" s="2"/>
      <c r="CG3482" s="2"/>
      <c r="CH3482" s="2"/>
      <c r="CI3482" s="2">
        <v>1</v>
      </c>
      <c r="CJ3482" s="2" t="s">
        <v>1744</v>
      </c>
      <c r="CK3482" s="2">
        <v>21</v>
      </c>
      <c r="CL3482" s="2" t="s">
        <v>86</v>
      </c>
      <c r="CM3482" s="2"/>
    </row>
    <row r="3483" spans="1:91">
      <c r="A3483" s="2" t="s">
        <v>71</v>
      </c>
      <c r="B3483" s="2" t="s">
        <v>72</v>
      </c>
      <c r="C3483" s="2" t="s">
        <v>73</v>
      </c>
      <c r="D3483" s="2"/>
      <c r="E3483" s="2" t="str">
        <f>"FES1162545661"</f>
        <v>FES1162545661</v>
      </c>
      <c r="F3483" s="3">
        <v>42851</v>
      </c>
      <c r="G3483" s="2">
        <v>201710</v>
      </c>
      <c r="H3483" s="2" t="s">
        <v>74</v>
      </c>
      <c r="I3483" s="2" t="s">
        <v>75</v>
      </c>
      <c r="J3483" s="2" t="s">
        <v>76</v>
      </c>
      <c r="K3483" s="2" t="s">
        <v>77</v>
      </c>
      <c r="L3483" s="2" t="s">
        <v>131</v>
      </c>
      <c r="M3483" s="2" t="s">
        <v>132</v>
      </c>
      <c r="N3483" s="2" t="s">
        <v>744</v>
      </c>
      <c r="O3483" s="2" t="s">
        <v>115</v>
      </c>
      <c r="P3483" s="2" t="str">
        <f>"2170563933                    "</f>
        <v xml:space="preserve">2170563933                    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4.29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1</v>
      </c>
      <c r="BI3483" s="2">
        <v>1</v>
      </c>
      <c r="BJ3483" s="2">
        <v>0.2</v>
      </c>
      <c r="BK3483" s="2">
        <v>1</v>
      </c>
      <c r="BL3483" s="2">
        <v>41.73</v>
      </c>
      <c r="BM3483" s="2">
        <v>5.84</v>
      </c>
      <c r="BN3483" s="2">
        <v>47.57</v>
      </c>
      <c r="BO3483" s="2">
        <v>47.57</v>
      </c>
      <c r="BP3483" s="2"/>
      <c r="BQ3483" s="2" t="s">
        <v>138</v>
      </c>
      <c r="BR3483" s="2" t="s">
        <v>84</v>
      </c>
      <c r="BS3483" s="3">
        <v>42853</v>
      </c>
      <c r="BT3483" s="4">
        <v>0.41666666666666669</v>
      </c>
      <c r="BU3483" s="2" t="s">
        <v>3420</v>
      </c>
      <c r="BV3483" s="2" t="s">
        <v>86</v>
      </c>
      <c r="BW3483" s="2" t="s">
        <v>157</v>
      </c>
      <c r="BX3483" s="2" t="s">
        <v>158</v>
      </c>
      <c r="BY3483" s="2">
        <v>1200</v>
      </c>
      <c r="BZ3483" s="2"/>
      <c r="CA3483" s="2" t="s">
        <v>159</v>
      </c>
      <c r="CB3483" s="2"/>
      <c r="CC3483" s="2" t="s">
        <v>132</v>
      </c>
      <c r="CD3483" s="2">
        <v>7405</v>
      </c>
      <c r="CE3483" s="2" t="s">
        <v>118</v>
      </c>
      <c r="CF3483" s="2"/>
      <c r="CG3483" s="2"/>
      <c r="CH3483" s="2"/>
      <c r="CI3483" s="2">
        <v>1</v>
      </c>
      <c r="CJ3483" s="2">
        <v>2</v>
      </c>
      <c r="CK3483" s="2">
        <v>21</v>
      </c>
      <c r="CL3483" s="2" t="s">
        <v>86</v>
      </c>
      <c r="CM3483" s="2"/>
    </row>
    <row r="3484" spans="1:91">
      <c r="A3484" s="2" t="s">
        <v>71</v>
      </c>
      <c r="B3484" s="2" t="s">
        <v>72</v>
      </c>
      <c r="C3484" s="2" t="s">
        <v>73</v>
      </c>
      <c r="D3484" s="2"/>
      <c r="E3484" s="2" t="str">
        <f>"FES1162545645"</f>
        <v>FES1162545645</v>
      </c>
      <c r="F3484" s="3">
        <v>42851</v>
      </c>
      <c r="G3484" s="2">
        <v>201710</v>
      </c>
      <c r="H3484" s="2" t="s">
        <v>74</v>
      </c>
      <c r="I3484" s="2" t="s">
        <v>75</v>
      </c>
      <c r="J3484" s="2" t="s">
        <v>76</v>
      </c>
      <c r="K3484" s="2" t="s">
        <v>77</v>
      </c>
      <c r="L3484" s="2" t="s">
        <v>1026</v>
      </c>
      <c r="M3484" s="2" t="s">
        <v>1027</v>
      </c>
      <c r="N3484" s="2" t="s">
        <v>1453</v>
      </c>
      <c r="O3484" s="2" t="s">
        <v>115</v>
      </c>
      <c r="P3484" s="2" t="str">
        <f>"2170562707                    "</f>
        <v xml:space="preserve">2170562707                    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8.31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1</v>
      </c>
      <c r="BI3484" s="2">
        <v>1</v>
      </c>
      <c r="BJ3484" s="2">
        <v>0.2</v>
      </c>
      <c r="BK3484" s="2">
        <v>1</v>
      </c>
      <c r="BL3484" s="2">
        <v>80.849999999999994</v>
      </c>
      <c r="BM3484" s="2">
        <v>11.32</v>
      </c>
      <c r="BN3484" s="2">
        <v>92.17</v>
      </c>
      <c r="BO3484" s="2">
        <v>92.17</v>
      </c>
      <c r="BP3484" s="2"/>
      <c r="BQ3484" s="2"/>
      <c r="BR3484" s="2" t="s">
        <v>84</v>
      </c>
      <c r="BS3484" s="3">
        <v>42853</v>
      </c>
      <c r="BT3484" s="4">
        <v>0.41666666666666669</v>
      </c>
      <c r="BU3484" s="2" t="s">
        <v>3437</v>
      </c>
      <c r="BV3484" s="2" t="s">
        <v>86</v>
      </c>
      <c r="BW3484" s="2" t="s">
        <v>157</v>
      </c>
      <c r="BX3484" s="2" t="s">
        <v>158</v>
      </c>
      <c r="BY3484" s="2">
        <v>1200</v>
      </c>
      <c r="BZ3484" s="2"/>
      <c r="CA3484" s="2"/>
      <c r="CB3484" s="2"/>
      <c r="CC3484" s="2" t="s">
        <v>1027</v>
      </c>
      <c r="CD3484" s="2">
        <v>7349</v>
      </c>
      <c r="CE3484" s="2" t="s">
        <v>118</v>
      </c>
      <c r="CF3484" s="2"/>
      <c r="CG3484" s="2"/>
      <c r="CH3484" s="2"/>
      <c r="CI3484" s="2">
        <v>1</v>
      </c>
      <c r="CJ3484" s="2">
        <v>2</v>
      </c>
      <c r="CK3484" s="2">
        <v>23</v>
      </c>
      <c r="CL3484" s="2" t="s">
        <v>86</v>
      </c>
      <c r="CM3484" s="2"/>
    </row>
    <row r="3485" spans="1:91">
      <c r="A3485" s="2" t="s">
        <v>71</v>
      </c>
      <c r="B3485" s="2" t="s">
        <v>72</v>
      </c>
      <c r="C3485" s="2" t="s">
        <v>73</v>
      </c>
      <c r="D3485" s="2"/>
      <c r="E3485" s="2" t="str">
        <f>"FES1162545616"</f>
        <v>FES1162545616</v>
      </c>
      <c r="F3485" s="3">
        <v>42851</v>
      </c>
      <c r="G3485" s="2">
        <v>201710</v>
      </c>
      <c r="H3485" s="2" t="s">
        <v>74</v>
      </c>
      <c r="I3485" s="2" t="s">
        <v>75</v>
      </c>
      <c r="J3485" s="2" t="s">
        <v>76</v>
      </c>
      <c r="K3485" s="2" t="s">
        <v>77</v>
      </c>
      <c r="L3485" s="2" t="s">
        <v>112</v>
      </c>
      <c r="M3485" s="2" t="s">
        <v>113</v>
      </c>
      <c r="N3485" s="2" t="s">
        <v>114</v>
      </c>
      <c r="O3485" s="2" t="s">
        <v>115</v>
      </c>
      <c r="P3485" s="2" t="str">
        <f>"2170560713                    "</f>
        <v xml:space="preserve">2170560713                    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4.29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1</v>
      </c>
      <c r="BI3485" s="2">
        <v>2</v>
      </c>
      <c r="BJ3485" s="2">
        <v>0.2</v>
      </c>
      <c r="BK3485" s="2">
        <v>2</v>
      </c>
      <c r="BL3485" s="2">
        <v>41.73</v>
      </c>
      <c r="BM3485" s="2">
        <v>5.84</v>
      </c>
      <c r="BN3485" s="2">
        <v>47.57</v>
      </c>
      <c r="BO3485" s="2">
        <v>47.57</v>
      </c>
      <c r="BP3485" s="2"/>
      <c r="BQ3485" s="2" t="s">
        <v>116</v>
      </c>
      <c r="BR3485" s="2" t="s">
        <v>84</v>
      </c>
      <c r="BS3485" s="1" t="s">
        <v>1744</v>
      </c>
      <c r="BT3485" s="2"/>
      <c r="BU3485" s="2"/>
      <c r="BV3485" s="2"/>
      <c r="BW3485" s="2"/>
      <c r="BX3485" s="2"/>
      <c r="BY3485" s="2">
        <v>1200</v>
      </c>
      <c r="BZ3485" s="2"/>
      <c r="CA3485" s="2"/>
      <c r="CB3485" s="2"/>
      <c r="CC3485" s="2" t="s">
        <v>113</v>
      </c>
      <c r="CD3485" s="2">
        <v>3201</v>
      </c>
      <c r="CE3485" s="2" t="s">
        <v>118</v>
      </c>
      <c r="CF3485" s="2"/>
      <c r="CG3485" s="2"/>
      <c r="CH3485" s="2"/>
      <c r="CI3485" s="2">
        <v>1</v>
      </c>
      <c r="CJ3485" s="2" t="s">
        <v>1744</v>
      </c>
      <c r="CK3485" s="2">
        <v>21</v>
      </c>
      <c r="CL3485" s="2" t="s">
        <v>86</v>
      </c>
      <c r="CM3485" s="2"/>
    </row>
    <row r="3486" spans="1:91">
      <c r="A3486" s="2" t="s">
        <v>71</v>
      </c>
      <c r="B3486" s="2" t="s">
        <v>72</v>
      </c>
      <c r="C3486" s="2" t="s">
        <v>73</v>
      </c>
      <c r="D3486" s="2"/>
      <c r="E3486" s="2" t="str">
        <f>"Rfes1162544841"</f>
        <v>Rfes1162544841</v>
      </c>
      <c r="F3486" s="3">
        <v>42851</v>
      </c>
      <c r="G3486" s="2">
        <v>201710</v>
      </c>
      <c r="H3486" s="2" t="s">
        <v>180</v>
      </c>
      <c r="I3486" s="2" t="s">
        <v>181</v>
      </c>
      <c r="J3486" s="2" t="s">
        <v>182</v>
      </c>
      <c r="K3486" s="2" t="s">
        <v>77</v>
      </c>
      <c r="L3486" s="2" t="s">
        <v>166</v>
      </c>
      <c r="M3486" s="2" t="s">
        <v>167</v>
      </c>
      <c r="N3486" s="2" t="s">
        <v>76</v>
      </c>
      <c r="O3486" s="2" t="s">
        <v>115</v>
      </c>
      <c r="P3486" s="2" t="str">
        <f>"2170563377                    "</f>
        <v xml:space="preserve">2170563377                    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13.93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2</v>
      </c>
      <c r="BI3486" s="2">
        <v>6.5</v>
      </c>
      <c r="BJ3486" s="2">
        <v>2.6</v>
      </c>
      <c r="BK3486" s="2">
        <v>6.5</v>
      </c>
      <c r="BL3486" s="2">
        <v>135.61000000000001</v>
      </c>
      <c r="BM3486" s="2">
        <v>18.989999999999998</v>
      </c>
      <c r="BN3486" s="2">
        <v>154.6</v>
      </c>
      <c r="BO3486" s="2">
        <v>154.6</v>
      </c>
      <c r="BP3486" s="2"/>
      <c r="BQ3486" s="2" t="s">
        <v>84</v>
      </c>
      <c r="BR3486" s="2" t="s">
        <v>183</v>
      </c>
      <c r="BS3486" s="3">
        <v>42853</v>
      </c>
      <c r="BT3486" s="4">
        <v>0.59027777777777779</v>
      </c>
      <c r="BU3486" s="2" t="s">
        <v>3438</v>
      </c>
      <c r="BV3486" s="2" t="s">
        <v>86</v>
      </c>
      <c r="BW3486" s="2" t="s">
        <v>96</v>
      </c>
      <c r="BX3486" s="2" t="s">
        <v>97</v>
      </c>
      <c r="BY3486" s="2">
        <v>12862.23</v>
      </c>
      <c r="BZ3486" s="2" t="s">
        <v>27</v>
      </c>
      <c r="CA3486" s="2"/>
      <c r="CB3486" s="2"/>
      <c r="CC3486" s="2" t="s">
        <v>167</v>
      </c>
      <c r="CD3486" s="2">
        <v>2000</v>
      </c>
      <c r="CE3486" s="2" t="s">
        <v>89</v>
      </c>
      <c r="CF3486" s="2"/>
      <c r="CG3486" s="2"/>
      <c r="CH3486" s="2"/>
      <c r="CI3486" s="2">
        <v>1</v>
      </c>
      <c r="CJ3486" s="2">
        <v>2</v>
      </c>
      <c r="CK3486" s="2">
        <v>21</v>
      </c>
      <c r="CL3486" s="2" t="s">
        <v>86</v>
      </c>
      <c r="CM3486" s="2"/>
    </row>
    <row r="3487" spans="1:91">
      <c r="A3487" s="2" t="s">
        <v>71</v>
      </c>
      <c r="B3487" s="2" t="s">
        <v>72</v>
      </c>
      <c r="C3487" s="2" t="s">
        <v>73</v>
      </c>
      <c r="D3487" s="2"/>
      <c r="E3487" s="2" t="str">
        <f>"FES1162545659"</f>
        <v>FES1162545659</v>
      </c>
      <c r="F3487" s="3">
        <v>42851</v>
      </c>
      <c r="G3487" s="2">
        <v>201710</v>
      </c>
      <c r="H3487" s="2" t="s">
        <v>74</v>
      </c>
      <c r="I3487" s="2" t="s">
        <v>75</v>
      </c>
      <c r="J3487" s="2" t="s">
        <v>76</v>
      </c>
      <c r="K3487" s="2" t="s">
        <v>77</v>
      </c>
      <c r="L3487" s="2" t="s">
        <v>609</v>
      </c>
      <c r="M3487" s="2" t="s">
        <v>610</v>
      </c>
      <c r="N3487" s="2" t="s">
        <v>611</v>
      </c>
      <c r="O3487" s="2" t="s">
        <v>81</v>
      </c>
      <c r="P3487" s="2" t="str">
        <f>"2170563868                    "</f>
        <v xml:space="preserve">2170563868                    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7.37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1</v>
      </c>
      <c r="BI3487" s="2">
        <v>9.6</v>
      </c>
      <c r="BJ3487" s="2">
        <v>5.0999999999999996</v>
      </c>
      <c r="BK3487" s="2">
        <v>10</v>
      </c>
      <c r="BL3487" s="2">
        <v>76.72</v>
      </c>
      <c r="BM3487" s="2">
        <v>10.74</v>
      </c>
      <c r="BN3487" s="2">
        <v>87.46</v>
      </c>
      <c r="BO3487" s="2">
        <v>87.46</v>
      </c>
      <c r="BP3487" s="2" t="s">
        <v>3439</v>
      </c>
      <c r="BQ3487" s="2" t="s">
        <v>116</v>
      </c>
      <c r="BR3487" s="2" t="s">
        <v>84</v>
      </c>
      <c r="BS3487" s="3">
        <v>42853</v>
      </c>
      <c r="BT3487" s="4">
        <v>0.52430555555555558</v>
      </c>
      <c r="BU3487" s="2" t="s">
        <v>760</v>
      </c>
      <c r="BV3487" s="2" t="s">
        <v>86</v>
      </c>
      <c r="BW3487" s="2"/>
      <c r="BX3487" s="2"/>
      <c r="BY3487" s="2">
        <v>25679.81</v>
      </c>
      <c r="BZ3487" s="2"/>
      <c r="CA3487" s="2"/>
      <c r="CB3487" s="2"/>
      <c r="CC3487" s="2" t="s">
        <v>610</v>
      </c>
      <c r="CD3487" s="2">
        <v>1911</v>
      </c>
      <c r="CE3487" s="2" t="s">
        <v>89</v>
      </c>
      <c r="CF3487" s="2"/>
      <c r="CG3487" s="2"/>
      <c r="CH3487" s="2"/>
      <c r="CI3487" s="2">
        <v>0</v>
      </c>
      <c r="CJ3487" s="2">
        <v>0</v>
      </c>
      <c r="CK3487" s="2" t="s">
        <v>150</v>
      </c>
      <c r="CL3487" s="2" t="s">
        <v>86</v>
      </c>
      <c r="CM3487" s="2"/>
    </row>
    <row r="3488" spans="1:91">
      <c r="A3488" s="2" t="s">
        <v>71</v>
      </c>
      <c r="B3488" s="2" t="s">
        <v>72</v>
      </c>
      <c r="C3488" s="2" t="s">
        <v>73</v>
      </c>
      <c r="D3488" s="2"/>
      <c r="E3488" s="2" t="str">
        <f>"FES1162545727"</f>
        <v>FES1162545727</v>
      </c>
      <c r="F3488" s="3">
        <v>42851</v>
      </c>
      <c r="G3488" s="2">
        <v>201710</v>
      </c>
      <c r="H3488" s="2" t="s">
        <v>74</v>
      </c>
      <c r="I3488" s="2" t="s">
        <v>75</v>
      </c>
      <c r="J3488" s="2" t="s">
        <v>76</v>
      </c>
      <c r="K3488" s="2" t="s">
        <v>77</v>
      </c>
      <c r="L3488" s="2" t="s">
        <v>2248</v>
      </c>
      <c r="M3488" s="2" t="s">
        <v>132</v>
      </c>
      <c r="N3488" s="2" t="s">
        <v>649</v>
      </c>
      <c r="O3488" s="2" t="s">
        <v>81</v>
      </c>
      <c r="P3488" s="2" t="str">
        <f>"2170564209                    "</f>
        <v xml:space="preserve">2170564209                    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8.7799999999999994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1</v>
      </c>
      <c r="BI3488" s="2">
        <v>5.9</v>
      </c>
      <c r="BJ3488" s="2">
        <v>2.6</v>
      </c>
      <c r="BK3488" s="2">
        <v>6</v>
      </c>
      <c r="BL3488" s="2">
        <v>90.42</v>
      </c>
      <c r="BM3488" s="2">
        <v>12.66</v>
      </c>
      <c r="BN3488" s="2">
        <v>103.08</v>
      </c>
      <c r="BO3488" s="2">
        <v>103.08</v>
      </c>
      <c r="BP3488" s="2" t="s">
        <v>82</v>
      </c>
      <c r="BQ3488" s="2" t="s">
        <v>650</v>
      </c>
      <c r="BR3488" s="2" t="s">
        <v>84</v>
      </c>
      <c r="BS3488" s="3">
        <v>42853</v>
      </c>
      <c r="BT3488" s="4">
        <v>0.41666666666666669</v>
      </c>
      <c r="BU3488" s="2" t="s">
        <v>245</v>
      </c>
      <c r="BV3488" s="2" t="s">
        <v>111</v>
      </c>
      <c r="BW3488" s="2"/>
      <c r="BX3488" s="2"/>
      <c r="BY3488" s="2">
        <v>12953.95</v>
      </c>
      <c r="BZ3488" s="2"/>
      <c r="CA3488" s="2"/>
      <c r="CB3488" s="2"/>
      <c r="CC3488" s="2" t="s">
        <v>132</v>
      </c>
      <c r="CD3488" s="2">
        <v>7405</v>
      </c>
      <c r="CE3488" s="2" t="s">
        <v>89</v>
      </c>
      <c r="CF3488" s="2"/>
      <c r="CG3488" s="2"/>
      <c r="CH3488" s="2"/>
      <c r="CI3488" s="2">
        <v>0</v>
      </c>
      <c r="CJ3488" s="2">
        <v>0</v>
      </c>
      <c r="CK3488" s="2" t="s">
        <v>107</v>
      </c>
      <c r="CL3488" s="2" t="s">
        <v>86</v>
      </c>
      <c r="CM3488" s="2"/>
    </row>
    <row r="3489" spans="1:91">
      <c r="A3489" s="2" t="s">
        <v>71</v>
      </c>
      <c r="B3489" s="2" t="s">
        <v>72</v>
      </c>
      <c r="C3489" s="2" t="s">
        <v>73</v>
      </c>
      <c r="D3489" s="2"/>
      <c r="E3489" s="2" t="str">
        <f>"FES1162545872"</f>
        <v>FES1162545872</v>
      </c>
      <c r="F3489" s="3">
        <v>42851</v>
      </c>
      <c r="G3489" s="2">
        <v>201710</v>
      </c>
      <c r="H3489" s="2" t="s">
        <v>74</v>
      </c>
      <c r="I3489" s="2" t="s">
        <v>75</v>
      </c>
      <c r="J3489" s="2" t="s">
        <v>76</v>
      </c>
      <c r="K3489" s="2" t="s">
        <v>77</v>
      </c>
      <c r="L3489" s="2" t="s">
        <v>496</v>
      </c>
      <c r="M3489" s="2" t="s">
        <v>497</v>
      </c>
      <c r="N3489" s="2" t="s">
        <v>879</v>
      </c>
      <c r="O3489" s="2" t="s">
        <v>81</v>
      </c>
      <c r="P3489" s="2" t="str">
        <f>"2170564336                    "</f>
        <v xml:space="preserve">2170564336                    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6.03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1</v>
      </c>
      <c r="BI3489" s="2">
        <v>2</v>
      </c>
      <c r="BJ3489" s="2">
        <v>1.4</v>
      </c>
      <c r="BK3489" s="2">
        <v>2</v>
      </c>
      <c r="BL3489" s="2">
        <v>63.68</v>
      </c>
      <c r="BM3489" s="2">
        <v>8.92</v>
      </c>
      <c r="BN3489" s="2">
        <v>72.599999999999994</v>
      </c>
      <c r="BO3489" s="2">
        <v>72.599999999999994</v>
      </c>
      <c r="BP3489" s="2" t="s">
        <v>82</v>
      </c>
      <c r="BQ3489" s="2" t="s">
        <v>880</v>
      </c>
      <c r="BR3489" s="2" t="s">
        <v>84</v>
      </c>
      <c r="BS3489" s="3">
        <v>42853</v>
      </c>
      <c r="BT3489" s="4">
        <v>0.41666666666666669</v>
      </c>
      <c r="BU3489" s="2" t="s">
        <v>2719</v>
      </c>
      <c r="BV3489" s="2" t="s">
        <v>86</v>
      </c>
      <c r="BW3489" s="2" t="s">
        <v>96</v>
      </c>
      <c r="BX3489" s="2" t="s">
        <v>97</v>
      </c>
      <c r="BY3489" s="2">
        <v>6846.84</v>
      </c>
      <c r="BZ3489" s="2"/>
      <c r="CA3489" s="2"/>
      <c r="CB3489" s="2"/>
      <c r="CC3489" s="2" t="s">
        <v>497</v>
      </c>
      <c r="CD3489" s="2">
        <v>1559</v>
      </c>
      <c r="CE3489" s="2" t="s">
        <v>89</v>
      </c>
      <c r="CF3489" s="2"/>
      <c r="CG3489" s="2"/>
      <c r="CH3489" s="2"/>
      <c r="CI3489" s="2">
        <v>0</v>
      </c>
      <c r="CJ3489" s="2">
        <v>0</v>
      </c>
      <c r="CK3489" s="2" t="s">
        <v>98</v>
      </c>
      <c r="CL3489" s="2" t="s">
        <v>86</v>
      </c>
      <c r="CM3489" s="2"/>
    </row>
    <row r="3490" spans="1:91">
      <c r="A3490" s="2" t="s">
        <v>71</v>
      </c>
      <c r="B3490" s="2" t="s">
        <v>72</v>
      </c>
      <c r="C3490" s="2" t="s">
        <v>73</v>
      </c>
      <c r="D3490" s="2"/>
      <c r="E3490" s="2" t="str">
        <f>"FES1162545855"</f>
        <v>FES1162545855</v>
      </c>
      <c r="F3490" s="3">
        <v>42851</v>
      </c>
      <c r="G3490" s="2">
        <v>201710</v>
      </c>
      <c r="H3490" s="2" t="s">
        <v>74</v>
      </c>
      <c r="I3490" s="2" t="s">
        <v>75</v>
      </c>
      <c r="J3490" s="2" t="s">
        <v>76</v>
      </c>
      <c r="K3490" s="2" t="s">
        <v>77</v>
      </c>
      <c r="L3490" s="2" t="s">
        <v>2248</v>
      </c>
      <c r="M3490" s="2" t="s">
        <v>132</v>
      </c>
      <c r="N3490" s="2" t="s">
        <v>731</v>
      </c>
      <c r="O3490" s="2" t="s">
        <v>81</v>
      </c>
      <c r="P3490" s="2" t="str">
        <f>"2170564317                    "</f>
        <v xml:space="preserve">2170564317                    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8.7799999999999994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1</v>
      </c>
      <c r="BI3490" s="2">
        <v>3.4</v>
      </c>
      <c r="BJ3490" s="2">
        <v>5</v>
      </c>
      <c r="BK3490" s="2">
        <v>5</v>
      </c>
      <c r="BL3490" s="2">
        <v>90.42</v>
      </c>
      <c r="BM3490" s="2">
        <v>12.66</v>
      </c>
      <c r="BN3490" s="2">
        <v>103.08</v>
      </c>
      <c r="BO3490" s="2">
        <v>103.08</v>
      </c>
      <c r="BP3490" s="2"/>
      <c r="BQ3490" s="2"/>
      <c r="BR3490" s="2" t="s">
        <v>84</v>
      </c>
      <c r="BS3490" s="3">
        <v>42853</v>
      </c>
      <c r="BT3490" s="4">
        <v>0.41666666666666669</v>
      </c>
      <c r="BU3490" s="2" t="s">
        <v>3440</v>
      </c>
      <c r="BV3490" s="2" t="s">
        <v>111</v>
      </c>
      <c r="BW3490" s="2"/>
      <c r="BX3490" s="2"/>
      <c r="BY3490" s="2">
        <v>25139.81</v>
      </c>
      <c r="BZ3490" s="2"/>
      <c r="CA3490" s="2"/>
      <c r="CB3490" s="2"/>
      <c r="CC3490" s="2" t="s">
        <v>132</v>
      </c>
      <c r="CD3490" s="2">
        <v>7945</v>
      </c>
      <c r="CE3490" s="2" t="s">
        <v>89</v>
      </c>
      <c r="CF3490" s="2"/>
      <c r="CG3490" s="2"/>
      <c r="CH3490" s="2"/>
      <c r="CI3490" s="2">
        <v>0</v>
      </c>
      <c r="CJ3490" s="2">
        <v>0</v>
      </c>
      <c r="CK3490" s="2" t="s">
        <v>107</v>
      </c>
      <c r="CL3490" s="2" t="s">
        <v>86</v>
      </c>
      <c r="CM3490" s="2"/>
    </row>
    <row r="3491" spans="1:91">
      <c r="A3491" s="2" t="s">
        <v>71</v>
      </c>
      <c r="B3491" s="2" t="s">
        <v>72</v>
      </c>
      <c r="C3491" s="2" t="s">
        <v>73</v>
      </c>
      <c r="D3491" s="2"/>
      <c r="E3491" s="2" t="str">
        <f>"FES1162545814"</f>
        <v>FES1162545814</v>
      </c>
      <c r="F3491" s="3">
        <v>42851</v>
      </c>
      <c r="G3491" s="2">
        <v>201710</v>
      </c>
      <c r="H3491" s="2" t="s">
        <v>74</v>
      </c>
      <c r="I3491" s="2" t="s">
        <v>75</v>
      </c>
      <c r="J3491" s="2" t="s">
        <v>76</v>
      </c>
      <c r="K3491" s="2" t="s">
        <v>77</v>
      </c>
      <c r="L3491" s="2" t="s">
        <v>231</v>
      </c>
      <c r="M3491" s="2" t="s">
        <v>232</v>
      </c>
      <c r="N3491" s="2" t="s">
        <v>430</v>
      </c>
      <c r="O3491" s="2" t="s">
        <v>81</v>
      </c>
      <c r="P3491" s="2" t="str">
        <f>"2170564264                    "</f>
        <v xml:space="preserve">2170564264                    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8.0399999999999991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1</v>
      </c>
      <c r="BI3491" s="2">
        <v>9.6</v>
      </c>
      <c r="BJ3491" s="2">
        <v>5</v>
      </c>
      <c r="BK3491" s="2">
        <v>10</v>
      </c>
      <c r="BL3491" s="2">
        <v>83.24</v>
      </c>
      <c r="BM3491" s="2">
        <v>11.65</v>
      </c>
      <c r="BN3491" s="2">
        <v>94.89</v>
      </c>
      <c r="BO3491" s="2">
        <v>94.89</v>
      </c>
      <c r="BP3491" s="2" t="s">
        <v>82</v>
      </c>
      <c r="BQ3491" s="2" t="s">
        <v>431</v>
      </c>
      <c r="BR3491" s="2" t="s">
        <v>84</v>
      </c>
      <c r="BS3491" s="3">
        <v>42853</v>
      </c>
      <c r="BT3491" s="4">
        <v>0.52361111111111114</v>
      </c>
      <c r="BU3491" s="2" t="s">
        <v>2054</v>
      </c>
      <c r="BV3491" s="2"/>
      <c r="BW3491" s="2" t="s">
        <v>164</v>
      </c>
      <c r="BX3491" s="2" t="s">
        <v>319</v>
      </c>
      <c r="BY3491" s="2">
        <v>24929.52</v>
      </c>
      <c r="BZ3491" s="2"/>
      <c r="CA3491" s="2"/>
      <c r="CB3491" s="2"/>
      <c r="CC3491" s="2" t="s">
        <v>232</v>
      </c>
      <c r="CD3491" s="2">
        <v>250</v>
      </c>
      <c r="CE3491" s="2" t="s">
        <v>89</v>
      </c>
      <c r="CF3491" s="2"/>
      <c r="CG3491" s="2"/>
      <c r="CH3491" s="2"/>
      <c r="CI3491" s="2">
        <v>0</v>
      </c>
      <c r="CJ3491" s="2">
        <v>0</v>
      </c>
      <c r="CK3491" s="2" t="s">
        <v>217</v>
      </c>
      <c r="CL3491" s="2" t="s">
        <v>86</v>
      </c>
      <c r="CM3491" s="2"/>
    </row>
    <row r="3492" spans="1:91">
      <c r="A3492" s="2" t="s">
        <v>71</v>
      </c>
      <c r="B3492" s="2" t="s">
        <v>72</v>
      </c>
      <c r="C3492" s="2" t="s">
        <v>73</v>
      </c>
      <c r="D3492" s="2"/>
      <c r="E3492" s="2" t="str">
        <f>"FES1162545627"</f>
        <v>FES1162545627</v>
      </c>
      <c r="F3492" s="3">
        <v>42851</v>
      </c>
      <c r="G3492" s="2">
        <v>201710</v>
      </c>
      <c r="H3492" s="2" t="s">
        <v>74</v>
      </c>
      <c r="I3492" s="2" t="s">
        <v>75</v>
      </c>
      <c r="J3492" s="2" t="s">
        <v>76</v>
      </c>
      <c r="K3492" s="2" t="s">
        <v>77</v>
      </c>
      <c r="L3492" s="2" t="s">
        <v>126</v>
      </c>
      <c r="M3492" s="2" t="s">
        <v>127</v>
      </c>
      <c r="N3492" s="2" t="s">
        <v>718</v>
      </c>
      <c r="O3492" s="2" t="s">
        <v>81</v>
      </c>
      <c r="P3492" s="2" t="str">
        <f>"2170561070                    "</f>
        <v xml:space="preserve">2170561070                    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31.39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2</v>
      </c>
      <c r="BI3492" s="2">
        <v>48.3</v>
      </c>
      <c r="BJ3492" s="2">
        <v>17.3</v>
      </c>
      <c r="BK3492" s="2">
        <v>49</v>
      </c>
      <c r="BL3492" s="2">
        <v>310.57</v>
      </c>
      <c r="BM3492" s="2">
        <v>43.48</v>
      </c>
      <c r="BN3492" s="2">
        <v>354.05</v>
      </c>
      <c r="BO3492" s="2">
        <v>354.05</v>
      </c>
      <c r="BP3492" s="2"/>
      <c r="BQ3492" s="2" t="s">
        <v>719</v>
      </c>
      <c r="BR3492" s="2" t="s">
        <v>84</v>
      </c>
      <c r="BS3492" s="1" t="s">
        <v>1744</v>
      </c>
      <c r="BT3492" s="2"/>
      <c r="BU3492" s="2"/>
      <c r="BV3492" s="2"/>
      <c r="BW3492" s="2"/>
      <c r="BX3492" s="2"/>
      <c r="BY3492" s="2">
        <v>86531.14</v>
      </c>
      <c r="BZ3492" s="2"/>
      <c r="CA3492" s="2"/>
      <c r="CB3492" s="2"/>
      <c r="CC3492" s="2" t="s">
        <v>127</v>
      </c>
      <c r="CD3492" s="2">
        <v>6850</v>
      </c>
      <c r="CE3492" s="2" t="s">
        <v>89</v>
      </c>
      <c r="CF3492" s="2"/>
      <c r="CG3492" s="2"/>
      <c r="CH3492" s="2"/>
      <c r="CI3492" s="2">
        <v>0</v>
      </c>
      <c r="CJ3492" s="2">
        <v>0</v>
      </c>
      <c r="CK3492" s="2" t="s">
        <v>90</v>
      </c>
      <c r="CL3492" s="2" t="s">
        <v>86</v>
      </c>
      <c r="CM3492" s="2"/>
    </row>
    <row r="3493" spans="1:91">
      <c r="A3493" s="2" t="s">
        <v>71</v>
      </c>
      <c r="B3493" s="2" t="s">
        <v>72</v>
      </c>
      <c r="C3493" s="2" t="s">
        <v>73</v>
      </c>
      <c r="D3493" s="2"/>
      <c r="E3493" s="2" t="str">
        <f>"FES1162545818"</f>
        <v>FES1162545818</v>
      </c>
      <c r="F3493" s="3">
        <v>42851</v>
      </c>
      <c r="G3493" s="2">
        <v>201710</v>
      </c>
      <c r="H3493" s="2" t="s">
        <v>74</v>
      </c>
      <c r="I3493" s="2" t="s">
        <v>75</v>
      </c>
      <c r="J3493" s="2" t="s">
        <v>76</v>
      </c>
      <c r="K3493" s="2" t="s">
        <v>77</v>
      </c>
      <c r="L3493" s="2" t="s">
        <v>131</v>
      </c>
      <c r="M3493" s="2" t="s">
        <v>132</v>
      </c>
      <c r="N3493" s="2" t="s">
        <v>3441</v>
      </c>
      <c r="O3493" s="2" t="s">
        <v>115</v>
      </c>
      <c r="P3493" s="2" t="str">
        <f>"2170564269                    "</f>
        <v xml:space="preserve">2170564269                    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4.29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1</v>
      </c>
      <c r="BI3493" s="2">
        <v>1</v>
      </c>
      <c r="BJ3493" s="2">
        <v>0.2</v>
      </c>
      <c r="BK3493" s="2">
        <v>1</v>
      </c>
      <c r="BL3493" s="2">
        <v>41.73</v>
      </c>
      <c r="BM3493" s="2">
        <v>5.84</v>
      </c>
      <c r="BN3493" s="2">
        <v>47.57</v>
      </c>
      <c r="BO3493" s="2">
        <v>47.57</v>
      </c>
      <c r="BP3493" s="2"/>
      <c r="BQ3493" s="2" t="s">
        <v>129</v>
      </c>
      <c r="BR3493" s="2" t="s">
        <v>84</v>
      </c>
      <c r="BS3493" s="3">
        <v>42853</v>
      </c>
      <c r="BT3493" s="4">
        <v>0.40972222222222227</v>
      </c>
      <c r="BU3493" s="2" t="s">
        <v>3442</v>
      </c>
      <c r="BV3493" s="2" t="s">
        <v>86</v>
      </c>
      <c r="BW3493" s="2" t="s">
        <v>157</v>
      </c>
      <c r="BX3493" s="2" t="s">
        <v>1537</v>
      </c>
      <c r="BY3493" s="2">
        <v>1200</v>
      </c>
      <c r="BZ3493" s="2"/>
      <c r="CA3493" s="2"/>
      <c r="CB3493" s="2"/>
      <c r="CC3493" s="2" t="s">
        <v>132</v>
      </c>
      <c r="CD3493" s="2">
        <v>7800</v>
      </c>
      <c r="CE3493" s="2" t="s">
        <v>118</v>
      </c>
      <c r="CF3493" s="2"/>
      <c r="CG3493" s="2"/>
      <c r="CH3493" s="2"/>
      <c r="CI3493" s="2">
        <v>1</v>
      </c>
      <c r="CJ3493" s="2">
        <v>2</v>
      </c>
      <c r="CK3493" s="2">
        <v>21</v>
      </c>
      <c r="CL3493" s="2" t="s">
        <v>86</v>
      </c>
      <c r="CM3493" s="2"/>
    </row>
    <row r="3494" spans="1:91">
      <c r="A3494" s="2" t="s">
        <v>71</v>
      </c>
      <c r="B3494" s="2" t="s">
        <v>72</v>
      </c>
      <c r="C3494" s="2" t="s">
        <v>73</v>
      </c>
      <c r="D3494" s="2"/>
      <c r="E3494" s="2" t="str">
        <f>"FES1162545904"</f>
        <v>FES1162545904</v>
      </c>
      <c r="F3494" s="3">
        <v>42851</v>
      </c>
      <c r="G3494" s="2">
        <v>201710</v>
      </c>
      <c r="H3494" s="2" t="s">
        <v>74</v>
      </c>
      <c r="I3494" s="2" t="s">
        <v>75</v>
      </c>
      <c r="J3494" s="2" t="s">
        <v>76</v>
      </c>
      <c r="K3494" s="2" t="s">
        <v>77</v>
      </c>
      <c r="L3494" s="2" t="s">
        <v>131</v>
      </c>
      <c r="M3494" s="2" t="s">
        <v>132</v>
      </c>
      <c r="N3494" s="2" t="s">
        <v>1081</v>
      </c>
      <c r="O3494" s="2" t="s">
        <v>115</v>
      </c>
      <c r="P3494" s="2" t="str">
        <f>"2170564364                    "</f>
        <v xml:space="preserve">2170564364                    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4.29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1</v>
      </c>
      <c r="BI3494" s="2">
        <v>1</v>
      </c>
      <c r="BJ3494" s="2">
        <v>0.2</v>
      </c>
      <c r="BK3494" s="2">
        <v>1</v>
      </c>
      <c r="BL3494" s="2">
        <v>41.73</v>
      </c>
      <c r="BM3494" s="2">
        <v>5.84</v>
      </c>
      <c r="BN3494" s="2">
        <v>47.57</v>
      </c>
      <c r="BO3494" s="2">
        <v>47.57</v>
      </c>
      <c r="BP3494" s="2"/>
      <c r="BQ3494" s="2" t="s">
        <v>1082</v>
      </c>
      <c r="BR3494" s="2" t="s">
        <v>84</v>
      </c>
      <c r="BS3494" s="3">
        <v>42853</v>
      </c>
      <c r="BT3494" s="4">
        <v>0.34861111111111115</v>
      </c>
      <c r="BU3494" s="2" t="s">
        <v>3443</v>
      </c>
      <c r="BV3494" s="2" t="s">
        <v>86</v>
      </c>
      <c r="BW3494" s="2" t="s">
        <v>157</v>
      </c>
      <c r="BX3494" s="2" t="s">
        <v>1537</v>
      </c>
      <c r="BY3494" s="2">
        <v>1200</v>
      </c>
      <c r="BZ3494" s="2"/>
      <c r="CA3494" s="2">
        <v>3</v>
      </c>
      <c r="CB3494" s="2"/>
      <c r="CC3494" s="2" t="s">
        <v>132</v>
      </c>
      <c r="CD3494" s="2">
        <v>7460</v>
      </c>
      <c r="CE3494" s="2" t="s">
        <v>118</v>
      </c>
      <c r="CF3494" s="5">
        <v>42853</v>
      </c>
      <c r="CG3494" s="2"/>
      <c r="CH3494" s="2"/>
      <c r="CI3494" s="2">
        <v>1</v>
      </c>
      <c r="CJ3494" s="2">
        <v>2</v>
      </c>
      <c r="CK3494" s="2">
        <v>21</v>
      </c>
      <c r="CL3494" s="2" t="s">
        <v>86</v>
      </c>
      <c r="CM3494" s="2"/>
    </row>
    <row r="3495" spans="1:91">
      <c r="A3495" s="2" t="s">
        <v>71</v>
      </c>
      <c r="B3495" s="2" t="s">
        <v>72</v>
      </c>
      <c r="C3495" s="2" t="s">
        <v>73</v>
      </c>
      <c r="D3495" s="2"/>
      <c r="E3495" s="2" t="str">
        <f>"FES1162545811"</f>
        <v>FES1162545811</v>
      </c>
      <c r="F3495" s="3">
        <v>42851</v>
      </c>
      <c r="G3495" s="2">
        <v>201710</v>
      </c>
      <c r="H3495" s="2" t="s">
        <v>74</v>
      </c>
      <c r="I3495" s="2" t="s">
        <v>75</v>
      </c>
      <c r="J3495" s="2" t="s">
        <v>76</v>
      </c>
      <c r="K3495" s="2" t="s">
        <v>77</v>
      </c>
      <c r="L3495" s="2" t="s">
        <v>131</v>
      </c>
      <c r="M3495" s="2" t="s">
        <v>132</v>
      </c>
      <c r="N3495" s="2" t="s">
        <v>384</v>
      </c>
      <c r="O3495" s="2" t="s">
        <v>115</v>
      </c>
      <c r="P3495" s="2" t="str">
        <f>"2170564262                    "</f>
        <v xml:space="preserve">2170564262                    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6.43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1</v>
      </c>
      <c r="BI3495" s="2">
        <v>3</v>
      </c>
      <c r="BJ3495" s="2">
        <v>1.8</v>
      </c>
      <c r="BK3495" s="2">
        <v>3</v>
      </c>
      <c r="BL3495" s="2">
        <v>62.59</v>
      </c>
      <c r="BM3495" s="2">
        <v>8.76</v>
      </c>
      <c r="BN3495" s="2">
        <v>71.349999999999994</v>
      </c>
      <c r="BO3495" s="2">
        <v>71.349999999999994</v>
      </c>
      <c r="BP3495" s="2"/>
      <c r="BQ3495" s="2" t="s">
        <v>468</v>
      </c>
      <c r="BR3495" s="2" t="s">
        <v>84</v>
      </c>
      <c r="BS3495" s="3">
        <v>42853</v>
      </c>
      <c r="BT3495" s="4">
        <v>0.41666666666666669</v>
      </c>
      <c r="BU3495" s="2" t="s">
        <v>3444</v>
      </c>
      <c r="BV3495" s="2" t="s">
        <v>86</v>
      </c>
      <c r="BW3495" s="2" t="s">
        <v>157</v>
      </c>
      <c r="BX3495" s="2" t="s">
        <v>158</v>
      </c>
      <c r="BY3495" s="2">
        <v>9057.98</v>
      </c>
      <c r="BZ3495" s="2"/>
      <c r="CA3495" s="2" t="s">
        <v>159</v>
      </c>
      <c r="CB3495" s="2"/>
      <c r="CC3495" s="2" t="s">
        <v>132</v>
      </c>
      <c r="CD3495" s="2">
        <v>7405</v>
      </c>
      <c r="CE3495" s="2" t="s">
        <v>89</v>
      </c>
      <c r="CF3495" s="2"/>
      <c r="CG3495" s="2"/>
      <c r="CH3495" s="2"/>
      <c r="CI3495" s="2">
        <v>1</v>
      </c>
      <c r="CJ3495" s="2">
        <v>2</v>
      </c>
      <c r="CK3495" s="2">
        <v>21</v>
      </c>
      <c r="CL3495" s="2" t="s">
        <v>86</v>
      </c>
      <c r="CM3495" s="2"/>
    </row>
    <row r="3496" spans="1:91">
      <c r="A3496" s="2" t="s">
        <v>71</v>
      </c>
      <c r="B3496" s="2" t="s">
        <v>72</v>
      </c>
      <c r="C3496" s="2" t="s">
        <v>73</v>
      </c>
      <c r="D3496" s="2"/>
      <c r="E3496" s="2" t="str">
        <f>"FES1162545863"</f>
        <v>FES1162545863</v>
      </c>
      <c r="F3496" s="3">
        <v>42851</v>
      </c>
      <c r="G3496" s="2">
        <v>201710</v>
      </c>
      <c r="H3496" s="2" t="s">
        <v>74</v>
      </c>
      <c r="I3496" s="2" t="s">
        <v>75</v>
      </c>
      <c r="J3496" s="2" t="s">
        <v>76</v>
      </c>
      <c r="K3496" s="2" t="s">
        <v>77</v>
      </c>
      <c r="L3496" s="2" t="s">
        <v>131</v>
      </c>
      <c r="M3496" s="2" t="s">
        <v>132</v>
      </c>
      <c r="N3496" s="2" t="s">
        <v>384</v>
      </c>
      <c r="O3496" s="2" t="s">
        <v>115</v>
      </c>
      <c r="P3496" s="2" t="str">
        <f>"2170562443                    "</f>
        <v xml:space="preserve">2170562443                    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4.29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1</v>
      </c>
      <c r="BI3496" s="2">
        <v>1</v>
      </c>
      <c r="BJ3496" s="2">
        <v>0.2</v>
      </c>
      <c r="BK3496" s="2">
        <v>1</v>
      </c>
      <c r="BL3496" s="2">
        <v>41.73</v>
      </c>
      <c r="BM3496" s="2">
        <v>5.84</v>
      </c>
      <c r="BN3496" s="2">
        <v>47.57</v>
      </c>
      <c r="BO3496" s="2">
        <v>47.57</v>
      </c>
      <c r="BP3496" s="2"/>
      <c r="BQ3496" s="2" t="s">
        <v>468</v>
      </c>
      <c r="BR3496" s="2" t="s">
        <v>84</v>
      </c>
      <c r="BS3496" s="3">
        <v>42853</v>
      </c>
      <c r="BT3496" s="4">
        <v>0.41666666666666669</v>
      </c>
      <c r="BU3496" s="2" t="s">
        <v>3444</v>
      </c>
      <c r="BV3496" s="2" t="s">
        <v>86</v>
      </c>
      <c r="BW3496" s="2" t="s">
        <v>157</v>
      </c>
      <c r="BX3496" s="2" t="s">
        <v>158</v>
      </c>
      <c r="BY3496" s="2">
        <v>1200</v>
      </c>
      <c r="BZ3496" s="2"/>
      <c r="CA3496" s="2" t="s">
        <v>159</v>
      </c>
      <c r="CB3496" s="2"/>
      <c r="CC3496" s="2" t="s">
        <v>132</v>
      </c>
      <c r="CD3496" s="2">
        <v>7405</v>
      </c>
      <c r="CE3496" s="2" t="s">
        <v>118</v>
      </c>
      <c r="CF3496" s="2"/>
      <c r="CG3496" s="2"/>
      <c r="CH3496" s="2"/>
      <c r="CI3496" s="2">
        <v>1</v>
      </c>
      <c r="CJ3496" s="2">
        <v>2</v>
      </c>
      <c r="CK3496" s="2">
        <v>21</v>
      </c>
      <c r="CL3496" s="2" t="s">
        <v>86</v>
      </c>
      <c r="CM3496" s="2"/>
    </row>
    <row r="3497" spans="1:91">
      <c r="A3497" s="2" t="s">
        <v>71</v>
      </c>
      <c r="B3497" s="2" t="s">
        <v>72</v>
      </c>
      <c r="C3497" s="2" t="s">
        <v>73</v>
      </c>
      <c r="D3497" s="2"/>
      <c r="E3497" s="2" t="str">
        <f>"FES1162545865"</f>
        <v>FES1162545865</v>
      </c>
      <c r="F3497" s="3">
        <v>42851</v>
      </c>
      <c r="G3497" s="2">
        <v>201710</v>
      </c>
      <c r="H3497" s="2" t="s">
        <v>74</v>
      </c>
      <c r="I3497" s="2" t="s">
        <v>75</v>
      </c>
      <c r="J3497" s="2" t="s">
        <v>76</v>
      </c>
      <c r="K3497" s="2" t="s">
        <v>77</v>
      </c>
      <c r="L3497" s="2" t="s">
        <v>131</v>
      </c>
      <c r="M3497" s="2" t="s">
        <v>132</v>
      </c>
      <c r="N3497" s="2" t="s">
        <v>384</v>
      </c>
      <c r="O3497" s="2" t="s">
        <v>115</v>
      </c>
      <c r="P3497" s="2" t="str">
        <f>"2170562490                    "</f>
        <v xml:space="preserve">2170562490                    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4.29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1</v>
      </c>
      <c r="BI3497" s="2">
        <v>1</v>
      </c>
      <c r="BJ3497" s="2">
        <v>0.2</v>
      </c>
      <c r="BK3497" s="2">
        <v>1</v>
      </c>
      <c r="BL3497" s="2">
        <v>41.73</v>
      </c>
      <c r="BM3497" s="2">
        <v>5.84</v>
      </c>
      <c r="BN3497" s="2">
        <v>47.57</v>
      </c>
      <c r="BO3497" s="2">
        <v>47.57</v>
      </c>
      <c r="BP3497" s="2"/>
      <c r="BQ3497" s="2" t="s">
        <v>468</v>
      </c>
      <c r="BR3497" s="2" t="s">
        <v>84</v>
      </c>
      <c r="BS3497" s="3">
        <v>42853</v>
      </c>
      <c r="BT3497" s="4">
        <v>0.41666666666666669</v>
      </c>
      <c r="BU3497" s="2" t="s">
        <v>3444</v>
      </c>
      <c r="BV3497" s="2" t="s">
        <v>86</v>
      </c>
      <c r="BW3497" s="2" t="s">
        <v>157</v>
      </c>
      <c r="BX3497" s="2" t="s">
        <v>158</v>
      </c>
      <c r="BY3497" s="2">
        <v>1200</v>
      </c>
      <c r="BZ3497" s="2"/>
      <c r="CA3497" s="2" t="s">
        <v>159</v>
      </c>
      <c r="CB3497" s="2"/>
      <c r="CC3497" s="2" t="s">
        <v>132</v>
      </c>
      <c r="CD3497" s="2">
        <v>7405</v>
      </c>
      <c r="CE3497" s="2" t="s">
        <v>118</v>
      </c>
      <c r="CF3497" s="2"/>
      <c r="CG3497" s="2"/>
      <c r="CH3497" s="2"/>
      <c r="CI3497" s="2">
        <v>1</v>
      </c>
      <c r="CJ3497" s="2">
        <v>2</v>
      </c>
      <c r="CK3497" s="2">
        <v>21</v>
      </c>
      <c r="CL3497" s="2" t="s">
        <v>86</v>
      </c>
      <c r="CM3497" s="2"/>
    </row>
    <row r="3498" spans="1:91">
      <c r="A3498" s="2" t="s">
        <v>71</v>
      </c>
      <c r="B3498" s="2" t="s">
        <v>72</v>
      </c>
      <c r="C3498" s="2" t="s">
        <v>73</v>
      </c>
      <c r="D3498" s="2"/>
      <c r="E3498" s="2" t="str">
        <f>"FES1162545860"</f>
        <v>FES1162545860</v>
      </c>
      <c r="F3498" s="3">
        <v>42851</v>
      </c>
      <c r="G3498" s="2">
        <v>201710</v>
      </c>
      <c r="H3498" s="2" t="s">
        <v>74</v>
      </c>
      <c r="I3498" s="2" t="s">
        <v>75</v>
      </c>
      <c r="J3498" s="2" t="s">
        <v>76</v>
      </c>
      <c r="K3498" s="2" t="s">
        <v>77</v>
      </c>
      <c r="L3498" s="2" t="s">
        <v>131</v>
      </c>
      <c r="M3498" s="2" t="s">
        <v>132</v>
      </c>
      <c r="N3498" s="2" t="s">
        <v>1376</v>
      </c>
      <c r="O3498" s="2" t="s">
        <v>115</v>
      </c>
      <c r="P3498" s="2" t="str">
        <f>"2170562295                    "</f>
        <v xml:space="preserve">2170562295                    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4.29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1</v>
      </c>
      <c r="BI3498" s="2">
        <v>1</v>
      </c>
      <c r="BJ3498" s="2">
        <v>0.2</v>
      </c>
      <c r="BK3498" s="2">
        <v>1</v>
      </c>
      <c r="BL3498" s="2">
        <v>41.73</v>
      </c>
      <c r="BM3498" s="2">
        <v>5.84</v>
      </c>
      <c r="BN3498" s="2">
        <v>47.57</v>
      </c>
      <c r="BO3498" s="2">
        <v>47.57</v>
      </c>
      <c r="BP3498" s="2"/>
      <c r="BQ3498" s="2" t="s">
        <v>1377</v>
      </c>
      <c r="BR3498" s="2" t="s">
        <v>84</v>
      </c>
      <c r="BS3498" s="3">
        <v>42853</v>
      </c>
      <c r="BT3498" s="4">
        <v>0.36458333333333331</v>
      </c>
      <c r="BU3498" s="2" t="s">
        <v>3445</v>
      </c>
      <c r="BV3498" s="2" t="s">
        <v>86</v>
      </c>
      <c r="BW3498" s="2" t="s">
        <v>157</v>
      </c>
      <c r="BX3498" s="2" t="s">
        <v>158</v>
      </c>
      <c r="BY3498" s="2">
        <v>1200</v>
      </c>
      <c r="BZ3498" s="2"/>
      <c r="CA3498" s="2"/>
      <c r="CB3498" s="2"/>
      <c r="CC3498" s="2" t="s">
        <v>132</v>
      </c>
      <c r="CD3498" s="2">
        <v>7975</v>
      </c>
      <c r="CE3498" s="2" t="s">
        <v>118</v>
      </c>
      <c r="CF3498" s="2"/>
      <c r="CG3498" s="2"/>
      <c r="CH3498" s="2"/>
      <c r="CI3498" s="2">
        <v>1</v>
      </c>
      <c r="CJ3498" s="2">
        <v>2</v>
      </c>
      <c r="CK3498" s="2">
        <v>21</v>
      </c>
      <c r="CL3498" s="2" t="s">
        <v>86</v>
      </c>
      <c r="CM3498" s="2"/>
    </row>
    <row r="3499" spans="1:91">
      <c r="A3499" s="2" t="s">
        <v>71</v>
      </c>
      <c r="B3499" s="2" t="s">
        <v>72</v>
      </c>
      <c r="C3499" s="2" t="s">
        <v>73</v>
      </c>
      <c r="D3499" s="2"/>
      <c r="E3499" s="2" t="str">
        <f>"FES1162545743"</f>
        <v>FES1162545743</v>
      </c>
      <c r="F3499" s="3">
        <v>42851</v>
      </c>
      <c r="G3499" s="2">
        <v>201710</v>
      </c>
      <c r="H3499" s="2" t="s">
        <v>74</v>
      </c>
      <c r="I3499" s="2" t="s">
        <v>75</v>
      </c>
      <c r="J3499" s="2" t="s">
        <v>76</v>
      </c>
      <c r="K3499" s="2" t="s">
        <v>77</v>
      </c>
      <c r="L3499" s="2" t="s">
        <v>99</v>
      </c>
      <c r="M3499" s="2" t="s">
        <v>100</v>
      </c>
      <c r="N3499" s="2" t="s">
        <v>108</v>
      </c>
      <c r="O3499" s="2" t="s">
        <v>115</v>
      </c>
      <c r="P3499" s="2" t="str">
        <f>"2170561383                    "</f>
        <v xml:space="preserve">2170561383                    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4.29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1</v>
      </c>
      <c r="BI3499" s="2">
        <v>1</v>
      </c>
      <c r="BJ3499" s="2">
        <v>0.2</v>
      </c>
      <c r="BK3499" s="2">
        <v>1</v>
      </c>
      <c r="BL3499" s="2">
        <v>41.73</v>
      </c>
      <c r="BM3499" s="2">
        <v>5.84</v>
      </c>
      <c r="BN3499" s="2">
        <v>47.57</v>
      </c>
      <c r="BO3499" s="2">
        <v>47.57</v>
      </c>
      <c r="BP3499" s="2"/>
      <c r="BQ3499" s="2" t="s">
        <v>109</v>
      </c>
      <c r="BR3499" s="2" t="s">
        <v>84</v>
      </c>
      <c r="BS3499" s="3">
        <v>42853</v>
      </c>
      <c r="BT3499" s="4">
        <v>0.375</v>
      </c>
      <c r="BU3499" s="2" t="s">
        <v>3001</v>
      </c>
      <c r="BV3499" s="2" t="s">
        <v>86</v>
      </c>
      <c r="BW3499" s="2"/>
      <c r="BX3499" s="2"/>
      <c r="BY3499" s="2">
        <v>1200</v>
      </c>
      <c r="BZ3499" s="2"/>
      <c r="CA3499" s="2" t="s">
        <v>106</v>
      </c>
      <c r="CB3499" s="2"/>
      <c r="CC3499" s="2" t="s">
        <v>100</v>
      </c>
      <c r="CD3499" s="2">
        <v>6001</v>
      </c>
      <c r="CE3499" s="2" t="s">
        <v>118</v>
      </c>
      <c r="CF3499" s="5">
        <v>42853</v>
      </c>
      <c r="CG3499" s="2"/>
      <c r="CH3499" s="2"/>
      <c r="CI3499" s="2">
        <v>1</v>
      </c>
      <c r="CJ3499" s="2">
        <v>2</v>
      </c>
      <c r="CK3499" s="2">
        <v>21</v>
      </c>
      <c r="CL3499" s="2" t="s">
        <v>86</v>
      </c>
      <c r="CM3499" s="2"/>
    </row>
    <row r="3500" spans="1:91">
      <c r="A3500" s="2" t="s">
        <v>71</v>
      </c>
      <c r="B3500" s="2" t="s">
        <v>72</v>
      </c>
      <c r="C3500" s="2" t="s">
        <v>73</v>
      </c>
      <c r="D3500" s="2"/>
      <c r="E3500" s="2" t="str">
        <f>"FES1162545897"</f>
        <v>FES1162545897</v>
      </c>
      <c r="F3500" s="3">
        <v>42851</v>
      </c>
      <c r="G3500" s="2">
        <v>201710</v>
      </c>
      <c r="H3500" s="2" t="s">
        <v>74</v>
      </c>
      <c r="I3500" s="2" t="s">
        <v>75</v>
      </c>
      <c r="J3500" s="2" t="s">
        <v>76</v>
      </c>
      <c r="K3500" s="2" t="s">
        <v>77</v>
      </c>
      <c r="L3500" s="2" t="s">
        <v>591</v>
      </c>
      <c r="M3500" s="2" t="s">
        <v>592</v>
      </c>
      <c r="N3500" s="2" t="s">
        <v>577</v>
      </c>
      <c r="O3500" s="2" t="s">
        <v>115</v>
      </c>
      <c r="P3500" s="2" t="str">
        <f>"2170564360                    "</f>
        <v xml:space="preserve">2170564360                    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4.29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1</v>
      </c>
      <c r="BI3500" s="2">
        <v>1</v>
      </c>
      <c r="BJ3500" s="2">
        <v>0.2</v>
      </c>
      <c r="BK3500" s="2">
        <v>1</v>
      </c>
      <c r="BL3500" s="2">
        <v>41.73</v>
      </c>
      <c r="BM3500" s="2">
        <v>5.84</v>
      </c>
      <c r="BN3500" s="2">
        <v>47.57</v>
      </c>
      <c r="BO3500" s="2">
        <v>47.57</v>
      </c>
      <c r="BP3500" s="2"/>
      <c r="BQ3500" s="2" t="s">
        <v>83</v>
      </c>
      <c r="BR3500" s="2" t="s">
        <v>84</v>
      </c>
      <c r="BS3500" s="3">
        <v>42853</v>
      </c>
      <c r="BT3500" s="4">
        <v>0.46527777777777773</v>
      </c>
      <c r="BU3500" s="2" t="s">
        <v>1847</v>
      </c>
      <c r="BV3500" s="2" t="s">
        <v>86</v>
      </c>
      <c r="BW3500" s="2" t="s">
        <v>87</v>
      </c>
      <c r="BX3500" s="2" t="s">
        <v>1370</v>
      </c>
      <c r="BY3500" s="2">
        <v>1200</v>
      </c>
      <c r="BZ3500" s="2"/>
      <c r="CA3500" s="2"/>
      <c r="CB3500" s="2"/>
      <c r="CC3500" s="2" t="s">
        <v>592</v>
      </c>
      <c r="CD3500" s="2">
        <v>7600</v>
      </c>
      <c r="CE3500" s="2" t="s">
        <v>118</v>
      </c>
      <c r="CF3500" s="2"/>
      <c r="CG3500" s="2"/>
      <c r="CH3500" s="2"/>
      <c r="CI3500" s="2">
        <v>1</v>
      </c>
      <c r="CJ3500" s="2">
        <v>2</v>
      </c>
      <c r="CK3500" s="2">
        <v>21</v>
      </c>
      <c r="CL3500" s="2" t="s">
        <v>86</v>
      </c>
      <c r="CM3500" s="2"/>
    </row>
    <row r="3501" spans="1:91">
      <c r="A3501" s="2" t="s">
        <v>71</v>
      </c>
      <c r="B3501" s="2" t="s">
        <v>72</v>
      </c>
      <c r="C3501" s="2" t="s">
        <v>73</v>
      </c>
      <c r="D3501" s="2"/>
      <c r="E3501" s="2" t="str">
        <f>"FES1162545838"</f>
        <v>FES1162545838</v>
      </c>
      <c r="F3501" s="3">
        <v>42851</v>
      </c>
      <c r="G3501" s="2">
        <v>201710</v>
      </c>
      <c r="H3501" s="2" t="s">
        <v>74</v>
      </c>
      <c r="I3501" s="2" t="s">
        <v>75</v>
      </c>
      <c r="J3501" s="2" t="s">
        <v>76</v>
      </c>
      <c r="K3501" s="2" t="s">
        <v>77</v>
      </c>
      <c r="L3501" s="2" t="s">
        <v>234</v>
      </c>
      <c r="M3501" s="2" t="s">
        <v>235</v>
      </c>
      <c r="N3501" s="2" t="s">
        <v>236</v>
      </c>
      <c r="O3501" s="2" t="s">
        <v>115</v>
      </c>
      <c r="P3501" s="2" t="str">
        <f>"2170564297                    "</f>
        <v xml:space="preserve">2170564297                    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4.29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1</v>
      </c>
      <c r="BI3501" s="2">
        <v>0.9</v>
      </c>
      <c r="BJ3501" s="2">
        <v>1.6</v>
      </c>
      <c r="BK3501" s="2">
        <v>2</v>
      </c>
      <c r="BL3501" s="2">
        <v>41.73</v>
      </c>
      <c r="BM3501" s="2">
        <v>5.84</v>
      </c>
      <c r="BN3501" s="2">
        <v>47.57</v>
      </c>
      <c r="BO3501" s="2">
        <v>47.57</v>
      </c>
      <c r="BP3501" s="2"/>
      <c r="BQ3501" s="2" t="s">
        <v>285</v>
      </c>
      <c r="BR3501" s="2" t="s">
        <v>84</v>
      </c>
      <c r="BS3501" s="3">
        <v>42851</v>
      </c>
      <c r="BT3501" s="4">
        <v>0.3298611111111111</v>
      </c>
      <c r="BU3501" s="2" t="s">
        <v>3294</v>
      </c>
      <c r="BV3501" s="2" t="s">
        <v>111</v>
      </c>
      <c r="BW3501" s="2"/>
      <c r="BX3501" s="2"/>
      <c r="BY3501" s="2">
        <v>8015.7</v>
      </c>
      <c r="BZ3501" s="2"/>
      <c r="CA3501" s="2"/>
      <c r="CB3501" s="2"/>
      <c r="CC3501" s="2" t="s">
        <v>235</v>
      </c>
      <c r="CD3501" s="2">
        <v>6220</v>
      </c>
      <c r="CE3501" s="2" t="s">
        <v>118</v>
      </c>
      <c r="CF3501" s="2"/>
      <c r="CG3501" s="2"/>
      <c r="CH3501" s="2"/>
      <c r="CI3501" s="2">
        <v>1</v>
      </c>
      <c r="CJ3501" s="2">
        <v>0</v>
      </c>
      <c r="CK3501" s="2">
        <v>21</v>
      </c>
      <c r="CL3501" s="2" t="s">
        <v>86</v>
      </c>
      <c r="CM3501" s="2"/>
    </row>
    <row r="3502" spans="1:91">
      <c r="A3502" s="2" t="s">
        <v>71</v>
      </c>
      <c r="B3502" s="2" t="s">
        <v>72</v>
      </c>
      <c r="C3502" s="2" t="s">
        <v>73</v>
      </c>
      <c r="D3502" s="2"/>
      <c r="E3502" s="2" t="str">
        <f>"FES1162545791"</f>
        <v>FES1162545791</v>
      </c>
      <c r="F3502" s="3">
        <v>42851</v>
      </c>
      <c r="G3502" s="2">
        <v>201710</v>
      </c>
      <c r="H3502" s="2" t="s">
        <v>74</v>
      </c>
      <c r="I3502" s="2" t="s">
        <v>75</v>
      </c>
      <c r="J3502" s="2" t="s">
        <v>76</v>
      </c>
      <c r="K3502" s="2" t="s">
        <v>77</v>
      </c>
      <c r="L3502" s="2" t="s">
        <v>131</v>
      </c>
      <c r="M3502" s="2" t="s">
        <v>132</v>
      </c>
      <c r="N3502" s="2" t="s">
        <v>1097</v>
      </c>
      <c r="O3502" s="2" t="s">
        <v>115</v>
      </c>
      <c r="P3502" s="2" t="str">
        <f>"2170563153                    "</f>
        <v xml:space="preserve">2170563153                    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4.29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1</v>
      </c>
      <c r="BI3502" s="2">
        <v>1</v>
      </c>
      <c r="BJ3502" s="2">
        <v>0.2</v>
      </c>
      <c r="BK3502" s="2">
        <v>1</v>
      </c>
      <c r="BL3502" s="2">
        <v>41.73</v>
      </c>
      <c r="BM3502" s="2">
        <v>5.84</v>
      </c>
      <c r="BN3502" s="2">
        <v>47.57</v>
      </c>
      <c r="BO3502" s="2">
        <v>47.57</v>
      </c>
      <c r="BP3502" s="2"/>
      <c r="BQ3502" s="2" t="s">
        <v>1098</v>
      </c>
      <c r="BR3502" s="2" t="s">
        <v>84</v>
      </c>
      <c r="BS3502" s="3">
        <v>42853</v>
      </c>
      <c r="BT3502" s="4">
        <v>0.50277777777777777</v>
      </c>
      <c r="BU3502" s="2" t="s">
        <v>2434</v>
      </c>
      <c r="BV3502" s="2" t="s">
        <v>86</v>
      </c>
      <c r="BW3502" s="2" t="s">
        <v>484</v>
      </c>
      <c r="BX3502" s="2" t="s">
        <v>1370</v>
      </c>
      <c r="BY3502" s="2">
        <v>1200</v>
      </c>
      <c r="BZ3502" s="2"/>
      <c r="CA3502" s="2"/>
      <c r="CB3502" s="2"/>
      <c r="CC3502" s="2" t="s">
        <v>132</v>
      </c>
      <c r="CD3502" s="2">
        <v>7925</v>
      </c>
      <c r="CE3502" s="2" t="s">
        <v>118</v>
      </c>
      <c r="CF3502" s="2"/>
      <c r="CG3502" s="2"/>
      <c r="CH3502" s="2"/>
      <c r="CI3502" s="2">
        <v>1</v>
      </c>
      <c r="CJ3502" s="2">
        <v>2</v>
      </c>
      <c r="CK3502" s="2">
        <v>21</v>
      </c>
      <c r="CL3502" s="2" t="s">
        <v>86</v>
      </c>
      <c r="CM3502" s="2"/>
    </row>
    <row r="3503" spans="1:91">
      <c r="A3503" s="2" t="s">
        <v>71</v>
      </c>
      <c r="B3503" s="2" t="s">
        <v>72</v>
      </c>
      <c r="C3503" s="2" t="s">
        <v>73</v>
      </c>
      <c r="D3503" s="2"/>
      <c r="E3503" s="2" t="str">
        <f>"FES1162545602"</f>
        <v>FES1162545602</v>
      </c>
      <c r="F3503" s="3">
        <v>42851</v>
      </c>
      <c r="G3503" s="2">
        <v>201710</v>
      </c>
      <c r="H3503" s="2" t="s">
        <v>74</v>
      </c>
      <c r="I3503" s="2" t="s">
        <v>75</v>
      </c>
      <c r="J3503" s="2" t="s">
        <v>76</v>
      </c>
      <c r="K3503" s="2" t="s">
        <v>77</v>
      </c>
      <c r="L3503" s="2" t="s">
        <v>99</v>
      </c>
      <c r="M3503" s="2" t="s">
        <v>100</v>
      </c>
      <c r="N3503" s="2" t="s">
        <v>108</v>
      </c>
      <c r="O3503" s="2" t="s">
        <v>115</v>
      </c>
      <c r="P3503" s="2" t="str">
        <f>"2170559741                    "</f>
        <v xml:space="preserve">2170559741                    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4.29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1</v>
      </c>
      <c r="BI3503" s="2">
        <v>1</v>
      </c>
      <c r="BJ3503" s="2">
        <v>0.2</v>
      </c>
      <c r="BK3503" s="2">
        <v>1</v>
      </c>
      <c r="BL3503" s="2">
        <v>41.73</v>
      </c>
      <c r="BM3503" s="2">
        <v>5.84</v>
      </c>
      <c r="BN3503" s="2">
        <v>47.57</v>
      </c>
      <c r="BO3503" s="2">
        <v>47.57</v>
      </c>
      <c r="BP3503" s="2"/>
      <c r="BQ3503" s="2" t="s">
        <v>109</v>
      </c>
      <c r="BR3503" s="2" t="s">
        <v>84</v>
      </c>
      <c r="BS3503" s="3">
        <v>42853</v>
      </c>
      <c r="BT3503" s="4">
        <v>0.375</v>
      </c>
      <c r="BU3503" s="2" t="s">
        <v>3001</v>
      </c>
      <c r="BV3503" s="2" t="s">
        <v>86</v>
      </c>
      <c r="BW3503" s="2"/>
      <c r="BX3503" s="2"/>
      <c r="BY3503" s="2">
        <v>1200</v>
      </c>
      <c r="BZ3503" s="2"/>
      <c r="CA3503" s="2" t="s">
        <v>106</v>
      </c>
      <c r="CB3503" s="2"/>
      <c r="CC3503" s="2" t="s">
        <v>100</v>
      </c>
      <c r="CD3503" s="2">
        <v>6001</v>
      </c>
      <c r="CE3503" s="2" t="s">
        <v>118</v>
      </c>
      <c r="CF3503" s="5">
        <v>42853</v>
      </c>
      <c r="CG3503" s="2"/>
      <c r="CH3503" s="2"/>
      <c r="CI3503" s="2">
        <v>1</v>
      </c>
      <c r="CJ3503" s="2">
        <v>2</v>
      </c>
      <c r="CK3503" s="2">
        <v>21</v>
      </c>
      <c r="CL3503" s="2" t="s">
        <v>86</v>
      </c>
      <c r="CM3503" s="2"/>
    </row>
    <row r="3504" spans="1:91">
      <c r="A3504" s="2" t="s">
        <v>71</v>
      </c>
      <c r="B3504" s="2" t="s">
        <v>72</v>
      </c>
      <c r="C3504" s="2" t="s">
        <v>73</v>
      </c>
      <c r="D3504" s="2"/>
      <c r="E3504" s="2" t="str">
        <f>"FES1162545658"</f>
        <v>FES1162545658</v>
      </c>
      <c r="F3504" s="3">
        <v>42851</v>
      </c>
      <c r="G3504" s="2">
        <v>201710</v>
      </c>
      <c r="H3504" s="2" t="s">
        <v>74</v>
      </c>
      <c r="I3504" s="2" t="s">
        <v>75</v>
      </c>
      <c r="J3504" s="2" t="s">
        <v>76</v>
      </c>
      <c r="K3504" s="2" t="s">
        <v>77</v>
      </c>
      <c r="L3504" s="2" t="s">
        <v>131</v>
      </c>
      <c r="M3504" s="2" t="s">
        <v>132</v>
      </c>
      <c r="N3504" s="2" t="s">
        <v>887</v>
      </c>
      <c r="O3504" s="2" t="s">
        <v>115</v>
      </c>
      <c r="P3504" s="2" t="str">
        <f>"2170563860                    "</f>
        <v xml:space="preserve">2170563860                    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4.29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1</v>
      </c>
      <c r="BI3504" s="2">
        <v>1</v>
      </c>
      <c r="BJ3504" s="2">
        <v>0.2</v>
      </c>
      <c r="BK3504" s="2">
        <v>1</v>
      </c>
      <c r="BL3504" s="2">
        <v>41.73</v>
      </c>
      <c r="BM3504" s="2">
        <v>5.84</v>
      </c>
      <c r="BN3504" s="2">
        <v>47.57</v>
      </c>
      <c r="BO3504" s="2">
        <v>47.57</v>
      </c>
      <c r="BP3504" s="2"/>
      <c r="BQ3504" s="2" t="s">
        <v>129</v>
      </c>
      <c r="BR3504" s="2" t="s">
        <v>84</v>
      </c>
      <c r="BS3504" s="3">
        <v>42853</v>
      </c>
      <c r="BT3504" s="4">
        <v>0.38750000000000001</v>
      </c>
      <c r="BU3504" s="2" t="s">
        <v>2429</v>
      </c>
      <c r="BV3504" s="2" t="s">
        <v>86</v>
      </c>
      <c r="BW3504" s="2" t="s">
        <v>157</v>
      </c>
      <c r="BX3504" s="2" t="s">
        <v>1537</v>
      </c>
      <c r="BY3504" s="2">
        <v>1200</v>
      </c>
      <c r="BZ3504" s="2"/>
      <c r="CA3504" s="2"/>
      <c r="CB3504" s="2"/>
      <c r="CC3504" s="2" t="s">
        <v>132</v>
      </c>
      <c r="CD3504" s="2">
        <v>7530</v>
      </c>
      <c r="CE3504" s="2" t="s">
        <v>118</v>
      </c>
      <c r="CF3504" s="2"/>
      <c r="CG3504" s="2"/>
      <c r="CH3504" s="2"/>
      <c r="CI3504" s="2">
        <v>1</v>
      </c>
      <c r="CJ3504" s="2">
        <v>2</v>
      </c>
      <c r="CK3504" s="2">
        <v>21</v>
      </c>
      <c r="CL3504" s="2" t="s">
        <v>86</v>
      </c>
      <c r="CM3504" s="2"/>
    </row>
    <row r="3505" spans="1:91">
      <c r="A3505" s="2" t="s">
        <v>71</v>
      </c>
      <c r="B3505" s="2" t="s">
        <v>72</v>
      </c>
      <c r="C3505" s="2" t="s">
        <v>73</v>
      </c>
      <c r="D3505" s="2"/>
      <c r="E3505" s="2" t="str">
        <f>"FES1162545768"</f>
        <v>FES1162545768</v>
      </c>
      <c r="F3505" s="3">
        <v>42851</v>
      </c>
      <c r="G3505" s="2">
        <v>201710</v>
      </c>
      <c r="H3505" s="2" t="s">
        <v>74</v>
      </c>
      <c r="I3505" s="2" t="s">
        <v>75</v>
      </c>
      <c r="J3505" s="2" t="s">
        <v>76</v>
      </c>
      <c r="K3505" s="2" t="s">
        <v>77</v>
      </c>
      <c r="L3505" s="2" t="s">
        <v>176</v>
      </c>
      <c r="M3505" s="2" t="s">
        <v>176</v>
      </c>
      <c r="N3505" s="2" t="s">
        <v>1775</v>
      </c>
      <c r="O3505" s="2" t="s">
        <v>115</v>
      </c>
      <c r="P3505" s="2" t="str">
        <f>"2170561931                    "</f>
        <v xml:space="preserve">2170561931                    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4.29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1</v>
      </c>
      <c r="BI3505" s="2">
        <v>1</v>
      </c>
      <c r="BJ3505" s="2">
        <v>0.2</v>
      </c>
      <c r="BK3505" s="2">
        <v>1</v>
      </c>
      <c r="BL3505" s="2">
        <v>41.73</v>
      </c>
      <c r="BM3505" s="2">
        <v>5.84</v>
      </c>
      <c r="BN3505" s="2">
        <v>47.57</v>
      </c>
      <c r="BO3505" s="2">
        <v>47.57</v>
      </c>
      <c r="BP3505" s="2"/>
      <c r="BQ3505" s="2" t="s">
        <v>122</v>
      </c>
      <c r="BR3505" s="2" t="s">
        <v>84</v>
      </c>
      <c r="BS3505" s="3">
        <v>42853</v>
      </c>
      <c r="BT3505" s="4">
        <v>0.4826388888888889</v>
      </c>
      <c r="BU3505" s="2" t="s">
        <v>3446</v>
      </c>
      <c r="BV3505" s="2" t="s">
        <v>86</v>
      </c>
      <c r="BW3505" s="2" t="s">
        <v>87</v>
      </c>
      <c r="BX3505" s="2" t="s">
        <v>1370</v>
      </c>
      <c r="BY3505" s="2">
        <v>1200</v>
      </c>
      <c r="BZ3505" s="2"/>
      <c r="CA3505" s="2"/>
      <c r="CB3505" s="2"/>
      <c r="CC3505" s="2" t="s">
        <v>176</v>
      </c>
      <c r="CD3505" s="2">
        <v>7646</v>
      </c>
      <c r="CE3505" s="2" t="s">
        <v>118</v>
      </c>
      <c r="CF3505" s="2"/>
      <c r="CG3505" s="2"/>
      <c r="CH3505" s="2"/>
      <c r="CI3505" s="2">
        <v>1</v>
      </c>
      <c r="CJ3505" s="2">
        <v>2</v>
      </c>
      <c r="CK3505" s="2">
        <v>21</v>
      </c>
      <c r="CL3505" s="2" t="s">
        <v>86</v>
      </c>
      <c r="CM3505" s="2"/>
    </row>
    <row r="3506" spans="1:91">
      <c r="A3506" s="2" t="s">
        <v>71</v>
      </c>
      <c r="B3506" s="2" t="s">
        <v>72</v>
      </c>
      <c r="C3506" s="2" t="s">
        <v>73</v>
      </c>
      <c r="D3506" s="2"/>
      <c r="E3506" s="2" t="str">
        <f>"FES1162544946"</f>
        <v>FES1162544946</v>
      </c>
      <c r="F3506" s="3">
        <v>42846</v>
      </c>
      <c r="G3506" s="2">
        <v>201710</v>
      </c>
      <c r="H3506" s="2" t="s">
        <v>74</v>
      </c>
      <c r="I3506" s="2" t="s">
        <v>75</v>
      </c>
      <c r="J3506" s="2" t="s">
        <v>200</v>
      </c>
      <c r="K3506" s="2" t="s">
        <v>77</v>
      </c>
      <c r="L3506" s="2" t="s">
        <v>641</v>
      </c>
      <c r="M3506" s="2" t="s">
        <v>642</v>
      </c>
      <c r="N3506" s="2" t="s">
        <v>643</v>
      </c>
      <c r="O3506" s="2" t="s">
        <v>255</v>
      </c>
      <c r="P3506" s="2" t="str">
        <f>"2170563438                    "</f>
        <v xml:space="preserve">2170563438                    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351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1100</v>
      </c>
      <c r="BH3506" s="2">
        <v>1</v>
      </c>
      <c r="BI3506" s="2">
        <v>4</v>
      </c>
      <c r="BJ3506" s="2">
        <v>1.1000000000000001</v>
      </c>
      <c r="BK3506" s="2">
        <v>4</v>
      </c>
      <c r="BL3506" s="2">
        <v>1645.06</v>
      </c>
      <c r="BM3506" s="2">
        <v>230.31</v>
      </c>
      <c r="BN3506" s="2">
        <v>1875.37</v>
      </c>
      <c r="BO3506" s="2">
        <v>1875.37</v>
      </c>
      <c r="BP3506" s="2" t="s">
        <v>1318</v>
      </c>
      <c r="BQ3506" s="2" t="s">
        <v>3447</v>
      </c>
      <c r="BR3506" s="2" t="s">
        <v>2287</v>
      </c>
      <c r="BS3506" s="3">
        <v>42846</v>
      </c>
      <c r="BT3506" s="4">
        <v>0.84375</v>
      </c>
      <c r="BU3506" s="2" t="s">
        <v>3448</v>
      </c>
      <c r="BV3506" s="2" t="s">
        <v>111</v>
      </c>
      <c r="BW3506" s="2"/>
      <c r="BX3506" s="2"/>
      <c r="BY3506" s="2">
        <v>5320</v>
      </c>
      <c r="BZ3506" s="2" t="s">
        <v>2837</v>
      </c>
      <c r="CA3506" s="2"/>
      <c r="CB3506" s="2"/>
      <c r="CC3506" s="2" t="s">
        <v>642</v>
      </c>
      <c r="CD3506" s="2">
        <v>6300</v>
      </c>
      <c r="CE3506" s="2" t="s">
        <v>135</v>
      </c>
      <c r="CF3506" s="5">
        <v>42850</v>
      </c>
      <c r="CG3506" s="2"/>
      <c r="CH3506" s="2"/>
      <c r="CI3506" s="2">
        <v>0</v>
      </c>
      <c r="CJ3506" s="2">
        <v>0</v>
      </c>
      <c r="CK3506" s="2">
        <v>-1</v>
      </c>
      <c r="CL3506" s="2" t="s">
        <v>86</v>
      </c>
      <c r="CM3506" s="2"/>
    </row>
    <row r="3507" spans="1:91">
      <c r="A3507" s="2" t="s">
        <v>71</v>
      </c>
      <c r="B3507" s="2" t="s">
        <v>72</v>
      </c>
      <c r="C3507" s="2" t="s">
        <v>73</v>
      </c>
      <c r="D3507" s="2"/>
      <c r="E3507" s="2" t="str">
        <f>"FES1162544802"</f>
        <v>FES1162544802</v>
      </c>
      <c r="F3507" s="3">
        <v>42846</v>
      </c>
      <c r="G3507" s="2">
        <v>201710</v>
      </c>
      <c r="H3507" s="2" t="s">
        <v>74</v>
      </c>
      <c r="I3507" s="2" t="s">
        <v>75</v>
      </c>
      <c r="J3507" s="2" t="s">
        <v>76</v>
      </c>
      <c r="K3507" s="2" t="s">
        <v>77</v>
      </c>
      <c r="L3507" s="2" t="s">
        <v>506</v>
      </c>
      <c r="M3507" s="2" t="s">
        <v>507</v>
      </c>
      <c r="N3507" s="2" t="s">
        <v>3449</v>
      </c>
      <c r="O3507" s="2" t="s">
        <v>115</v>
      </c>
      <c r="P3507" s="2" t="str">
        <f>"2170560702                    "</f>
        <v xml:space="preserve">2170560702                    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30.81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1</v>
      </c>
      <c r="BI3507" s="2">
        <v>8</v>
      </c>
      <c r="BJ3507" s="2">
        <v>6.1</v>
      </c>
      <c r="BK3507" s="2">
        <v>8</v>
      </c>
      <c r="BL3507" s="2">
        <v>299.91000000000003</v>
      </c>
      <c r="BM3507" s="2">
        <v>41.99</v>
      </c>
      <c r="BN3507" s="2">
        <v>341.9</v>
      </c>
      <c r="BO3507" s="2">
        <v>341.9</v>
      </c>
      <c r="BP3507" s="2"/>
      <c r="BQ3507" s="2" t="s">
        <v>83</v>
      </c>
      <c r="BR3507" s="2" t="s">
        <v>84</v>
      </c>
      <c r="BS3507" s="1" t="s">
        <v>1744</v>
      </c>
      <c r="BT3507" s="2"/>
      <c r="BU3507" s="2"/>
      <c r="BV3507" s="2"/>
      <c r="BW3507" s="2"/>
      <c r="BX3507" s="2"/>
      <c r="BY3507" s="2">
        <v>30600</v>
      </c>
      <c r="BZ3507" s="2"/>
      <c r="CA3507" s="2"/>
      <c r="CB3507" s="2"/>
      <c r="CC3507" s="2" t="s">
        <v>507</v>
      </c>
      <c r="CD3507" s="2">
        <v>7380</v>
      </c>
      <c r="CE3507" s="2" t="s">
        <v>89</v>
      </c>
      <c r="CF3507" s="2"/>
      <c r="CG3507" s="2"/>
      <c r="CH3507" s="2"/>
      <c r="CI3507" s="2">
        <v>3</v>
      </c>
      <c r="CJ3507" s="2" t="s">
        <v>1744</v>
      </c>
      <c r="CK3507" s="2">
        <v>23</v>
      </c>
      <c r="CL3507" s="2" t="s">
        <v>86</v>
      </c>
      <c r="CM3507" s="2"/>
    </row>
    <row r="3508" spans="1:91">
      <c r="A3508" s="2" t="s">
        <v>71</v>
      </c>
      <c r="B3508" s="2" t="s">
        <v>72</v>
      </c>
      <c r="C3508" s="2" t="s">
        <v>73</v>
      </c>
      <c r="D3508" s="2"/>
      <c r="E3508" s="2" t="str">
        <f>"FES1162545787"</f>
        <v>FES1162545787</v>
      </c>
      <c r="F3508" s="3">
        <v>42851</v>
      </c>
      <c r="G3508" s="2">
        <v>201710</v>
      </c>
      <c r="H3508" s="2" t="s">
        <v>74</v>
      </c>
      <c r="I3508" s="2" t="s">
        <v>75</v>
      </c>
      <c r="J3508" s="2" t="s">
        <v>76</v>
      </c>
      <c r="K3508" s="2" t="s">
        <v>77</v>
      </c>
      <c r="L3508" s="2" t="s">
        <v>99</v>
      </c>
      <c r="M3508" s="2" t="s">
        <v>100</v>
      </c>
      <c r="N3508" s="2" t="s">
        <v>351</v>
      </c>
      <c r="O3508" s="2" t="s">
        <v>115</v>
      </c>
      <c r="P3508" s="2" t="str">
        <f>"2170564229                    "</f>
        <v xml:space="preserve">2170564229                    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17.149999999999999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1</v>
      </c>
      <c r="BI3508" s="2">
        <v>7.6</v>
      </c>
      <c r="BJ3508" s="2">
        <v>3.2</v>
      </c>
      <c r="BK3508" s="2">
        <v>8</v>
      </c>
      <c r="BL3508" s="2">
        <v>166.91</v>
      </c>
      <c r="BM3508" s="2">
        <v>23.37</v>
      </c>
      <c r="BN3508" s="2">
        <v>190.28</v>
      </c>
      <c r="BO3508" s="2">
        <v>190.28</v>
      </c>
      <c r="BP3508" s="2"/>
      <c r="BQ3508" s="2" t="s">
        <v>352</v>
      </c>
      <c r="BR3508" s="2" t="s">
        <v>84</v>
      </c>
      <c r="BS3508" s="1" t="s">
        <v>1744</v>
      </c>
      <c r="BT3508" s="2"/>
      <c r="BU3508" s="2"/>
      <c r="BV3508" s="2"/>
      <c r="BW3508" s="2"/>
      <c r="BX3508" s="2"/>
      <c r="BY3508" s="2">
        <v>16214.69</v>
      </c>
      <c r="BZ3508" s="2"/>
      <c r="CA3508" s="2"/>
      <c r="CB3508" s="2"/>
      <c r="CC3508" s="2" t="s">
        <v>100</v>
      </c>
      <c r="CD3508" s="2">
        <v>6001</v>
      </c>
      <c r="CE3508" s="2" t="s">
        <v>89</v>
      </c>
      <c r="CF3508" s="2"/>
      <c r="CG3508" s="2"/>
      <c r="CH3508" s="2"/>
      <c r="CI3508" s="2">
        <v>1</v>
      </c>
      <c r="CJ3508" s="2" t="s">
        <v>1744</v>
      </c>
      <c r="CK3508" s="2">
        <v>21</v>
      </c>
      <c r="CL3508" s="2" t="s">
        <v>86</v>
      </c>
      <c r="CM3508" s="2"/>
    </row>
    <row r="3509" spans="1:91">
      <c r="A3509" s="2" t="s">
        <v>71</v>
      </c>
      <c r="B3509" s="2" t="s">
        <v>72</v>
      </c>
      <c r="C3509" s="2" t="s">
        <v>73</v>
      </c>
      <c r="D3509" s="2"/>
      <c r="E3509" s="2" t="str">
        <f>"FES1162545762"</f>
        <v>FES1162545762</v>
      </c>
      <c r="F3509" s="3">
        <v>42851</v>
      </c>
      <c r="G3509" s="2">
        <v>201710</v>
      </c>
      <c r="H3509" s="2" t="s">
        <v>74</v>
      </c>
      <c r="I3509" s="2" t="s">
        <v>75</v>
      </c>
      <c r="J3509" s="2" t="s">
        <v>76</v>
      </c>
      <c r="K3509" s="2" t="s">
        <v>77</v>
      </c>
      <c r="L3509" s="2" t="s">
        <v>99</v>
      </c>
      <c r="M3509" s="2" t="s">
        <v>100</v>
      </c>
      <c r="N3509" s="2" t="s">
        <v>451</v>
      </c>
      <c r="O3509" s="2" t="s">
        <v>115</v>
      </c>
      <c r="P3509" s="2" t="str">
        <f>"2170561874                    "</f>
        <v xml:space="preserve">2170561874                    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4.29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1</v>
      </c>
      <c r="BI3509" s="2">
        <v>1</v>
      </c>
      <c r="BJ3509" s="2">
        <v>0.2</v>
      </c>
      <c r="BK3509" s="2">
        <v>1</v>
      </c>
      <c r="BL3509" s="2">
        <v>41.73</v>
      </c>
      <c r="BM3509" s="2">
        <v>5.84</v>
      </c>
      <c r="BN3509" s="2">
        <v>47.57</v>
      </c>
      <c r="BO3509" s="2">
        <v>47.57</v>
      </c>
      <c r="BP3509" s="2"/>
      <c r="BQ3509" s="2" t="s">
        <v>452</v>
      </c>
      <c r="BR3509" s="2" t="s">
        <v>84</v>
      </c>
      <c r="BS3509" s="3">
        <v>42857</v>
      </c>
      <c r="BT3509" s="4">
        <v>0.35694444444444445</v>
      </c>
      <c r="BU3509" s="2" t="s">
        <v>3450</v>
      </c>
      <c r="BV3509" s="2" t="s">
        <v>86</v>
      </c>
      <c r="BW3509" s="2"/>
      <c r="BX3509" s="2"/>
      <c r="BY3509" s="2">
        <v>1200</v>
      </c>
      <c r="BZ3509" s="2"/>
      <c r="CA3509" s="2" t="s">
        <v>3390</v>
      </c>
      <c r="CB3509" s="2"/>
      <c r="CC3509" s="2" t="s">
        <v>100</v>
      </c>
      <c r="CD3509" s="2">
        <v>6001</v>
      </c>
      <c r="CE3509" s="2" t="s">
        <v>118</v>
      </c>
      <c r="CF3509" s="2"/>
      <c r="CG3509" s="2"/>
      <c r="CH3509" s="2"/>
      <c r="CI3509" s="2">
        <v>1</v>
      </c>
      <c r="CJ3509" s="2">
        <v>4</v>
      </c>
      <c r="CK3509" s="2">
        <v>21</v>
      </c>
      <c r="CL3509" s="2" t="s">
        <v>86</v>
      </c>
      <c r="CM3509" s="2"/>
    </row>
    <row r="3510" spans="1:91">
      <c r="A3510" s="2" t="s">
        <v>71</v>
      </c>
      <c r="B3510" s="2" t="s">
        <v>72</v>
      </c>
      <c r="C3510" s="2" t="s">
        <v>73</v>
      </c>
      <c r="D3510" s="2"/>
      <c r="E3510" s="2" t="str">
        <f>"FES1162545696"</f>
        <v>FES1162545696</v>
      </c>
      <c r="F3510" s="3">
        <v>42851</v>
      </c>
      <c r="G3510" s="2">
        <v>201710</v>
      </c>
      <c r="H3510" s="2" t="s">
        <v>74</v>
      </c>
      <c r="I3510" s="2" t="s">
        <v>75</v>
      </c>
      <c r="J3510" s="2" t="s">
        <v>76</v>
      </c>
      <c r="K3510" s="2" t="s">
        <v>77</v>
      </c>
      <c r="L3510" s="2" t="s">
        <v>99</v>
      </c>
      <c r="M3510" s="2" t="s">
        <v>100</v>
      </c>
      <c r="N3510" s="2" t="s">
        <v>151</v>
      </c>
      <c r="O3510" s="2" t="s">
        <v>115</v>
      </c>
      <c r="P3510" s="2" t="str">
        <f>"2170564158                    "</f>
        <v xml:space="preserve">2170564158                    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4.29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1</v>
      </c>
      <c r="BI3510" s="2">
        <v>1</v>
      </c>
      <c r="BJ3510" s="2">
        <v>0.2</v>
      </c>
      <c r="BK3510" s="2">
        <v>1</v>
      </c>
      <c r="BL3510" s="2">
        <v>41.73</v>
      </c>
      <c r="BM3510" s="2">
        <v>5.84</v>
      </c>
      <c r="BN3510" s="2">
        <v>47.57</v>
      </c>
      <c r="BO3510" s="2">
        <v>47.57</v>
      </c>
      <c r="BP3510" s="2"/>
      <c r="BQ3510" s="2" t="s">
        <v>152</v>
      </c>
      <c r="BR3510" s="2" t="s">
        <v>84</v>
      </c>
      <c r="BS3510" s="3">
        <v>42857</v>
      </c>
      <c r="BT3510" s="4">
        <v>0.35416666666666669</v>
      </c>
      <c r="BU3510" s="2" t="s">
        <v>3451</v>
      </c>
      <c r="BV3510" s="2" t="s">
        <v>86</v>
      </c>
      <c r="BW3510" s="2"/>
      <c r="BX3510" s="2"/>
      <c r="BY3510" s="2">
        <v>1200</v>
      </c>
      <c r="BZ3510" s="2"/>
      <c r="CA3510" s="2" t="s">
        <v>3390</v>
      </c>
      <c r="CB3510" s="2"/>
      <c r="CC3510" s="2" t="s">
        <v>100</v>
      </c>
      <c r="CD3510" s="2">
        <v>6001</v>
      </c>
      <c r="CE3510" s="2" t="s">
        <v>118</v>
      </c>
      <c r="CF3510" s="2"/>
      <c r="CG3510" s="2"/>
      <c r="CH3510" s="2"/>
      <c r="CI3510" s="2">
        <v>1</v>
      </c>
      <c r="CJ3510" s="2">
        <v>4</v>
      </c>
      <c r="CK3510" s="2">
        <v>21</v>
      </c>
      <c r="CL3510" s="2" t="s">
        <v>86</v>
      </c>
      <c r="CM3510" s="2"/>
    </row>
    <row r="3511" spans="1:91">
      <c r="A3511" s="2" t="s">
        <v>71</v>
      </c>
      <c r="B3511" s="2" t="s">
        <v>72</v>
      </c>
      <c r="C3511" s="2" t="s">
        <v>73</v>
      </c>
      <c r="D3511" s="2"/>
      <c r="E3511" s="2" t="str">
        <f>"FES1162545713"</f>
        <v>FES1162545713</v>
      </c>
      <c r="F3511" s="3">
        <v>42851</v>
      </c>
      <c r="G3511" s="2">
        <v>201710</v>
      </c>
      <c r="H3511" s="2" t="s">
        <v>74</v>
      </c>
      <c r="I3511" s="2" t="s">
        <v>75</v>
      </c>
      <c r="J3511" s="2" t="s">
        <v>76</v>
      </c>
      <c r="K3511" s="2" t="s">
        <v>77</v>
      </c>
      <c r="L3511" s="2" t="s">
        <v>99</v>
      </c>
      <c r="M3511" s="2" t="s">
        <v>100</v>
      </c>
      <c r="N3511" s="2" t="s">
        <v>151</v>
      </c>
      <c r="O3511" s="2" t="s">
        <v>115</v>
      </c>
      <c r="P3511" s="2" t="str">
        <f>"2170564187                    "</f>
        <v xml:space="preserve">2170564187                    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4.29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1</v>
      </c>
      <c r="BI3511" s="2">
        <v>1</v>
      </c>
      <c r="BJ3511" s="2">
        <v>0.2</v>
      </c>
      <c r="BK3511" s="2">
        <v>1</v>
      </c>
      <c r="BL3511" s="2">
        <v>41.73</v>
      </c>
      <c r="BM3511" s="2">
        <v>5.84</v>
      </c>
      <c r="BN3511" s="2">
        <v>47.57</v>
      </c>
      <c r="BO3511" s="2">
        <v>47.57</v>
      </c>
      <c r="BP3511" s="2"/>
      <c r="BQ3511" s="2" t="s">
        <v>152</v>
      </c>
      <c r="BR3511" s="2" t="s">
        <v>84</v>
      </c>
      <c r="BS3511" s="3">
        <v>42857</v>
      </c>
      <c r="BT3511" s="4">
        <v>0.35972222222222222</v>
      </c>
      <c r="BU3511" s="2" t="s">
        <v>3451</v>
      </c>
      <c r="BV3511" s="2" t="s">
        <v>86</v>
      </c>
      <c r="BW3511" s="2"/>
      <c r="BX3511" s="2"/>
      <c r="BY3511" s="2">
        <v>1200</v>
      </c>
      <c r="BZ3511" s="2"/>
      <c r="CA3511" s="2" t="s">
        <v>3390</v>
      </c>
      <c r="CB3511" s="2"/>
      <c r="CC3511" s="2" t="s">
        <v>100</v>
      </c>
      <c r="CD3511" s="2">
        <v>6001</v>
      </c>
      <c r="CE3511" s="2" t="s">
        <v>118</v>
      </c>
      <c r="CF3511" s="2"/>
      <c r="CG3511" s="2"/>
      <c r="CH3511" s="2"/>
      <c r="CI3511" s="2">
        <v>1</v>
      </c>
      <c r="CJ3511" s="2">
        <v>4</v>
      </c>
      <c r="CK3511" s="2">
        <v>21</v>
      </c>
      <c r="CL3511" s="2" t="s">
        <v>86</v>
      </c>
      <c r="CM3511" s="2"/>
    </row>
    <row r="3512" spans="1:91">
      <c r="A3512" s="2" t="s">
        <v>71</v>
      </c>
      <c r="B3512" s="2" t="s">
        <v>72</v>
      </c>
      <c r="C3512" s="2" t="s">
        <v>73</v>
      </c>
      <c r="D3512" s="2"/>
      <c r="E3512" s="2" t="str">
        <f>"FES1162545685"</f>
        <v>FES1162545685</v>
      </c>
      <c r="F3512" s="3">
        <v>42851</v>
      </c>
      <c r="G3512" s="2">
        <v>201710</v>
      </c>
      <c r="H3512" s="2" t="s">
        <v>74</v>
      </c>
      <c r="I3512" s="2" t="s">
        <v>75</v>
      </c>
      <c r="J3512" s="2" t="s">
        <v>200</v>
      </c>
      <c r="K3512" s="2" t="s">
        <v>77</v>
      </c>
      <c r="L3512" s="2" t="s">
        <v>934</v>
      </c>
      <c r="M3512" s="2" t="s">
        <v>935</v>
      </c>
      <c r="N3512" s="2" t="s">
        <v>2270</v>
      </c>
      <c r="O3512" s="2" t="s">
        <v>81</v>
      </c>
      <c r="P3512" s="2" t="str">
        <f>"2170564146                    "</f>
        <v xml:space="preserve">2170564146                    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7.37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1</v>
      </c>
      <c r="BI3512" s="2">
        <v>15</v>
      </c>
      <c r="BJ3512" s="2">
        <v>8.8000000000000007</v>
      </c>
      <c r="BK3512" s="2">
        <v>15</v>
      </c>
      <c r="BL3512" s="2">
        <v>76.72</v>
      </c>
      <c r="BM3512" s="2">
        <v>10.74</v>
      </c>
      <c r="BN3512" s="2">
        <v>87.46</v>
      </c>
      <c r="BO3512" s="2">
        <v>87.46</v>
      </c>
      <c r="BP3512" s="2"/>
      <c r="BQ3512" s="2" t="s">
        <v>83</v>
      </c>
      <c r="BR3512" s="2" t="s">
        <v>2287</v>
      </c>
      <c r="BS3512" s="3">
        <v>42853</v>
      </c>
      <c r="BT3512" s="4">
        <v>0.52430555555555558</v>
      </c>
      <c r="BU3512" s="2" t="s">
        <v>2602</v>
      </c>
      <c r="BV3512" s="2" t="s">
        <v>86</v>
      </c>
      <c r="BW3512" s="2" t="s">
        <v>164</v>
      </c>
      <c r="BX3512" s="2" t="s">
        <v>2240</v>
      </c>
      <c r="BY3512" s="2">
        <v>43821.38</v>
      </c>
      <c r="BZ3512" s="2"/>
      <c r="CA3512" s="2"/>
      <c r="CB3512" s="2"/>
      <c r="CC3512" s="2" t="s">
        <v>935</v>
      </c>
      <c r="CD3512" s="2">
        <v>1961</v>
      </c>
      <c r="CE3512" s="2" t="s">
        <v>89</v>
      </c>
      <c r="CF3512" s="2"/>
      <c r="CG3512" s="2"/>
      <c r="CH3512" s="2"/>
      <c r="CI3512" s="2">
        <v>0</v>
      </c>
      <c r="CJ3512" s="2">
        <v>0</v>
      </c>
      <c r="CK3512" s="2" t="s">
        <v>150</v>
      </c>
      <c r="CL3512" s="2" t="s">
        <v>86</v>
      </c>
      <c r="CM3512" s="2"/>
    </row>
    <row r="3513" spans="1:91">
      <c r="A3513" s="2" t="s">
        <v>71</v>
      </c>
      <c r="B3513" s="2" t="s">
        <v>72</v>
      </c>
      <c r="C3513" s="2" t="s">
        <v>73</v>
      </c>
      <c r="D3513" s="2"/>
      <c r="E3513" s="2" t="str">
        <f>"FES1162545698"</f>
        <v>FES1162545698</v>
      </c>
      <c r="F3513" s="3">
        <v>42851</v>
      </c>
      <c r="G3513" s="2">
        <v>201710</v>
      </c>
      <c r="H3513" s="2" t="s">
        <v>74</v>
      </c>
      <c r="I3513" s="2" t="s">
        <v>75</v>
      </c>
      <c r="J3513" s="2" t="s">
        <v>200</v>
      </c>
      <c r="K3513" s="2" t="s">
        <v>77</v>
      </c>
      <c r="L3513" s="2" t="s">
        <v>609</v>
      </c>
      <c r="M3513" s="2" t="s">
        <v>610</v>
      </c>
      <c r="N3513" s="2" t="s">
        <v>3452</v>
      </c>
      <c r="O3513" s="2" t="s">
        <v>81</v>
      </c>
      <c r="P3513" s="2" t="str">
        <f>"2170564160                    "</f>
        <v xml:space="preserve">2170564160                    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7.37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1</v>
      </c>
      <c r="BI3513" s="2">
        <v>3</v>
      </c>
      <c r="BJ3513" s="2">
        <v>3.9</v>
      </c>
      <c r="BK3513" s="2">
        <v>4</v>
      </c>
      <c r="BL3513" s="2">
        <v>76.72</v>
      </c>
      <c r="BM3513" s="2">
        <v>10.74</v>
      </c>
      <c r="BN3513" s="2">
        <v>87.46</v>
      </c>
      <c r="BO3513" s="2">
        <v>87.46</v>
      </c>
      <c r="BP3513" s="2"/>
      <c r="BQ3513" s="2" t="s">
        <v>129</v>
      </c>
      <c r="BR3513" s="2" t="s">
        <v>2287</v>
      </c>
      <c r="BS3513" s="3">
        <v>42853</v>
      </c>
      <c r="BT3513" s="4">
        <v>0.52430555555555558</v>
      </c>
      <c r="BU3513" s="2" t="s">
        <v>194</v>
      </c>
      <c r="BV3513" s="2" t="s">
        <v>86</v>
      </c>
      <c r="BW3513" s="2"/>
      <c r="BX3513" s="2"/>
      <c r="BY3513" s="2">
        <v>19680</v>
      </c>
      <c r="BZ3513" s="2"/>
      <c r="CA3513" s="2"/>
      <c r="CB3513" s="2"/>
      <c r="CC3513" s="2" t="s">
        <v>610</v>
      </c>
      <c r="CD3513" s="2">
        <v>1900</v>
      </c>
      <c r="CE3513" s="2" t="s">
        <v>89</v>
      </c>
      <c r="CF3513" s="2"/>
      <c r="CG3513" s="2"/>
      <c r="CH3513" s="2"/>
      <c r="CI3513" s="2">
        <v>0</v>
      </c>
      <c r="CJ3513" s="2">
        <v>0</v>
      </c>
      <c r="CK3513" s="2" t="s">
        <v>150</v>
      </c>
      <c r="CL3513" s="2" t="s">
        <v>86</v>
      </c>
      <c r="CM3513" s="2"/>
    </row>
    <row r="3514" spans="1:91">
      <c r="A3514" s="2" t="s">
        <v>71</v>
      </c>
      <c r="B3514" s="2" t="s">
        <v>72</v>
      </c>
      <c r="C3514" s="2" t="s">
        <v>73</v>
      </c>
      <c r="D3514" s="2"/>
      <c r="E3514" s="2" t="str">
        <f>"FES1162545738"</f>
        <v>FES1162545738</v>
      </c>
      <c r="F3514" s="3">
        <v>42851</v>
      </c>
      <c r="G3514" s="2">
        <v>201710</v>
      </c>
      <c r="H3514" s="2" t="s">
        <v>74</v>
      </c>
      <c r="I3514" s="2" t="s">
        <v>75</v>
      </c>
      <c r="J3514" s="2" t="s">
        <v>76</v>
      </c>
      <c r="K3514" s="2" t="s">
        <v>77</v>
      </c>
      <c r="L3514" s="2" t="s">
        <v>99</v>
      </c>
      <c r="M3514" s="2" t="s">
        <v>100</v>
      </c>
      <c r="N3514" s="2" t="s">
        <v>876</v>
      </c>
      <c r="O3514" s="2" t="s">
        <v>115</v>
      </c>
      <c r="P3514" s="2" t="str">
        <f>"21705645738                   "</f>
        <v xml:space="preserve">21705645738                   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4.29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1</v>
      </c>
      <c r="BI3514" s="2">
        <v>2</v>
      </c>
      <c r="BJ3514" s="2">
        <v>0.2</v>
      </c>
      <c r="BK3514" s="2">
        <v>2</v>
      </c>
      <c r="BL3514" s="2">
        <v>41.73</v>
      </c>
      <c r="BM3514" s="2">
        <v>5.84</v>
      </c>
      <c r="BN3514" s="2">
        <v>47.57</v>
      </c>
      <c r="BO3514" s="2">
        <v>47.57</v>
      </c>
      <c r="BP3514" s="2"/>
      <c r="BQ3514" s="2" t="s">
        <v>877</v>
      </c>
      <c r="BR3514" s="2" t="s">
        <v>84</v>
      </c>
      <c r="BS3514" s="3">
        <v>42857</v>
      </c>
      <c r="BT3514" s="4">
        <v>0.30208333333333331</v>
      </c>
      <c r="BU3514" s="2" t="s">
        <v>3453</v>
      </c>
      <c r="BV3514" s="2" t="s">
        <v>86</v>
      </c>
      <c r="BW3514" s="2"/>
      <c r="BX3514" s="2"/>
      <c r="BY3514" s="2">
        <v>1200</v>
      </c>
      <c r="BZ3514" s="2"/>
      <c r="CA3514" s="2" t="s">
        <v>106</v>
      </c>
      <c r="CB3514" s="2"/>
      <c r="CC3514" s="2" t="s">
        <v>100</v>
      </c>
      <c r="CD3514" s="2">
        <v>6012</v>
      </c>
      <c r="CE3514" s="2" t="s">
        <v>118</v>
      </c>
      <c r="CF3514" s="2"/>
      <c r="CG3514" s="2"/>
      <c r="CH3514" s="2"/>
      <c r="CI3514" s="2">
        <v>1</v>
      </c>
      <c r="CJ3514" s="2">
        <v>4</v>
      </c>
      <c r="CK3514" s="2">
        <v>21</v>
      </c>
      <c r="CL3514" s="2" t="s">
        <v>86</v>
      </c>
      <c r="CM3514" s="2"/>
    </row>
    <row r="3515" spans="1:91">
      <c r="A3515" s="2" t="s">
        <v>71</v>
      </c>
      <c r="B3515" s="2" t="s">
        <v>72</v>
      </c>
      <c r="C3515" s="2" t="s">
        <v>73</v>
      </c>
      <c r="D3515" s="2"/>
      <c r="E3515" s="2" t="str">
        <f>"FES1162545508"</f>
        <v>FES1162545508</v>
      </c>
      <c r="F3515" s="3">
        <v>42850</v>
      </c>
      <c r="G3515" s="2">
        <v>201710</v>
      </c>
      <c r="H3515" s="2" t="s">
        <v>74</v>
      </c>
      <c r="I3515" s="2" t="s">
        <v>75</v>
      </c>
      <c r="J3515" s="2" t="s">
        <v>200</v>
      </c>
      <c r="K3515" s="2" t="s">
        <v>77</v>
      </c>
      <c r="L3515" s="2" t="s">
        <v>633</v>
      </c>
      <c r="M3515" s="2" t="s">
        <v>634</v>
      </c>
      <c r="N3515" s="2" t="s">
        <v>3454</v>
      </c>
      <c r="O3515" s="2" t="s">
        <v>1014</v>
      </c>
      <c r="P3515" s="2" t="str">
        <f>"2170564029                    "</f>
        <v xml:space="preserve">2170564029                    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6.03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1</v>
      </c>
      <c r="BI3515" s="2">
        <v>3.7</v>
      </c>
      <c r="BJ3515" s="2">
        <v>5.3</v>
      </c>
      <c r="BK3515" s="2">
        <v>6</v>
      </c>
      <c r="BL3515" s="2">
        <v>58.68</v>
      </c>
      <c r="BM3515" s="2">
        <v>8.2200000000000006</v>
      </c>
      <c r="BN3515" s="2">
        <v>66.900000000000006</v>
      </c>
      <c r="BO3515" s="2">
        <v>66.900000000000006</v>
      </c>
      <c r="BP3515" s="2"/>
      <c r="BQ3515" s="2" t="s">
        <v>129</v>
      </c>
      <c r="BR3515" s="2" t="s">
        <v>2287</v>
      </c>
      <c r="BS3515" s="3">
        <v>42851</v>
      </c>
      <c r="BT3515" s="4">
        <v>0.52430555555555558</v>
      </c>
      <c r="BU3515" s="2" t="s">
        <v>2857</v>
      </c>
      <c r="BV3515" s="2" t="s">
        <v>111</v>
      </c>
      <c r="BW3515" s="2"/>
      <c r="BX3515" s="2"/>
      <c r="BY3515" s="2">
        <v>26697.75</v>
      </c>
      <c r="BZ3515" s="2" t="s">
        <v>27</v>
      </c>
      <c r="CA3515" s="2"/>
      <c r="CB3515" s="2"/>
      <c r="CC3515" s="2" t="s">
        <v>634</v>
      </c>
      <c r="CD3515" s="2">
        <v>1759</v>
      </c>
      <c r="CE3515" s="2" t="s">
        <v>172</v>
      </c>
      <c r="CF3515" s="5">
        <v>42853</v>
      </c>
      <c r="CG3515" s="2"/>
      <c r="CH3515" s="2"/>
      <c r="CI3515" s="2">
        <v>1</v>
      </c>
      <c r="CJ3515" s="2">
        <v>1</v>
      </c>
      <c r="CK3515" s="2">
        <v>34</v>
      </c>
      <c r="CL3515" s="2" t="s">
        <v>86</v>
      </c>
      <c r="CM3515" s="2"/>
    </row>
    <row r="3516" spans="1:91">
      <c r="A3516" s="2" t="s">
        <v>71</v>
      </c>
      <c r="B3516" s="2" t="s">
        <v>72</v>
      </c>
      <c r="C3516" s="2" t="s">
        <v>73</v>
      </c>
      <c r="D3516" s="2"/>
      <c r="E3516" s="2" t="str">
        <f>"FES1162545907"</f>
        <v>FES1162545907</v>
      </c>
      <c r="F3516" s="3">
        <v>42851</v>
      </c>
      <c r="G3516" s="2">
        <v>201710</v>
      </c>
      <c r="H3516" s="2" t="s">
        <v>74</v>
      </c>
      <c r="I3516" s="2" t="s">
        <v>75</v>
      </c>
      <c r="J3516" s="2" t="s">
        <v>76</v>
      </c>
      <c r="K3516" s="2" t="s">
        <v>77</v>
      </c>
      <c r="L3516" s="2" t="s">
        <v>99</v>
      </c>
      <c r="M3516" s="2" t="s">
        <v>100</v>
      </c>
      <c r="N3516" s="2" t="s">
        <v>876</v>
      </c>
      <c r="O3516" s="2" t="s">
        <v>115</v>
      </c>
      <c r="P3516" s="2" t="str">
        <f>"2170564366                    "</f>
        <v xml:space="preserve">2170564366                    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4.29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1</v>
      </c>
      <c r="BI3516" s="2">
        <v>1</v>
      </c>
      <c r="BJ3516" s="2">
        <v>0.2</v>
      </c>
      <c r="BK3516" s="2">
        <v>1</v>
      </c>
      <c r="BL3516" s="2">
        <v>41.73</v>
      </c>
      <c r="BM3516" s="2">
        <v>5.84</v>
      </c>
      <c r="BN3516" s="2">
        <v>47.57</v>
      </c>
      <c r="BO3516" s="2">
        <v>47.57</v>
      </c>
      <c r="BP3516" s="2"/>
      <c r="BQ3516" s="2" t="s">
        <v>877</v>
      </c>
      <c r="BR3516" s="2" t="s">
        <v>84</v>
      </c>
      <c r="BS3516" s="3">
        <v>42857</v>
      </c>
      <c r="BT3516" s="4">
        <v>0.30277777777777776</v>
      </c>
      <c r="BU3516" s="2" t="s">
        <v>3455</v>
      </c>
      <c r="BV3516" s="2" t="s">
        <v>86</v>
      </c>
      <c r="BW3516" s="2"/>
      <c r="BX3516" s="2"/>
      <c r="BY3516" s="2">
        <v>1200</v>
      </c>
      <c r="BZ3516" s="2"/>
      <c r="CA3516" s="2" t="s">
        <v>106</v>
      </c>
      <c r="CB3516" s="2"/>
      <c r="CC3516" s="2" t="s">
        <v>100</v>
      </c>
      <c r="CD3516" s="2">
        <v>6012</v>
      </c>
      <c r="CE3516" s="2" t="s">
        <v>118</v>
      </c>
      <c r="CF3516" s="2"/>
      <c r="CG3516" s="2"/>
      <c r="CH3516" s="2"/>
      <c r="CI3516" s="2">
        <v>1</v>
      </c>
      <c r="CJ3516" s="2">
        <v>4</v>
      </c>
      <c r="CK3516" s="2">
        <v>21</v>
      </c>
      <c r="CL3516" s="2" t="s">
        <v>86</v>
      </c>
      <c r="CM3516" s="2"/>
    </row>
    <row r="3517" spans="1:91">
      <c r="A3517" s="2" t="s">
        <v>71</v>
      </c>
      <c r="B3517" s="2" t="s">
        <v>72</v>
      </c>
      <c r="C3517" s="2" t="s">
        <v>73</v>
      </c>
      <c r="D3517" s="2"/>
      <c r="E3517" s="2" t="str">
        <f>"FES1162545431"</f>
        <v>FES1162545431</v>
      </c>
      <c r="F3517" s="3">
        <v>42850</v>
      </c>
      <c r="G3517" s="2">
        <v>201710</v>
      </c>
      <c r="H3517" s="2" t="s">
        <v>74</v>
      </c>
      <c r="I3517" s="2" t="s">
        <v>75</v>
      </c>
      <c r="J3517" s="2" t="s">
        <v>200</v>
      </c>
      <c r="K3517" s="2" t="s">
        <v>77</v>
      </c>
      <c r="L3517" s="2" t="s">
        <v>633</v>
      </c>
      <c r="M3517" s="2" t="s">
        <v>634</v>
      </c>
      <c r="N3517" s="2" t="s">
        <v>635</v>
      </c>
      <c r="O3517" s="2" t="s">
        <v>1014</v>
      </c>
      <c r="P3517" s="2" t="str">
        <f>"2170563932                    "</f>
        <v xml:space="preserve">2170563932                    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6.03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1</v>
      </c>
      <c r="BI3517" s="2">
        <v>6.1</v>
      </c>
      <c r="BJ3517" s="2">
        <v>1.7</v>
      </c>
      <c r="BK3517" s="2">
        <v>7</v>
      </c>
      <c r="BL3517" s="2">
        <v>58.68</v>
      </c>
      <c r="BM3517" s="2">
        <v>8.2200000000000006</v>
      </c>
      <c r="BN3517" s="2">
        <v>66.900000000000006</v>
      </c>
      <c r="BO3517" s="2">
        <v>66.900000000000006</v>
      </c>
      <c r="BP3517" s="2"/>
      <c r="BQ3517" s="2" t="s">
        <v>636</v>
      </c>
      <c r="BR3517" s="2" t="s">
        <v>2287</v>
      </c>
      <c r="BS3517" s="3">
        <v>42851</v>
      </c>
      <c r="BT3517" s="4">
        <v>0.5</v>
      </c>
      <c r="BU3517" s="2" t="s">
        <v>2274</v>
      </c>
      <c r="BV3517" s="2" t="s">
        <v>111</v>
      </c>
      <c r="BW3517" s="2"/>
      <c r="BX3517" s="2"/>
      <c r="BY3517" s="2">
        <v>8621.61</v>
      </c>
      <c r="BZ3517" s="2" t="s">
        <v>27</v>
      </c>
      <c r="CA3517" s="2"/>
      <c r="CB3517" s="2"/>
      <c r="CC3517" s="2" t="s">
        <v>634</v>
      </c>
      <c r="CD3517" s="2">
        <v>1759</v>
      </c>
      <c r="CE3517" s="2" t="s">
        <v>89</v>
      </c>
      <c r="CF3517" s="5">
        <v>42853</v>
      </c>
      <c r="CG3517" s="2"/>
      <c r="CH3517" s="2"/>
      <c r="CI3517" s="2">
        <v>1</v>
      </c>
      <c r="CJ3517" s="2">
        <v>1</v>
      </c>
      <c r="CK3517" s="2">
        <v>34</v>
      </c>
      <c r="CL3517" s="2" t="s">
        <v>86</v>
      </c>
      <c r="CM3517" s="2"/>
    </row>
    <row r="3518" spans="1:91">
      <c r="A3518" s="2" t="s">
        <v>71</v>
      </c>
      <c r="B3518" s="2" t="s">
        <v>72</v>
      </c>
      <c r="C3518" s="2" t="s">
        <v>73</v>
      </c>
      <c r="D3518" s="2"/>
      <c r="E3518" s="2" t="str">
        <f>"FES1162545680"</f>
        <v>FES1162545680</v>
      </c>
      <c r="F3518" s="3">
        <v>42851</v>
      </c>
      <c r="G3518" s="2">
        <v>201710</v>
      </c>
      <c r="H3518" s="2" t="s">
        <v>74</v>
      </c>
      <c r="I3518" s="2" t="s">
        <v>75</v>
      </c>
      <c r="J3518" s="2" t="s">
        <v>200</v>
      </c>
      <c r="K3518" s="2" t="s">
        <v>77</v>
      </c>
      <c r="L3518" s="2" t="s">
        <v>633</v>
      </c>
      <c r="M3518" s="2" t="s">
        <v>634</v>
      </c>
      <c r="N3518" s="2" t="s">
        <v>1555</v>
      </c>
      <c r="O3518" s="2" t="s">
        <v>1014</v>
      </c>
      <c r="P3518" s="2" t="str">
        <f>"2170564142                    "</f>
        <v xml:space="preserve">2170564142                    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6.03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1</v>
      </c>
      <c r="BI3518" s="2">
        <v>5.4</v>
      </c>
      <c r="BJ3518" s="2">
        <v>3.4</v>
      </c>
      <c r="BK3518" s="2">
        <v>6</v>
      </c>
      <c r="BL3518" s="2">
        <v>58.68</v>
      </c>
      <c r="BM3518" s="2">
        <v>8.2200000000000006</v>
      </c>
      <c r="BN3518" s="2">
        <v>66.900000000000006</v>
      </c>
      <c r="BO3518" s="2">
        <v>66.900000000000006</v>
      </c>
      <c r="BP3518" s="2"/>
      <c r="BQ3518" s="2" t="s">
        <v>129</v>
      </c>
      <c r="BR3518" s="2" t="s">
        <v>2287</v>
      </c>
      <c r="BS3518" s="3">
        <v>42853</v>
      </c>
      <c r="BT3518" s="4">
        <v>0.53125</v>
      </c>
      <c r="BU3518" s="2" t="s">
        <v>3456</v>
      </c>
      <c r="BV3518" s="2" t="s">
        <v>86</v>
      </c>
      <c r="BW3518" s="2" t="s">
        <v>96</v>
      </c>
      <c r="BX3518" s="2" t="s">
        <v>939</v>
      </c>
      <c r="BY3518" s="2">
        <v>16882.64</v>
      </c>
      <c r="BZ3518" s="2" t="s">
        <v>27</v>
      </c>
      <c r="CA3518" s="2"/>
      <c r="CB3518" s="2"/>
      <c r="CC3518" s="2" t="s">
        <v>634</v>
      </c>
      <c r="CD3518" s="2">
        <v>1759</v>
      </c>
      <c r="CE3518" s="2" t="s">
        <v>89</v>
      </c>
      <c r="CF3518" s="2"/>
      <c r="CG3518" s="2"/>
      <c r="CH3518" s="2"/>
      <c r="CI3518" s="2">
        <v>1</v>
      </c>
      <c r="CJ3518" s="2">
        <v>2</v>
      </c>
      <c r="CK3518" s="2">
        <v>34</v>
      </c>
      <c r="CL3518" s="2" t="s">
        <v>86</v>
      </c>
      <c r="CM3518" s="2"/>
    </row>
    <row r="3519" spans="1:91">
      <c r="A3519" s="2" t="s">
        <v>71</v>
      </c>
      <c r="B3519" s="2" t="s">
        <v>72</v>
      </c>
      <c r="C3519" s="2" t="s">
        <v>73</v>
      </c>
      <c r="D3519" s="2"/>
      <c r="E3519" s="2" t="str">
        <f>"FES1162545471"</f>
        <v>FES1162545471</v>
      </c>
      <c r="F3519" s="3">
        <v>42850</v>
      </c>
      <c r="G3519" s="2">
        <v>201710</v>
      </c>
      <c r="H3519" s="2" t="s">
        <v>74</v>
      </c>
      <c r="I3519" s="2" t="s">
        <v>75</v>
      </c>
      <c r="J3519" s="2" t="s">
        <v>200</v>
      </c>
      <c r="K3519" s="2" t="s">
        <v>77</v>
      </c>
      <c r="L3519" s="2" t="s">
        <v>633</v>
      </c>
      <c r="M3519" s="2" t="s">
        <v>634</v>
      </c>
      <c r="N3519" s="2" t="s">
        <v>3454</v>
      </c>
      <c r="O3519" s="2" t="s">
        <v>1014</v>
      </c>
      <c r="P3519" s="2" t="str">
        <f>"2170563981                    "</f>
        <v xml:space="preserve">2170563981                    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6.03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1</v>
      </c>
      <c r="BI3519" s="2">
        <v>3.2</v>
      </c>
      <c r="BJ3519" s="2">
        <v>2.2000000000000002</v>
      </c>
      <c r="BK3519" s="2">
        <v>4</v>
      </c>
      <c r="BL3519" s="2">
        <v>58.68</v>
      </c>
      <c r="BM3519" s="2">
        <v>8.2200000000000006</v>
      </c>
      <c r="BN3519" s="2">
        <v>66.900000000000006</v>
      </c>
      <c r="BO3519" s="2">
        <v>66.900000000000006</v>
      </c>
      <c r="BP3519" s="2"/>
      <c r="BQ3519" s="2" t="s">
        <v>129</v>
      </c>
      <c r="BR3519" s="2" t="s">
        <v>2287</v>
      </c>
      <c r="BS3519" s="3">
        <v>42851</v>
      </c>
      <c r="BT3519" s="4">
        <v>0.58333333333333337</v>
      </c>
      <c r="BU3519" s="2" t="s">
        <v>2857</v>
      </c>
      <c r="BV3519" s="2" t="s">
        <v>111</v>
      </c>
      <c r="BW3519" s="2"/>
      <c r="BX3519" s="2"/>
      <c r="BY3519" s="2">
        <v>11033.82</v>
      </c>
      <c r="BZ3519" s="2" t="s">
        <v>27</v>
      </c>
      <c r="CA3519" s="2"/>
      <c r="CB3519" s="2"/>
      <c r="CC3519" s="2" t="s">
        <v>634</v>
      </c>
      <c r="CD3519" s="2">
        <v>1759</v>
      </c>
      <c r="CE3519" s="2" t="s">
        <v>89</v>
      </c>
      <c r="CF3519" s="2"/>
      <c r="CG3519" s="2"/>
      <c r="CH3519" s="2"/>
      <c r="CI3519" s="2">
        <v>1</v>
      </c>
      <c r="CJ3519" s="2">
        <v>1</v>
      </c>
      <c r="CK3519" s="2">
        <v>34</v>
      </c>
      <c r="CL3519" s="2" t="s">
        <v>86</v>
      </c>
      <c r="CM3519" s="2"/>
    </row>
    <row r="3520" spans="1:91">
      <c r="A3520" s="2" t="s">
        <v>71</v>
      </c>
      <c r="B3520" s="2" t="s">
        <v>72</v>
      </c>
      <c r="C3520" s="2" t="s">
        <v>73</v>
      </c>
      <c r="D3520" s="2"/>
      <c r="E3520" s="2" t="str">
        <f>"FES1162545742"</f>
        <v>FES1162545742</v>
      </c>
      <c r="F3520" s="3">
        <v>42851</v>
      </c>
      <c r="G3520" s="2">
        <v>201710</v>
      </c>
      <c r="H3520" s="2" t="s">
        <v>74</v>
      </c>
      <c r="I3520" s="2" t="s">
        <v>75</v>
      </c>
      <c r="J3520" s="2" t="s">
        <v>200</v>
      </c>
      <c r="K3520" s="2" t="s">
        <v>77</v>
      </c>
      <c r="L3520" s="2" t="s">
        <v>1073</v>
      </c>
      <c r="M3520" s="2" t="s">
        <v>1074</v>
      </c>
      <c r="N3520" s="2" t="s">
        <v>2275</v>
      </c>
      <c r="O3520" s="2" t="s">
        <v>1014</v>
      </c>
      <c r="P3520" s="2" t="str">
        <f>"2170561087                    "</f>
        <v xml:space="preserve">2170561087                    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8.31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1</v>
      </c>
      <c r="BI3520" s="2">
        <v>3.8</v>
      </c>
      <c r="BJ3520" s="2">
        <v>1.6</v>
      </c>
      <c r="BK3520" s="2">
        <v>4</v>
      </c>
      <c r="BL3520" s="2">
        <v>80.849999999999994</v>
      </c>
      <c r="BM3520" s="2">
        <v>11.32</v>
      </c>
      <c r="BN3520" s="2">
        <v>92.17</v>
      </c>
      <c r="BO3520" s="2">
        <v>92.17</v>
      </c>
      <c r="BP3520" s="2"/>
      <c r="BQ3520" s="2" t="s">
        <v>116</v>
      </c>
      <c r="BR3520" s="2" t="s">
        <v>2287</v>
      </c>
      <c r="BS3520" s="3">
        <v>42853</v>
      </c>
      <c r="BT3520" s="4">
        <v>0.52083333333333337</v>
      </c>
      <c r="BU3520" s="2" t="s">
        <v>3457</v>
      </c>
      <c r="BV3520" s="2" t="s">
        <v>86</v>
      </c>
      <c r="BW3520" s="2"/>
      <c r="BX3520" s="2"/>
      <c r="BY3520" s="2">
        <v>8116.16</v>
      </c>
      <c r="BZ3520" s="2" t="s">
        <v>27</v>
      </c>
      <c r="CA3520" s="2"/>
      <c r="CB3520" s="2"/>
      <c r="CC3520" s="2" t="s">
        <v>1074</v>
      </c>
      <c r="CD3520" s="2">
        <v>1947</v>
      </c>
      <c r="CE3520" s="2" t="s">
        <v>89</v>
      </c>
      <c r="CF3520" s="2"/>
      <c r="CG3520" s="2"/>
      <c r="CH3520" s="2"/>
      <c r="CI3520" s="2">
        <v>1</v>
      </c>
      <c r="CJ3520" s="2">
        <v>2</v>
      </c>
      <c r="CK3520" s="2">
        <v>33</v>
      </c>
      <c r="CL3520" s="2" t="s">
        <v>86</v>
      </c>
      <c r="CM3520" s="2"/>
    </row>
    <row r="3521" spans="1:91">
      <c r="A3521" s="2" t="s">
        <v>71</v>
      </c>
      <c r="B3521" s="2" t="s">
        <v>72</v>
      </c>
      <c r="C3521" s="2" t="s">
        <v>73</v>
      </c>
      <c r="D3521" s="2"/>
      <c r="E3521" s="2" t="str">
        <f>"FES1162543468"</f>
        <v>FES1162543468</v>
      </c>
      <c r="F3521" s="3">
        <v>42837</v>
      </c>
      <c r="G3521" s="2">
        <v>201710</v>
      </c>
      <c r="H3521" s="2" t="s">
        <v>74</v>
      </c>
      <c r="I3521" s="2" t="s">
        <v>75</v>
      </c>
      <c r="J3521" s="2" t="s">
        <v>200</v>
      </c>
      <c r="K3521" s="2" t="s">
        <v>77</v>
      </c>
      <c r="L3521" s="2" t="s">
        <v>934</v>
      </c>
      <c r="M3521" s="2" t="s">
        <v>935</v>
      </c>
      <c r="N3521" s="2" t="s">
        <v>3458</v>
      </c>
      <c r="O3521" s="2" t="s">
        <v>1014</v>
      </c>
      <c r="P3521" s="2" t="str">
        <f>"2170562161                    "</f>
        <v xml:space="preserve">2170562161                    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6.03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1</v>
      </c>
      <c r="BI3521" s="2">
        <v>3.9</v>
      </c>
      <c r="BJ3521" s="2">
        <v>1.3</v>
      </c>
      <c r="BK3521" s="2">
        <v>4</v>
      </c>
      <c r="BL3521" s="2">
        <v>58.68</v>
      </c>
      <c r="BM3521" s="2">
        <v>8.2200000000000006</v>
      </c>
      <c r="BN3521" s="2">
        <v>66.900000000000006</v>
      </c>
      <c r="BO3521" s="2">
        <v>66.900000000000006</v>
      </c>
      <c r="BP3521" s="2"/>
      <c r="BQ3521" s="2"/>
      <c r="BR3521" s="2" t="s">
        <v>2287</v>
      </c>
      <c r="BS3521" s="3">
        <v>42838</v>
      </c>
      <c r="BT3521" s="4">
        <v>0.4916666666666667</v>
      </c>
      <c r="BU3521" s="2" t="s">
        <v>1649</v>
      </c>
      <c r="BV3521" s="2" t="s">
        <v>111</v>
      </c>
      <c r="BW3521" s="2"/>
      <c r="BX3521" s="2"/>
      <c r="BY3521" s="2">
        <v>6617.65</v>
      </c>
      <c r="BZ3521" s="2" t="s">
        <v>27</v>
      </c>
      <c r="CA3521" s="2"/>
      <c r="CB3521" s="2"/>
      <c r="CC3521" s="2" t="s">
        <v>935</v>
      </c>
      <c r="CD3521" s="2">
        <v>1930</v>
      </c>
      <c r="CE3521" s="2" t="s">
        <v>89</v>
      </c>
      <c r="CF3521" s="5">
        <v>42844</v>
      </c>
      <c r="CG3521" s="2"/>
      <c r="CH3521" s="2"/>
      <c r="CI3521" s="2">
        <v>1</v>
      </c>
      <c r="CJ3521" s="2">
        <v>1</v>
      </c>
      <c r="CK3521" s="2">
        <v>34</v>
      </c>
      <c r="CL3521" s="2" t="s">
        <v>86</v>
      </c>
      <c r="CM3521" s="2"/>
    </row>
    <row r="3522" spans="1:91">
      <c r="A3522" s="2" t="s">
        <v>71</v>
      </c>
      <c r="B3522" s="2" t="s">
        <v>72</v>
      </c>
      <c r="C3522" s="2" t="s">
        <v>73</v>
      </c>
      <c r="D3522" s="2"/>
      <c r="E3522" s="2" t="str">
        <f>"FES1162542553"</f>
        <v>FES1162542553</v>
      </c>
      <c r="F3522" s="3">
        <v>42835</v>
      </c>
      <c r="G3522" s="2">
        <v>201710</v>
      </c>
      <c r="H3522" s="2" t="s">
        <v>74</v>
      </c>
      <c r="I3522" s="2" t="s">
        <v>75</v>
      </c>
      <c r="J3522" s="2" t="s">
        <v>200</v>
      </c>
      <c r="K3522" s="2" t="s">
        <v>77</v>
      </c>
      <c r="L3522" s="2" t="s">
        <v>934</v>
      </c>
      <c r="M3522" s="2" t="s">
        <v>935</v>
      </c>
      <c r="N3522" s="2" t="s">
        <v>3459</v>
      </c>
      <c r="O3522" s="2" t="s">
        <v>1014</v>
      </c>
      <c r="P3522" s="2" t="str">
        <f>"2170561417                    "</f>
        <v xml:space="preserve">2170561417                    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6.03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1</v>
      </c>
      <c r="BI3522" s="2">
        <v>3</v>
      </c>
      <c r="BJ3522" s="2">
        <v>1.2</v>
      </c>
      <c r="BK3522" s="2">
        <v>3</v>
      </c>
      <c r="BL3522" s="2">
        <v>58.68</v>
      </c>
      <c r="BM3522" s="2">
        <v>8.2200000000000006</v>
      </c>
      <c r="BN3522" s="2">
        <v>66.900000000000006</v>
      </c>
      <c r="BO3522" s="2">
        <v>66.900000000000006</v>
      </c>
      <c r="BP3522" s="2"/>
      <c r="BQ3522" s="2" t="s">
        <v>129</v>
      </c>
      <c r="BR3522" s="2" t="s">
        <v>204</v>
      </c>
      <c r="BS3522" s="3">
        <v>42836</v>
      </c>
      <c r="BT3522" s="4">
        <v>0.55902777777777779</v>
      </c>
      <c r="BU3522" s="2" t="s">
        <v>3460</v>
      </c>
      <c r="BV3522" s="2" t="s">
        <v>86</v>
      </c>
      <c r="BW3522" s="2"/>
      <c r="BX3522" s="2"/>
      <c r="BY3522" s="2">
        <v>5929</v>
      </c>
      <c r="BZ3522" s="2" t="s">
        <v>27</v>
      </c>
      <c r="CA3522" s="2"/>
      <c r="CB3522" s="2"/>
      <c r="CC3522" s="2" t="s">
        <v>935</v>
      </c>
      <c r="CD3522" s="2">
        <v>1961</v>
      </c>
      <c r="CE3522" s="2" t="s">
        <v>287</v>
      </c>
      <c r="CF3522" s="5">
        <v>42837</v>
      </c>
      <c r="CG3522" s="2"/>
      <c r="CH3522" s="2"/>
      <c r="CI3522" s="2">
        <v>1</v>
      </c>
      <c r="CJ3522" s="2">
        <v>1</v>
      </c>
      <c r="CK3522" s="2">
        <v>34</v>
      </c>
      <c r="CL3522" s="2" t="s">
        <v>86</v>
      </c>
      <c r="CM3522" s="2"/>
    </row>
    <row r="3523" spans="1:91">
      <c r="A3523" s="2" t="s">
        <v>71</v>
      </c>
      <c r="B3523" s="2" t="s">
        <v>72</v>
      </c>
      <c r="C3523" s="2" t="s">
        <v>73</v>
      </c>
      <c r="D3523" s="2"/>
      <c r="E3523" s="2" t="str">
        <f>"FES1162545892"</f>
        <v>FES1162545892</v>
      </c>
      <c r="F3523" s="3">
        <v>42851</v>
      </c>
      <c r="G3523" s="2">
        <v>201710</v>
      </c>
      <c r="H3523" s="2" t="s">
        <v>74</v>
      </c>
      <c r="I3523" s="2" t="s">
        <v>75</v>
      </c>
      <c r="J3523" s="2" t="s">
        <v>200</v>
      </c>
      <c r="K3523" s="2" t="s">
        <v>77</v>
      </c>
      <c r="L3523" s="2" t="s">
        <v>633</v>
      </c>
      <c r="M3523" s="2" t="s">
        <v>634</v>
      </c>
      <c r="N3523" s="2" t="s">
        <v>3454</v>
      </c>
      <c r="O3523" s="2" t="s">
        <v>1014</v>
      </c>
      <c r="P3523" s="2" t="str">
        <f>"2170563981                    "</f>
        <v xml:space="preserve">2170563981                    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6.03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1</v>
      </c>
      <c r="BI3523" s="2">
        <v>6.3</v>
      </c>
      <c r="BJ3523" s="2">
        <v>3.5</v>
      </c>
      <c r="BK3523" s="2">
        <v>7</v>
      </c>
      <c r="BL3523" s="2">
        <v>58.68</v>
      </c>
      <c r="BM3523" s="2">
        <v>8.2200000000000006</v>
      </c>
      <c r="BN3523" s="2">
        <v>66.900000000000006</v>
      </c>
      <c r="BO3523" s="2">
        <v>66.900000000000006</v>
      </c>
      <c r="BP3523" s="2"/>
      <c r="BQ3523" s="2" t="s">
        <v>129</v>
      </c>
      <c r="BR3523" s="2" t="s">
        <v>2287</v>
      </c>
      <c r="BS3523" s="3">
        <v>42853</v>
      </c>
      <c r="BT3523" s="4">
        <v>0.54097222222222219</v>
      </c>
      <c r="BU3523" s="2" t="s">
        <v>2012</v>
      </c>
      <c r="BV3523" s="2" t="s">
        <v>86</v>
      </c>
      <c r="BW3523" s="2" t="s">
        <v>96</v>
      </c>
      <c r="BX3523" s="2" t="s">
        <v>939</v>
      </c>
      <c r="BY3523" s="2">
        <v>17702.919999999998</v>
      </c>
      <c r="BZ3523" s="2" t="s">
        <v>27</v>
      </c>
      <c r="CA3523" s="2"/>
      <c r="CB3523" s="2"/>
      <c r="CC3523" s="2" t="s">
        <v>634</v>
      </c>
      <c r="CD3523" s="2">
        <v>1759</v>
      </c>
      <c r="CE3523" s="2" t="s">
        <v>89</v>
      </c>
      <c r="CF3523" s="2"/>
      <c r="CG3523" s="2"/>
      <c r="CH3523" s="2"/>
      <c r="CI3523" s="2">
        <v>1</v>
      </c>
      <c r="CJ3523" s="2">
        <v>2</v>
      </c>
      <c r="CK3523" s="2">
        <v>34</v>
      </c>
      <c r="CL3523" s="2" t="s">
        <v>86</v>
      </c>
      <c r="CM3523" s="2"/>
    </row>
    <row r="3524" spans="1:91">
      <c r="A3524" s="2" t="s">
        <v>71</v>
      </c>
      <c r="B3524" s="2" t="s">
        <v>72</v>
      </c>
      <c r="C3524" s="2" t="s">
        <v>73</v>
      </c>
      <c r="D3524" s="2"/>
      <c r="E3524" s="2" t="str">
        <f>"FES1162545363"</f>
        <v>FES1162545363</v>
      </c>
      <c r="F3524" s="3">
        <v>42850</v>
      </c>
      <c r="G3524" s="2">
        <v>201710</v>
      </c>
      <c r="H3524" s="2" t="s">
        <v>74</v>
      </c>
      <c r="I3524" s="2" t="s">
        <v>75</v>
      </c>
      <c r="J3524" s="2" t="s">
        <v>200</v>
      </c>
      <c r="K3524" s="2" t="s">
        <v>77</v>
      </c>
      <c r="L3524" s="2" t="s">
        <v>267</v>
      </c>
      <c r="M3524" s="2" t="s">
        <v>268</v>
      </c>
      <c r="N3524" s="2" t="s">
        <v>1283</v>
      </c>
      <c r="O3524" s="2" t="s">
        <v>1014</v>
      </c>
      <c r="P3524" s="2" t="str">
        <f>"2170563867                    "</f>
        <v xml:space="preserve">2170563867                    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4.8499999999999996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  <c r="BG3524" s="2">
        <v>0</v>
      </c>
      <c r="BH3524" s="2">
        <v>1</v>
      </c>
      <c r="BI3524" s="2">
        <v>11.8</v>
      </c>
      <c r="BJ3524" s="2">
        <v>3.4</v>
      </c>
      <c r="BK3524" s="2">
        <v>12</v>
      </c>
      <c r="BL3524" s="2">
        <v>47.22</v>
      </c>
      <c r="BM3524" s="2">
        <v>6.61</v>
      </c>
      <c r="BN3524" s="2">
        <v>53.83</v>
      </c>
      <c r="BO3524" s="2">
        <v>53.83</v>
      </c>
      <c r="BP3524" s="2"/>
      <c r="BQ3524" s="2" t="s">
        <v>122</v>
      </c>
      <c r="BR3524" s="2" t="s">
        <v>2287</v>
      </c>
      <c r="BS3524" s="3">
        <v>42851</v>
      </c>
      <c r="BT3524" s="4">
        <v>0.3263888888888889</v>
      </c>
      <c r="BU3524" s="2" t="s">
        <v>1159</v>
      </c>
      <c r="BV3524" s="2" t="s">
        <v>111</v>
      </c>
      <c r="BW3524" s="2"/>
      <c r="BX3524" s="2"/>
      <c r="BY3524" s="2">
        <v>16963.2</v>
      </c>
      <c r="BZ3524" s="2" t="s">
        <v>27</v>
      </c>
      <c r="CA3524" s="2" t="s">
        <v>159</v>
      </c>
      <c r="CB3524" s="2"/>
      <c r="CC3524" s="2" t="s">
        <v>268</v>
      </c>
      <c r="CD3524" s="2">
        <v>1724</v>
      </c>
      <c r="CE3524" s="2" t="s">
        <v>89</v>
      </c>
      <c r="CF3524" s="5">
        <v>42853</v>
      </c>
      <c r="CG3524" s="2"/>
      <c r="CH3524" s="2"/>
      <c r="CI3524" s="2">
        <v>1</v>
      </c>
      <c r="CJ3524" s="2">
        <v>1</v>
      </c>
      <c r="CK3524" s="2">
        <v>32</v>
      </c>
      <c r="CL3524" s="2" t="s">
        <v>86</v>
      </c>
      <c r="CM3524" s="2"/>
    </row>
    <row r="3525" spans="1:91">
      <c r="A3525" s="2" t="s">
        <v>71</v>
      </c>
      <c r="B3525" s="2" t="s">
        <v>72</v>
      </c>
      <c r="C3525" s="2" t="s">
        <v>73</v>
      </c>
      <c r="D3525" s="2"/>
      <c r="E3525" s="2" t="str">
        <f>"FES1162545292"</f>
        <v>FES1162545292</v>
      </c>
      <c r="F3525" s="3">
        <v>42849</v>
      </c>
      <c r="G3525" s="2">
        <v>201710</v>
      </c>
      <c r="H3525" s="2" t="s">
        <v>74</v>
      </c>
      <c r="I3525" s="2" t="s">
        <v>75</v>
      </c>
      <c r="J3525" s="2" t="s">
        <v>200</v>
      </c>
      <c r="K3525" s="2" t="s">
        <v>77</v>
      </c>
      <c r="L3525" s="2" t="s">
        <v>190</v>
      </c>
      <c r="M3525" s="2" t="s">
        <v>191</v>
      </c>
      <c r="N3525" s="2" t="s">
        <v>2037</v>
      </c>
      <c r="O3525" s="2" t="s">
        <v>1014</v>
      </c>
      <c r="P3525" s="2" t="str">
        <f>"2170560139                    "</f>
        <v xml:space="preserve">2170560139                    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6.03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1</v>
      </c>
      <c r="BI3525" s="2">
        <v>5.5</v>
      </c>
      <c r="BJ3525" s="2">
        <v>2.9</v>
      </c>
      <c r="BK3525" s="2">
        <v>6</v>
      </c>
      <c r="BL3525" s="2">
        <v>58.68</v>
      </c>
      <c r="BM3525" s="2">
        <v>8.2200000000000006</v>
      </c>
      <c r="BN3525" s="2">
        <v>66.900000000000006</v>
      </c>
      <c r="BO3525" s="2">
        <v>66.900000000000006</v>
      </c>
      <c r="BP3525" s="2"/>
      <c r="BQ3525" s="2" t="s">
        <v>3461</v>
      </c>
      <c r="BR3525" s="2" t="s">
        <v>2287</v>
      </c>
      <c r="BS3525" s="3">
        <v>42850</v>
      </c>
      <c r="BT3525" s="4">
        <v>0.34027777777777773</v>
      </c>
      <c r="BU3525" s="2" t="s">
        <v>1695</v>
      </c>
      <c r="BV3525" s="2" t="s">
        <v>111</v>
      </c>
      <c r="BW3525" s="2"/>
      <c r="BX3525" s="2"/>
      <c r="BY3525" s="2">
        <v>14507.1</v>
      </c>
      <c r="BZ3525" s="2" t="s">
        <v>27</v>
      </c>
      <c r="CA3525" s="2"/>
      <c r="CB3525" s="2"/>
      <c r="CC3525" s="2" t="s">
        <v>191</v>
      </c>
      <c r="CD3525" s="2">
        <v>1739</v>
      </c>
      <c r="CE3525" s="2" t="s">
        <v>172</v>
      </c>
      <c r="CF3525" s="5">
        <v>42851</v>
      </c>
      <c r="CG3525" s="2"/>
      <c r="CH3525" s="2"/>
      <c r="CI3525" s="2">
        <v>1</v>
      </c>
      <c r="CJ3525" s="2">
        <v>1</v>
      </c>
      <c r="CK3525" s="2">
        <v>34</v>
      </c>
      <c r="CL3525" s="2" t="s">
        <v>86</v>
      </c>
      <c r="CM3525" s="2"/>
    </row>
    <row r="3526" spans="1:91">
      <c r="A3526" s="2" t="s">
        <v>71</v>
      </c>
      <c r="B3526" s="2" t="s">
        <v>72</v>
      </c>
      <c r="C3526" s="2" t="s">
        <v>73</v>
      </c>
      <c r="D3526" s="2"/>
      <c r="E3526" s="2" t="str">
        <f>"FES1162545296"</f>
        <v>FES1162545296</v>
      </c>
      <c r="F3526" s="3">
        <v>42849</v>
      </c>
      <c r="G3526" s="2">
        <v>201710</v>
      </c>
      <c r="H3526" s="2" t="s">
        <v>74</v>
      </c>
      <c r="I3526" s="2" t="s">
        <v>75</v>
      </c>
      <c r="J3526" s="2" t="s">
        <v>200</v>
      </c>
      <c r="K3526" s="2" t="s">
        <v>77</v>
      </c>
      <c r="L3526" s="2" t="s">
        <v>496</v>
      </c>
      <c r="M3526" s="2" t="s">
        <v>497</v>
      </c>
      <c r="N3526" s="2" t="s">
        <v>1357</v>
      </c>
      <c r="O3526" s="2" t="s">
        <v>1014</v>
      </c>
      <c r="P3526" s="2" t="str">
        <f>"2170561020                    "</f>
        <v xml:space="preserve">2170561020                    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4.0999999999999996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1</v>
      </c>
      <c r="BI3526" s="2">
        <v>6.5</v>
      </c>
      <c r="BJ3526" s="2">
        <v>9.1</v>
      </c>
      <c r="BK3526" s="2">
        <v>10</v>
      </c>
      <c r="BL3526" s="2">
        <v>39.909999999999997</v>
      </c>
      <c r="BM3526" s="2">
        <v>5.59</v>
      </c>
      <c r="BN3526" s="2">
        <v>45.5</v>
      </c>
      <c r="BO3526" s="2">
        <v>45.5</v>
      </c>
      <c r="BP3526" s="2"/>
      <c r="BQ3526" s="2" t="s">
        <v>1358</v>
      </c>
      <c r="BR3526" s="2" t="s">
        <v>2287</v>
      </c>
      <c r="BS3526" s="3">
        <v>42850</v>
      </c>
      <c r="BT3526" s="4">
        <v>0.43402777777777773</v>
      </c>
      <c r="BU3526" s="2" t="s">
        <v>1298</v>
      </c>
      <c r="BV3526" s="2" t="s">
        <v>111</v>
      </c>
      <c r="BW3526" s="2"/>
      <c r="BX3526" s="2"/>
      <c r="BY3526" s="2">
        <v>45298.44</v>
      </c>
      <c r="BZ3526" s="2" t="s">
        <v>27</v>
      </c>
      <c r="CA3526" s="2"/>
      <c r="CB3526" s="2"/>
      <c r="CC3526" s="2" t="s">
        <v>497</v>
      </c>
      <c r="CD3526" s="2">
        <v>1559</v>
      </c>
      <c r="CE3526" s="2" t="s">
        <v>89</v>
      </c>
      <c r="CF3526" s="5">
        <v>42851</v>
      </c>
      <c r="CG3526" s="2"/>
      <c r="CH3526" s="2"/>
      <c r="CI3526" s="2">
        <v>1</v>
      </c>
      <c r="CJ3526" s="2">
        <v>1</v>
      </c>
      <c r="CK3526" s="2">
        <v>32</v>
      </c>
      <c r="CL3526" s="2" t="s">
        <v>86</v>
      </c>
      <c r="CM3526" s="2"/>
    </row>
    <row r="3527" spans="1:91">
      <c r="A3527" s="2" t="s">
        <v>71</v>
      </c>
      <c r="B3527" s="2" t="s">
        <v>72</v>
      </c>
      <c r="C3527" s="2" t="s">
        <v>73</v>
      </c>
      <c r="D3527" s="2"/>
      <c r="E3527" s="2" t="str">
        <f>"FES1162545910"</f>
        <v>FES1162545910</v>
      </c>
      <c r="F3527" s="3">
        <v>42851</v>
      </c>
      <c r="G3527" s="2">
        <v>201710</v>
      </c>
      <c r="H3527" s="2" t="s">
        <v>74</v>
      </c>
      <c r="I3527" s="2" t="s">
        <v>75</v>
      </c>
      <c r="J3527" s="2" t="s">
        <v>200</v>
      </c>
      <c r="K3527" s="2" t="s">
        <v>77</v>
      </c>
      <c r="L3527" s="2" t="s">
        <v>190</v>
      </c>
      <c r="M3527" s="2" t="s">
        <v>191</v>
      </c>
      <c r="N3527" s="2" t="s">
        <v>326</v>
      </c>
      <c r="O3527" s="2" t="s">
        <v>1014</v>
      </c>
      <c r="P3527" s="2" t="str">
        <f>"2170564373                    "</f>
        <v xml:space="preserve">2170564373                    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6.03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1</v>
      </c>
      <c r="BI3527" s="2">
        <v>6</v>
      </c>
      <c r="BJ3527" s="2">
        <v>1.8</v>
      </c>
      <c r="BK3527" s="2">
        <v>6</v>
      </c>
      <c r="BL3527" s="2">
        <v>58.68</v>
      </c>
      <c r="BM3527" s="2">
        <v>8.2200000000000006</v>
      </c>
      <c r="BN3527" s="2">
        <v>66.900000000000006</v>
      </c>
      <c r="BO3527" s="2">
        <v>66.900000000000006</v>
      </c>
      <c r="BP3527" s="2"/>
      <c r="BQ3527" s="2"/>
      <c r="BR3527" s="2" t="s">
        <v>2287</v>
      </c>
      <c r="BS3527" s="3">
        <v>42853</v>
      </c>
      <c r="BT3527" s="4">
        <v>0.37361111111111112</v>
      </c>
      <c r="BU3527" s="2" t="s">
        <v>3462</v>
      </c>
      <c r="BV3527" s="2" t="s">
        <v>86</v>
      </c>
      <c r="BW3527" s="2" t="s">
        <v>96</v>
      </c>
      <c r="BX3527" s="2" t="s">
        <v>812</v>
      </c>
      <c r="BY3527" s="2">
        <v>8971.56</v>
      </c>
      <c r="BZ3527" s="2" t="s">
        <v>27</v>
      </c>
      <c r="CA3527" s="2"/>
      <c r="CB3527" s="2"/>
      <c r="CC3527" s="2" t="s">
        <v>191</v>
      </c>
      <c r="CD3527" s="2">
        <v>1754</v>
      </c>
      <c r="CE3527" s="2" t="s">
        <v>89</v>
      </c>
      <c r="CF3527" s="2"/>
      <c r="CG3527" s="2"/>
      <c r="CH3527" s="2"/>
      <c r="CI3527" s="2">
        <v>1</v>
      </c>
      <c r="CJ3527" s="2">
        <v>2</v>
      </c>
      <c r="CK3527" s="2">
        <v>34</v>
      </c>
      <c r="CL3527" s="2" t="s">
        <v>86</v>
      </c>
      <c r="CM3527" s="2"/>
    </row>
    <row r="3528" spans="1:91">
      <c r="A3528" s="2" t="s">
        <v>71</v>
      </c>
      <c r="B3528" s="2" t="s">
        <v>72</v>
      </c>
      <c r="C3528" s="2" t="s">
        <v>73</v>
      </c>
      <c r="D3528" s="2"/>
      <c r="E3528" s="2" t="str">
        <f>"FES1162545081"</f>
        <v>FES1162545081</v>
      </c>
      <c r="F3528" s="3">
        <v>42849</v>
      </c>
      <c r="G3528" s="2">
        <v>201710</v>
      </c>
      <c r="H3528" s="2" t="s">
        <v>74</v>
      </c>
      <c r="I3528" s="2" t="s">
        <v>75</v>
      </c>
      <c r="J3528" s="2" t="s">
        <v>200</v>
      </c>
      <c r="K3528" s="2" t="s">
        <v>77</v>
      </c>
      <c r="L3528" s="2" t="s">
        <v>516</v>
      </c>
      <c r="M3528" s="2" t="s">
        <v>517</v>
      </c>
      <c r="N3528" s="2" t="s">
        <v>3463</v>
      </c>
      <c r="O3528" s="2" t="s">
        <v>1014</v>
      </c>
      <c r="P3528" s="2" t="str">
        <f>"2170558976                    "</f>
        <v xml:space="preserve">2170558976                    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3.72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1</v>
      </c>
      <c r="BI3528" s="2">
        <v>8.4</v>
      </c>
      <c r="BJ3528" s="2">
        <v>3.5</v>
      </c>
      <c r="BK3528" s="2">
        <v>9</v>
      </c>
      <c r="BL3528" s="2">
        <v>36.25</v>
      </c>
      <c r="BM3528" s="2">
        <v>5.08</v>
      </c>
      <c r="BN3528" s="2">
        <v>41.33</v>
      </c>
      <c r="BO3528" s="2">
        <v>41.33</v>
      </c>
      <c r="BP3528" s="2"/>
      <c r="BQ3528" s="2" t="s">
        <v>3464</v>
      </c>
      <c r="BR3528" s="2" t="s">
        <v>2287</v>
      </c>
      <c r="BS3528" s="3">
        <v>42850</v>
      </c>
      <c r="BT3528" s="4">
        <v>0.37847222222222227</v>
      </c>
      <c r="BU3528" s="2" t="s">
        <v>1508</v>
      </c>
      <c r="BV3528" s="2" t="s">
        <v>111</v>
      </c>
      <c r="BW3528" s="2"/>
      <c r="BX3528" s="2"/>
      <c r="BY3528" s="2">
        <v>17281.419999999998</v>
      </c>
      <c r="BZ3528" s="2" t="s">
        <v>27</v>
      </c>
      <c r="CA3528" s="2"/>
      <c r="CB3528" s="2"/>
      <c r="CC3528" s="2" t="s">
        <v>517</v>
      </c>
      <c r="CD3528" s="2">
        <v>1459</v>
      </c>
      <c r="CE3528" s="2" t="s">
        <v>89</v>
      </c>
      <c r="CF3528" s="5">
        <v>42851</v>
      </c>
      <c r="CG3528" s="2"/>
      <c r="CH3528" s="2"/>
      <c r="CI3528" s="2">
        <v>1</v>
      </c>
      <c r="CJ3528" s="2">
        <v>1</v>
      </c>
      <c r="CK3528" s="2">
        <v>32</v>
      </c>
      <c r="CL3528" s="2" t="s">
        <v>86</v>
      </c>
      <c r="CM3528" s="2"/>
    </row>
    <row r="3529" spans="1:91">
      <c r="A3529" s="2" t="s">
        <v>71</v>
      </c>
      <c r="B3529" s="2" t="s">
        <v>72</v>
      </c>
      <c r="C3529" s="2" t="s">
        <v>73</v>
      </c>
      <c r="D3529" s="2"/>
      <c r="E3529" s="2" t="str">
        <f>"FES1162545157"</f>
        <v>FES1162545157</v>
      </c>
      <c r="F3529" s="3">
        <v>42849</v>
      </c>
      <c r="G3529" s="2">
        <v>201710</v>
      </c>
      <c r="H3529" s="2" t="s">
        <v>74</v>
      </c>
      <c r="I3529" s="2" t="s">
        <v>75</v>
      </c>
      <c r="J3529" s="2" t="s">
        <v>200</v>
      </c>
      <c r="K3529" s="2" t="s">
        <v>77</v>
      </c>
      <c r="L3529" s="2" t="s">
        <v>633</v>
      </c>
      <c r="M3529" s="2" t="s">
        <v>634</v>
      </c>
      <c r="N3529" s="2" t="s">
        <v>635</v>
      </c>
      <c r="O3529" s="2" t="s">
        <v>1014</v>
      </c>
      <c r="P3529" s="2" t="str">
        <f>"2170563639                    "</f>
        <v xml:space="preserve">2170563639                    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6.03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1</v>
      </c>
      <c r="BI3529" s="2">
        <v>5</v>
      </c>
      <c r="BJ3529" s="2">
        <v>5.9</v>
      </c>
      <c r="BK3529" s="2">
        <v>6</v>
      </c>
      <c r="BL3529" s="2">
        <v>58.68</v>
      </c>
      <c r="BM3529" s="2">
        <v>8.2200000000000006</v>
      </c>
      <c r="BN3529" s="2">
        <v>66.900000000000006</v>
      </c>
      <c r="BO3529" s="2">
        <v>66.900000000000006</v>
      </c>
      <c r="BP3529" s="2"/>
      <c r="BQ3529" s="2" t="s">
        <v>636</v>
      </c>
      <c r="BR3529" s="2" t="s">
        <v>2287</v>
      </c>
      <c r="BS3529" s="3">
        <v>42850</v>
      </c>
      <c r="BT3529" s="4">
        <v>0.55625000000000002</v>
      </c>
      <c r="BU3529" s="2" t="s">
        <v>637</v>
      </c>
      <c r="BV3529" s="2" t="s">
        <v>111</v>
      </c>
      <c r="BW3529" s="2"/>
      <c r="BX3529" s="2"/>
      <c r="BY3529" s="2">
        <v>29403</v>
      </c>
      <c r="BZ3529" s="2" t="s">
        <v>27</v>
      </c>
      <c r="CA3529" s="2"/>
      <c r="CB3529" s="2"/>
      <c r="CC3529" s="2" t="s">
        <v>634</v>
      </c>
      <c r="CD3529" s="2">
        <v>1759</v>
      </c>
      <c r="CE3529" s="2" t="s">
        <v>172</v>
      </c>
      <c r="CF3529" s="5">
        <v>42851</v>
      </c>
      <c r="CG3529" s="2"/>
      <c r="CH3529" s="2"/>
      <c r="CI3529" s="2">
        <v>1</v>
      </c>
      <c r="CJ3529" s="2">
        <v>1</v>
      </c>
      <c r="CK3529" s="2">
        <v>34</v>
      </c>
      <c r="CL3529" s="2" t="s">
        <v>86</v>
      </c>
      <c r="CM3529" s="2"/>
    </row>
    <row r="3530" spans="1:91">
      <c r="A3530" s="2" t="s">
        <v>71</v>
      </c>
      <c r="B3530" s="2" t="s">
        <v>72</v>
      </c>
      <c r="C3530" s="2" t="s">
        <v>73</v>
      </c>
      <c r="D3530" s="2"/>
      <c r="E3530" s="2" t="str">
        <f>"FES1162544855"</f>
        <v>FES1162544855</v>
      </c>
      <c r="F3530" s="3">
        <v>42849</v>
      </c>
      <c r="G3530" s="2">
        <v>201710</v>
      </c>
      <c r="H3530" s="2" t="s">
        <v>74</v>
      </c>
      <c r="I3530" s="2" t="s">
        <v>75</v>
      </c>
      <c r="J3530" s="2" t="s">
        <v>200</v>
      </c>
      <c r="K3530" s="2" t="s">
        <v>77</v>
      </c>
      <c r="L3530" s="2" t="s">
        <v>2804</v>
      </c>
      <c r="M3530" s="2" t="s">
        <v>2805</v>
      </c>
      <c r="N3530" s="2" t="s">
        <v>3465</v>
      </c>
      <c r="O3530" s="2" t="s">
        <v>1014</v>
      </c>
      <c r="P3530" s="2" t="str">
        <f>"2170563055                    "</f>
        <v xml:space="preserve">2170563055                    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7.84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1</v>
      </c>
      <c r="BI3530" s="2">
        <v>8.8000000000000007</v>
      </c>
      <c r="BJ3530" s="2">
        <v>1.7</v>
      </c>
      <c r="BK3530" s="2">
        <v>9</v>
      </c>
      <c r="BL3530" s="2">
        <v>76.290000000000006</v>
      </c>
      <c r="BM3530" s="2">
        <v>10.68</v>
      </c>
      <c r="BN3530" s="2">
        <v>86.97</v>
      </c>
      <c r="BO3530" s="2">
        <v>86.97</v>
      </c>
      <c r="BP3530" s="2"/>
      <c r="BQ3530" s="2"/>
      <c r="BR3530" s="2" t="s">
        <v>2287</v>
      </c>
      <c r="BS3530" s="3">
        <v>42850</v>
      </c>
      <c r="BT3530" s="4">
        <v>0.39097222222222222</v>
      </c>
      <c r="BU3530" s="2" t="s">
        <v>3466</v>
      </c>
      <c r="BV3530" s="2" t="s">
        <v>111</v>
      </c>
      <c r="BW3530" s="2"/>
      <c r="BX3530" s="2"/>
      <c r="BY3530" s="2">
        <v>8726.2199999999993</v>
      </c>
      <c r="BZ3530" s="2" t="s">
        <v>27</v>
      </c>
      <c r="CA3530" s="2" t="s">
        <v>1687</v>
      </c>
      <c r="CB3530" s="2"/>
      <c r="CC3530" s="2" t="s">
        <v>2805</v>
      </c>
      <c r="CD3530" s="2">
        <v>1779</v>
      </c>
      <c r="CE3530" s="2" t="s">
        <v>89</v>
      </c>
      <c r="CF3530" s="5">
        <v>42850</v>
      </c>
      <c r="CG3530" s="2"/>
      <c r="CH3530" s="2"/>
      <c r="CI3530" s="2">
        <v>1</v>
      </c>
      <c r="CJ3530" s="2">
        <v>1</v>
      </c>
      <c r="CK3530" s="2">
        <v>34</v>
      </c>
      <c r="CL3530" s="2" t="s">
        <v>86</v>
      </c>
      <c r="CM3530" s="2"/>
    </row>
    <row r="3531" spans="1:91">
      <c r="A3531" s="2" t="s">
        <v>71</v>
      </c>
      <c r="B3531" s="2" t="s">
        <v>72</v>
      </c>
      <c r="C3531" s="2" t="s">
        <v>73</v>
      </c>
      <c r="D3531" s="2"/>
      <c r="E3531" s="2" t="str">
        <f>"FES1162545099"</f>
        <v>FES1162545099</v>
      </c>
      <c r="F3531" s="3">
        <v>42849</v>
      </c>
      <c r="G3531" s="2">
        <v>201710</v>
      </c>
      <c r="H3531" s="2" t="s">
        <v>74</v>
      </c>
      <c r="I3531" s="2" t="s">
        <v>75</v>
      </c>
      <c r="J3531" s="2" t="s">
        <v>200</v>
      </c>
      <c r="K3531" s="2" t="s">
        <v>77</v>
      </c>
      <c r="L3531" s="2" t="s">
        <v>187</v>
      </c>
      <c r="M3531" s="2" t="s">
        <v>146</v>
      </c>
      <c r="N3531" s="2" t="s">
        <v>1835</v>
      </c>
      <c r="O3531" s="2" t="s">
        <v>115</v>
      </c>
      <c r="P3531" s="2" t="str">
        <f>"2170561473                    "</f>
        <v xml:space="preserve">2170561473                    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5.36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1</v>
      </c>
      <c r="BI3531" s="2">
        <v>1</v>
      </c>
      <c r="BJ3531" s="2">
        <v>2.1</v>
      </c>
      <c r="BK3531" s="2">
        <v>2.5</v>
      </c>
      <c r="BL3531" s="2">
        <v>52.16</v>
      </c>
      <c r="BM3531" s="2">
        <v>7.3</v>
      </c>
      <c r="BN3531" s="2">
        <v>59.46</v>
      </c>
      <c r="BO3531" s="2">
        <v>59.46</v>
      </c>
      <c r="BP3531" s="2"/>
      <c r="BQ3531" s="2" t="s">
        <v>1836</v>
      </c>
      <c r="BR3531" s="2" t="s">
        <v>2287</v>
      </c>
      <c r="BS3531" s="3">
        <v>42850</v>
      </c>
      <c r="BT3531" s="4">
        <v>0.3659722222222222</v>
      </c>
      <c r="BU3531" s="2" t="s">
        <v>3180</v>
      </c>
      <c r="BV3531" s="2" t="s">
        <v>111</v>
      </c>
      <c r="BW3531" s="2"/>
      <c r="BX3531" s="2"/>
      <c r="BY3531" s="2">
        <v>10496.64</v>
      </c>
      <c r="BZ3531" s="2" t="s">
        <v>27</v>
      </c>
      <c r="CA3531" s="2"/>
      <c r="CB3531" s="2"/>
      <c r="CC3531" s="2" t="s">
        <v>146</v>
      </c>
      <c r="CD3531" s="2">
        <v>157</v>
      </c>
      <c r="CE3531" s="2" t="s">
        <v>172</v>
      </c>
      <c r="CF3531" s="5">
        <v>42853</v>
      </c>
      <c r="CG3531" s="2"/>
      <c r="CH3531" s="2"/>
      <c r="CI3531" s="2">
        <v>0</v>
      </c>
      <c r="CJ3531" s="2">
        <v>0</v>
      </c>
      <c r="CK3531" s="2">
        <v>21</v>
      </c>
      <c r="CL3531" s="2" t="s">
        <v>86</v>
      </c>
      <c r="CM3531" s="2"/>
    </row>
    <row r="3532" spans="1:91">
      <c r="A3532" s="2" t="s">
        <v>71</v>
      </c>
      <c r="B3532" s="2" t="s">
        <v>72</v>
      </c>
      <c r="C3532" s="2" t="s">
        <v>73</v>
      </c>
      <c r="D3532" s="2"/>
      <c r="E3532" s="2" t="str">
        <f>"FES1162545542"</f>
        <v>FES1162545542</v>
      </c>
      <c r="F3532" s="3">
        <v>42850</v>
      </c>
      <c r="G3532" s="2">
        <v>201710</v>
      </c>
      <c r="H3532" s="2" t="s">
        <v>74</v>
      </c>
      <c r="I3532" s="2" t="s">
        <v>75</v>
      </c>
      <c r="J3532" s="2" t="s">
        <v>200</v>
      </c>
      <c r="K3532" s="2" t="s">
        <v>77</v>
      </c>
      <c r="L3532" s="2" t="s">
        <v>934</v>
      </c>
      <c r="M3532" s="2" t="s">
        <v>935</v>
      </c>
      <c r="N3532" s="2" t="s">
        <v>1656</v>
      </c>
      <c r="O3532" s="2" t="s">
        <v>1014</v>
      </c>
      <c r="P3532" s="2" t="str">
        <f>"2170564081                    "</f>
        <v xml:space="preserve">2170564081                    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6.03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1</v>
      </c>
      <c r="BI3532" s="2">
        <v>2.6</v>
      </c>
      <c r="BJ3532" s="2">
        <v>1.7</v>
      </c>
      <c r="BK3532" s="2">
        <v>3</v>
      </c>
      <c r="BL3532" s="2">
        <v>58.68</v>
      </c>
      <c r="BM3532" s="2">
        <v>8.2200000000000006</v>
      </c>
      <c r="BN3532" s="2">
        <v>66.900000000000006</v>
      </c>
      <c r="BO3532" s="2">
        <v>66.900000000000006</v>
      </c>
      <c r="BP3532" s="2"/>
      <c r="BQ3532" s="2" t="s">
        <v>129</v>
      </c>
      <c r="BR3532" s="2" t="s">
        <v>2287</v>
      </c>
      <c r="BS3532" s="3">
        <v>42851</v>
      </c>
      <c r="BT3532" s="4">
        <v>0.5</v>
      </c>
      <c r="BU3532" s="2" t="s">
        <v>3279</v>
      </c>
      <c r="BV3532" s="2" t="s">
        <v>111</v>
      </c>
      <c r="BW3532" s="2"/>
      <c r="BX3532" s="2"/>
      <c r="BY3532" s="2">
        <v>8266.1</v>
      </c>
      <c r="BZ3532" s="2" t="s">
        <v>27</v>
      </c>
      <c r="CA3532" s="2" t="s">
        <v>159</v>
      </c>
      <c r="CB3532" s="2"/>
      <c r="CC3532" s="2" t="s">
        <v>935</v>
      </c>
      <c r="CD3532" s="2">
        <v>1871</v>
      </c>
      <c r="CE3532" s="2" t="s">
        <v>89</v>
      </c>
      <c r="CF3532" s="5">
        <v>42853</v>
      </c>
      <c r="CG3532" s="2"/>
      <c r="CH3532" s="2"/>
      <c r="CI3532" s="2">
        <v>1</v>
      </c>
      <c r="CJ3532" s="2">
        <v>1</v>
      </c>
      <c r="CK3532" s="2">
        <v>34</v>
      </c>
      <c r="CL3532" s="2" t="s">
        <v>86</v>
      </c>
      <c r="CM3532" s="2"/>
    </row>
    <row r="3533" spans="1:91">
      <c r="A3533" s="2" t="s">
        <v>71</v>
      </c>
      <c r="B3533" s="2" t="s">
        <v>72</v>
      </c>
      <c r="C3533" s="2" t="s">
        <v>73</v>
      </c>
      <c r="D3533" s="2"/>
      <c r="E3533" s="2" t="str">
        <f>"FES1162544806"</f>
        <v>FES1162544806</v>
      </c>
      <c r="F3533" s="3">
        <v>42846</v>
      </c>
      <c r="G3533" s="2">
        <v>201710</v>
      </c>
      <c r="H3533" s="2" t="s">
        <v>74</v>
      </c>
      <c r="I3533" s="2" t="s">
        <v>75</v>
      </c>
      <c r="J3533" s="2" t="s">
        <v>200</v>
      </c>
      <c r="K3533" s="2" t="s">
        <v>77</v>
      </c>
      <c r="L3533" s="2" t="s">
        <v>91</v>
      </c>
      <c r="M3533" s="2" t="s">
        <v>92</v>
      </c>
      <c r="N3533" s="2" t="s">
        <v>356</v>
      </c>
      <c r="O3533" s="2" t="s">
        <v>1014</v>
      </c>
      <c r="P3533" s="2" t="str">
        <f>"2170561264                    "</f>
        <v xml:space="preserve">2170561264                    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4.8499999999999996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1</v>
      </c>
      <c r="BI3533" s="2">
        <v>11.5</v>
      </c>
      <c r="BJ3533" s="2">
        <v>10.9</v>
      </c>
      <c r="BK3533" s="2">
        <v>12</v>
      </c>
      <c r="BL3533" s="2">
        <v>47.22</v>
      </c>
      <c r="BM3533" s="2">
        <v>6.61</v>
      </c>
      <c r="BN3533" s="2">
        <v>53.83</v>
      </c>
      <c r="BO3533" s="2">
        <v>53.83</v>
      </c>
      <c r="BP3533" s="2"/>
      <c r="BQ3533" s="2" t="s">
        <v>122</v>
      </c>
      <c r="BR3533" s="2" t="s">
        <v>2287</v>
      </c>
      <c r="BS3533" s="3">
        <v>42849</v>
      </c>
      <c r="BT3533" s="4">
        <v>0.41666666666666669</v>
      </c>
      <c r="BU3533" s="2" t="s">
        <v>3467</v>
      </c>
      <c r="BV3533" s="2" t="s">
        <v>111</v>
      </c>
      <c r="BW3533" s="2"/>
      <c r="BX3533" s="2"/>
      <c r="BY3533" s="2">
        <v>54594.03</v>
      </c>
      <c r="BZ3533" s="2" t="s">
        <v>27</v>
      </c>
      <c r="CA3533" s="2" t="s">
        <v>159</v>
      </c>
      <c r="CB3533" s="2"/>
      <c r="CC3533" s="2" t="s">
        <v>92</v>
      </c>
      <c r="CD3533" s="2">
        <v>1422</v>
      </c>
      <c r="CE3533" s="2" t="s">
        <v>89</v>
      </c>
      <c r="CF3533" s="5">
        <v>42850</v>
      </c>
      <c r="CG3533" s="2"/>
      <c r="CH3533" s="2"/>
      <c r="CI3533" s="2">
        <v>1</v>
      </c>
      <c r="CJ3533" s="2">
        <v>1</v>
      </c>
      <c r="CK3533" s="2">
        <v>32</v>
      </c>
      <c r="CL3533" s="2" t="s">
        <v>86</v>
      </c>
      <c r="CM3533" s="2"/>
    </row>
    <row r="3534" spans="1:91">
      <c r="A3534" s="2" t="s">
        <v>71</v>
      </c>
      <c r="B3534" s="2" t="s">
        <v>72</v>
      </c>
      <c r="C3534" s="2" t="s">
        <v>73</v>
      </c>
      <c r="D3534" s="2"/>
      <c r="E3534" s="2" t="str">
        <f>"FES1162544882"</f>
        <v>FES1162544882</v>
      </c>
      <c r="F3534" s="3">
        <v>42846</v>
      </c>
      <c r="G3534" s="2">
        <v>201710</v>
      </c>
      <c r="H3534" s="2" t="s">
        <v>74</v>
      </c>
      <c r="I3534" s="2" t="s">
        <v>75</v>
      </c>
      <c r="J3534" s="2" t="s">
        <v>200</v>
      </c>
      <c r="K3534" s="2" t="s">
        <v>77</v>
      </c>
      <c r="L3534" s="2" t="s">
        <v>190</v>
      </c>
      <c r="M3534" s="2" t="s">
        <v>191</v>
      </c>
      <c r="N3534" s="2" t="s">
        <v>3468</v>
      </c>
      <c r="O3534" s="2" t="s">
        <v>1014</v>
      </c>
      <c r="P3534" s="2" t="str">
        <f>"2170557795                    "</f>
        <v xml:space="preserve">2170557795                    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6.03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1</v>
      </c>
      <c r="BI3534" s="2">
        <v>2.1</v>
      </c>
      <c r="BJ3534" s="2">
        <v>3.3</v>
      </c>
      <c r="BK3534" s="2">
        <v>4</v>
      </c>
      <c r="BL3534" s="2">
        <v>58.68</v>
      </c>
      <c r="BM3534" s="2">
        <v>8.2200000000000006</v>
      </c>
      <c r="BN3534" s="2">
        <v>66.900000000000006</v>
      </c>
      <c r="BO3534" s="2">
        <v>66.900000000000006</v>
      </c>
      <c r="BP3534" s="2"/>
      <c r="BQ3534" s="2" t="s">
        <v>122</v>
      </c>
      <c r="BR3534" s="2" t="s">
        <v>2287</v>
      </c>
      <c r="BS3534" s="3">
        <v>42849</v>
      </c>
      <c r="BT3534" s="4">
        <v>0.375</v>
      </c>
      <c r="BU3534" s="2" t="s">
        <v>3469</v>
      </c>
      <c r="BV3534" s="2" t="s">
        <v>111</v>
      </c>
      <c r="BW3534" s="2"/>
      <c r="BX3534" s="2"/>
      <c r="BY3534" s="2">
        <v>16521.68</v>
      </c>
      <c r="BZ3534" s="2" t="s">
        <v>27</v>
      </c>
      <c r="CA3534" s="2"/>
      <c r="CB3534" s="2"/>
      <c r="CC3534" s="2" t="s">
        <v>191</v>
      </c>
      <c r="CD3534" s="2">
        <v>1739</v>
      </c>
      <c r="CE3534" s="2" t="s">
        <v>89</v>
      </c>
      <c r="CF3534" s="5">
        <v>42850</v>
      </c>
      <c r="CG3534" s="2"/>
      <c r="CH3534" s="2"/>
      <c r="CI3534" s="2">
        <v>1</v>
      </c>
      <c r="CJ3534" s="2">
        <v>1</v>
      </c>
      <c r="CK3534" s="2">
        <v>34</v>
      </c>
      <c r="CL3534" s="2" t="s">
        <v>86</v>
      </c>
      <c r="CM3534" s="2"/>
    </row>
    <row r="3535" spans="1:91">
      <c r="A3535" s="2" t="s">
        <v>71</v>
      </c>
      <c r="B3535" s="2" t="s">
        <v>72</v>
      </c>
      <c r="C3535" s="2" t="s">
        <v>73</v>
      </c>
      <c r="D3535" s="2"/>
      <c r="E3535" s="2" t="str">
        <f>"FES1162545995"</f>
        <v>FES1162545995</v>
      </c>
      <c r="F3535" s="3">
        <v>42853</v>
      </c>
      <c r="G3535" s="2">
        <v>201710</v>
      </c>
      <c r="H3535" s="2" t="s">
        <v>74</v>
      </c>
      <c r="I3535" s="2" t="s">
        <v>75</v>
      </c>
      <c r="J3535" s="2" t="s">
        <v>76</v>
      </c>
      <c r="K3535" s="2" t="s">
        <v>77</v>
      </c>
      <c r="L3535" s="2" t="s">
        <v>112</v>
      </c>
      <c r="M3535" s="2" t="s">
        <v>113</v>
      </c>
      <c r="N3535" s="2" t="s">
        <v>1816</v>
      </c>
      <c r="O3535" s="2" t="s">
        <v>115</v>
      </c>
      <c r="P3535" s="2" t="str">
        <f>"2170562394                    "</f>
        <v xml:space="preserve">2170562394                    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51.44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1</v>
      </c>
      <c r="BI3535" s="2">
        <v>24</v>
      </c>
      <c r="BJ3535" s="2">
        <v>4.8</v>
      </c>
      <c r="BK3535" s="2">
        <v>24</v>
      </c>
      <c r="BL3535" s="2">
        <v>500.72</v>
      </c>
      <c r="BM3535" s="2">
        <v>70.099999999999994</v>
      </c>
      <c r="BN3535" s="2">
        <v>570.82000000000005</v>
      </c>
      <c r="BO3535" s="2">
        <v>570.82000000000005</v>
      </c>
      <c r="BP3535" s="2"/>
      <c r="BQ3535" s="2" t="s">
        <v>1817</v>
      </c>
      <c r="BR3535" s="2" t="s">
        <v>84</v>
      </c>
      <c r="BS3535" s="1" t="s">
        <v>1744</v>
      </c>
      <c r="BT3535" s="2"/>
      <c r="BU3535" s="2"/>
      <c r="BV3535" s="2"/>
      <c r="BW3535" s="2"/>
      <c r="BX3535" s="2"/>
      <c r="BY3535" s="2">
        <v>24000</v>
      </c>
      <c r="BZ3535" s="2"/>
      <c r="CA3535" s="2"/>
      <c r="CB3535" s="2"/>
      <c r="CC3535" s="2" t="s">
        <v>113</v>
      </c>
      <c r="CD3535" s="2">
        <v>3200</v>
      </c>
      <c r="CE3535" s="2" t="s">
        <v>89</v>
      </c>
      <c r="CF3535" s="2"/>
      <c r="CG3535" s="2"/>
      <c r="CH3535" s="2"/>
      <c r="CI3535" s="2">
        <v>1</v>
      </c>
      <c r="CJ3535" s="2" t="s">
        <v>1744</v>
      </c>
      <c r="CK3535" s="2">
        <v>21</v>
      </c>
      <c r="CL3535" s="2" t="s">
        <v>86</v>
      </c>
      <c r="CM3535" s="2"/>
    </row>
    <row r="3536" spans="1:91">
      <c r="A3536" s="2" t="s">
        <v>71</v>
      </c>
      <c r="B3536" s="2" t="s">
        <v>72</v>
      </c>
      <c r="C3536" s="2" t="s">
        <v>73</v>
      </c>
      <c r="D3536" s="2"/>
      <c r="E3536" s="2" t="str">
        <f>"FES1162546058"</f>
        <v>FES1162546058</v>
      </c>
      <c r="F3536" s="3">
        <v>42853</v>
      </c>
      <c r="G3536" s="2">
        <v>201710</v>
      </c>
      <c r="H3536" s="2" t="s">
        <v>74</v>
      </c>
      <c r="I3536" s="2" t="s">
        <v>75</v>
      </c>
      <c r="J3536" s="2" t="s">
        <v>76</v>
      </c>
      <c r="K3536" s="2" t="s">
        <v>77</v>
      </c>
      <c r="L3536" s="2" t="s">
        <v>275</v>
      </c>
      <c r="M3536" s="2" t="s">
        <v>276</v>
      </c>
      <c r="N3536" s="2" t="s">
        <v>277</v>
      </c>
      <c r="O3536" s="2" t="s">
        <v>115</v>
      </c>
      <c r="P3536" s="2" t="str">
        <f>"2170564464                    "</f>
        <v xml:space="preserve">2170564464                    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4.29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1</v>
      </c>
      <c r="BI3536" s="2">
        <v>1</v>
      </c>
      <c r="BJ3536" s="2">
        <v>0.2</v>
      </c>
      <c r="BK3536" s="2">
        <v>1</v>
      </c>
      <c r="BL3536" s="2">
        <v>41.73</v>
      </c>
      <c r="BM3536" s="2">
        <v>5.84</v>
      </c>
      <c r="BN3536" s="2">
        <v>47.57</v>
      </c>
      <c r="BO3536" s="2">
        <v>47.57</v>
      </c>
      <c r="BP3536" s="2"/>
      <c r="BQ3536" s="2" t="s">
        <v>278</v>
      </c>
      <c r="BR3536" s="2" t="s">
        <v>84</v>
      </c>
      <c r="BS3536" s="1" t="s">
        <v>1744</v>
      </c>
      <c r="BT3536" s="2"/>
      <c r="BU3536" s="2"/>
      <c r="BV3536" s="2"/>
      <c r="BW3536" s="2"/>
      <c r="BX3536" s="2"/>
      <c r="BY3536" s="2">
        <v>1200</v>
      </c>
      <c r="BZ3536" s="2"/>
      <c r="CA3536" s="2"/>
      <c r="CB3536" s="2"/>
      <c r="CC3536" s="2" t="s">
        <v>276</v>
      </c>
      <c r="CD3536" s="2">
        <v>4126</v>
      </c>
      <c r="CE3536" s="2" t="s">
        <v>118</v>
      </c>
      <c r="CF3536" s="2"/>
      <c r="CG3536" s="2"/>
      <c r="CH3536" s="2"/>
      <c r="CI3536" s="2">
        <v>1</v>
      </c>
      <c r="CJ3536" s="2" t="s">
        <v>1744</v>
      </c>
      <c r="CK3536" s="2">
        <v>21</v>
      </c>
      <c r="CL3536" s="2" t="s">
        <v>86</v>
      </c>
      <c r="CM3536" s="2"/>
    </row>
    <row r="3537" spans="1:91">
      <c r="A3537" s="2" t="s">
        <v>71</v>
      </c>
      <c r="B3537" s="2" t="s">
        <v>72</v>
      </c>
      <c r="C3537" s="2" t="s">
        <v>73</v>
      </c>
      <c r="D3537" s="2"/>
      <c r="E3537" s="2" t="str">
        <f>"FES1162546082"</f>
        <v>FES1162546082</v>
      </c>
      <c r="F3537" s="3">
        <v>42853</v>
      </c>
      <c r="G3537" s="2">
        <v>201710</v>
      </c>
      <c r="H3537" s="2" t="s">
        <v>74</v>
      </c>
      <c r="I3537" s="2" t="s">
        <v>75</v>
      </c>
      <c r="J3537" s="2" t="s">
        <v>76</v>
      </c>
      <c r="K3537" s="2" t="s">
        <v>77</v>
      </c>
      <c r="L3537" s="2" t="s">
        <v>131</v>
      </c>
      <c r="M3537" s="2" t="s">
        <v>132</v>
      </c>
      <c r="N3537" s="2" t="s">
        <v>1081</v>
      </c>
      <c r="O3537" s="2" t="s">
        <v>115</v>
      </c>
      <c r="P3537" s="2" t="str">
        <f>"2170564364                    "</f>
        <v xml:space="preserve">2170564364                    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4.29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1</v>
      </c>
      <c r="BI3537" s="2">
        <v>1</v>
      </c>
      <c r="BJ3537" s="2">
        <v>0.2</v>
      </c>
      <c r="BK3537" s="2">
        <v>1</v>
      </c>
      <c r="BL3537" s="2">
        <v>41.73</v>
      </c>
      <c r="BM3537" s="2">
        <v>5.84</v>
      </c>
      <c r="BN3537" s="2">
        <v>47.57</v>
      </c>
      <c r="BO3537" s="2">
        <v>47.57</v>
      </c>
      <c r="BP3537" s="2"/>
      <c r="BQ3537" s="2" t="s">
        <v>1082</v>
      </c>
      <c r="BR3537" s="2" t="s">
        <v>84</v>
      </c>
      <c r="BS3537" s="3">
        <v>42857</v>
      </c>
      <c r="BT3537" s="4">
        <v>0.34583333333333338</v>
      </c>
      <c r="BU3537" s="2" t="s">
        <v>3470</v>
      </c>
      <c r="BV3537" s="2" t="s">
        <v>86</v>
      </c>
      <c r="BW3537" s="2"/>
      <c r="BX3537" s="2"/>
      <c r="BY3537" s="2">
        <v>1200</v>
      </c>
      <c r="BZ3537" s="2"/>
      <c r="CA3537" s="2" t="s">
        <v>2870</v>
      </c>
      <c r="CB3537" s="2"/>
      <c r="CC3537" s="2" t="s">
        <v>132</v>
      </c>
      <c r="CD3537" s="2">
        <v>7460</v>
      </c>
      <c r="CE3537" s="2" t="s">
        <v>118</v>
      </c>
      <c r="CF3537" s="2"/>
      <c r="CG3537" s="2"/>
      <c r="CH3537" s="2"/>
      <c r="CI3537" s="2">
        <v>1</v>
      </c>
      <c r="CJ3537" s="2">
        <v>2</v>
      </c>
      <c r="CK3537" s="2">
        <v>21</v>
      </c>
      <c r="CL3537" s="2" t="s">
        <v>86</v>
      </c>
      <c r="CM3537" s="2"/>
    </row>
    <row r="3538" spans="1:91">
      <c r="A3538" s="2" t="s">
        <v>71</v>
      </c>
      <c r="B3538" s="2" t="s">
        <v>72</v>
      </c>
      <c r="C3538" s="2" t="s">
        <v>73</v>
      </c>
      <c r="D3538" s="2"/>
      <c r="E3538" s="2" t="str">
        <f>"FES1162545991"</f>
        <v>FES1162545991</v>
      </c>
      <c r="F3538" s="3">
        <v>42853</v>
      </c>
      <c r="G3538" s="2">
        <v>201710</v>
      </c>
      <c r="H3538" s="2" t="s">
        <v>74</v>
      </c>
      <c r="I3538" s="2" t="s">
        <v>75</v>
      </c>
      <c r="J3538" s="2" t="s">
        <v>76</v>
      </c>
      <c r="K3538" s="2" t="s">
        <v>77</v>
      </c>
      <c r="L3538" s="2" t="s">
        <v>294</v>
      </c>
      <c r="M3538" s="2" t="s">
        <v>295</v>
      </c>
      <c r="N3538" s="2" t="s">
        <v>296</v>
      </c>
      <c r="O3538" s="2" t="s">
        <v>115</v>
      </c>
      <c r="P3538" s="2" t="str">
        <f>"2170562349                    "</f>
        <v xml:space="preserve">2170562349                    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4.29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1</v>
      </c>
      <c r="BI3538" s="2">
        <v>1</v>
      </c>
      <c r="BJ3538" s="2">
        <v>0.2</v>
      </c>
      <c r="BK3538" s="2">
        <v>1</v>
      </c>
      <c r="BL3538" s="2">
        <v>41.73</v>
      </c>
      <c r="BM3538" s="2">
        <v>5.84</v>
      </c>
      <c r="BN3538" s="2">
        <v>47.57</v>
      </c>
      <c r="BO3538" s="2">
        <v>47.57</v>
      </c>
      <c r="BP3538" s="2"/>
      <c r="BQ3538" s="2" t="s">
        <v>297</v>
      </c>
      <c r="BR3538" s="2" t="s">
        <v>84</v>
      </c>
      <c r="BS3538" s="1" t="s">
        <v>1744</v>
      </c>
      <c r="BT3538" s="2"/>
      <c r="BU3538" s="2"/>
      <c r="BV3538" s="2"/>
      <c r="BW3538" s="2"/>
      <c r="BX3538" s="2"/>
      <c r="BY3538" s="2">
        <v>1200</v>
      </c>
      <c r="BZ3538" s="2"/>
      <c r="CA3538" s="2"/>
      <c r="CB3538" s="2"/>
      <c r="CC3538" s="2" t="s">
        <v>295</v>
      </c>
      <c r="CD3538" s="2">
        <v>3620</v>
      </c>
      <c r="CE3538" s="2" t="s">
        <v>118</v>
      </c>
      <c r="CF3538" s="2"/>
      <c r="CG3538" s="2"/>
      <c r="CH3538" s="2"/>
      <c r="CI3538" s="2">
        <v>1</v>
      </c>
      <c r="CJ3538" s="2" t="s">
        <v>1744</v>
      </c>
      <c r="CK3538" s="2">
        <v>21</v>
      </c>
      <c r="CL3538" s="2" t="s">
        <v>86</v>
      </c>
      <c r="CM3538" s="2"/>
    </row>
    <row r="3539" spans="1:91">
      <c r="A3539" s="2" t="s">
        <v>71</v>
      </c>
      <c r="B3539" s="2" t="s">
        <v>72</v>
      </c>
      <c r="C3539" s="2" t="s">
        <v>73</v>
      </c>
      <c r="D3539" s="2"/>
      <c r="E3539" s="2" t="str">
        <f>"FES1162545986"</f>
        <v>FES1162545986</v>
      </c>
      <c r="F3539" s="3">
        <v>42853</v>
      </c>
      <c r="G3539" s="2">
        <v>201710</v>
      </c>
      <c r="H3539" s="2" t="s">
        <v>74</v>
      </c>
      <c r="I3539" s="2" t="s">
        <v>75</v>
      </c>
      <c r="J3539" s="2" t="s">
        <v>76</v>
      </c>
      <c r="K3539" s="2" t="s">
        <v>77</v>
      </c>
      <c r="L3539" s="2" t="s">
        <v>900</v>
      </c>
      <c r="M3539" s="2" t="s">
        <v>901</v>
      </c>
      <c r="N3539" s="2" t="s">
        <v>3471</v>
      </c>
      <c r="O3539" s="2" t="s">
        <v>115</v>
      </c>
      <c r="P3539" s="2" t="str">
        <f>"2170562309                    "</f>
        <v xml:space="preserve">2170562309                    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4.29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1</v>
      </c>
      <c r="BI3539" s="2">
        <v>0.5</v>
      </c>
      <c r="BJ3539" s="2">
        <v>0.2</v>
      </c>
      <c r="BK3539" s="2">
        <v>0.5</v>
      </c>
      <c r="BL3539" s="2">
        <v>41.73</v>
      </c>
      <c r="BM3539" s="2">
        <v>5.84</v>
      </c>
      <c r="BN3539" s="2">
        <v>47.57</v>
      </c>
      <c r="BO3539" s="2">
        <v>47.57</v>
      </c>
      <c r="BP3539" s="2"/>
      <c r="BQ3539" s="2" t="s">
        <v>3472</v>
      </c>
      <c r="BR3539" s="2" t="s">
        <v>84</v>
      </c>
      <c r="BS3539" s="1" t="s">
        <v>1744</v>
      </c>
      <c r="BT3539" s="2"/>
      <c r="BU3539" s="2"/>
      <c r="BV3539" s="2"/>
      <c r="BW3539" s="2"/>
      <c r="BX3539" s="2"/>
      <c r="BY3539" s="2">
        <v>1200</v>
      </c>
      <c r="BZ3539" s="2"/>
      <c r="CA3539" s="2"/>
      <c r="CB3539" s="2"/>
      <c r="CC3539" s="2" t="s">
        <v>901</v>
      </c>
      <c r="CD3539" s="2">
        <v>4026</v>
      </c>
      <c r="CE3539" s="2" t="s">
        <v>118</v>
      </c>
      <c r="CF3539" s="2"/>
      <c r="CG3539" s="2"/>
      <c r="CH3539" s="2"/>
      <c r="CI3539" s="2">
        <v>1</v>
      </c>
      <c r="CJ3539" s="2" t="s">
        <v>1744</v>
      </c>
      <c r="CK3539" s="2">
        <v>21</v>
      </c>
      <c r="CL3539" s="2" t="s">
        <v>86</v>
      </c>
      <c r="CM3539" s="2"/>
    </row>
    <row r="3540" spans="1:91">
      <c r="A3540" s="2" t="s">
        <v>71</v>
      </c>
      <c r="B3540" s="2" t="s">
        <v>72</v>
      </c>
      <c r="C3540" s="2" t="s">
        <v>73</v>
      </c>
      <c r="D3540" s="2"/>
      <c r="E3540" s="2" t="str">
        <f>"FES1162546085"</f>
        <v>FES1162546085</v>
      </c>
      <c r="F3540" s="3">
        <v>42853</v>
      </c>
      <c r="G3540" s="2">
        <v>201710</v>
      </c>
      <c r="H3540" s="2" t="s">
        <v>74</v>
      </c>
      <c r="I3540" s="2" t="s">
        <v>75</v>
      </c>
      <c r="J3540" s="2" t="s">
        <v>76</v>
      </c>
      <c r="K3540" s="2" t="s">
        <v>77</v>
      </c>
      <c r="L3540" s="2" t="s">
        <v>180</v>
      </c>
      <c r="M3540" s="2" t="s">
        <v>181</v>
      </c>
      <c r="N3540" s="2" t="s">
        <v>855</v>
      </c>
      <c r="O3540" s="2" t="s">
        <v>115</v>
      </c>
      <c r="P3540" s="2" t="str">
        <f>"2170564486                    "</f>
        <v xml:space="preserve">2170564486                    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4.29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1</v>
      </c>
      <c r="BI3540" s="2">
        <v>0.5</v>
      </c>
      <c r="BJ3540" s="2">
        <v>0.2</v>
      </c>
      <c r="BK3540" s="2">
        <v>0.5</v>
      </c>
      <c r="BL3540" s="2">
        <v>41.73</v>
      </c>
      <c r="BM3540" s="2">
        <v>5.84</v>
      </c>
      <c r="BN3540" s="2">
        <v>47.57</v>
      </c>
      <c r="BO3540" s="2">
        <v>47.57</v>
      </c>
      <c r="BP3540" s="2"/>
      <c r="BQ3540" s="2" t="s">
        <v>122</v>
      </c>
      <c r="BR3540" s="2" t="s">
        <v>84</v>
      </c>
      <c r="BS3540" s="1" t="s">
        <v>1744</v>
      </c>
      <c r="BT3540" s="2"/>
      <c r="BU3540" s="2"/>
      <c r="BV3540" s="2"/>
      <c r="BW3540" s="2"/>
      <c r="BX3540" s="2"/>
      <c r="BY3540" s="2">
        <v>1200</v>
      </c>
      <c r="BZ3540" s="2"/>
      <c r="CA3540" s="2"/>
      <c r="CB3540" s="2"/>
      <c r="CC3540" s="2" t="s">
        <v>181</v>
      </c>
      <c r="CD3540" s="2">
        <v>4093</v>
      </c>
      <c r="CE3540" s="2" t="s">
        <v>118</v>
      </c>
      <c r="CF3540" s="2"/>
      <c r="CG3540" s="2"/>
      <c r="CH3540" s="2"/>
      <c r="CI3540" s="2">
        <v>1</v>
      </c>
      <c r="CJ3540" s="2" t="s">
        <v>1744</v>
      </c>
      <c r="CK3540" s="2">
        <v>21</v>
      </c>
      <c r="CL3540" s="2" t="s">
        <v>86</v>
      </c>
      <c r="CM3540" s="2"/>
    </row>
    <row r="3541" spans="1:91">
      <c r="A3541" s="2" t="s">
        <v>71</v>
      </c>
      <c r="B3541" s="2" t="s">
        <v>72</v>
      </c>
      <c r="C3541" s="2" t="s">
        <v>73</v>
      </c>
      <c r="D3541" s="2"/>
      <c r="E3541" s="2" t="str">
        <f>"FES1162546108"</f>
        <v>FES1162546108</v>
      </c>
      <c r="F3541" s="3">
        <v>42853</v>
      </c>
      <c r="G3541" s="2">
        <v>201710</v>
      </c>
      <c r="H3541" s="2" t="s">
        <v>74</v>
      </c>
      <c r="I3541" s="2" t="s">
        <v>75</v>
      </c>
      <c r="J3541" s="2" t="s">
        <v>76</v>
      </c>
      <c r="K3541" s="2" t="s">
        <v>77</v>
      </c>
      <c r="L3541" s="2" t="s">
        <v>492</v>
      </c>
      <c r="M3541" s="2" t="s">
        <v>493</v>
      </c>
      <c r="N3541" s="2" t="s">
        <v>3473</v>
      </c>
      <c r="O3541" s="2" t="s">
        <v>115</v>
      </c>
      <c r="P3541" s="2" t="str">
        <f>"2170564434                    "</f>
        <v xml:space="preserve">2170564434                    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4.29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1</v>
      </c>
      <c r="BI3541" s="2">
        <v>1</v>
      </c>
      <c r="BJ3541" s="2">
        <v>0.2</v>
      </c>
      <c r="BK3541" s="2">
        <v>1</v>
      </c>
      <c r="BL3541" s="2">
        <v>41.73</v>
      </c>
      <c r="BM3541" s="2">
        <v>5.84</v>
      </c>
      <c r="BN3541" s="2">
        <v>47.57</v>
      </c>
      <c r="BO3541" s="2">
        <v>47.57</v>
      </c>
      <c r="BP3541" s="2"/>
      <c r="BQ3541" s="2" t="s">
        <v>166</v>
      </c>
      <c r="BR3541" s="2" t="s">
        <v>84</v>
      </c>
      <c r="BS3541" s="1" t="s">
        <v>1744</v>
      </c>
      <c r="BT3541" s="2"/>
      <c r="BU3541" s="2"/>
      <c r="BV3541" s="2"/>
      <c r="BW3541" s="2"/>
      <c r="BX3541" s="2"/>
      <c r="BY3541" s="2">
        <v>1200</v>
      </c>
      <c r="BZ3541" s="2"/>
      <c r="CA3541" s="2"/>
      <c r="CB3541" s="2"/>
      <c r="CC3541" s="2" t="s">
        <v>493</v>
      </c>
      <c r="CD3541" s="2">
        <v>7129</v>
      </c>
      <c r="CE3541" s="2" t="s">
        <v>118</v>
      </c>
      <c r="CF3541" s="2"/>
      <c r="CG3541" s="2"/>
      <c r="CH3541" s="2"/>
      <c r="CI3541" s="2">
        <v>1</v>
      </c>
      <c r="CJ3541" s="2" t="s">
        <v>1744</v>
      </c>
      <c r="CK3541" s="2">
        <v>21</v>
      </c>
      <c r="CL3541" s="2" t="s">
        <v>86</v>
      </c>
      <c r="CM3541" s="2"/>
    </row>
    <row r="3542" spans="1:91">
      <c r="A3542" s="2" t="s">
        <v>71</v>
      </c>
      <c r="B3542" s="2" t="s">
        <v>72</v>
      </c>
      <c r="C3542" s="2" t="s">
        <v>73</v>
      </c>
      <c r="D3542" s="2"/>
      <c r="E3542" s="2" t="str">
        <f>"FES1162546110"</f>
        <v>FES1162546110</v>
      </c>
      <c r="F3542" s="3">
        <v>42853</v>
      </c>
      <c r="G3542" s="2">
        <v>201710</v>
      </c>
      <c r="H3542" s="2" t="s">
        <v>74</v>
      </c>
      <c r="I3542" s="2" t="s">
        <v>75</v>
      </c>
      <c r="J3542" s="2" t="s">
        <v>76</v>
      </c>
      <c r="K3542" s="2" t="s">
        <v>77</v>
      </c>
      <c r="L3542" s="2" t="s">
        <v>131</v>
      </c>
      <c r="M3542" s="2" t="s">
        <v>132</v>
      </c>
      <c r="N3542" s="2" t="s">
        <v>384</v>
      </c>
      <c r="O3542" s="2" t="s">
        <v>115</v>
      </c>
      <c r="P3542" s="2" t="str">
        <f>"2170564518                    "</f>
        <v xml:space="preserve">2170564518                    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4.29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1</v>
      </c>
      <c r="BI3542" s="2">
        <v>1</v>
      </c>
      <c r="BJ3542" s="2">
        <v>0.2</v>
      </c>
      <c r="BK3542" s="2">
        <v>1</v>
      </c>
      <c r="BL3542" s="2">
        <v>41.73</v>
      </c>
      <c r="BM3542" s="2">
        <v>5.84</v>
      </c>
      <c r="BN3542" s="2">
        <v>47.57</v>
      </c>
      <c r="BO3542" s="2">
        <v>47.57</v>
      </c>
      <c r="BP3542" s="2"/>
      <c r="BQ3542" s="2" t="s">
        <v>468</v>
      </c>
      <c r="BR3542" s="2" t="s">
        <v>84</v>
      </c>
      <c r="BS3542" s="1" t="s">
        <v>1744</v>
      </c>
      <c r="BT3542" s="2"/>
      <c r="BU3542" s="2"/>
      <c r="BV3542" s="2"/>
      <c r="BW3542" s="2"/>
      <c r="BX3542" s="2"/>
      <c r="BY3542" s="2">
        <v>1200</v>
      </c>
      <c r="BZ3542" s="2"/>
      <c r="CA3542" s="2"/>
      <c r="CB3542" s="2"/>
      <c r="CC3542" s="2" t="s">
        <v>132</v>
      </c>
      <c r="CD3542" s="2">
        <v>7405</v>
      </c>
      <c r="CE3542" s="2" t="s">
        <v>118</v>
      </c>
      <c r="CF3542" s="2"/>
      <c r="CG3542" s="2"/>
      <c r="CH3542" s="2"/>
      <c r="CI3542" s="2">
        <v>1</v>
      </c>
      <c r="CJ3542" s="2" t="s">
        <v>1744</v>
      </c>
      <c r="CK3542" s="2">
        <v>21</v>
      </c>
      <c r="CL3542" s="2" t="s">
        <v>86</v>
      </c>
      <c r="CM3542" s="2"/>
    </row>
    <row r="3543" spans="1:91">
      <c r="A3543" s="2" t="s">
        <v>71</v>
      </c>
      <c r="B3543" s="2" t="s">
        <v>72</v>
      </c>
      <c r="C3543" s="2" t="s">
        <v>73</v>
      </c>
      <c r="D3543" s="2"/>
      <c r="E3543" s="2" t="str">
        <f>"FES1162546101"</f>
        <v>FES1162546101</v>
      </c>
      <c r="F3543" s="3">
        <v>42853</v>
      </c>
      <c r="G3543" s="2">
        <v>201710</v>
      </c>
      <c r="H3543" s="2" t="s">
        <v>74</v>
      </c>
      <c r="I3543" s="2" t="s">
        <v>75</v>
      </c>
      <c r="J3543" s="2" t="s">
        <v>76</v>
      </c>
      <c r="K3543" s="2" t="s">
        <v>77</v>
      </c>
      <c r="L3543" s="2" t="s">
        <v>443</v>
      </c>
      <c r="M3543" s="2" t="s">
        <v>444</v>
      </c>
      <c r="N3543" s="2" t="s">
        <v>627</v>
      </c>
      <c r="O3543" s="2" t="s">
        <v>115</v>
      </c>
      <c r="P3543" s="2" t="str">
        <f>"2170563056                    "</f>
        <v xml:space="preserve">2170563056                    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35.369999999999997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1</v>
      </c>
      <c r="BI3543" s="2">
        <v>16.399999999999999</v>
      </c>
      <c r="BJ3543" s="2">
        <v>4.8</v>
      </c>
      <c r="BK3543" s="2">
        <v>16.5</v>
      </c>
      <c r="BL3543" s="2">
        <v>344.25</v>
      </c>
      <c r="BM3543" s="2">
        <v>48.2</v>
      </c>
      <c r="BN3543" s="2">
        <v>392.45</v>
      </c>
      <c r="BO3543" s="2">
        <v>392.45</v>
      </c>
      <c r="BP3543" s="2"/>
      <c r="BQ3543" s="2" t="s">
        <v>628</v>
      </c>
      <c r="BR3543" s="2" t="s">
        <v>84</v>
      </c>
      <c r="BS3543" s="1" t="s">
        <v>1744</v>
      </c>
      <c r="BT3543" s="2"/>
      <c r="BU3543" s="2"/>
      <c r="BV3543" s="2"/>
      <c r="BW3543" s="2"/>
      <c r="BX3543" s="2"/>
      <c r="BY3543" s="2">
        <v>23830.17</v>
      </c>
      <c r="BZ3543" s="2"/>
      <c r="CA3543" s="2"/>
      <c r="CB3543" s="2"/>
      <c r="CC3543" s="2" t="s">
        <v>444</v>
      </c>
      <c r="CD3543" s="2">
        <v>7130</v>
      </c>
      <c r="CE3543" s="2" t="s">
        <v>89</v>
      </c>
      <c r="CF3543" s="2"/>
      <c r="CG3543" s="2"/>
      <c r="CH3543" s="2"/>
      <c r="CI3543" s="2">
        <v>1</v>
      </c>
      <c r="CJ3543" s="2" t="s">
        <v>1744</v>
      </c>
      <c r="CK3543" s="2">
        <v>21</v>
      </c>
      <c r="CL3543" s="2" t="s">
        <v>86</v>
      </c>
      <c r="CM3543" s="2"/>
    </row>
    <row r="3544" spans="1:91">
      <c r="A3544" s="2" t="s">
        <v>71</v>
      </c>
      <c r="B3544" s="2" t="s">
        <v>72</v>
      </c>
      <c r="C3544" s="2" t="s">
        <v>73</v>
      </c>
      <c r="D3544" s="2"/>
      <c r="E3544" s="2" t="str">
        <f>"FES1162546114"</f>
        <v>FES1162546114</v>
      </c>
      <c r="F3544" s="3">
        <v>42853</v>
      </c>
      <c r="G3544" s="2">
        <v>201710</v>
      </c>
      <c r="H3544" s="2" t="s">
        <v>74</v>
      </c>
      <c r="I3544" s="2" t="s">
        <v>75</v>
      </c>
      <c r="J3544" s="2" t="s">
        <v>76</v>
      </c>
      <c r="K3544" s="2" t="s">
        <v>77</v>
      </c>
      <c r="L3544" s="2" t="s">
        <v>99</v>
      </c>
      <c r="M3544" s="2" t="s">
        <v>100</v>
      </c>
      <c r="N3544" s="2" t="s">
        <v>513</v>
      </c>
      <c r="O3544" s="2" t="s">
        <v>115</v>
      </c>
      <c r="P3544" s="2" t="str">
        <f>"2170564522                    "</f>
        <v xml:space="preserve">2170564522                    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4.29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1</v>
      </c>
      <c r="BI3544" s="2">
        <v>1</v>
      </c>
      <c r="BJ3544" s="2">
        <v>0.2</v>
      </c>
      <c r="BK3544" s="2">
        <v>1</v>
      </c>
      <c r="BL3544" s="2">
        <v>41.73</v>
      </c>
      <c r="BM3544" s="2">
        <v>5.84</v>
      </c>
      <c r="BN3544" s="2">
        <v>47.57</v>
      </c>
      <c r="BO3544" s="2">
        <v>47.57</v>
      </c>
      <c r="BP3544" s="2"/>
      <c r="BQ3544" s="2" t="s">
        <v>515</v>
      </c>
      <c r="BR3544" s="2" t="s">
        <v>84</v>
      </c>
      <c r="BS3544" s="1" t="s">
        <v>1744</v>
      </c>
      <c r="BT3544" s="2"/>
      <c r="BU3544" s="2"/>
      <c r="BV3544" s="2"/>
      <c r="BW3544" s="2"/>
      <c r="BX3544" s="2"/>
      <c r="BY3544" s="2">
        <v>1200</v>
      </c>
      <c r="BZ3544" s="2"/>
      <c r="CA3544" s="2"/>
      <c r="CB3544" s="2"/>
      <c r="CC3544" s="2" t="s">
        <v>100</v>
      </c>
      <c r="CD3544" s="2">
        <v>6045</v>
      </c>
      <c r="CE3544" s="2" t="s">
        <v>118</v>
      </c>
      <c r="CF3544" s="2"/>
      <c r="CG3544" s="2"/>
      <c r="CH3544" s="2"/>
      <c r="CI3544" s="2">
        <v>1</v>
      </c>
      <c r="CJ3544" s="2" t="s">
        <v>1744</v>
      </c>
      <c r="CK3544" s="2">
        <v>21</v>
      </c>
      <c r="CL3544" s="2" t="s">
        <v>86</v>
      </c>
      <c r="CM3544" s="2"/>
    </row>
    <row r="3545" spans="1:91">
      <c r="A3545" s="2" t="s">
        <v>71</v>
      </c>
      <c r="B3545" s="2" t="s">
        <v>72</v>
      </c>
      <c r="C3545" s="2" t="s">
        <v>73</v>
      </c>
      <c r="D3545" s="2"/>
      <c r="E3545" s="2" t="str">
        <f>"FES1162546109"</f>
        <v>FES1162546109</v>
      </c>
      <c r="F3545" s="3">
        <v>42853</v>
      </c>
      <c r="G3545" s="2">
        <v>201710</v>
      </c>
      <c r="H3545" s="2" t="s">
        <v>74</v>
      </c>
      <c r="I3545" s="2" t="s">
        <v>75</v>
      </c>
      <c r="J3545" s="2" t="s">
        <v>76</v>
      </c>
      <c r="K3545" s="2" t="s">
        <v>77</v>
      </c>
      <c r="L3545" s="2" t="s">
        <v>180</v>
      </c>
      <c r="M3545" s="2" t="s">
        <v>181</v>
      </c>
      <c r="N3545" s="2" t="s">
        <v>424</v>
      </c>
      <c r="O3545" s="2" t="s">
        <v>115</v>
      </c>
      <c r="P3545" s="2" t="str">
        <f>"2170564516                    "</f>
        <v xml:space="preserve">2170564516                    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4.29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1</v>
      </c>
      <c r="BI3545" s="2">
        <v>1</v>
      </c>
      <c r="BJ3545" s="2">
        <v>0.2</v>
      </c>
      <c r="BK3545" s="2">
        <v>1</v>
      </c>
      <c r="BL3545" s="2">
        <v>41.73</v>
      </c>
      <c r="BM3545" s="2">
        <v>5.84</v>
      </c>
      <c r="BN3545" s="2">
        <v>47.57</v>
      </c>
      <c r="BO3545" s="2">
        <v>47.57</v>
      </c>
      <c r="BP3545" s="2"/>
      <c r="BQ3545" s="2" t="s">
        <v>425</v>
      </c>
      <c r="BR3545" s="2" t="s">
        <v>84</v>
      </c>
      <c r="BS3545" s="1" t="s">
        <v>1744</v>
      </c>
      <c r="BT3545" s="2"/>
      <c r="BU3545" s="2"/>
      <c r="BV3545" s="2"/>
      <c r="BW3545" s="2"/>
      <c r="BX3545" s="2"/>
      <c r="BY3545" s="2">
        <v>1200</v>
      </c>
      <c r="BZ3545" s="2"/>
      <c r="CA3545" s="2"/>
      <c r="CB3545" s="2"/>
      <c r="CC3545" s="2" t="s">
        <v>181</v>
      </c>
      <c r="CD3545" s="2">
        <v>4001</v>
      </c>
      <c r="CE3545" s="2" t="s">
        <v>118</v>
      </c>
      <c r="CF3545" s="2"/>
      <c r="CG3545" s="2"/>
      <c r="CH3545" s="2"/>
      <c r="CI3545" s="2">
        <v>1</v>
      </c>
      <c r="CJ3545" s="2" t="s">
        <v>1744</v>
      </c>
      <c r="CK3545" s="2">
        <v>21</v>
      </c>
      <c r="CL3545" s="2" t="s">
        <v>86</v>
      </c>
      <c r="CM3545" s="2"/>
    </row>
    <row r="3546" spans="1:91">
      <c r="A3546" s="2" t="s">
        <v>71</v>
      </c>
      <c r="B3546" s="2" t="s">
        <v>72</v>
      </c>
      <c r="C3546" s="2" t="s">
        <v>73</v>
      </c>
      <c r="D3546" s="2"/>
      <c r="E3546" s="2" t="str">
        <f>"FES1162545987"</f>
        <v>FES1162545987</v>
      </c>
      <c r="F3546" s="3">
        <v>42853</v>
      </c>
      <c r="G3546" s="2">
        <v>201710</v>
      </c>
      <c r="H3546" s="2" t="s">
        <v>74</v>
      </c>
      <c r="I3546" s="2" t="s">
        <v>75</v>
      </c>
      <c r="J3546" s="2" t="s">
        <v>76</v>
      </c>
      <c r="K3546" s="2" t="s">
        <v>77</v>
      </c>
      <c r="L3546" s="2" t="s">
        <v>294</v>
      </c>
      <c r="M3546" s="2" t="s">
        <v>295</v>
      </c>
      <c r="N3546" s="2" t="s">
        <v>296</v>
      </c>
      <c r="O3546" s="2" t="s">
        <v>115</v>
      </c>
      <c r="P3546" s="2" t="str">
        <f>"2170562331                    "</f>
        <v xml:space="preserve">2170562331                    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4.29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1</v>
      </c>
      <c r="BI3546" s="2">
        <v>1</v>
      </c>
      <c r="BJ3546" s="2">
        <v>0.2</v>
      </c>
      <c r="BK3546" s="2">
        <v>1</v>
      </c>
      <c r="BL3546" s="2">
        <v>41.73</v>
      </c>
      <c r="BM3546" s="2">
        <v>5.84</v>
      </c>
      <c r="BN3546" s="2">
        <v>47.57</v>
      </c>
      <c r="BO3546" s="2">
        <v>47.57</v>
      </c>
      <c r="BP3546" s="2"/>
      <c r="BQ3546" s="2" t="s">
        <v>297</v>
      </c>
      <c r="BR3546" s="2" t="s">
        <v>84</v>
      </c>
      <c r="BS3546" s="1" t="s">
        <v>1744</v>
      </c>
      <c r="BT3546" s="2"/>
      <c r="BU3546" s="2"/>
      <c r="BV3546" s="2"/>
      <c r="BW3546" s="2"/>
      <c r="BX3546" s="2"/>
      <c r="BY3546" s="2">
        <v>1200</v>
      </c>
      <c r="BZ3546" s="2"/>
      <c r="CA3546" s="2"/>
      <c r="CB3546" s="2"/>
      <c r="CC3546" s="2" t="s">
        <v>295</v>
      </c>
      <c r="CD3546" s="2">
        <v>3620</v>
      </c>
      <c r="CE3546" s="2" t="s">
        <v>118</v>
      </c>
      <c r="CF3546" s="2"/>
      <c r="CG3546" s="2"/>
      <c r="CH3546" s="2"/>
      <c r="CI3546" s="2">
        <v>1</v>
      </c>
      <c r="CJ3546" s="2" t="s">
        <v>1744</v>
      </c>
      <c r="CK3546" s="2">
        <v>21</v>
      </c>
      <c r="CL3546" s="2" t="s">
        <v>86</v>
      </c>
      <c r="CM3546" s="2"/>
    </row>
    <row r="3547" spans="1:91">
      <c r="A3547" s="2" t="s">
        <v>71</v>
      </c>
      <c r="B3547" s="2" t="s">
        <v>72</v>
      </c>
      <c r="C3547" s="2" t="s">
        <v>73</v>
      </c>
      <c r="D3547" s="2"/>
      <c r="E3547" s="2" t="str">
        <f>"FES1162546099"</f>
        <v>FES1162546099</v>
      </c>
      <c r="F3547" s="3">
        <v>42853</v>
      </c>
      <c r="G3547" s="2">
        <v>201710</v>
      </c>
      <c r="H3547" s="2" t="s">
        <v>74</v>
      </c>
      <c r="I3547" s="2" t="s">
        <v>75</v>
      </c>
      <c r="J3547" s="2" t="s">
        <v>76</v>
      </c>
      <c r="K3547" s="2" t="s">
        <v>77</v>
      </c>
      <c r="L3547" s="2" t="s">
        <v>474</v>
      </c>
      <c r="M3547" s="2" t="s">
        <v>475</v>
      </c>
      <c r="N3547" s="2" t="s">
        <v>1001</v>
      </c>
      <c r="O3547" s="2" t="s">
        <v>115</v>
      </c>
      <c r="P3547" s="2" t="str">
        <f>"2170564499                    "</f>
        <v xml:space="preserve">2170564499                    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4.29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1</v>
      </c>
      <c r="BI3547" s="2">
        <v>1</v>
      </c>
      <c r="BJ3547" s="2">
        <v>0.2</v>
      </c>
      <c r="BK3547" s="2">
        <v>1</v>
      </c>
      <c r="BL3547" s="2">
        <v>41.73</v>
      </c>
      <c r="BM3547" s="2">
        <v>5.84</v>
      </c>
      <c r="BN3547" s="2">
        <v>47.57</v>
      </c>
      <c r="BO3547" s="2">
        <v>47.57</v>
      </c>
      <c r="BP3547" s="2"/>
      <c r="BQ3547" s="2" t="s">
        <v>472</v>
      </c>
      <c r="BR3547" s="2" t="s">
        <v>84</v>
      </c>
      <c r="BS3547" s="1" t="s">
        <v>1744</v>
      </c>
      <c r="BT3547" s="2"/>
      <c r="BU3547" s="2"/>
      <c r="BV3547" s="2"/>
      <c r="BW3547" s="2"/>
      <c r="BX3547" s="2"/>
      <c r="BY3547" s="2">
        <v>1200</v>
      </c>
      <c r="BZ3547" s="2"/>
      <c r="CA3547" s="2"/>
      <c r="CB3547" s="2"/>
      <c r="CC3547" s="2" t="s">
        <v>475</v>
      </c>
      <c r="CD3547" s="2">
        <v>3290</v>
      </c>
      <c r="CE3547" s="2" t="s">
        <v>118</v>
      </c>
      <c r="CF3547" s="2"/>
      <c r="CG3547" s="2"/>
      <c r="CH3547" s="2"/>
      <c r="CI3547" s="2">
        <v>1</v>
      </c>
      <c r="CJ3547" s="2" t="s">
        <v>1744</v>
      </c>
      <c r="CK3547" s="2">
        <v>21</v>
      </c>
      <c r="CL3547" s="2" t="s">
        <v>86</v>
      </c>
      <c r="CM3547" s="2"/>
    </row>
    <row r="3548" spans="1:91">
      <c r="A3548" s="2" t="s">
        <v>71</v>
      </c>
      <c r="B3548" s="2" t="s">
        <v>72</v>
      </c>
      <c r="C3548" s="2" t="s">
        <v>73</v>
      </c>
      <c r="D3548" s="2"/>
      <c r="E3548" s="2" t="str">
        <f>"FES1162546043"</f>
        <v>FES1162546043</v>
      </c>
      <c r="F3548" s="3">
        <v>42853</v>
      </c>
      <c r="G3548" s="2">
        <v>201710</v>
      </c>
      <c r="H3548" s="2" t="s">
        <v>74</v>
      </c>
      <c r="I3548" s="2" t="s">
        <v>75</v>
      </c>
      <c r="J3548" s="2" t="s">
        <v>76</v>
      </c>
      <c r="K3548" s="2" t="s">
        <v>77</v>
      </c>
      <c r="L3548" s="2" t="s">
        <v>112</v>
      </c>
      <c r="M3548" s="2" t="s">
        <v>113</v>
      </c>
      <c r="N3548" s="2" t="s">
        <v>1816</v>
      </c>
      <c r="O3548" s="2" t="s">
        <v>115</v>
      </c>
      <c r="P3548" s="2" t="str">
        <f>"2170564446                    "</f>
        <v xml:space="preserve">2170564446                    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4.29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1</v>
      </c>
      <c r="BJ3548" s="2">
        <v>0.2</v>
      </c>
      <c r="BK3548" s="2">
        <v>1</v>
      </c>
      <c r="BL3548" s="2">
        <v>41.73</v>
      </c>
      <c r="BM3548" s="2">
        <v>5.84</v>
      </c>
      <c r="BN3548" s="2">
        <v>47.57</v>
      </c>
      <c r="BO3548" s="2">
        <v>47.57</v>
      </c>
      <c r="BP3548" s="2"/>
      <c r="BQ3548" s="2" t="s">
        <v>1817</v>
      </c>
      <c r="BR3548" s="2" t="s">
        <v>84</v>
      </c>
      <c r="BS3548" s="1" t="s">
        <v>1744</v>
      </c>
      <c r="BT3548" s="2"/>
      <c r="BU3548" s="2"/>
      <c r="BV3548" s="2"/>
      <c r="BW3548" s="2"/>
      <c r="BX3548" s="2"/>
      <c r="BY3548" s="2">
        <v>1200</v>
      </c>
      <c r="BZ3548" s="2"/>
      <c r="CA3548" s="2"/>
      <c r="CB3548" s="2"/>
      <c r="CC3548" s="2" t="s">
        <v>113</v>
      </c>
      <c r="CD3548" s="2">
        <v>3200</v>
      </c>
      <c r="CE3548" s="2" t="s">
        <v>118</v>
      </c>
      <c r="CF3548" s="2"/>
      <c r="CG3548" s="2"/>
      <c r="CH3548" s="2"/>
      <c r="CI3548" s="2">
        <v>1</v>
      </c>
      <c r="CJ3548" s="2" t="s">
        <v>1744</v>
      </c>
      <c r="CK3548" s="2">
        <v>21</v>
      </c>
      <c r="CL3548" s="2" t="s">
        <v>86</v>
      </c>
      <c r="CM3548" s="2"/>
    </row>
    <row r="3549" spans="1:91">
      <c r="A3549" s="2" t="s">
        <v>71</v>
      </c>
      <c r="B3549" s="2" t="s">
        <v>72</v>
      </c>
      <c r="C3549" s="2" t="s">
        <v>73</v>
      </c>
      <c r="D3549" s="2"/>
      <c r="E3549" s="2" t="str">
        <f>"FES1162545912"</f>
        <v>FES1162545912</v>
      </c>
      <c r="F3549" s="3">
        <v>42853</v>
      </c>
      <c r="G3549" s="2">
        <v>201710</v>
      </c>
      <c r="H3549" s="2" t="s">
        <v>74</v>
      </c>
      <c r="I3549" s="2" t="s">
        <v>75</v>
      </c>
      <c r="J3549" s="2" t="s">
        <v>76</v>
      </c>
      <c r="K3549" s="2" t="s">
        <v>77</v>
      </c>
      <c r="L3549" s="2" t="s">
        <v>294</v>
      </c>
      <c r="M3549" s="2" t="s">
        <v>295</v>
      </c>
      <c r="N3549" s="2" t="s">
        <v>416</v>
      </c>
      <c r="O3549" s="2" t="s">
        <v>115</v>
      </c>
      <c r="P3549" s="2" t="str">
        <f>"2170564257                    "</f>
        <v xml:space="preserve">2170564257                    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4.29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1</v>
      </c>
      <c r="BI3549" s="2">
        <v>1</v>
      </c>
      <c r="BJ3549" s="2">
        <v>0.2</v>
      </c>
      <c r="BK3549" s="2">
        <v>1</v>
      </c>
      <c r="BL3549" s="2">
        <v>41.73</v>
      </c>
      <c r="BM3549" s="2">
        <v>5.84</v>
      </c>
      <c r="BN3549" s="2">
        <v>47.57</v>
      </c>
      <c r="BO3549" s="2">
        <v>47.57</v>
      </c>
      <c r="BP3549" s="2"/>
      <c r="BQ3549" s="2" t="s">
        <v>417</v>
      </c>
      <c r="BR3549" s="2" t="s">
        <v>84</v>
      </c>
      <c r="BS3549" s="1" t="s">
        <v>1744</v>
      </c>
      <c r="BT3549" s="2"/>
      <c r="BU3549" s="2"/>
      <c r="BV3549" s="2"/>
      <c r="BW3549" s="2"/>
      <c r="BX3549" s="2"/>
      <c r="BY3549" s="2">
        <v>1200</v>
      </c>
      <c r="BZ3549" s="2"/>
      <c r="CA3549" s="2"/>
      <c r="CB3549" s="2"/>
      <c r="CC3549" s="2" t="s">
        <v>295</v>
      </c>
      <c r="CD3549" s="2">
        <v>3610</v>
      </c>
      <c r="CE3549" s="2" t="s">
        <v>118</v>
      </c>
      <c r="CF3549" s="2"/>
      <c r="CG3549" s="2"/>
      <c r="CH3549" s="2"/>
      <c r="CI3549" s="2">
        <v>1</v>
      </c>
      <c r="CJ3549" s="2" t="s">
        <v>1744</v>
      </c>
      <c r="CK3549" s="2">
        <v>21</v>
      </c>
      <c r="CL3549" s="2" t="s">
        <v>86</v>
      </c>
      <c r="CM3549" s="2"/>
    </row>
    <row r="3550" spans="1:91">
      <c r="A3550" s="2" t="s">
        <v>71</v>
      </c>
      <c r="B3550" s="2" t="s">
        <v>72</v>
      </c>
      <c r="C3550" s="2" t="s">
        <v>73</v>
      </c>
      <c r="D3550" s="2"/>
      <c r="E3550" s="2" t="str">
        <f>"FES1162546098"</f>
        <v>FES1162546098</v>
      </c>
      <c r="F3550" s="3">
        <v>42853</v>
      </c>
      <c r="G3550" s="2">
        <v>201710</v>
      </c>
      <c r="H3550" s="2" t="s">
        <v>74</v>
      </c>
      <c r="I3550" s="2" t="s">
        <v>75</v>
      </c>
      <c r="J3550" s="2" t="s">
        <v>76</v>
      </c>
      <c r="K3550" s="2" t="s">
        <v>77</v>
      </c>
      <c r="L3550" s="2" t="s">
        <v>443</v>
      </c>
      <c r="M3550" s="2" t="s">
        <v>444</v>
      </c>
      <c r="N3550" s="2" t="s">
        <v>627</v>
      </c>
      <c r="O3550" s="2" t="s">
        <v>115</v>
      </c>
      <c r="P3550" s="2" t="str">
        <f>"2170562249                    "</f>
        <v xml:space="preserve">2170562249                    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31.08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1</v>
      </c>
      <c r="BI3550" s="2">
        <v>14.5</v>
      </c>
      <c r="BJ3550" s="2">
        <v>5.0999999999999996</v>
      </c>
      <c r="BK3550" s="2">
        <v>14.5</v>
      </c>
      <c r="BL3550" s="2">
        <v>302.52</v>
      </c>
      <c r="BM3550" s="2">
        <v>42.35</v>
      </c>
      <c r="BN3550" s="2">
        <v>344.87</v>
      </c>
      <c r="BO3550" s="2">
        <v>344.87</v>
      </c>
      <c r="BP3550" s="2"/>
      <c r="BQ3550" s="2" t="s">
        <v>628</v>
      </c>
      <c r="BR3550" s="2" t="s">
        <v>84</v>
      </c>
      <c r="BS3550" s="1" t="s">
        <v>1744</v>
      </c>
      <c r="BT3550" s="2"/>
      <c r="BU3550" s="2"/>
      <c r="BV3550" s="2"/>
      <c r="BW3550" s="2"/>
      <c r="BX3550" s="2"/>
      <c r="BY3550" s="2">
        <v>25564.34</v>
      </c>
      <c r="BZ3550" s="2"/>
      <c r="CA3550" s="2"/>
      <c r="CB3550" s="2"/>
      <c r="CC3550" s="2" t="s">
        <v>444</v>
      </c>
      <c r="CD3550" s="2">
        <v>7130</v>
      </c>
      <c r="CE3550" s="2" t="s">
        <v>89</v>
      </c>
      <c r="CF3550" s="2"/>
      <c r="CG3550" s="2"/>
      <c r="CH3550" s="2"/>
      <c r="CI3550" s="2">
        <v>1</v>
      </c>
      <c r="CJ3550" s="2" t="s">
        <v>1744</v>
      </c>
      <c r="CK3550" s="2">
        <v>21</v>
      </c>
      <c r="CL3550" s="2" t="s">
        <v>86</v>
      </c>
      <c r="CM3550" s="2"/>
    </row>
    <row r="3551" spans="1:91">
      <c r="A3551" s="2" t="s">
        <v>71</v>
      </c>
      <c r="B3551" s="2" t="s">
        <v>72</v>
      </c>
      <c r="C3551" s="2" t="s">
        <v>73</v>
      </c>
      <c r="D3551" s="2"/>
      <c r="E3551" s="2" t="str">
        <f>"FES1162546102"</f>
        <v>FES1162546102</v>
      </c>
      <c r="F3551" s="3">
        <v>42853</v>
      </c>
      <c r="G3551" s="2">
        <v>201710</v>
      </c>
      <c r="H3551" s="2" t="s">
        <v>74</v>
      </c>
      <c r="I3551" s="2" t="s">
        <v>75</v>
      </c>
      <c r="J3551" s="2" t="s">
        <v>76</v>
      </c>
      <c r="K3551" s="2" t="s">
        <v>77</v>
      </c>
      <c r="L3551" s="2" t="s">
        <v>443</v>
      </c>
      <c r="M3551" s="2" t="s">
        <v>444</v>
      </c>
      <c r="N3551" s="2" t="s">
        <v>627</v>
      </c>
      <c r="O3551" s="2" t="s">
        <v>115</v>
      </c>
      <c r="P3551" s="2" t="str">
        <f>"2170563001                    "</f>
        <v xml:space="preserve">2170563001                    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38.58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1</v>
      </c>
      <c r="BI3551" s="2">
        <v>18</v>
      </c>
      <c r="BJ3551" s="2">
        <v>4.0999999999999996</v>
      </c>
      <c r="BK3551" s="2">
        <v>18</v>
      </c>
      <c r="BL3551" s="2">
        <v>375.54</v>
      </c>
      <c r="BM3551" s="2">
        <v>52.58</v>
      </c>
      <c r="BN3551" s="2">
        <v>428.12</v>
      </c>
      <c r="BO3551" s="2">
        <v>428.12</v>
      </c>
      <c r="BP3551" s="2"/>
      <c r="BQ3551" s="2" t="s">
        <v>628</v>
      </c>
      <c r="BR3551" s="2" t="s">
        <v>84</v>
      </c>
      <c r="BS3551" s="1" t="s">
        <v>1744</v>
      </c>
      <c r="BT3551" s="2"/>
      <c r="BU3551" s="2"/>
      <c r="BV3551" s="2"/>
      <c r="BW3551" s="2"/>
      <c r="BX3551" s="2"/>
      <c r="BY3551" s="2">
        <v>20358</v>
      </c>
      <c r="BZ3551" s="2"/>
      <c r="CA3551" s="2"/>
      <c r="CB3551" s="2"/>
      <c r="CC3551" s="2" t="s">
        <v>444</v>
      </c>
      <c r="CD3551" s="2">
        <v>7130</v>
      </c>
      <c r="CE3551" s="2" t="s">
        <v>89</v>
      </c>
      <c r="CF3551" s="2"/>
      <c r="CG3551" s="2"/>
      <c r="CH3551" s="2"/>
      <c r="CI3551" s="2">
        <v>1</v>
      </c>
      <c r="CJ3551" s="2" t="s">
        <v>1744</v>
      </c>
      <c r="CK3551" s="2">
        <v>21</v>
      </c>
      <c r="CL3551" s="2" t="s">
        <v>86</v>
      </c>
      <c r="CM3551" s="2"/>
    </row>
    <row r="3552" spans="1:91">
      <c r="A3552" s="2" t="s">
        <v>71</v>
      </c>
      <c r="B3552" s="2" t="s">
        <v>72</v>
      </c>
      <c r="C3552" s="2" t="s">
        <v>73</v>
      </c>
      <c r="D3552" s="2"/>
      <c r="E3552" s="2" t="str">
        <f>"FES1162546092"</f>
        <v>FES1162546092</v>
      </c>
      <c r="F3552" s="3">
        <v>42853</v>
      </c>
      <c r="G3552" s="2">
        <v>201710</v>
      </c>
      <c r="H3552" s="2" t="s">
        <v>74</v>
      </c>
      <c r="I3552" s="2" t="s">
        <v>75</v>
      </c>
      <c r="J3552" s="2" t="s">
        <v>76</v>
      </c>
      <c r="K3552" s="2" t="s">
        <v>77</v>
      </c>
      <c r="L3552" s="2" t="s">
        <v>112</v>
      </c>
      <c r="M3552" s="2" t="s">
        <v>113</v>
      </c>
      <c r="N3552" s="2" t="s">
        <v>3474</v>
      </c>
      <c r="O3552" s="2" t="s">
        <v>115</v>
      </c>
      <c r="P3552" s="2" t="str">
        <f>"2170564496                    "</f>
        <v xml:space="preserve">2170564496                    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4.29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234</v>
      </c>
      <c r="BF3552" s="2">
        <v>0</v>
      </c>
      <c r="BG3552" s="2">
        <v>0</v>
      </c>
      <c r="BH3552" s="2">
        <v>1</v>
      </c>
      <c r="BI3552" s="2">
        <v>1.7</v>
      </c>
      <c r="BJ3552" s="2">
        <v>0.2</v>
      </c>
      <c r="BK3552" s="2">
        <v>2</v>
      </c>
      <c r="BL3552" s="2">
        <v>275.73</v>
      </c>
      <c r="BM3552" s="2">
        <v>38.6</v>
      </c>
      <c r="BN3552" s="2">
        <v>314.33</v>
      </c>
      <c r="BO3552" s="2">
        <v>314.33</v>
      </c>
      <c r="BP3552" s="2" t="s">
        <v>3475</v>
      </c>
      <c r="BQ3552" s="2" t="s">
        <v>2429</v>
      </c>
      <c r="BR3552" s="2" t="s">
        <v>84</v>
      </c>
      <c r="BS3552" s="3">
        <v>42854</v>
      </c>
      <c r="BT3552" s="4">
        <v>0.38541666666666669</v>
      </c>
      <c r="BU3552" s="2" t="s">
        <v>3476</v>
      </c>
      <c r="BV3552" s="2" t="s">
        <v>111</v>
      </c>
      <c r="BW3552" s="2"/>
      <c r="BX3552" s="2"/>
      <c r="BY3552" s="2">
        <v>1200</v>
      </c>
      <c r="BZ3552" s="2" t="s">
        <v>2426</v>
      </c>
      <c r="CA3552" s="2"/>
      <c r="CB3552" s="2"/>
      <c r="CC3552" s="2" t="s">
        <v>113</v>
      </c>
      <c r="CD3552" s="2">
        <v>3200</v>
      </c>
      <c r="CE3552" s="2" t="s">
        <v>118</v>
      </c>
      <c r="CF3552" s="2"/>
      <c r="CG3552" s="2"/>
      <c r="CH3552" s="2"/>
      <c r="CI3552" s="2">
        <v>1</v>
      </c>
      <c r="CJ3552" s="2">
        <v>1</v>
      </c>
      <c r="CK3552" s="2">
        <v>21</v>
      </c>
      <c r="CL3552" s="2" t="s">
        <v>86</v>
      </c>
      <c r="CM3552" s="2"/>
    </row>
    <row r="3553" spans="1:91">
      <c r="A3553" s="2" t="s">
        <v>71</v>
      </c>
      <c r="B3553" s="2" t="s">
        <v>72</v>
      </c>
      <c r="C3553" s="2" t="s">
        <v>73</v>
      </c>
      <c r="D3553" s="2"/>
      <c r="E3553" s="2" t="str">
        <f>"FES1162546113"</f>
        <v>FES1162546113</v>
      </c>
      <c r="F3553" s="3">
        <v>42853</v>
      </c>
      <c r="G3553" s="2">
        <v>201710</v>
      </c>
      <c r="H3553" s="2" t="s">
        <v>74</v>
      </c>
      <c r="I3553" s="2" t="s">
        <v>75</v>
      </c>
      <c r="J3553" s="2" t="s">
        <v>76</v>
      </c>
      <c r="K3553" s="2" t="s">
        <v>77</v>
      </c>
      <c r="L3553" s="2" t="s">
        <v>187</v>
      </c>
      <c r="M3553" s="2" t="s">
        <v>146</v>
      </c>
      <c r="N3553" s="2" t="s">
        <v>326</v>
      </c>
      <c r="O3553" s="2" t="s">
        <v>115</v>
      </c>
      <c r="P3553" s="2" t="str">
        <f>"2170564348                    "</f>
        <v xml:space="preserve">2170564348                    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4.29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1</v>
      </c>
      <c r="BI3553" s="2">
        <v>0.5</v>
      </c>
      <c r="BJ3553" s="2">
        <v>0.2</v>
      </c>
      <c r="BK3553" s="2">
        <v>0.5</v>
      </c>
      <c r="BL3553" s="2">
        <v>41.73</v>
      </c>
      <c r="BM3553" s="2">
        <v>5.84</v>
      </c>
      <c r="BN3553" s="2">
        <v>47.57</v>
      </c>
      <c r="BO3553" s="2">
        <v>47.57</v>
      </c>
      <c r="BP3553" s="2"/>
      <c r="BQ3553" s="2" t="s">
        <v>3116</v>
      </c>
      <c r="BR3553" s="2" t="s">
        <v>84</v>
      </c>
      <c r="BS3553" s="1" t="s">
        <v>1744</v>
      </c>
      <c r="BT3553" s="2"/>
      <c r="BU3553" s="2"/>
      <c r="BV3553" s="2"/>
      <c r="BW3553" s="2"/>
      <c r="BX3553" s="2"/>
      <c r="BY3553" s="2">
        <v>1200</v>
      </c>
      <c r="BZ3553" s="2"/>
      <c r="CA3553" s="2"/>
      <c r="CB3553" s="2"/>
      <c r="CC3553" s="2" t="s">
        <v>146</v>
      </c>
      <c r="CD3553" s="2">
        <v>200</v>
      </c>
      <c r="CE3553" s="2" t="s">
        <v>118</v>
      </c>
      <c r="CF3553" s="2"/>
      <c r="CG3553" s="2"/>
      <c r="CH3553" s="2"/>
      <c r="CI3553" s="2">
        <v>1</v>
      </c>
      <c r="CJ3553" s="2" t="s">
        <v>1744</v>
      </c>
      <c r="CK3553" s="2">
        <v>21</v>
      </c>
      <c r="CL3553" s="2" t="s">
        <v>86</v>
      </c>
      <c r="CM3553" s="2"/>
    </row>
    <row r="3554" spans="1:91">
      <c r="A3554" s="2" t="s">
        <v>71</v>
      </c>
      <c r="B3554" s="2" t="s">
        <v>72</v>
      </c>
      <c r="C3554" s="2" t="s">
        <v>73</v>
      </c>
      <c r="D3554" s="2"/>
      <c r="E3554" s="2" t="str">
        <f>"FES1162546104"</f>
        <v>FES1162546104</v>
      </c>
      <c r="F3554" s="3">
        <v>42853</v>
      </c>
      <c r="G3554" s="2">
        <v>201710</v>
      </c>
      <c r="H3554" s="2" t="s">
        <v>74</v>
      </c>
      <c r="I3554" s="2" t="s">
        <v>75</v>
      </c>
      <c r="J3554" s="2" t="s">
        <v>76</v>
      </c>
      <c r="K3554" s="2" t="s">
        <v>77</v>
      </c>
      <c r="L3554" s="2" t="s">
        <v>299</v>
      </c>
      <c r="M3554" s="2" t="s">
        <v>300</v>
      </c>
      <c r="N3554" s="2" t="s">
        <v>345</v>
      </c>
      <c r="O3554" s="2" t="s">
        <v>115</v>
      </c>
      <c r="P3554" s="2" t="str">
        <f>"2170564506                    "</f>
        <v xml:space="preserve">2170564506                    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6.03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  <c r="BG3554" s="2">
        <v>0</v>
      </c>
      <c r="BH3554" s="2">
        <v>1</v>
      </c>
      <c r="BI3554" s="2">
        <v>1</v>
      </c>
      <c r="BJ3554" s="2">
        <v>0.2</v>
      </c>
      <c r="BK3554" s="2">
        <v>1</v>
      </c>
      <c r="BL3554" s="2">
        <v>58.68</v>
      </c>
      <c r="BM3554" s="2">
        <v>8.2200000000000006</v>
      </c>
      <c r="BN3554" s="2">
        <v>66.900000000000006</v>
      </c>
      <c r="BO3554" s="2">
        <v>66.900000000000006</v>
      </c>
      <c r="BP3554" s="2"/>
      <c r="BQ3554" s="2" t="s">
        <v>346</v>
      </c>
      <c r="BR3554" s="2" t="s">
        <v>84</v>
      </c>
      <c r="BS3554" s="1" t="s">
        <v>1744</v>
      </c>
      <c r="BT3554" s="2"/>
      <c r="BU3554" s="2"/>
      <c r="BV3554" s="2"/>
      <c r="BW3554" s="2"/>
      <c r="BX3554" s="2"/>
      <c r="BY3554" s="2">
        <v>1200</v>
      </c>
      <c r="BZ3554" s="2"/>
      <c r="CA3554" s="2"/>
      <c r="CB3554" s="2"/>
      <c r="CC3554" s="2" t="s">
        <v>300</v>
      </c>
      <c r="CD3554" s="2">
        <v>208</v>
      </c>
      <c r="CE3554" s="2" t="s">
        <v>118</v>
      </c>
      <c r="CF3554" s="2"/>
      <c r="CG3554" s="2"/>
      <c r="CH3554" s="2"/>
      <c r="CI3554" s="2">
        <v>1</v>
      </c>
      <c r="CJ3554" s="2" t="s">
        <v>1744</v>
      </c>
      <c r="CK3554" s="2">
        <v>24</v>
      </c>
      <c r="CL3554" s="2" t="s">
        <v>86</v>
      </c>
      <c r="CM3554" s="2"/>
    </row>
    <row r="3555" spans="1:91">
      <c r="A3555" s="2" t="s">
        <v>71</v>
      </c>
      <c r="B3555" s="2" t="s">
        <v>72</v>
      </c>
      <c r="C3555" s="2" t="s">
        <v>73</v>
      </c>
      <c r="D3555" s="2"/>
      <c r="E3555" s="2" t="str">
        <f>"FES1162546111"</f>
        <v>FES1162546111</v>
      </c>
      <c r="F3555" s="3">
        <v>42853</v>
      </c>
      <c r="G3555" s="2">
        <v>201710</v>
      </c>
      <c r="H3555" s="2" t="s">
        <v>74</v>
      </c>
      <c r="I3555" s="2" t="s">
        <v>75</v>
      </c>
      <c r="J3555" s="2" t="s">
        <v>76</v>
      </c>
      <c r="K3555" s="2" t="s">
        <v>77</v>
      </c>
      <c r="L3555" s="2" t="s">
        <v>91</v>
      </c>
      <c r="M3555" s="2" t="s">
        <v>92</v>
      </c>
      <c r="N3555" s="2" t="s">
        <v>577</v>
      </c>
      <c r="O3555" s="2" t="s">
        <v>115</v>
      </c>
      <c r="P3555" s="2" t="str">
        <f>"2170564519                    "</f>
        <v xml:space="preserve">2170564519                    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3.35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1</v>
      </c>
      <c r="BI3555" s="2">
        <v>1</v>
      </c>
      <c r="BJ3555" s="2">
        <v>0.2</v>
      </c>
      <c r="BK3555" s="2">
        <v>1</v>
      </c>
      <c r="BL3555" s="2">
        <v>32.6</v>
      </c>
      <c r="BM3555" s="2">
        <v>4.5599999999999996</v>
      </c>
      <c r="BN3555" s="2">
        <v>37.159999999999997</v>
      </c>
      <c r="BO3555" s="2">
        <v>37.159999999999997</v>
      </c>
      <c r="BP3555" s="2"/>
      <c r="BQ3555" s="2" t="s">
        <v>578</v>
      </c>
      <c r="BR3555" s="2" t="s">
        <v>84</v>
      </c>
      <c r="BS3555" s="1" t="s">
        <v>1744</v>
      </c>
      <c r="BT3555" s="2"/>
      <c r="BU3555" s="2"/>
      <c r="BV3555" s="2"/>
      <c r="BW3555" s="2"/>
      <c r="BX3555" s="2"/>
      <c r="BY3555" s="2">
        <v>1200</v>
      </c>
      <c r="BZ3555" s="2"/>
      <c r="CA3555" s="2"/>
      <c r="CB3555" s="2"/>
      <c r="CC3555" s="2" t="s">
        <v>92</v>
      </c>
      <c r="CD3555" s="2">
        <v>1428</v>
      </c>
      <c r="CE3555" s="2" t="s">
        <v>118</v>
      </c>
      <c r="CF3555" s="2"/>
      <c r="CG3555" s="2"/>
      <c r="CH3555" s="2"/>
      <c r="CI3555" s="2">
        <v>1</v>
      </c>
      <c r="CJ3555" s="2" t="s">
        <v>1744</v>
      </c>
      <c r="CK3555" s="2">
        <v>22</v>
      </c>
      <c r="CL3555" s="2" t="s">
        <v>86</v>
      </c>
      <c r="CM3555" s="2"/>
    </row>
    <row r="3556" spans="1:91">
      <c r="A3556" s="2" t="s">
        <v>71</v>
      </c>
      <c r="B3556" s="2" t="s">
        <v>72</v>
      </c>
      <c r="C3556" s="2" t="s">
        <v>73</v>
      </c>
      <c r="D3556" s="2"/>
      <c r="E3556" s="2" t="str">
        <f>"FES1162546112"</f>
        <v>FES1162546112</v>
      </c>
      <c r="F3556" s="3">
        <v>42853</v>
      </c>
      <c r="G3556" s="2">
        <v>201710</v>
      </c>
      <c r="H3556" s="2" t="s">
        <v>74</v>
      </c>
      <c r="I3556" s="2" t="s">
        <v>75</v>
      </c>
      <c r="J3556" s="2" t="s">
        <v>76</v>
      </c>
      <c r="K3556" s="2" t="s">
        <v>77</v>
      </c>
      <c r="L3556" s="2" t="s">
        <v>714</v>
      </c>
      <c r="M3556" s="2" t="s">
        <v>715</v>
      </c>
      <c r="N3556" s="2" t="s">
        <v>326</v>
      </c>
      <c r="O3556" s="2" t="s">
        <v>115</v>
      </c>
      <c r="P3556" s="2" t="str">
        <f>"2170564520                    "</f>
        <v xml:space="preserve">2170564520                    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3.35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1</v>
      </c>
      <c r="BI3556" s="2">
        <v>1</v>
      </c>
      <c r="BJ3556" s="2">
        <v>0.2</v>
      </c>
      <c r="BK3556" s="2">
        <v>1</v>
      </c>
      <c r="BL3556" s="2">
        <v>32.6</v>
      </c>
      <c r="BM3556" s="2">
        <v>4.5599999999999996</v>
      </c>
      <c r="BN3556" s="2">
        <v>37.159999999999997</v>
      </c>
      <c r="BO3556" s="2">
        <v>37.159999999999997</v>
      </c>
      <c r="BP3556" s="2"/>
      <c r="BQ3556" s="2"/>
      <c r="BR3556" s="2" t="s">
        <v>84</v>
      </c>
      <c r="BS3556" s="1" t="s">
        <v>1744</v>
      </c>
      <c r="BT3556" s="2"/>
      <c r="BU3556" s="2"/>
      <c r="BV3556" s="2"/>
      <c r="BW3556" s="2"/>
      <c r="BX3556" s="2"/>
      <c r="BY3556" s="2">
        <v>1200</v>
      </c>
      <c r="BZ3556" s="2"/>
      <c r="CA3556" s="2"/>
      <c r="CB3556" s="2"/>
      <c r="CC3556" s="2" t="s">
        <v>715</v>
      </c>
      <c r="CD3556" s="2">
        <v>1451</v>
      </c>
      <c r="CE3556" s="2" t="s">
        <v>118</v>
      </c>
      <c r="CF3556" s="2"/>
      <c r="CG3556" s="2"/>
      <c r="CH3556" s="2"/>
      <c r="CI3556" s="2">
        <v>1</v>
      </c>
      <c r="CJ3556" s="2" t="s">
        <v>1744</v>
      </c>
      <c r="CK3556" s="2">
        <v>22</v>
      </c>
      <c r="CL3556" s="2" t="s">
        <v>86</v>
      </c>
      <c r="CM3556" s="2"/>
    </row>
    <row r="3557" spans="1:91">
      <c r="A3557" s="2" t="s">
        <v>71</v>
      </c>
      <c r="B3557" s="2" t="s">
        <v>72</v>
      </c>
      <c r="C3557" s="2" t="s">
        <v>73</v>
      </c>
      <c r="D3557" s="2"/>
      <c r="E3557" s="2" t="str">
        <f>"FES1162546037"</f>
        <v>FES1162546037</v>
      </c>
      <c r="F3557" s="3">
        <v>42853</v>
      </c>
      <c r="G3557" s="2">
        <v>201710</v>
      </c>
      <c r="H3557" s="2" t="s">
        <v>74</v>
      </c>
      <c r="I3557" s="2" t="s">
        <v>75</v>
      </c>
      <c r="J3557" s="2" t="s">
        <v>76</v>
      </c>
      <c r="K3557" s="2" t="s">
        <v>77</v>
      </c>
      <c r="L3557" s="2" t="s">
        <v>180</v>
      </c>
      <c r="M3557" s="2" t="s">
        <v>181</v>
      </c>
      <c r="N3557" s="2" t="s">
        <v>3210</v>
      </c>
      <c r="O3557" s="2" t="s">
        <v>115</v>
      </c>
      <c r="P3557" s="2" t="str">
        <f>"2170564442                    "</f>
        <v xml:space="preserve">2170564442                    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39.65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2</v>
      </c>
      <c r="BI3557" s="2">
        <v>13.2</v>
      </c>
      <c r="BJ3557" s="2">
        <v>18.399999999999999</v>
      </c>
      <c r="BK3557" s="2">
        <v>18.5</v>
      </c>
      <c r="BL3557" s="2">
        <v>385.97</v>
      </c>
      <c r="BM3557" s="2">
        <v>54.04</v>
      </c>
      <c r="BN3557" s="2">
        <v>440.01</v>
      </c>
      <c r="BO3557" s="2">
        <v>440.01</v>
      </c>
      <c r="BP3557" s="2"/>
      <c r="BQ3557" s="2" t="s">
        <v>3211</v>
      </c>
      <c r="BR3557" s="2" t="s">
        <v>84</v>
      </c>
      <c r="BS3557" s="1" t="s">
        <v>1744</v>
      </c>
      <c r="BT3557" s="2"/>
      <c r="BU3557" s="2"/>
      <c r="BV3557" s="2"/>
      <c r="BW3557" s="2"/>
      <c r="BX3557" s="2"/>
      <c r="BY3557" s="2">
        <v>91816.320000000007</v>
      </c>
      <c r="BZ3557" s="2"/>
      <c r="CA3557" s="2"/>
      <c r="CB3557" s="2"/>
      <c r="CC3557" s="2" t="s">
        <v>181</v>
      </c>
      <c r="CD3557" s="2">
        <v>4051</v>
      </c>
      <c r="CE3557" s="2" t="s">
        <v>89</v>
      </c>
      <c r="CF3557" s="2"/>
      <c r="CG3557" s="2"/>
      <c r="CH3557" s="2"/>
      <c r="CI3557" s="2">
        <v>1</v>
      </c>
      <c r="CJ3557" s="2" t="s">
        <v>1744</v>
      </c>
      <c r="CK3557" s="2">
        <v>21</v>
      </c>
      <c r="CL3557" s="2" t="s">
        <v>86</v>
      </c>
      <c r="CM3557" s="2"/>
    </row>
    <row r="3558" spans="1:91">
      <c r="A3558" s="2" t="s">
        <v>71</v>
      </c>
      <c r="B3558" s="2" t="s">
        <v>72</v>
      </c>
      <c r="C3558" s="2" t="s">
        <v>73</v>
      </c>
      <c r="D3558" s="2"/>
      <c r="E3558" s="2" t="str">
        <f>"FES1162546080"</f>
        <v>FES1162546080</v>
      </c>
      <c r="F3558" s="3">
        <v>42853</v>
      </c>
      <c r="G3558" s="2">
        <v>201710</v>
      </c>
      <c r="H3558" s="2" t="s">
        <v>74</v>
      </c>
      <c r="I3558" s="2" t="s">
        <v>75</v>
      </c>
      <c r="J3558" s="2" t="s">
        <v>76</v>
      </c>
      <c r="K3558" s="2" t="s">
        <v>77</v>
      </c>
      <c r="L3558" s="2" t="s">
        <v>131</v>
      </c>
      <c r="M3558" s="2" t="s">
        <v>132</v>
      </c>
      <c r="N3558" s="2" t="s">
        <v>744</v>
      </c>
      <c r="O3558" s="2" t="s">
        <v>115</v>
      </c>
      <c r="P3558" s="2" t="str">
        <f>"2170564204                    "</f>
        <v xml:space="preserve">2170564204                    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22.51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1</v>
      </c>
      <c r="BI3558" s="2">
        <v>10.199999999999999</v>
      </c>
      <c r="BJ3558" s="2">
        <v>3.8</v>
      </c>
      <c r="BK3558" s="2">
        <v>10.5</v>
      </c>
      <c r="BL3558" s="2">
        <v>219.07</v>
      </c>
      <c r="BM3558" s="2">
        <v>30.67</v>
      </c>
      <c r="BN3558" s="2">
        <v>249.74</v>
      </c>
      <c r="BO3558" s="2">
        <v>249.74</v>
      </c>
      <c r="BP3558" s="2"/>
      <c r="BQ3558" s="2" t="s">
        <v>138</v>
      </c>
      <c r="BR3558" s="2" t="s">
        <v>84</v>
      </c>
      <c r="BS3558" s="1" t="s">
        <v>1744</v>
      </c>
      <c r="BT3558" s="2"/>
      <c r="BU3558" s="2"/>
      <c r="BV3558" s="2"/>
      <c r="BW3558" s="2"/>
      <c r="BX3558" s="2"/>
      <c r="BY3558" s="2">
        <v>19123.96</v>
      </c>
      <c r="BZ3558" s="2"/>
      <c r="CA3558" s="2"/>
      <c r="CB3558" s="2"/>
      <c r="CC3558" s="2" t="s">
        <v>132</v>
      </c>
      <c r="CD3558" s="2">
        <v>7405</v>
      </c>
      <c r="CE3558" s="2" t="s">
        <v>89</v>
      </c>
      <c r="CF3558" s="2"/>
      <c r="CG3558" s="2"/>
      <c r="CH3558" s="2"/>
      <c r="CI3558" s="2">
        <v>1</v>
      </c>
      <c r="CJ3558" s="2" t="s">
        <v>1744</v>
      </c>
      <c r="CK3558" s="2">
        <v>21</v>
      </c>
      <c r="CL3558" s="2" t="s">
        <v>86</v>
      </c>
      <c r="CM3558" s="2"/>
    </row>
    <row r="3559" spans="1:91">
      <c r="A3559" s="2" t="s">
        <v>71</v>
      </c>
      <c r="B3559" s="2" t="s">
        <v>72</v>
      </c>
      <c r="C3559" s="2" t="s">
        <v>73</v>
      </c>
      <c r="D3559" s="2"/>
      <c r="E3559" s="2" t="str">
        <f>"FES1162546116"</f>
        <v>FES1162546116</v>
      </c>
      <c r="F3559" s="3">
        <v>42853</v>
      </c>
      <c r="G3559" s="2">
        <v>201710</v>
      </c>
      <c r="H3559" s="2" t="s">
        <v>74</v>
      </c>
      <c r="I3559" s="2" t="s">
        <v>75</v>
      </c>
      <c r="J3559" s="2" t="s">
        <v>76</v>
      </c>
      <c r="K3559" s="2" t="s">
        <v>77</v>
      </c>
      <c r="L3559" s="2" t="s">
        <v>2196</v>
      </c>
      <c r="M3559" s="2" t="s">
        <v>2196</v>
      </c>
      <c r="N3559" s="2" t="s">
        <v>3477</v>
      </c>
      <c r="O3559" s="2" t="s">
        <v>115</v>
      </c>
      <c r="P3559" s="2" t="str">
        <f>"2170564523                    "</f>
        <v xml:space="preserve">2170564523                    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25.11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1</v>
      </c>
      <c r="BI3559" s="2">
        <v>8.1999999999999993</v>
      </c>
      <c r="BJ3559" s="2">
        <v>3.5</v>
      </c>
      <c r="BK3559" s="2">
        <v>8.5</v>
      </c>
      <c r="BL3559" s="2">
        <v>244.42</v>
      </c>
      <c r="BM3559" s="2">
        <v>34.22</v>
      </c>
      <c r="BN3559" s="2">
        <v>278.64</v>
      </c>
      <c r="BO3559" s="2">
        <v>278.64</v>
      </c>
      <c r="BP3559" s="2"/>
      <c r="BQ3559" s="2" t="s">
        <v>3478</v>
      </c>
      <c r="BR3559" s="2" t="s">
        <v>84</v>
      </c>
      <c r="BS3559" s="1" t="s">
        <v>1744</v>
      </c>
      <c r="BT3559" s="2"/>
      <c r="BU3559" s="2"/>
      <c r="BV3559" s="2"/>
      <c r="BW3559" s="2"/>
      <c r="BX3559" s="2"/>
      <c r="BY3559" s="2">
        <v>17590.02</v>
      </c>
      <c r="BZ3559" s="2"/>
      <c r="CA3559" s="2"/>
      <c r="CB3559" s="2"/>
      <c r="CC3559" s="2" t="s">
        <v>2196</v>
      </c>
      <c r="CD3559" s="2">
        <v>1490</v>
      </c>
      <c r="CE3559" s="2" t="s">
        <v>89</v>
      </c>
      <c r="CF3559" s="2"/>
      <c r="CG3559" s="2"/>
      <c r="CH3559" s="2"/>
      <c r="CI3559" s="2">
        <v>1</v>
      </c>
      <c r="CJ3559" s="2" t="s">
        <v>1744</v>
      </c>
      <c r="CK3559" s="2">
        <v>24</v>
      </c>
      <c r="CL3559" s="2" t="s">
        <v>86</v>
      </c>
      <c r="CM3559" s="2"/>
    </row>
    <row r="3560" spans="1:91">
      <c r="A3560" s="2" t="s">
        <v>71</v>
      </c>
      <c r="B3560" s="2" t="s">
        <v>72</v>
      </c>
      <c r="C3560" s="2" t="s">
        <v>73</v>
      </c>
      <c r="D3560" s="2"/>
      <c r="E3560" s="2" t="str">
        <f>"FES1162546103"</f>
        <v>FES1162546103</v>
      </c>
      <c r="F3560" s="3">
        <v>42853</v>
      </c>
      <c r="G3560" s="2">
        <v>201710</v>
      </c>
      <c r="H3560" s="2" t="s">
        <v>74</v>
      </c>
      <c r="I3560" s="2" t="s">
        <v>75</v>
      </c>
      <c r="J3560" s="2" t="s">
        <v>76</v>
      </c>
      <c r="K3560" s="2" t="s">
        <v>77</v>
      </c>
      <c r="L3560" s="2" t="s">
        <v>131</v>
      </c>
      <c r="M3560" s="2" t="s">
        <v>132</v>
      </c>
      <c r="N3560" s="2" t="s">
        <v>649</v>
      </c>
      <c r="O3560" s="2" t="s">
        <v>115</v>
      </c>
      <c r="P3560" s="2" t="str">
        <f>"2170564508                    "</f>
        <v xml:space="preserve">2170564508                    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67.52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1</v>
      </c>
      <c r="BI3560" s="2">
        <v>23.1</v>
      </c>
      <c r="BJ3560" s="2">
        <v>31.1</v>
      </c>
      <c r="BK3560" s="2">
        <v>31.5</v>
      </c>
      <c r="BL3560" s="2">
        <v>657.2</v>
      </c>
      <c r="BM3560" s="2">
        <v>92.01</v>
      </c>
      <c r="BN3560" s="2">
        <v>749.21</v>
      </c>
      <c r="BO3560" s="2">
        <v>749.21</v>
      </c>
      <c r="BP3560" s="2"/>
      <c r="BQ3560" s="2" t="s">
        <v>650</v>
      </c>
      <c r="BR3560" s="2" t="s">
        <v>84</v>
      </c>
      <c r="BS3560" s="1" t="s">
        <v>1744</v>
      </c>
      <c r="BT3560" s="2"/>
      <c r="BU3560" s="2"/>
      <c r="BV3560" s="2"/>
      <c r="BW3560" s="2"/>
      <c r="BX3560" s="2"/>
      <c r="BY3560" s="2">
        <v>155698.76999999999</v>
      </c>
      <c r="BZ3560" s="2"/>
      <c r="CA3560" s="2"/>
      <c r="CB3560" s="2"/>
      <c r="CC3560" s="2" t="s">
        <v>132</v>
      </c>
      <c r="CD3560" s="2">
        <v>7405</v>
      </c>
      <c r="CE3560" s="2" t="s">
        <v>89</v>
      </c>
      <c r="CF3560" s="2"/>
      <c r="CG3560" s="2"/>
      <c r="CH3560" s="2"/>
      <c r="CI3560" s="2">
        <v>1</v>
      </c>
      <c r="CJ3560" s="2" t="s">
        <v>1744</v>
      </c>
      <c r="CK3560" s="2">
        <v>21</v>
      </c>
      <c r="CL3560" s="2" t="s">
        <v>86</v>
      </c>
      <c r="CM3560" s="2"/>
    </row>
    <row r="3561" spans="1:91">
      <c r="A3561" s="2" t="s">
        <v>71</v>
      </c>
      <c r="B3561" s="2" t="s">
        <v>72</v>
      </c>
      <c r="C3561" s="2" t="s">
        <v>73</v>
      </c>
      <c r="D3561" s="2"/>
      <c r="E3561" s="2" t="str">
        <f>"FES1162545983"</f>
        <v>FES1162545983</v>
      </c>
      <c r="F3561" s="3">
        <v>42853</v>
      </c>
      <c r="G3561" s="2">
        <v>201710</v>
      </c>
      <c r="H3561" s="2" t="s">
        <v>74</v>
      </c>
      <c r="I3561" s="2" t="s">
        <v>75</v>
      </c>
      <c r="J3561" s="2" t="s">
        <v>76</v>
      </c>
      <c r="K3561" s="2" t="s">
        <v>77</v>
      </c>
      <c r="L3561" s="2" t="s">
        <v>294</v>
      </c>
      <c r="M3561" s="2" t="s">
        <v>295</v>
      </c>
      <c r="N3561" s="2" t="s">
        <v>416</v>
      </c>
      <c r="O3561" s="2" t="s">
        <v>115</v>
      </c>
      <c r="P3561" s="2" t="str">
        <f>"2170562277                    "</f>
        <v xml:space="preserve">2170562277                    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12.86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1</v>
      </c>
      <c r="BI3561" s="2">
        <v>5.7</v>
      </c>
      <c r="BJ3561" s="2">
        <v>1.7</v>
      </c>
      <c r="BK3561" s="2">
        <v>6</v>
      </c>
      <c r="BL3561" s="2">
        <v>125.18</v>
      </c>
      <c r="BM3561" s="2">
        <v>17.53</v>
      </c>
      <c r="BN3561" s="2">
        <v>142.71</v>
      </c>
      <c r="BO3561" s="2">
        <v>142.71</v>
      </c>
      <c r="BP3561" s="2"/>
      <c r="BQ3561" s="2" t="s">
        <v>417</v>
      </c>
      <c r="BR3561" s="2" t="s">
        <v>84</v>
      </c>
      <c r="BS3561" s="1" t="s">
        <v>1744</v>
      </c>
      <c r="BT3561" s="2"/>
      <c r="BU3561" s="2"/>
      <c r="BV3561" s="2"/>
      <c r="BW3561" s="2"/>
      <c r="BX3561" s="2"/>
      <c r="BY3561" s="2">
        <v>8269.56</v>
      </c>
      <c r="BZ3561" s="2"/>
      <c r="CA3561" s="2"/>
      <c r="CB3561" s="2"/>
      <c r="CC3561" s="2" t="s">
        <v>295</v>
      </c>
      <c r="CD3561" s="2">
        <v>3610</v>
      </c>
      <c r="CE3561" s="2" t="s">
        <v>89</v>
      </c>
      <c r="CF3561" s="2"/>
      <c r="CG3561" s="2"/>
      <c r="CH3561" s="2"/>
      <c r="CI3561" s="2">
        <v>1</v>
      </c>
      <c r="CJ3561" s="2" t="s">
        <v>1744</v>
      </c>
      <c r="CK3561" s="2">
        <v>21</v>
      </c>
      <c r="CL3561" s="2" t="s">
        <v>86</v>
      </c>
      <c r="CM3561" s="2"/>
    </row>
    <row r="3562" spans="1:91">
      <c r="A3562" s="2" t="s">
        <v>71</v>
      </c>
      <c r="B3562" s="2" t="s">
        <v>72</v>
      </c>
      <c r="C3562" s="2" t="s">
        <v>73</v>
      </c>
      <c r="D3562" s="2"/>
      <c r="E3562" s="2" t="str">
        <f>"FES1162546081"</f>
        <v>FES1162546081</v>
      </c>
      <c r="F3562" s="3">
        <v>42853</v>
      </c>
      <c r="G3562" s="2">
        <v>201710</v>
      </c>
      <c r="H3562" s="2" t="s">
        <v>74</v>
      </c>
      <c r="I3562" s="2" t="s">
        <v>75</v>
      </c>
      <c r="J3562" s="2" t="s">
        <v>76</v>
      </c>
      <c r="K3562" s="2" t="s">
        <v>77</v>
      </c>
      <c r="L3562" s="2" t="s">
        <v>176</v>
      </c>
      <c r="M3562" s="2" t="s">
        <v>176</v>
      </c>
      <c r="N3562" s="2" t="s">
        <v>177</v>
      </c>
      <c r="O3562" s="2" t="s">
        <v>115</v>
      </c>
      <c r="P3562" s="2" t="str">
        <f>"2170564324                    "</f>
        <v xml:space="preserve">2170564324                    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4.29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1</v>
      </c>
      <c r="BI3562" s="2">
        <v>1</v>
      </c>
      <c r="BJ3562" s="2">
        <v>0.2</v>
      </c>
      <c r="BK3562" s="2">
        <v>1</v>
      </c>
      <c r="BL3562" s="2">
        <v>41.73</v>
      </c>
      <c r="BM3562" s="2">
        <v>5.84</v>
      </c>
      <c r="BN3562" s="2">
        <v>47.57</v>
      </c>
      <c r="BO3562" s="2">
        <v>47.57</v>
      </c>
      <c r="BP3562" s="2"/>
      <c r="BQ3562" s="2" t="s">
        <v>178</v>
      </c>
      <c r="BR3562" s="2" t="s">
        <v>84</v>
      </c>
      <c r="BS3562" s="1" t="s">
        <v>1744</v>
      </c>
      <c r="BT3562" s="2"/>
      <c r="BU3562" s="2"/>
      <c r="BV3562" s="2"/>
      <c r="BW3562" s="2"/>
      <c r="BX3562" s="2"/>
      <c r="BY3562" s="2">
        <v>1200</v>
      </c>
      <c r="BZ3562" s="2"/>
      <c r="CA3562" s="2"/>
      <c r="CB3562" s="2"/>
      <c r="CC3562" s="2" t="s">
        <v>176</v>
      </c>
      <c r="CD3562" s="2">
        <v>7646</v>
      </c>
      <c r="CE3562" s="2" t="s">
        <v>118</v>
      </c>
      <c r="CF3562" s="2"/>
      <c r="CG3562" s="2"/>
      <c r="CH3562" s="2"/>
      <c r="CI3562" s="2">
        <v>1</v>
      </c>
      <c r="CJ3562" s="2" t="s">
        <v>1744</v>
      </c>
      <c r="CK3562" s="2">
        <v>21</v>
      </c>
      <c r="CL3562" s="2" t="s">
        <v>86</v>
      </c>
      <c r="CM3562" s="2"/>
    </row>
    <row r="3563" spans="1:91">
      <c r="A3563" s="2" t="s">
        <v>71</v>
      </c>
      <c r="B3563" s="2" t="s">
        <v>72</v>
      </c>
      <c r="C3563" s="2" t="s">
        <v>73</v>
      </c>
      <c r="D3563" s="2"/>
      <c r="E3563" s="2" t="str">
        <f>"FES1162545990"</f>
        <v>FES1162545990</v>
      </c>
      <c r="F3563" s="3">
        <v>42853</v>
      </c>
      <c r="G3563" s="2">
        <v>201710</v>
      </c>
      <c r="H3563" s="2" t="s">
        <v>74</v>
      </c>
      <c r="I3563" s="2" t="s">
        <v>75</v>
      </c>
      <c r="J3563" s="2" t="s">
        <v>76</v>
      </c>
      <c r="K3563" s="2" t="s">
        <v>77</v>
      </c>
      <c r="L3563" s="2" t="s">
        <v>714</v>
      </c>
      <c r="M3563" s="2" t="s">
        <v>715</v>
      </c>
      <c r="N3563" s="2" t="s">
        <v>262</v>
      </c>
      <c r="O3563" s="2" t="s">
        <v>115</v>
      </c>
      <c r="P3563" s="2" t="str">
        <f>"2170562337                    "</f>
        <v xml:space="preserve">2170562337                    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3.35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  <c r="BG3563" s="2">
        <v>0</v>
      </c>
      <c r="BH3563" s="2">
        <v>1</v>
      </c>
      <c r="BI3563" s="2">
        <v>1</v>
      </c>
      <c r="BJ3563" s="2">
        <v>0.2</v>
      </c>
      <c r="BK3563" s="2">
        <v>1</v>
      </c>
      <c r="BL3563" s="2">
        <v>32.6</v>
      </c>
      <c r="BM3563" s="2">
        <v>4.5599999999999996</v>
      </c>
      <c r="BN3563" s="2">
        <v>37.159999999999997</v>
      </c>
      <c r="BO3563" s="2">
        <v>37.159999999999997</v>
      </c>
      <c r="BP3563" s="2"/>
      <c r="BQ3563" s="2" t="s">
        <v>638</v>
      </c>
      <c r="BR3563" s="2" t="s">
        <v>84</v>
      </c>
      <c r="BS3563" s="1" t="s">
        <v>1744</v>
      </c>
      <c r="BT3563" s="2"/>
      <c r="BU3563" s="2"/>
      <c r="BV3563" s="2"/>
      <c r="BW3563" s="2"/>
      <c r="BX3563" s="2"/>
      <c r="BY3563" s="2">
        <v>1200</v>
      </c>
      <c r="BZ3563" s="2"/>
      <c r="CA3563" s="2"/>
      <c r="CB3563" s="2"/>
      <c r="CC3563" s="2" t="s">
        <v>715</v>
      </c>
      <c r="CD3563" s="2">
        <v>1451</v>
      </c>
      <c r="CE3563" s="2" t="s">
        <v>118</v>
      </c>
      <c r="CF3563" s="2"/>
      <c r="CG3563" s="2"/>
      <c r="CH3563" s="2"/>
      <c r="CI3563" s="2">
        <v>1</v>
      </c>
      <c r="CJ3563" s="2" t="s">
        <v>1744</v>
      </c>
      <c r="CK3563" s="2">
        <v>22</v>
      </c>
      <c r="CL3563" s="2" t="s">
        <v>86</v>
      </c>
      <c r="CM3563" s="2"/>
    </row>
    <row r="3564" spans="1:91">
      <c r="A3564" s="2" t="s">
        <v>71</v>
      </c>
      <c r="B3564" s="2" t="s">
        <v>72</v>
      </c>
      <c r="C3564" s="2" t="s">
        <v>73</v>
      </c>
      <c r="D3564" s="2"/>
      <c r="E3564" s="2" t="str">
        <f>"FES1162546089"</f>
        <v>FES1162546089</v>
      </c>
      <c r="F3564" s="3">
        <v>42853</v>
      </c>
      <c r="G3564" s="2">
        <v>201710</v>
      </c>
      <c r="H3564" s="2" t="s">
        <v>74</v>
      </c>
      <c r="I3564" s="2" t="s">
        <v>75</v>
      </c>
      <c r="J3564" s="2" t="s">
        <v>76</v>
      </c>
      <c r="K3564" s="2" t="s">
        <v>77</v>
      </c>
      <c r="L3564" s="2" t="s">
        <v>714</v>
      </c>
      <c r="M3564" s="2" t="s">
        <v>715</v>
      </c>
      <c r="N3564" s="2" t="s">
        <v>1371</v>
      </c>
      <c r="O3564" s="2" t="s">
        <v>115</v>
      </c>
      <c r="P3564" s="2" t="str">
        <f>"2170564492                    "</f>
        <v xml:space="preserve">2170564492                    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3.35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1</v>
      </c>
      <c r="BI3564" s="2">
        <v>1</v>
      </c>
      <c r="BJ3564" s="2">
        <v>0.2</v>
      </c>
      <c r="BK3564" s="2">
        <v>1</v>
      </c>
      <c r="BL3564" s="2">
        <v>32.6</v>
      </c>
      <c r="BM3564" s="2">
        <v>4.5599999999999996</v>
      </c>
      <c r="BN3564" s="2">
        <v>37.159999999999997</v>
      </c>
      <c r="BO3564" s="2">
        <v>37.159999999999997</v>
      </c>
      <c r="BP3564" s="2"/>
      <c r="BQ3564" s="2" t="s">
        <v>1372</v>
      </c>
      <c r="BR3564" s="2" t="s">
        <v>84</v>
      </c>
      <c r="BS3564" s="1" t="s">
        <v>1744</v>
      </c>
      <c r="BT3564" s="2"/>
      <c r="BU3564" s="2"/>
      <c r="BV3564" s="2"/>
      <c r="BW3564" s="2"/>
      <c r="BX3564" s="2"/>
      <c r="BY3564" s="2">
        <v>1200</v>
      </c>
      <c r="BZ3564" s="2" t="s">
        <v>27</v>
      </c>
      <c r="CA3564" s="2"/>
      <c r="CB3564" s="2"/>
      <c r="CC3564" s="2" t="s">
        <v>715</v>
      </c>
      <c r="CD3564" s="2">
        <v>1451</v>
      </c>
      <c r="CE3564" s="2" t="s">
        <v>118</v>
      </c>
      <c r="CF3564" s="2"/>
      <c r="CG3564" s="2"/>
      <c r="CH3564" s="2"/>
      <c r="CI3564" s="2">
        <v>1</v>
      </c>
      <c r="CJ3564" s="2" t="s">
        <v>1744</v>
      </c>
      <c r="CK3564" s="2">
        <v>22</v>
      </c>
      <c r="CL3564" s="2" t="s">
        <v>86</v>
      </c>
      <c r="CM3564" s="2"/>
    </row>
    <row r="3565" spans="1:91">
      <c r="A3565" s="2" t="s">
        <v>71</v>
      </c>
      <c r="B3565" s="2" t="s">
        <v>72</v>
      </c>
      <c r="C3565" s="2" t="s">
        <v>73</v>
      </c>
      <c r="D3565" s="2"/>
      <c r="E3565" s="2" t="str">
        <f>"FES1162546087"</f>
        <v>FES1162546087</v>
      </c>
      <c r="F3565" s="3">
        <v>42853</v>
      </c>
      <c r="G3565" s="2">
        <v>201710</v>
      </c>
      <c r="H3565" s="2" t="s">
        <v>74</v>
      </c>
      <c r="I3565" s="2" t="s">
        <v>75</v>
      </c>
      <c r="J3565" s="2" t="s">
        <v>76</v>
      </c>
      <c r="K3565" s="2" t="s">
        <v>77</v>
      </c>
      <c r="L3565" s="2" t="s">
        <v>99</v>
      </c>
      <c r="M3565" s="2" t="s">
        <v>100</v>
      </c>
      <c r="N3565" s="2" t="s">
        <v>583</v>
      </c>
      <c r="O3565" s="2" t="s">
        <v>115</v>
      </c>
      <c r="P3565" s="2" t="str">
        <f>"2170564489                    "</f>
        <v xml:space="preserve">2170564489                    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4.29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1</v>
      </c>
      <c r="BI3565" s="2">
        <v>1</v>
      </c>
      <c r="BJ3565" s="2">
        <v>0.2</v>
      </c>
      <c r="BK3565" s="2">
        <v>1</v>
      </c>
      <c r="BL3565" s="2">
        <v>41.73</v>
      </c>
      <c r="BM3565" s="2">
        <v>5.84</v>
      </c>
      <c r="BN3565" s="2">
        <v>47.57</v>
      </c>
      <c r="BO3565" s="2">
        <v>47.57</v>
      </c>
      <c r="BP3565" s="2"/>
      <c r="BQ3565" s="2" t="s">
        <v>584</v>
      </c>
      <c r="BR3565" s="2" t="s">
        <v>84</v>
      </c>
      <c r="BS3565" s="1" t="s">
        <v>1744</v>
      </c>
      <c r="BT3565" s="2"/>
      <c r="BU3565" s="2"/>
      <c r="BV3565" s="2"/>
      <c r="BW3565" s="2"/>
      <c r="BX3565" s="2"/>
      <c r="BY3565" s="2">
        <v>1200</v>
      </c>
      <c r="BZ3565" s="2" t="s">
        <v>27</v>
      </c>
      <c r="CA3565" s="2"/>
      <c r="CB3565" s="2"/>
      <c r="CC3565" s="2" t="s">
        <v>100</v>
      </c>
      <c r="CD3565" s="2">
        <v>6001</v>
      </c>
      <c r="CE3565" s="2" t="s">
        <v>118</v>
      </c>
      <c r="CF3565" s="2"/>
      <c r="CG3565" s="2"/>
      <c r="CH3565" s="2"/>
      <c r="CI3565" s="2">
        <v>1</v>
      </c>
      <c r="CJ3565" s="2" t="s">
        <v>1744</v>
      </c>
      <c r="CK3565" s="2">
        <v>21</v>
      </c>
      <c r="CL3565" s="2" t="s">
        <v>86</v>
      </c>
      <c r="CM3565" s="2"/>
    </row>
    <row r="3566" spans="1:91">
      <c r="A3566" s="2" t="s">
        <v>71</v>
      </c>
      <c r="B3566" s="2" t="s">
        <v>72</v>
      </c>
      <c r="C3566" s="2" t="s">
        <v>73</v>
      </c>
      <c r="D3566" s="2"/>
      <c r="E3566" s="2" t="str">
        <f>"FES1162546063"</f>
        <v>FES1162546063</v>
      </c>
      <c r="F3566" s="3">
        <v>42853</v>
      </c>
      <c r="G3566" s="2">
        <v>201710</v>
      </c>
      <c r="H3566" s="2" t="s">
        <v>74</v>
      </c>
      <c r="I3566" s="2" t="s">
        <v>75</v>
      </c>
      <c r="J3566" s="2" t="s">
        <v>76</v>
      </c>
      <c r="K3566" s="2" t="s">
        <v>77</v>
      </c>
      <c r="L3566" s="2" t="s">
        <v>516</v>
      </c>
      <c r="M3566" s="2" t="s">
        <v>517</v>
      </c>
      <c r="N3566" s="2" t="s">
        <v>1911</v>
      </c>
      <c r="O3566" s="2" t="s">
        <v>115</v>
      </c>
      <c r="P3566" s="2" t="str">
        <f>"2170564470                    "</f>
        <v xml:space="preserve">2170564470                    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3.35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  <c r="BG3566" s="2">
        <v>0</v>
      </c>
      <c r="BH3566" s="2">
        <v>1</v>
      </c>
      <c r="BI3566" s="2">
        <v>3.1</v>
      </c>
      <c r="BJ3566" s="2">
        <v>1</v>
      </c>
      <c r="BK3566" s="2">
        <v>4</v>
      </c>
      <c r="BL3566" s="2">
        <v>32.6</v>
      </c>
      <c r="BM3566" s="2">
        <v>4.5599999999999996</v>
      </c>
      <c r="BN3566" s="2">
        <v>37.159999999999997</v>
      </c>
      <c r="BO3566" s="2">
        <v>37.159999999999997</v>
      </c>
      <c r="BP3566" s="2"/>
      <c r="BQ3566" s="2" t="s">
        <v>1912</v>
      </c>
      <c r="BR3566" s="2" t="s">
        <v>84</v>
      </c>
      <c r="BS3566" s="1" t="s">
        <v>1744</v>
      </c>
      <c r="BT3566" s="2"/>
      <c r="BU3566" s="2"/>
      <c r="BV3566" s="2"/>
      <c r="BW3566" s="2"/>
      <c r="BX3566" s="2"/>
      <c r="BY3566" s="2">
        <v>4883.1499999999996</v>
      </c>
      <c r="BZ3566" s="2" t="s">
        <v>27</v>
      </c>
      <c r="CA3566" s="2"/>
      <c r="CB3566" s="2"/>
      <c r="CC3566" s="2" t="s">
        <v>517</v>
      </c>
      <c r="CD3566" s="2">
        <v>1459</v>
      </c>
      <c r="CE3566" s="2" t="s">
        <v>172</v>
      </c>
      <c r="CF3566" s="2"/>
      <c r="CG3566" s="2"/>
      <c r="CH3566" s="2"/>
      <c r="CI3566" s="2">
        <v>1</v>
      </c>
      <c r="CJ3566" s="2" t="s">
        <v>1744</v>
      </c>
      <c r="CK3566" s="2">
        <v>22</v>
      </c>
      <c r="CL3566" s="2" t="s">
        <v>86</v>
      </c>
      <c r="CM3566" s="2"/>
    </row>
    <row r="3567" spans="1:91">
      <c r="A3567" s="2" t="s">
        <v>71</v>
      </c>
      <c r="B3567" s="2" t="s">
        <v>72</v>
      </c>
      <c r="C3567" s="2" t="s">
        <v>73</v>
      </c>
      <c r="D3567" s="2"/>
      <c r="E3567" s="2" t="str">
        <f>"FES1162545105"</f>
        <v>FES1162545105</v>
      </c>
      <c r="F3567" s="3">
        <v>42853</v>
      </c>
      <c r="G3567" s="2">
        <v>201710</v>
      </c>
      <c r="H3567" s="2" t="s">
        <v>74</v>
      </c>
      <c r="I3567" s="2" t="s">
        <v>75</v>
      </c>
      <c r="J3567" s="2" t="s">
        <v>76</v>
      </c>
      <c r="K3567" s="2" t="s">
        <v>77</v>
      </c>
      <c r="L3567" s="2" t="s">
        <v>119</v>
      </c>
      <c r="M3567" s="2" t="s">
        <v>120</v>
      </c>
      <c r="N3567" s="2" t="s">
        <v>3479</v>
      </c>
      <c r="O3567" s="2" t="s">
        <v>115</v>
      </c>
      <c r="P3567" s="2" t="str">
        <f>"2170561539                    "</f>
        <v xml:space="preserve">2170561539                    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3.35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1</v>
      </c>
      <c r="BI3567" s="2">
        <v>0.5</v>
      </c>
      <c r="BJ3567" s="2">
        <v>0.2</v>
      </c>
      <c r="BK3567" s="2">
        <v>1</v>
      </c>
      <c r="BL3567" s="2">
        <v>32.6</v>
      </c>
      <c r="BM3567" s="2">
        <v>4.5599999999999996</v>
      </c>
      <c r="BN3567" s="2">
        <v>37.159999999999997</v>
      </c>
      <c r="BO3567" s="2">
        <v>37.159999999999997</v>
      </c>
      <c r="BP3567" s="2"/>
      <c r="BQ3567" s="2"/>
      <c r="BR3567" s="2" t="s">
        <v>84</v>
      </c>
      <c r="BS3567" s="1" t="s">
        <v>1744</v>
      </c>
      <c r="BT3567" s="2"/>
      <c r="BU3567" s="2"/>
      <c r="BV3567" s="2"/>
      <c r="BW3567" s="2"/>
      <c r="BX3567" s="2"/>
      <c r="BY3567" s="2">
        <v>1200</v>
      </c>
      <c r="BZ3567" s="2" t="s">
        <v>27</v>
      </c>
      <c r="CA3567" s="2"/>
      <c r="CB3567" s="2"/>
      <c r="CC3567" s="2" t="s">
        <v>120</v>
      </c>
      <c r="CD3567" s="2">
        <v>2163</v>
      </c>
      <c r="CE3567" s="2" t="s">
        <v>118</v>
      </c>
      <c r="CF3567" s="2"/>
      <c r="CG3567" s="2"/>
      <c r="CH3567" s="2"/>
      <c r="CI3567" s="2">
        <v>1</v>
      </c>
      <c r="CJ3567" s="2" t="s">
        <v>1744</v>
      </c>
      <c r="CK3567" s="2">
        <v>22</v>
      </c>
      <c r="CL3567" s="2" t="s">
        <v>86</v>
      </c>
      <c r="CM3567" s="2"/>
    </row>
    <row r="3568" spans="1:91">
      <c r="A3568" s="2" t="s">
        <v>71</v>
      </c>
      <c r="B3568" s="2" t="s">
        <v>72</v>
      </c>
      <c r="C3568" s="2" t="s">
        <v>73</v>
      </c>
      <c r="D3568" s="2"/>
      <c r="E3568" s="2" t="str">
        <f>"FES1162546090"</f>
        <v>FES1162546090</v>
      </c>
      <c r="F3568" s="3">
        <v>42853</v>
      </c>
      <c r="G3568" s="2">
        <v>201710</v>
      </c>
      <c r="H3568" s="2" t="s">
        <v>74</v>
      </c>
      <c r="I3568" s="2" t="s">
        <v>75</v>
      </c>
      <c r="J3568" s="2" t="s">
        <v>76</v>
      </c>
      <c r="K3568" s="2" t="s">
        <v>77</v>
      </c>
      <c r="L3568" s="2" t="s">
        <v>187</v>
      </c>
      <c r="M3568" s="2" t="s">
        <v>146</v>
      </c>
      <c r="N3568" s="2" t="s">
        <v>326</v>
      </c>
      <c r="O3568" s="2" t="s">
        <v>115</v>
      </c>
      <c r="P3568" s="2" t="str">
        <f>"2170564493                    "</f>
        <v xml:space="preserve">2170564493                    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4.29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1</v>
      </c>
      <c r="BI3568" s="2">
        <v>0.5</v>
      </c>
      <c r="BJ3568" s="2">
        <v>0.2</v>
      </c>
      <c r="BK3568" s="2">
        <v>0.5</v>
      </c>
      <c r="BL3568" s="2">
        <v>41.73</v>
      </c>
      <c r="BM3568" s="2">
        <v>5.84</v>
      </c>
      <c r="BN3568" s="2">
        <v>47.57</v>
      </c>
      <c r="BO3568" s="2">
        <v>47.57</v>
      </c>
      <c r="BP3568" s="2"/>
      <c r="BQ3568" s="2" t="s">
        <v>3116</v>
      </c>
      <c r="BR3568" s="2" t="s">
        <v>84</v>
      </c>
      <c r="BS3568" s="1" t="s">
        <v>1744</v>
      </c>
      <c r="BT3568" s="2"/>
      <c r="BU3568" s="2"/>
      <c r="BV3568" s="2"/>
      <c r="BW3568" s="2"/>
      <c r="BX3568" s="2"/>
      <c r="BY3568" s="2">
        <v>1200</v>
      </c>
      <c r="BZ3568" s="2" t="s">
        <v>27</v>
      </c>
      <c r="CA3568" s="2"/>
      <c r="CB3568" s="2"/>
      <c r="CC3568" s="2" t="s">
        <v>146</v>
      </c>
      <c r="CD3568" s="2">
        <v>200</v>
      </c>
      <c r="CE3568" s="2" t="s">
        <v>118</v>
      </c>
      <c r="CF3568" s="2"/>
      <c r="CG3568" s="2"/>
      <c r="CH3568" s="2"/>
      <c r="CI3568" s="2">
        <v>1</v>
      </c>
      <c r="CJ3568" s="2" t="s">
        <v>1744</v>
      </c>
      <c r="CK3568" s="2">
        <v>21</v>
      </c>
      <c r="CL3568" s="2" t="s">
        <v>86</v>
      </c>
      <c r="CM3568" s="2"/>
    </row>
    <row r="3569" spans="1:91">
      <c r="A3569" s="2" t="s">
        <v>71</v>
      </c>
      <c r="B3569" s="2" t="s">
        <v>72</v>
      </c>
      <c r="C3569" s="2" t="s">
        <v>73</v>
      </c>
      <c r="D3569" s="2"/>
      <c r="E3569" s="2" t="str">
        <f>"FES1162545967"</f>
        <v>FES1162545967</v>
      </c>
      <c r="F3569" s="3">
        <v>42853</v>
      </c>
      <c r="G3569" s="2">
        <v>201710</v>
      </c>
      <c r="H3569" s="2" t="s">
        <v>74</v>
      </c>
      <c r="I3569" s="2" t="s">
        <v>75</v>
      </c>
      <c r="J3569" s="2" t="s">
        <v>76</v>
      </c>
      <c r="K3569" s="2" t="s">
        <v>77</v>
      </c>
      <c r="L3569" s="2" t="s">
        <v>474</v>
      </c>
      <c r="M3569" s="2" t="s">
        <v>475</v>
      </c>
      <c r="N3569" s="2" t="s">
        <v>1001</v>
      </c>
      <c r="O3569" s="2" t="s">
        <v>115</v>
      </c>
      <c r="P3569" s="2" t="str">
        <f>"2170564392                    "</f>
        <v xml:space="preserve">2170564392                    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4.29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1</v>
      </c>
      <c r="BI3569" s="2">
        <v>0.5</v>
      </c>
      <c r="BJ3569" s="2">
        <v>0.2</v>
      </c>
      <c r="BK3569" s="2">
        <v>0.5</v>
      </c>
      <c r="BL3569" s="2">
        <v>41.73</v>
      </c>
      <c r="BM3569" s="2">
        <v>5.84</v>
      </c>
      <c r="BN3569" s="2">
        <v>47.57</v>
      </c>
      <c r="BO3569" s="2">
        <v>47.57</v>
      </c>
      <c r="BP3569" s="2"/>
      <c r="BQ3569" s="2" t="s">
        <v>472</v>
      </c>
      <c r="BR3569" s="2" t="s">
        <v>84</v>
      </c>
      <c r="BS3569" s="1" t="s">
        <v>1744</v>
      </c>
      <c r="BT3569" s="2"/>
      <c r="BU3569" s="2"/>
      <c r="BV3569" s="2"/>
      <c r="BW3569" s="2"/>
      <c r="BX3569" s="2"/>
      <c r="BY3569" s="2">
        <v>1200</v>
      </c>
      <c r="BZ3569" s="2" t="s">
        <v>27</v>
      </c>
      <c r="CA3569" s="2"/>
      <c r="CB3569" s="2"/>
      <c r="CC3569" s="2" t="s">
        <v>475</v>
      </c>
      <c r="CD3569" s="2">
        <v>3290</v>
      </c>
      <c r="CE3569" s="2" t="s">
        <v>118</v>
      </c>
      <c r="CF3569" s="2"/>
      <c r="CG3569" s="2"/>
      <c r="CH3569" s="2"/>
      <c r="CI3569" s="2">
        <v>1</v>
      </c>
      <c r="CJ3569" s="2" t="s">
        <v>1744</v>
      </c>
      <c r="CK3569" s="2">
        <v>21</v>
      </c>
      <c r="CL3569" s="2" t="s">
        <v>86</v>
      </c>
      <c r="CM3569" s="2"/>
    </row>
    <row r="3570" spans="1:91">
      <c r="A3570" s="2" t="s">
        <v>71</v>
      </c>
      <c r="B3570" s="2" t="s">
        <v>72</v>
      </c>
      <c r="C3570" s="2" t="s">
        <v>73</v>
      </c>
      <c r="D3570" s="2"/>
      <c r="E3570" s="2" t="str">
        <f>"FES1162546086"</f>
        <v>FES1162546086</v>
      </c>
      <c r="F3570" s="3">
        <v>42853</v>
      </c>
      <c r="G3570" s="2">
        <v>201710</v>
      </c>
      <c r="H3570" s="2" t="s">
        <v>74</v>
      </c>
      <c r="I3570" s="2" t="s">
        <v>75</v>
      </c>
      <c r="J3570" s="2" t="s">
        <v>76</v>
      </c>
      <c r="K3570" s="2" t="s">
        <v>77</v>
      </c>
      <c r="L3570" s="2" t="s">
        <v>131</v>
      </c>
      <c r="M3570" s="2" t="s">
        <v>132</v>
      </c>
      <c r="N3570" s="2" t="s">
        <v>2139</v>
      </c>
      <c r="O3570" s="2" t="s">
        <v>115</v>
      </c>
      <c r="P3570" s="2" t="str">
        <f>"2170562320                    "</f>
        <v xml:space="preserve">2170562320                    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4.29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1</v>
      </c>
      <c r="BI3570" s="2">
        <v>1.2</v>
      </c>
      <c r="BJ3570" s="2">
        <v>1.3</v>
      </c>
      <c r="BK3570" s="2">
        <v>1.5</v>
      </c>
      <c r="BL3570" s="2">
        <v>41.73</v>
      </c>
      <c r="BM3570" s="2">
        <v>5.84</v>
      </c>
      <c r="BN3570" s="2">
        <v>47.57</v>
      </c>
      <c r="BO3570" s="2">
        <v>47.57</v>
      </c>
      <c r="BP3570" s="2"/>
      <c r="BQ3570" s="2" t="s">
        <v>122</v>
      </c>
      <c r="BR3570" s="2" t="s">
        <v>84</v>
      </c>
      <c r="BS3570" s="1" t="s">
        <v>1744</v>
      </c>
      <c r="BT3570" s="2"/>
      <c r="BU3570" s="2"/>
      <c r="BV3570" s="2"/>
      <c r="BW3570" s="2"/>
      <c r="BX3570" s="2"/>
      <c r="BY3570" s="2">
        <v>6616.5</v>
      </c>
      <c r="BZ3570" s="2" t="s">
        <v>27</v>
      </c>
      <c r="CA3570" s="2"/>
      <c r="CB3570" s="2"/>
      <c r="CC3570" s="2" t="s">
        <v>132</v>
      </c>
      <c r="CD3570" s="2">
        <v>7441</v>
      </c>
      <c r="CE3570" s="2" t="s">
        <v>118</v>
      </c>
      <c r="CF3570" s="2"/>
      <c r="CG3570" s="2"/>
      <c r="CH3570" s="2"/>
      <c r="CI3570" s="2">
        <v>1</v>
      </c>
      <c r="CJ3570" s="2" t="s">
        <v>1744</v>
      </c>
      <c r="CK3570" s="2">
        <v>21</v>
      </c>
      <c r="CL3570" s="2" t="s">
        <v>86</v>
      </c>
      <c r="CM3570" s="2"/>
    </row>
    <row r="3571" spans="1:91">
      <c r="A3571" s="2" t="s">
        <v>71</v>
      </c>
      <c r="B3571" s="2" t="s">
        <v>72</v>
      </c>
      <c r="C3571" s="2" t="s">
        <v>73</v>
      </c>
      <c r="D3571" s="2"/>
      <c r="E3571" s="2" t="str">
        <f>"FES1162546088"</f>
        <v>FES1162546088</v>
      </c>
      <c r="F3571" s="3">
        <v>42853</v>
      </c>
      <c r="G3571" s="2">
        <v>201710</v>
      </c>
      <c r="H3571" s="2" t="s">
        <v>74</v>
      </c>
      <c r="I3571" s="2" t="s">
        <v>75</v>
      </c>
      <c r="J3571" s="2" t="s">
        <v>76</v>
      </c>
      <c r="K3571" s="2" t="s">
        <v>77</v>
      </c>
      <c r="L3571" s="2" t="s">
        <v>496</v>
      </c>
      <c r="M3571" s="2" t="s">
        <v>497</v>
      </c>
      <c r="N3571" s="2" t="s">
        <v>1357</v>
      </c>
      <c r="O3571" s="2" t="s">
        <v>115</v>
      </c>
      <c r="P3571" s="2" t="str">
        <f>"2170564490                    "</f>
        <v xml:space="preserve">2170564490                    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3.35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1</v>
      </c>
      <c r="BI3571" s="2">
        <v>0.5</v>
      </c>
      <c r="BJ3571" s="2">
        <v>0.2</v>
      </c>
      <c r="BK3571" s="2">
        <v>1</v>
      </c>
      <c r="BL3571" s="2">
        <v>32.6</v>
      </c>
      <c r="BM3571" s="2">
        <v>4.5599999999999996</v>
      </c>
      <c r="BN3571" s="2">
        <v>37.159999999999997</v>
      </c>
      <c r="BO3571" s="2">
        <v>37.159999999999997</v>
      </c>
      <c r="BP3571" s="2"/>
      <c r="BQ3571" s="2" t="s">
        <v>1358</v>
      </c>
      <c r="BR3571" s="2" t="s">
        <v>84</v>
      </c>
      <c r="BS3571" s="1" t="s">
        <v>1744</v>
      </c>
      <c r="BT3571" s="2"/>
      <c r="BU3571" s="2"/>
      <c r="BV3571" s="2"/>
      <c r="BW3571" s="2"/>
      <c r="BX3571" s="2"/>
      <c r="BY3571" s="2">
        <v>1200</v>
      </c>
      <c r="BZ3571" s="2" t="s">
        <v>27</v>
      </c>
      <c r="CA3571" s="2"/>
      <c r="CB3571" s="2"/>
      <c r="CC3571" s="2" t="s">
        <v>497</v>
      </c>
      <c r="CD3571" s="2">
        <v>1559</v>
      </c>
      <c r="CE3571" s="2" t="s">
        <v>118</v>
      </c>
      <c r="CF3571" s="2"/>
      <c r="CG3571" s="2"/>
      <c r="CH3571" s="2"/>
      <c r="CI3571" s="2">
        <v>1</v>
      </c>
      <c r="CJ3571" s="2" t="s">
        <v>1744</v>
      </c>
      <c r="CK3571" s="2">
        <v>22</v>
      </c>
      <c r="CL3571" s="2" t="s">
        <v>86</v>
      </c>
      <c r="CM3571" s="2"/>
    </row>
    <row r="3572" spans="1:91">
      <c r="A3572" s="2" t="s">
        <v>71</v>
      </c>
      <c r="B3572" s="2" t="s">
        <v>72</v>
      </c>
      <c r="C3572" s="2" t="s">
        <v>73</v>
      </c>
      <c r="D3572" s="2"/>
      <c r="E3572" s="2" t="str">
        <f>"FES1162546055"</f>
        <v>FES1162546055</v>
      </c>
      <c r="F3572" s="3">
        <v>42853</v>
      </c>
      <c r="G3572" s="2">
        <v>201710</v>
      </c>
      <c r="H3572" s="2" t="s">
        <v>74</v>
      </c>
      <c r="I3572" s="2" t="s">
        <v>75</v>
      </c>
      <c r="J3572" s="2" t="s">
        <v>76</v>
      </c>
      <c r="K3572" s="2" t="s">
        <v>77</v>
      </c>
      <c r="L3572" s="2" t="s">
        <v>74</v>
      </c>
      <c r="M3572" s="2" t="s">
        <v>75</v>
      </c>
      <c r="N3572" s="2" t="s">
        <v>3480</v>
      </c>
      <c r="O3572" s="2" t="s">
        <v>115</v>
      </c>
      <c r="P3572" s="2" t="str">
        <f>"2170564457                    "</f>
        <v xml:space="preserve">2170564457                    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3.75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1</v>
      </c>
      <c r="BI3572" s="2">
        <v>8.1999999999999993</v>
      </c>
      <c r="BJ3572" s="2">
        <v>3.4</v>
      </c>
      <c r="BK3572" s="2">
        <v>9</v>
      </c>
      <c r="BL3572" s="2">
        <v>36.51</v>
      </c>
      <c r="BM3572" s="2">
        <v>5.1100000000000003</v>
      </c>
      <c r="BN3572" s="2">
        <v>41.62</v>
      </c>
      <c r="BO3572" s="2">
        <v>41.62</v>
      </c>
      <c r="BP3572" s="2"/>
      <c r="BQ3572" s="2"/>
      <c r="BR3572" s="2" t="s">
        <v>84</v>
      </c>
      <c r="BS3572" s="3">
        <v>42857</v>
      </c>
      <c r="BT3572" s="4">
        <v>0.3444444444444445</v>
      </c>
      <c r="BU3572" s="2" t="s">
        <v>2516</v>
      </c>
      <c r="BV3572" s="2" t="s">
        <v>86</v>
      </c>
      <c r="BW3572" s="2"/>
      <c r="BX3572" s="2"/>
      <c r="BY3572" s="2">
        <v>16906.8</v>
      </c>
      <c r="BZ3572" s="2" t="s">
        <v>27</v>
      </c>
      <c r="CA3572" s="2" t="s">
        <v>1687</v>
      </c>
      <c r="CB3572" s="2"/>
      <c r="CC3572" s="2" t="s">
        <v>75</v>
      </c>
      <c r="CD3572" s="2">
        <v>1614</v>
      </c>
      <c r="CE3572" s="2" t="s">
        <v>89</v>
      </c>
      <c r="CF3572" s="2"/>
      <c r="CG3572" s="2"/>
      <c r="CH3572" s="2"/>
      <c r="CI3572" s="2">
        <v>1</v>
      </c>
      <c r="CJ3572" s="2">
        <v>2</v>
      </c>
      <c r="CK3572" s="2">
        <v>22</v>
      </c>
      <c r="CL3572" s="2" t="s">
        <v>86</v>
      </c>
      <c r="CM3572" s="2"/>
    </row>
    <row r="3573" spans="1:91">
      <c r="A3573" s="2" t="s">
        <v>71</v>
      </c>
      <c r="B3573" s="2" t="s">
        <v>72</v>
      </c>
      <c r="C3573" s="2" t="s">
        <v>73</v>
      </c>
      <c r="D3573" s="2"/>
      <c r="E3573" s="2" t="str">
        <f>"FES1162545935"</f>
        <v>FES1162545935</v>
      </c>
      <c r="F3573" s="3">
        <v>42853</v>
      </c>
      <c r="G3573" s="2">
        <v>201710</v>
      </c>
      <c r="H3573" s="2" t="s">
        <v>74</v>
      </c>
      <c r="I3573" s="2" t="s">
        <v>75</v>
      </c>
      <c r="J3573" s="2" t="s">
        <v>76</v>
      </c>
      <c r="K3573" s="2" t="s">
        <v>77</v>
      </c>
      <c r="L3573" s="2" t="s">
        <v>166</v>
      </c>
      <c r="M3573" s="2" t="s">
        <v>167</v>
      </c>
      <c r="N3573" s="2" t="s">
        <v>168</v>
      </c>
      <c r="O3573" s="2" t="s">
        <v>115</v>
      </c>
      <c r="P3573" s="2" t="str">
        <f>"2170561520                    "</f>
        <v xml:space="preserve">2170561520                    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3.35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1</v>
      </c>
      <c r="BI3573" s="2">
        <v>0.5</v>
      </c>
      <c r="BJ3573" s="2">
        <v>0.2</v>
      </c>
      <c r="BK3573" s="2">
        <v>1</v>
      </c>
      <c r="BL3573" s="2">
        <v>32.6</v>
      </c>
      <c r="BM3573" s="2">
        <v>4.5599999999999996</v>
      </c>
      <c r="BN3573" s="2">
        <v>37.159999999999997</v>
      </c>
      <c r="BO3573" s="2">
        <v>37.159999999999997</v>
      </c>
      <c r="BP3573" s="2"/>
      <c r="BQ3573" s="2" t="s">
        <v>169</v>
      </c>
      <c r="BR3573" s="2" t="s">
        <v>84</v>
      </c>
      <c r="BS3573" s="1" t="s">
        <v>1744</v>
      </c>
      <c r="BT3573" s="2"/>
      <c r="BU3573" s="2"/>
      <c r="BV3573" s="2"/>
      <c r="BW3573" s="2"/>
      <c r="BX3573" s="2"/>
      <c r="BY3573" s="2">
        <v>1200</v>
      </c>
      <c r="BZ3573" s="2" t="s">
        <v>27</v>
      </c>
      <c r="CA3573" s="2"/>
      <c r="CB3573" s="2"/>
      <c r="CC3573" s="2" t="s">
        <v>167</v>
      </c>
      <c r="CD3573" s="2">
        <v>2094</v>
      </c>
      <c r="CE3573" s="2" t="s">
        <v>118</v>
      </c>
      <c r="CF3573" s="2"/>
      <c r="CG3573" s="2"/>
      <c r="CH3573" s="2"/>
      <c r="CI3573" s="2">
        <v>1</v>
      </c>
      <c r="CJ3573" s="2" t="s">
        <v>1744</v>
      </c>
      <c r="CK3573" s="2">
        <v>22</v>
      </c>
      <c r="CL3573" s="2" t="s">
        <v>86</v>
      </c>
      <c r="CM3573" s="2"/>
    </row>
    <row r="3574" spans="1:91">
      <c r="A3574" s="2" t="s">
        <v>71</v>
      </c>
      <c r="B3574" s="2" t="s">
        <v>72</v>
      </c>
      <c r="C3574" s="2" t="s">
        <v>73</v>
      </c>
      <c r="D3574" s="2"/>
      <c r="E3574" s="2" t="str">
        <f>"FES1162545994"</f>
        <v>FES1162545994</v>
      </c>
      <c r="F3574" s="3">
        <v>42853</v>
      </c>
      <c r="G3574" s="2">
        <v>201710</v>
      </c>
      <c r="H3574" s="2" t="s">
        <v>74</v>
      </c>
      <c r="I3574" s="2" t="s">
        <v>75</v>
      </c>
      <c r="J3574" s="2" t="s">
        <v>76</v>
      </c>
      <c r="K3574" s="2" t="s">
        <v>77</v>
      </c>
      <c r="L3574" s="2" t="s">
        <v>180</v>
      </c>
      <c r="M3574" s="2" t="s">
        <v>181</v>
      </c>
      <c r="N3574" s="2" t="s">
        <v>605</v>
      </c>
      <c r="O3574" s="2" t="s">
        <v>115</v>
      </c>
      <c r="P3574" s="2" t="str">
        <f>"2170562389                    "</f>
        <v xml:space="preserve">2170562389                    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4.29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1</v>
      </c>
      <c r="BI3574" s="2">
        <v>1</v>
      </c>
      <c r="BJ3574" s="2">
        <v>0.2</v>
      </c>
      <c r="BK3574" s="2">
        <v>1</v>
      </c>
      <c r="BL3574" s="2">
        <v>41.73</v>
      </c>
      <c r="BM3574" s="2">
        <v>5.84</v>
      </c>
      <c r="BN3574" s="2">
        <v>47.57</v>
      </c>
      <c r="BO3574" s="2">
        <v>47.57</v>
      </c>
      <c r="BP3574" s="2"/>
      <c r="BQ3574" s="2" t="s">
        <v>606</v>
      </c>
      <c r="BR3574" s="2" t="s">
        <v>84</v>
      </c>
      <c r="BS3574" s="1" t="s">
        <v>1744</v>
      </c>
      <c r="BT3574" s="2"/>
      <c r="BU3574" s="2"/>
      <c r="BV3574" s="2"/>
      <c r="BW3574" s="2"/>
      <c r="BX3574" s="2"/>
      <c r="BY3574" s="2">
        <v>1200</v>
      </c>
      <c r="BZ3574" s="2" t="s">
        <v>27</v>
      </c>
      <c r="CA3574" s="2"/>
      <c r="CB3574" s="2"/>
      <c r="CC3574" s="2" t="s">
        <v>181</v>
      </c>
      <c r="CD3574" s="2">
        <v>4001</v>
      </c>
      <c r="CE3574" s="2" t="s">
        <v>118</v>
      </c>
      <c r="CF3574" s="2"/>
      <c r="CG3574" s="2"/>
      <c r="CH3574" s="2"/>
      <c r="CI3574" s="2">
        <v>1</v>
      </c>
      <c r="CJ3574" s="2" t="s">
        <v>1744</v>
      </c>
      <c r="CK3574" s="2">
        <v>21</v>
      </c>
      <c r="CL3574" s="2" t="s">
        <v>86</v>
      </c>
      <c r="CM3574" s="2"/>
    </row>
    <row r="3575" spans="1:91">
      <c r="A3575" s="2" t="s">
        <v>71</v>
      </c>
      <c r="B3575" s="2" t="s">
        <v>72</v>
      </c>
      <c r="C3575" s="2" t="s">
        <v>73</v>
      </c>
      <c r="D3575" s="2"/>
      <c r="E3575" s="2" t="str">
        <f>"FES1162546018"</f>
        <v>FES1162546018</v>
      </c>
      <c r="F3575" s="3">
        <v>42853</v>
      </c>
      <c r="G3575" s="2">
        <v>201710</v>
      </c>
      <c r="H3575" s="2" t="s">
        <v>74</v>
      </c>
      <c r="I3575" s="2" t="s">
        <v>75</v>
      </c>
      <c r="J3575" s="2" t="s">
        <v>76</v>
      </c>
      <c r="K3575" s="2" t="s">
        <v>77</v>
      </c>
      <c r="L3575" s="2" t="s">
        <v>549</v>
      </c>
      <c r="M3575" s="2" t="s">
        <v>550</v>
      </c>
      <c r="N3575" s="2" t="s">
        <v>2629</v>
      </c>
      <c r="O3575" s="2" t="s">
        <v>115</v>
      </c>
      <c r="P3575" s="2" t="str">
        <f>"2170564422                    "</f>
        <v xml:space="preserve">2170564422                    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4.29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1</v>
      </c>
      <c r="BI3575" s="2">
        <v>1</v>
      </c>
      <c r="BJ3575" s="2">
        <v>0.2</v>
      </c>
      <c r="BK3575" s="2">
        <v>1</v>
      </c>
      <c r="BL3575" s="2">
        <v>41.73</v>
      </c>
      <c r="BM3575" s="2">
        <v>5.84</v>
      </c>
      <c r="BN3575" s="2">
        <v>47.57</v>
      </c>
      <c r="BO3575" s="2">
        <v>47.57</v>
      </c>
      <c r="BP3575" s="2"/>
      <c r="BQ3575" s="2" t="s">
        <v>2630</v>
      </c>
      <c r="BR3575" s="2" t="s">
        <v>84</v>
      </c>
      <c r="BS3575" s="1" t="s">
        <v>1744</v>
      </c>
      <c r="BT3575" s="2"/>
      <c r="BU3575" s="2"/>
      <c r="BV3575" s="2"/>
      <c r="BW3575" s="2"/>
      <c r="BX3575" s="2"/>
      <c r="BY3575" s="2">
        <v>1200</v>
      </c>
      <c r="BZ3575" s="2" t="s">
        <v>27</v>
      </c>
      <c r="CA3575" s="2"/>
      <c r="CB3575" s="2"/>
      <c r="CC3575" s="2" t="s">
        <v>550</v>
      </c>
      <c r="CD3575" s="2">
        <v>3699</v>
      </c>
      <c r="CE3575" s="2" t="s">
        <v>118</v>
      </c>
      <c r="CF3575" s="2"/>
      <c r="CG3575" s="2"/>
      <c r="CH3575" s="2"/>
      <c r="CI3575" s="2">
        <v>1</v>
      </c>
      <c r="CJ3575" s="2" t="s">
        <v>1744</v>
      </c>
      <c r="CK3575" s="2">
        <v>21</v>
      </c>
      <c r="CL3575" s="2" t="s">
        <v>86</v>
      </c>
      <c r="CM3575" s="2"/>
    </row>
    <row r="3576" spans="1:91">
      <c r="A3576" s="2" t="s">
        <v>71</v>
      </c>
      <c r="B3576" s="2" t="s">
        <v>72</v>
      </c>
      <c r="C3576" s="2" t="s">
        <v>73</v>
      </c>
      <c r="D3576" s="2"/>
      <c r="E3576" s="2" t="str">
        <f>"FES1162545992"</f>
        <v>FES1162545992</v>
      </c>
      <c r="F3576" s="3">
        <v>42853</v>
      </c>
      <c r="G3576" s="2">
        <v>201710</v>
      </c>
      <c r="H3576" s="2" t="s">
        <v>74</v>
      </c>
      <c r="I3576" s="2" t="s">
        <v>75</v>
      </c>
      <c r="J3576" s="2" t="s">
        <v>76</v>
      </c>
      <c r="K3576" s="2" t="s">
        <v>77</v>
      </c>
      <c r="L3576" s="2" t="s">
        <v>112</v>
      </c>
      <c r="M3576" s="2" t="s">
        <v>113</v>
      </c>
      <c r="N3576" s="2" t="s">
        <v>1816</v>
      </c>
      <c r="O3576" s="2" t="s">
        <v>115</v>
      </c>
      <c r="P3576" s="2" t="str">
        <f>"2170562371                    "</f>
        <v xml:space="preserve">2170562371                    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4.29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1</v>
      </c>
      <c r="BI3576" s="2">
        <v>0.5</v>
      </c>
      <c r="BJ3576" s="2">
        <v>0.2</v>
      </c>
      <c r="BK3576" s="2">
        <v>0.5</v>
      </c>
      <c r="BL3576" s="2">
        <v>41.73</v>
      </c>
      <c r="BM3576" s="2">
        <v>5.84</v>
      </c>
      <c r="BN3576" s="2">
        <v>47.57</v>
      </c>
      <c r="BO3576" s="2">
        <v>47.57</v>
      </c>
      <c r="BP3576" s="2"/>
      <c r="BQ3576" s="2" t="s">
        <v>1817</v>
      </c>
      <c r="BR3576" s="2" t="s">
        <v>84</v>
      </c>
      <c r="BS3576" s="1" t="s">
        <v>1744</v>
      </c>
      <c r="BT3576" s="2"/>
      <c r="BU3576" s="2"/>
      <c r="BV3576" s="2"/>
      <c r="BW3576" s="2"/>
      <c r="BX3576" s="2"/>
      <c r="BY3576" s="2">
        <v>1200</v>
      </c>
      <c r="BZ3576" s="2" t="s">
        <v>27</v>
      </c>
      <c r="CA3576" s="2"/>
      <c r="CB3576" s="2"/>
      <c r="CC3576" s="2" t="s">
        <v>113</v>
      </c>
      <c r="CD3576" s="2">
        <v>3200</v>
      </c>
      <c r="CE3576" s="2" t="s">
        <v>118</v>
      </c>
      <c r="CF3576" s="2"/>
      <c r="CG3576" s="2"/>
      <c r="CH3576" s="2"/>
      <c r="CI3576" s="2">
        <v>1</v>
      </c>
      <c r="CJ3576" s="2" t="s">
        <v>1744</v>
      </c>
      <c r="CK3576" s="2">
        <v>21</v>
      </c>
      <c r="CL3576" s="2" t="s">
        <v>86</v>
      </c>
      <c r="CM3576" s="2"/>
    </row>
    <row r="3577" spans="1:91">
      <c r="A3577" s="2" t="s">
        <v>71</v>
      </c>
      <c r="B3577" s="2" t="s">
        <v>72</v>
      </c>
      <c r="C3577" s="2" t="s">
        <v>73</v>
      </c>
      <c r="D3577" s="2"/>
      <c r="E3577" s="2" t="str">
        <f>"FES1162545587"</f>
        <v>FES1162545587</v>
      </c>
      <c r="F3577" s="3">
        <v>42853</v>
      </c>
      <c r="G3577" s="2">
        <v>201710</v>
      </c>
      <c r="H3577" s="2" t="s">
        <v>74</v>
      </c>
      <c r="I3577" s="2" t="s">
        <v>75</v>
      </c>
      <c r="J3577" s="2" t="s">
        <v>76</v>
      </c>
      <c r="K3577" s="2" t="s">
        <v>77</v>
      </c>
      <c r="L3577" s="2" t="s">
        <v>91</v>
      </c>
      <c r="M3577" s="2" t="s">
        <v>92</v>
      </c>
      <c r="N3577" s="2" t="s">
        <v>2304</v>
      </c>
      <c r="O3577" s="2" t="s">
        <v>115</v>
      </c>
      <c r="P3577" s="2" t="str">
        <f>"2170564106                    "</f>
        <v xml:space="preserve">2170564106                    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3.35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1</v>
      </c>
      <c r="BI3577" s="2">
        <v>1</v>
      </c>
      <c r="BJ3577" s="2">
        <v>0.2</v>
      </c>
      <c r="BK3577" s="2">
        <v>1</v>
      </c>
      <c r="BL3577" s="2">
        <v>32.6</v>
      </c>
      <c r="BM3577" s="2">
        <v>4.5599999999999996</v>
      </c>
      <c r="BN3577" s="2">
        <v>37.159999999999997</v>
      </c>
      <c r="BO3577" s="2">
        <v>37.159999999999997</v>
      </c>
      <c r="BP3577" s="2"/>
      <c r="BQ3577" s="2" t="s">
        <v>2305</v>
      </c>
      <c r="BR3577" s="2" t="s">
        <v>84</v>
      </c>
      <c r="BS3577" s="1" t="s">
        <v>1744</v>
      </c>
      <c r="BT3577" s="2"/>
      <c r="BU3577" s="2"/>
      <c r="BV3577" s="2"/>
      <c r="BW3577" s="2"/>
      <c r="BX3577" s="2"/>
      <c r="BY3577" s="2">
        <v>1200</v>
      </c>
      <c r="BZ3577" s="2" t="s">
        <v>27</v>
      </c>
      <c r="CA3577" s="2"/>
      <c r="CB3577" s="2"/>
      <c r="CC3577" s="2" t="s">
        <v>92</v>
      </c>
      <c r="CD3577" s="2">
        <v>1428</v>
      </c>
      <c r="CE3577" s="2" t="s">
        <v>118</v>
      </c>
      <c r="CF3577" s="2"/>
      <c r="CG3577" s="2"/>
      <c r="CH3577" s="2"/>
      <c r="CI3577" s="2">
        <v>1</v>
      </c>
      <c r="CJ3577" s="2" t="s">
        <v>1744</v>
      </c>
      <c r="CK3577" s="2">
        <v>22</v>
      </c>
      <c r="CL3577" s="2" t="s">
        <v>86</v>
      </c>
      <c r="CM3577" s="2"/>
    </row>
    <row r="3578" spans="1:91">
      <c r="A3578" s="2" t="s">
        <v>71</v>
      </c>
      <c r="B3578" s="2" t="s">
        <v>72</v>
      </c>
      <c r="C3578" s="2" t="s">
        <v>73</v>
      </c>
      <c r="D3578" s="2"/>
      <c r="E3578" s="2" t="str">
        <f>"FES1162546076"</f>
        <v>FES1162546076</v>
      </c>
      <c r="F3578" s="3">
        <v>42853</v>
      </c>
      <c r="G3578" s="2">
        <v>201710</v>
      </c>
      <c r="H3578" s="2" t="s">
        <v>74</v>
      </c>
      <c r="I3578" s="2" t="s">
        <v>75</v>
      </c>
      <c r="J3578" s="2" t="s">
        <v>76</v>
      </c>
      <c r="K3578" s="2" t="s">
        <v>77</v>
      </c>
      <c r="L3578" s="2" t="s">
        <v>131</v>
      </c>
      <c r="M3578" s="2" t="s">
        <v>132</v>
      </c>
      <c r="N3578" s="2" t="s">
        <v>1081</v>
      </c>
      <c r="O3578" s="2" t="s">
        <v>115</v>
      </c>
      <c r="P3578" s="2" t="str">
        <f>"2170564482                    "</f>
        <v xml:space="preserve">2170564482                    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4.29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1</v>
      </c>
      <c r="BI3578" s="2">
        <v>1</v>
      </c>
      <c r="BJ3578" s="2">
        <v>0.2</v>
      </c>
      <c r="BK3578" s="2">
        <v>1</v>
      </c>
      <c r="BL3578" s="2">
        <v>41.73</v>
      </c>
      <c r="BM3578" s="2">
        <v>5.84</v>
      </c>
      <c r="BN3578" s="2">
        <v>47.57</v>
      </c>
      <c r="BO3578" s="2">
        <v>47.57</v>
      </c>
      <c r="BP3578" s="2"/>
      <c r="BQ3578" s="2" t="s">
        <v>1082</v>
      </c>
      <c r="BR3578" s="2" t="s">
        <v>84</v>
      </c>
      <c r="BS3578" s="3">
        <v>42857</v>
      </c>
      <c r="BT3578" s="4">
        <v>0.34583333333333338</v>
      </c>
      <c r="BU3578" s="2" t="s">
        <v>3470</v>
      </c>
      <c r="BV3578" s="2" t="s">
        <v>86</v>
      </c>
      <c r="BW3578" s="2"/>
      <c r="BX3578" s="2"/>
      <c r="BY3578" s="2">
        <v>1200</v>
      </c>
      <c r="BZ3578" s="2" t="s">
        <v>27</v>
      </c>
      <c r="CA3578" s="2" t="s">
        <v>2870</v>
      </c>
      <c r="CB3578" s="2"/>
      <c r="CC3578" s="2" t="s">
        <v>132</v>
      </c>
      <c r="CD3578" s="2">
        <v>7460</v>
      </c>
      <c r="CE3578" s="2" t="s">
        <v>118</v>
      </c>
      <c r="CF3578" s="2"/>
      <c r="CG3578" s="2"/>
      <c r="CH3578" s="2"/>
      <c r="CI3578" s="2">
        <v>1</v>
      </c>
      <c r="CJ3578" s="2">
        <v>2</v>
      </c>
      <c r="CK3578" s="2">
        <v>21</v>
      </c>
      <c r="CL3578" s="2" t="s">
        <v>86</v>
      </c>
      <c r="CM3578" s="2"/>
    </row>
    <row r="3579" spans="1:91">
      <c r="A3579" s="2" t="s">
        <v>71</v>
      </c>
      <c r="B3579" s="2" t="s">
        <v>72</v>
      </c>
      <c r="C3579" s="2" t="s">
        <v>73</v>
      </c>
      <c r="D3579" s="2"/>
      <c r="E3579" s="2" t="str">
        <f>"FES1162545955"</f>
        <v>FES1162545955</v>
      </c>
      <c r="F3579" s="3">
        <v>42853</v>
      </c>
      <c r="G3579" s="2">
        <v>201710</v>
      </c>
      <c r="H3579" s="2" t="s">
        <v>74</v>
      </c>
      <c r="I3579" s="2" t="s">
        <v>75</v>
      </c>
      <c r="J3579" s="2" t="s">
        <v>76</v>
      </c>
      <c r="K3579" s="2" t="s">
        <v>77</v>
      </c>
      <c r="L3579" s="2" t="s">
        <v>549</v>
      </c>
      <c r="M3579" s="2" t="s">
        <v>550</v>
      </c>
      <c r="N3579" s="2" t="s">
        <v>689</v>
      </c>
      <c r="O3579" s="2" t="s">
        <v>115</v>
      </c>
      <c r="P3579" s="2" t="str">
        <f>"2170638888                    "</f>
        <v xml:space="preserve">2170638888                    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4.29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1</v>
      </c>
      <c r="BI3579" s="2">
        <v>1</v>
      </c>
      <c r="BJ3579" s="2">
        <v>0.2</v>
      </c>
      <c r="BK3579" s="2">
        <v>1</v>
      </c>
      <c r="BL3579" s="2">
        <v>41.73</v>
      </c>
      <c r="BM3579" s="2">
        <v>5.84</v>
      </c>
      <c r="BN3579" s="2">
        <v>47.57</v>
      </c>
      <c r="BO3579" s="2">
        <v>47.57</v>
      </c>
      <c r="BP3579" s="2"/>
      <c r="BQ3579" s="2" t="s">
        <v>690</v>
      </c>
      <c r="BR3579" s="2" t="s">
        <v>84</v>
      </c>
      <c r="BS3579" s="1" t="s">
        <v>1744</v>
      </c>
      <c r="BT3579" s="2"/>
      <c r="BU3579" s="2"/>
      <c r="BV3579" s="2"/>
      <c r="BW3579" s="2"/>
      <c r="BX3579" s="2"/>
      <c r="BY3579" s="2">
        <v>1200</v>
      </c>
      <c r="BZ3579" s="2" t="s">
        <v>27</v>
      </c>
      <c r="CA3579" s="2"/>
      <c r="CB3579" s="2"/>
      <c r="CC3579" s="2" t="s">
        <v>550</v>
      </c>
      <c r="CD3579" s="2">
        <v>3699</v>
      </c>
      <c r="CE3579" s="2" t="s">
        <v>118</v>
      </c>
      <c r="CF3579" s="2"/>
      <c r="CG3579" s="2"/>
      <c r="CH3579" s="2"/>
      <c r="CI3579" s="2">
        <v>1</v>
      </c>
      <c r="CJ3579" s="2" t="s">
        <v>1744</v>
      </c>
      <c r="CK3579" s="2">
        <v>21</v>
      </c>
      <c r="CL3579" s="2" t="s">
        <v>86</v>
      </c>
      <c r="CM3579" s="2"/>
    </row>
    <row r="3580" spans="1:91">
      <c r="A3580" s="2" t="s">
        <v>71</v>
      </c>
      <c r="B3580" s="2" t="s">
        <v>72</v>
      </c>
      <c r="C3580" s="2" t="s">
        <v>73</v>
      </c>
      <c r="D3580" s="2"/>
      <c r="E3580" s="2" t="str">
        <f>"FES1162545927"</f>
        <v>FES1162545927</v>
      </c>
      <c r="F3580" s="3">
        <v>42853</v>
      </c>
      <c r="G3580" s="2">
        <v>201710</v>
      </c>
      <c r="H3580" s="2" t="s">
        <v>74</v>
      </c>
      <c r="I3580" s="2" t="s">
        <v>75</v>
      </c>
      <c r="J3580" s="2" t="s">
        <v>76</v>
      </c>
      <c r="K3580" s="2" t="s">
        <v>77</v>
      </c>
      <c r="L3580" s="2" t="s">
        <v>112</v>
      </c>
      <c r="M3580" s="2" t="s">
        <v>113</v>
      </c>
      <c r="N3580" s="2" t="s">
        <v>246</v>
      </c>
      <c r="O3580" s="2" t="s">
        <v>115</v>
      </c>
      <c r="P3580" s="2" t="str">
        <f>"2170564384                    "</f>
        <v xml:space="preserve">2170564384                    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4.29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1</v>
      </c>
      <c r="BI3580" s="2">
        <v>2</v>
      </c>
      <c r="BJ3580" s="2">
        <v>1.5</v>
      </c>
      <c r="BK3580" s="2">
        <v>2</v>
      </c>
      <c r="BL3580" s="2">
        <v>41.73</v>
      </c>
      <c r="BM3580" s="2">
        <v>5.84</v>
      </c>
      <c r="BN3580" s="2">
        <v>47.57</v>
      </c>
      <c r="BO3580" s="2">
        <v>47.57</v>
      </c>
      <c r="BP3580" s="2"/>
      <c r="BQ3580" s="2" t="s">
        <v>122</v>
      </c>
      <c r="BR3580" s="2" t="s">
        <v>84</v>
      </c>
      <c r="BS3580" s="1" t="s">
        <v>1744</v>
      </c>
      <c r="BT3580" s="2"/>
      <c r="BU3580" s="2"/>
      <c r="BV3580" s="2"/>
      <c r="BW3580" s="2"/>
      <c r="BX3580" s="2"/>
      <c r="BY3580" s="2">
        <v>7700</v>
      </c>
      <c r="BZ3580" s="2" t="s">
        <v>27</v>
      </c>
      <c r="CA3580" s="2"/>
      <c r="CB3580" s="2"/>
      <c r="CC3580" s="2" t="s">
        <v>113</v>
      </c>
      <c r="CD3580" s="2">
        <v>3212</v>
      </c>
      <c r="CE3580" s="2" t="s">
        <v>89</v>
      </c>
      <c r="CF3580" s="2"/>
      <c r="CG3580" s="2"/>
      <c r="CH3580" s="2"/>
      <c r="CI3580" s="2">
        <v>1</v>
      </c>
      <c r="CJ3580" s="2" t="s">
        <v>1744</v>
      </c>
      <c r="CK3580" s="2">
        <v>21</v>
      </c>
      <c r="CL3580" s="2" t="s">
        <v>86</v>
      </c>
      <c r="CM3580" s="2"/>
    </row>
    <row r="3581" spans="1:91">
      <c r="A3581" s="2" t="s">
        <v>71</v>
      </c>
      <c r="B3581" s="2" t="s">
        <v>72</v>
      </c>
      <c r="C3581" s="2" t="s">
        <v>73</v>
      </c>
      <c r="D3581" s="2"/>
      <c r="E3581" s="2" t="str">
        <f>"FES1162545901"</f>
        <v>FES1162545901</v>
      </c>
      <c r="F3581" s="3">
        <v>42853</v>
      </c>
      <c r="G3581" s="2">
        <v>201710</v>
      </c>
      <c r="H3581" s="2" t="s">
        <v>74</v>
      </c>
      <c r="I3581" s="2" t="s">
        <v>75</v>
      </c>
      <c r="J3581" s="2" t="s">
        <v>76</v>
      </c>
      <c r="K3581" s="2" t="s">
        <v>77</v>
      </c>
      <c r="L3581" s="2" t="s">
        <v>598</v>
      </c>
      <c r="M3581" s="2" t="s">
        <v>599</v>
      </c>
      <c r="N3581" s="2" t="s">
        <v>600</v>
      </c>
      <c r="O3581" s="2" t="s">
        <v>115</v>
      </c>
      <c r="P3581" s="2" t="str">
        <f>"2170564358                    "</f>
        <v xml:space="preserve">2170564358                    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27.06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1</v>
      </c>
      <c r="BI3581" s="2">
        <v>3</v>
      </c>
      <c r="BJ3581" s="2">
        <v>6.7</v>
      </c>
      <c r="BK3581" s="2">
        <v>7</v>
      </c>
      <c r="BL3581" s="2">
        <v>263.39999999999998</v>
      </c>
      <c r="BM3581" s="2">
        <v>36.880000000000003</v>
      </c>
      <c r="BN3581" s="2">
        <v>300.27999999999997</v>
      </c>
      <c r="BO3581" s="2">
        <v>300.27999999999997</v>
      </c>
      <c r="BP3581" s="2"/>
      <c r="BQ3581" s="2" t="s">
        <v>601</v>
      </c>
      <c r="BR3581" s="2" t="s">
        <v>84</v>
      </c>
      <c r="BS3581" s="1" t="s">
        <v>1744</v>
      </c>
      <c r="BT3581" s="2"/>
      <c r="BU3581" s="2"/>
      <c r="BV3581" s="2"/>
      <c r="BW3581" s="2"/>
      <c r="BX3581" s="2"/>
      <c r="BY3581" s="2">
        <v>33280</v>
      </c>
      <c r="BZ3581" s="2" t="s">
        <v>27</v>
      </c>
      <c r="CA3581" s="2"/>
      <c r="CB3581" s="2"/>
      <c r="CC3581" s="2" t="s">
        <v>599</v>
      </c>
      <c r="CD3581" s="2">
        <v>3370</v>
      </c>
      <c r="CE3581" s="2" t="s">
        <v>89</v>
      </c>
      <c r="CF3581" s="2"/>
      <c r="CG3581" s="2"/>
      <c r="CH3581" s="2"/>
      <c r="CI3581" s="2">
        <v>3</v>
      </c>
      <c r="CJ3581" s="2" t="s">
        <v>1744</v>
      </c>
      <c r="CK3581" s="2">
        <v>23</v>
      </c>
      <c r="CL3581" s="2" t="s">
        <v>86</v>
      </c>
      <c r="CM3581" s="2"/>
    </row>
    <row r="3582" spans="1:91">
      <c r="A3582" s="2" t="s">
        <v>71</v>
      </c>
      <c r="B3582" s="2" t="s">
        <v>72</v>
      </c>
      <c r="C3582" s="2" t="s">
        <v>73</v>
      </c>
      <c r="D3582" s="2"/>
      <c r="E3582" s="2" t="str">
        <f>"FES1162546042"</f>
        <v>FES1162546042</v>
      </c>
      <c r="F3582" s="3">
        <v>42853</v>
      </c>
      <c r="G3582" s="2">
        <v>201710</v>
      </c>
      <c r="H3582" s="2" t="s">
        <v>74</v>
      </c>
      <c r="I3582" s="2" t="s">
        <v>75</v>
      </c>
      <c r="J3582" s="2" t="s">
        <v>76</v>
      </c>
      <c r="K3582" s="2" t="s">
        <v>77</v>
      </c>
      <c r="L3582" s="2" t="s">
        <v>496</v>
      </c>
      <c r="M3582" s="2" t="s">
        <v>497</v>
      </c>
      <c r="N3582" s="2" t="s">
        <v>3481</v>
      </c>
      <c r="O3582" s="2" t="s">
        <v>115</v>
      </c>
      <c r="P3582" s="2" t="str">
        <f>"2170564443                    "</f>
        <v xml:space="preserve">2170564443                    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3.35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1</v>
      </c>
      <c r="BI3582" s="2">
        <v>0.5</v>
      </c>
      <c r="BJ3582" s="2">
        <v>0.2</v>
      </c>
      <c r="BK3582" s="2">
        <v>1</v>
      </c>
      <c r="BL3582" s="2">
        <v>32.6</v>
      </c>
      <c r="BM3582" s="2">
        <v>4.5599999999999996</v>
      </c>
      <c r="BN3582" s="2">
        <v>37.159999999999997</v>
      </c>
      <c r="BO3582" s="2">
        <v>37.159999999999997</v>
      </c>
      <c r="BP3582" s="2"/>
      <c r="BQ3582" s="2" t="s">
        <v>3482</v>
      </c>
      <c r="BR3582" s="2" t="s">
        <v>84</v>
      </c>
      <c r="BS3582" s="1" t="s">
        <v>1744</v>
      </c>
      <c r="BT3582" s="2"/>
      <c r="BU3582" s="2"/>
      <c r="BV3582" s="2"/>
      <c r="BW3582" s="2"/>
      <c r="BX3582" s="2"/>
      <c r="BY3582" s="2">
        <v>1200</v>
      </c>
      <c r="BZ3582" s="2" t="s">
        <v>27</v>
      </c>
      <c r="CA3582" s="2"/>
      <c r="CB3582" s="2"/>
      <c r="CC3582" s="2" t="s">
        <v>497</v>
      </c>
      <c r="CD3582" s="2">
        <v>1559</v>
      </c>
      <c r="CE3582" s="2" t="s">
        <v>118</v>
      </c>
      <c r="CF3582" s="2"/>
      <c r="CG3582" s="2"/>
      <c r="CH3582" s="2"/>
      <c r="CI3582" s="2">
        <v>1</v>
      </c>
      <c r="CJ3582" s="2" t="s">
        <v>1744</v>
      </c>
      <c r="CK3582" s="2">
        <v>22</v>
      </c>
      <c r="CL3582" s="2" t="s">
        <v>86</v>
      </c>
      <c r="CM3582" s="2"/>
    </row>
    <row r="3583" spans="1:91">
      <c r="A3583" s="2" t="s">
        <v>71</v>
      </c>
      <c r="B3583" s="2" t="s">
        <v>72</v>
      </c>
      <c r="C3583" s="2" t="s">
        <v>73</v>
      </c>
      <c r="D3583" s="2"/>
      <c r="E3583" s="2" t="str">
        <f>"FES1162546059"</f>
        <v>FES1162546059</v>
      </c>
      <c r="F3583" s="3">
        <v>42853</v>
      </c>
      <c r="G3583" s="2">
        <v>201710</v>
      </c>
      <c r="H3583" s="2" t="s">
        <v>74</v>
      </c>
      <c r="I3583" s="2" t="s">
        <v>75</v>
      </c>
      <c r="J3583" s="2" t="s">
        <v>76</v>
      </c>
      <c r="K3583" s="2" t="s">
        <v>77</v>
      </c>
      <c r="L3583" s="2" t="s">
        <v>131</v>
      </c>
      <c r="M3583" s="2" t="s">
        <v>132</v>
      </c>
      <c r="N3583" s="2" t="s">
        <v>1081</v>
      </c>
      <c r="O3583" s="2" t="s">
        <v>115</v>
      </c>
      <c r="P3583" s="2" t="str">
        <f>"2170564465                    "</f>
        <v xml:space="preserve">2170564465                    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4.29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1</v>
      </c>
      <c r="BI3583" s="2">
        <v>1</v>
      </c>
      <c r="BJ3583" s="2">
        <v>0.2</v>
      </c>
      <c r="BK3583" s="2">
        <v>1</v>
      </c>
      <c r="BL3583" s="2">
        <v>41.73</v>
      </c>
      <c r="BM3583" s="2">
        <v>5.84</v>
      </c>
      <c r="BN3583" s="2">
        <v>47.57</v>
      </c>
      <c r="BO3583" s="2">
        <v>47.57</v>
      </c>
      <c r="BP3583" s="2"/>
      <c r="BQ3583" s="2" t="s">
        <v>1082</v>
      </c>
      <c r="BR3583" s="2" t="s">
        <v>84</v>
      </c>
      <c r="BS3583" s="3">
        <v>42857</v>
      </c>
      <c r="BT3583" s="4">
        <v>0.34583333333333338</v>
      </c>
      <c r="BU3583" s="2" t="s">
        <v>3470</v>
      </c>
      <c r="BV3583" s="2" t="s">
        <v>86</v>
      </c>
      <c r="BW3583" s="2"/>
      <c r="BX3583" s="2"/>
      <c r="BY3583" s="2">
        <v>1200</v>
      </c>
      <c r="BZ3583" s="2" t="s">
        <v>27</v>
      </c>
      <c r="CA3583" s="2" t="s">
        <v>2870</v>
      </c>
      <c r="CB3583" s="2"/>
      <c r="CC3583" s="2" t="s">
        <v>132</v>
      </c>
      <c r="CD3583" s="2">
        <v>7460</v>
      </c>
      <c r="CE3583" s="2" t="s">
        <v>118</v>
      </c>
      <c r="CF3583" s="2"/>
      <c r="CG3583" s="2"/>
      <c r="CH3583" s="2"/>
      <c r="CI3583" s="2">
        <v>1</v>
      </c>
      <c r="CJ3583" s="2">
        <v>2</v>
      </c>
      <c r="CK3583" s="2">
        <v>21</v>
      </c>
      <c r="CL3583" s="2" t="s">
        <v>86</v>
      </c>
      <c r="CM3583" s="2"/>
    </row>
    <row r="3584" spans="1:91">
      <c r="A3584" s="2" t="s">
        <v>71</v>
      </c>
      <c r="B3584" s="2" t="s">
        <v>72</v>
      </c>
      <c r="C3584" s="2" t="s">
        <v>73</v>
      </c>
      <c r="D3584" s="2"/>
      <c r="E3584" s="2" t="str">
        <f>"FES1162546070"</f>
        <v>FES1162546070</v>
      </c>
      <c r="F3584" s="3">
        <v>42853</v>
      </c>
      <c r="G3584" s="2">
        <v>201710</v>
      </c>
      <c r="H3584" s="2" t="s">
        <v>74</v>
      </c>
      <c r="I3584" s="2" t="s">
        <v>75</v>
      </c>
      <c r="J3584" s="2" t="s">
        <v>76</v>
      </c>
      <c r="K3584" s="2" t="s">
        <v>77</v>
      </c>
      <c r="L3584" s="2" t="s">
        <v>131</v>
      </c>
      <c r="M3584" s="2" t="s">
        <v>132</v>
      </c>
      <c r="N3584" s="2" t="s">
        <v>744</v>
      </c>
      <c r="O3584" s="2" t="s">
        <v>115</v>
      </c>
      <c r="P3584" s="2" t="str">
        <f>"2170564471                    "</f>
        <v xml:space="preserve">2170564471                    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4.29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1</v>
      </c>
      <c r="BI3584" s="2">
        <v>1</v>
      </c>
      <c r="BJ3584" s="2">
        <v>0.2</v>
      </c>
      <c r="BK3584" s="2">
        <v>1</v>
      </c>
      <c r="BL3584" s="2">
        <v>41.73</v>
      </c>
      <c r="BM3584" s="2">
        <v>5.84</v>
      </c>
      <c r="BN3584" s="2">
        <v>47.57</v>
      </c>
      <c r="BO3584" s="2">
        <v>47.57</v>
      </c>
      <c r="BP3584" s="2"/>
      <c r="BQ3584" s="2" t="s">
        <v>138</v>
      </c>
      <c r="BR3584" s="2" t="s">
        <v>84</v>
      </c>
      <c r="BS3584" s="1" t="s">
        <v>1744</v>
      </c>
      <c r="BT3584" s="2"/>
      <c r="BU3584" s="2"/>
      <c r="BV3584" s="2"/>
      <c r="BW3584" s="2"/>
      <c r="BX3584" s="2"/>
      <c r="BY3584" s="2">
        <v>1200</v>
      </c>
      <c r="BZ3584" s="2" t="s">
        <v>27</v>
      </c>
      <c r="CA3584" s="2"/>
      <c r="CB3584" s="2"/>
      <c r="CC3584" s="2" t="s">
        <v>132</v>
      </c>
      <c r="CD3584" s="2">
        <v>7405</v>
      </c>
      <c r="CE3584" s="2" t="s">
        <v>118</v>
      </c>
      <c r="CF3584" s="2"/>
      <c r="CG3584" s="2"/>
      <c r="CH3584" s="2"/>
      <c r="CI3584" s="2">
        <v>1</v>
      </c>
      <c r="CJ3584" s="2" t="s">
        <v>1744</v>
      </c>
      <c r="CK3584" s="2">
        <v>21</v>
      </c>
      <c r="CL3584" s="2" t="s">
        <v>86</v>
      </c>
      <c r="CM3584" s="2"/>
    </row>
    <row r="3585" spans="1:91">
      <c r="A3585" s="2" t="s">
        <v>71</v>
      </c>
      <c r="B3585" s="2" t="s">
        <v>72</v>
      </c>
      <c r="C3585" s="2" t="s">
        <v>73</v>
      </c>
      <c r="D3585" s="2"/>
      <c r="E3585" s="2" t="str">
        <f>"FES1162546000"</f>
        <v>FES1162546000</v>
      </c>
      <c r="F3585" s="3">
        <v>42853</v>
      </c>
      <c r="G3585" s="2">
        <v>201710</v>
      </c>
      <c r="H3585" s="2" t="s">
        <v>74</v>
      </c>
      <c r="I3585" s="2" t="s">
        <v>75</v>
      </c>
      <c r="J3585" s="2" t="s">
        <v>76</v>
      </c>
      <c r="K3585" s="2" t="s">
        <v>77</v>
      </c>
      <c r="L3585" s="2" t="s">
        <v>496</v>
      </c>
      <c r="M3585" s="2" t="s">
        <v>497</v>
      </c>
      <c r="N3585" s="2" t="s">
        <v>498</v>
      </c>
      <c r="O3585" s="2" t="s">
        <v>115</v>
      </c>
      <c r="P3585" s="2" t="str">
        <f>"2170562805                    "</f>
        <v xml:space="preserve">2170562805                    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3.35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1</v>
      </c>
      <c r="BI3585" s="2">
        <v>0.5</v>
      </c>
      <c r="BJ3585" s="2">
        <v>0.2</v>
      </c>
      <c r="BK3585" s="2">
        <v>1</v>
      </c>
      <c r="BL3585" s="2">
        <v>32.6</v>
      </c>
      <c r="BM3585" s="2">
        <v>4.5599999999999996</v>
      </c>
      <c r="BN3585" s="2">
        <v>37.159999999999997</v>
      </c>
      <c r="BO3585" s="2">
        <v>37.159999999999997</v>
      </c>
      <c r="BP3585" s="2"/>
      <c r="BQ3585" s="2" t="s">
        <v>122</v>
      </c>
      <c r="BR3585" s="2" t="s">
        <v>84</v>
      </c>
      <c r="BS3585" s="1" t="s">
        <v>1744</v>
      </c>
      <c r="BT3585" s="2"/>
      <c r="BU3585" s="2"/>
      <c r="BV3585" s="2"/>
      <c r="BW3585" s="2"/>
      <c r="BX3585" s="2"/>
      <c r="BY3585" s="2">
        <v>1200</v>
      </c>
      <c r="BZ3585" s="2" t="s">
        <v>27</v>
      </c>
      <c r="CA3585" s="2"/>
      <c r="CB3585" s="2"/>
      <c r="CC3585" s="2" t="s">
        <v>497</v>
      </c>
      <c r="CD3585" s="2">
        <v>1559</v>
      </c>
      <c r="CE3585" s="2" t="s">
        <v>118</v>
      </c>
      <c r="CF3585" s="2"/>
      <c r="CG3585" s="2"/>
      <c r="CH3585" s="2"/>
      <c r="CI3585" s="2">
        <v>1</v>
      </c>
      <c r="CJ3585" s="2" t="s">
        <v>1744</v>
      </c>
      <c r="CK3585" s="2">
        <v>22</v>
      </c>
      <c r="CL3585" s="2" t="s">
        <v>86</v>
      </c>
      <c r="CM3585" s="2"/>
    </row>
    <row r="3586" spans="1:91">
      <c r="A3586" s="2" t="s">
        <v>71</v>
      </c>
      <c r="B3586" s="2" t="s">
        <v>72</v>
      </c>
      <c r="C3586" s="2" t="s">
        <v>73</v>
      </c>
      <c r="D3586" s="2"/>
      <c r="E3586" s="2" t="str">
        <f>"FES1162545772"</f>
        <v>FES1162545772</v>
      </c>
      <c r="F3586" s="3">
        <v>42853</v>
      </c>
      <c r="G3586" s="2">
        <v>201710</v>
      </c>
      <c r="H3586" s="2" t="s">
        <v>74</v>
      </c>
      <c r="I3586" s="2" t="s">
        <v>75</v>
      </c>
      <c r="J3586" s="2" t="s">
        <v>76</v>
      </c>
      <c r="K3586" s="2" t="s">
        <v>77</v>
      </c>
      <c r="L3586" s="2" t="s">
        <v>187</v>
      </c>
      <c r="M3586" s="2" t="s">
        <v>146</v>
      </c>
      <c r="N3586" s="2" t="s">
        <v>1713</v>
      </c>
      <c r="O3586" s="2" t="s">
        <v>115</v>
      </c>
      <c r="P3586" s="2" t="str">
        <f>"2170562800                    "</f>
        <v xml:space="preserve">2170562800                    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4.29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1</v>
      </c>
      <c r="BI3586" s="2">
        <v>0.5</v>
      </c>
      <c r="BJ3586" s="2">
        <v>0.2</v>
      </c>
      <c r="BK3586" s="2">
        <v>0.5</v>
      </c>
      <c r="BL3586" s="2">
        <v>41.73</v>
      </c>
      <c r="BM3586" s="2">
        <v>5.84</v>
      </c>
      <c r="BN3586" s="2">
        <v>47.57</v>
      </c>
      <c r="BO3586" s="2">
        <v>47.57</v>
      </c>
      <c r="BP3586" s="2"/>
      <c r="BQ3586" s="2" t="s">
        <v>1714</v>
      </c>
      <c r="BR3586" s="2" t="s">
        <v>84</v>
      </c>
      <c r="BS3586" s="1" t="s">
        <v>1744</v>
      </c>
      <c r="BT3586" s="2"/>
      <c r="BU3586" s="2"/>
      <c r="BV3586" s="2"/>
      <c r="BW3586" s="2"/>
      <c r="BX3586" s="2"/>
      <c r="BY3586" s="2">
        <v>1200</v>
      </c>
      <c r="BZ3586" s="2" t="s">
        <v>27</v>
      </c>
      <c r="CA3586" s="2"/>
      <c r="CB3586" s="2"/>
      <c r="CC3586" s="2" t="s">
        <v>146</v>
      </c>
      <c r="CD3586" s="2">
        <v>157</v>
      </c>
      <c r="CE3586" s="2" t="s">
        <v>118</v>
      </c>
      <c r="CF3586" s="2"/>
      <c r="CG3586" s="2"/>
      <c r="CH3586" s="2"/>
      <c r="CI3586" s="2">
        <v>1</v>
      </c>
      <c r="CJ3586" s="2" t="s">
        <v>1744</v>
      </c>
      <c r="CK3586" s="2">
        <v>21</v>
      </c>
      <c r="CL3586" s="2" t="s">
        <v>86</v>
      </c>
      <c r="CM3586" s="2"/>
    </row>
    <row r="3587" spans="1:91">
      <c r="A3587" s="2" t="s">
        <v>71</v>
      </c>
      <c r="B3587" s="2" t="s">
        <v>72</v>
      </c>
      <c r="C3587" s="2" t="s">
        <v>73</v>
      </c>
      <c r="D3587" s="2"/>
      <c r="E3587" s="2" t="str">
        <f>"FES1162546002"</f>
        <v>FES1162546002</v>
      </c>
      <c r="F3587" s="3">
        <v>42853</v>
      </c>
      <c r="G3587" s="2">
        <v>201710</v>
      </c>
      <c r="H3587" s="2" t="s">
        <v>74</v>
      </c>
      <c r="I3587" s="2" t="s">
        <v>75</v>
      </c>
      <c r="J3587" s="2" t="s">
        <v>76</v>
      </c>
      <c r="K3587" s="2" t="s">
        <v>77</v>
      </c>
      <c r="L3587" s="2" t="s">
        <v>131</v>
      </c>
      <c r="M3587" s="2" t="s">
        <v>132</v>
      </c>
      <c r="N3587" s="2" t="s">
        <v>1081</v>
      </c>
      <c r="O3587" s="2" t="s">
        <v>115</v>
      </c>
      <c r="P3587" s="2" t="str">
        <f>"2170563538                    "</f>
        <v xml:space="preserve">2170563538                    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4.29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1</v>
      </c>
      <c r="BI3587" s="2">
        <v>1.8</v>
      </c>
      <c r="BJ3587" s="2">
        <v>1.1000000000000001</v>
      </c>
      <c r="BK3587" s="2">
        <v>2</v>
      </c>
      <c r="BL3587" s="2">
        <v>41.73</v>
      </c>
      <c r="BM3587" s="2">
        <v>5.84</v>
      </c>
      <c r="BN3587" s="2">
        <v>47.57</v>
      </c>
      <c r="BO3587" s="2">
        <v>47.57</v>
      </c>
      <c r="BP3587" s="2"/>
      <c r="BQ3587" s="2" t="s">
        <v>1082</v>
      </c>
      <c r="BR3587" s="2" t="s">
        <v>84</v>
      </c>
      <c r="BS3587" s="3">
        <v>42857</v>
      </c>
      <c r="BT3587" s="4">
        <v>0.34583333333333338</v>
      </c>
      <c r="BU3587" s="2" t="s">
        <v>3470</v>
      </c>
      <c r="BV3587" s="2" t="s">
        <v>86</v>
      </c>
      <c r="BW3587" s="2"/>
      <c r="BX3587" s="2"/>
      <c r="BY3587" s="2">
        <v>5420.89</v>
      </c>
      <c r="BZ3587" s="2" t="s">
        <v>27</v>
      </c>
      <c r="CA3587" s="2" t="s">
        <v>2870</v>
      </c>
      <c r="CB3587" s="2"/>
      <c r="CC3587" s="2" t="s">
        <v>132</v>
      </c>
      <c r="CD3587" s="2">
        <v>7460</v>
      </c>
      <c r="CE3587" s="2" t="s">
        <v>89</v>
      </c>
      <c r="CF3587" s="2"/>
      <c r="CG3587" s="2"/>
      <c r="CH3587" s="2"/>
      <c r="CI3587" s="2">
        <v>1</v>
      </c>
      <c r="CJ3587" s="2">
        <v>2</v>
      </c>
      <c r="CK3587" s="2">
        <v>21</v>
      </c>
      <c r="CL3587" s="2" t="s">
        <v>86</v>
      </c>
      <c r="CM3587" s="2"/>
    </row>
    <row r="3588" spans="1:91">
      <c r="A3588" s="2" t="s">
        <v>71</v>
      </c>
      <c r="B3588" s="2" t="s">
        <v>72</v>
      </c>
      <c r="C3588" s="2" t="s">
        <v>73</v>
      </c>
      <c r="D3588" s="2"/>
      <c r="E3588" s="2" t="str">
        <f>"FES1162546075"</f>
        <v>FES1162546075</v>
      </c>
      <c r="F3588" s="3">
        <v>42853</v>
      </c>
      <c r="G3588" s="2">
        <v>201710</v>
      </c>
      <c r="H3588" s="2" t="s">
        <v>74</v>
      </c>
      <c r="I3588" s="2" t="s">
        <v>75</v>
      </c>
      <c r="J3588" s="2" t="s">
        <v>76</v>
      </c>
      <c r="K3588" s="2" t="s">
        <v>77</v>
      </c>
      <c r="L3588" s="2" t="s">
        <v>91</v>
      </c>
      <c r="M3588" s="2" t="s">
        <v>92</v>
      </c>
      <c r="N3588" s="2" t="s">
        <v>2694</v>
      </c>
      <c r="O3588" s="2" t="s">
        <v>115</v>
      </c>
      <c r="P3588" s="2" t="str">
        <f>"2170564480                    "</f>
        <v xml:space="preserve">2170564480                    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3.35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1</v>
      </c>
      <c r="BI3588" s="2">
        <v>2.4</v>
      </c>
      <c r="BJ3588" s="2">
        <v>1.9</v>
      </c>
      <c r="BK3588" s="2">
        <v>3</v>
      </c>
      <c r="BL3588" s="2">
        <v>32.6</v>
      </c>
      <c r="BM3588" s="2">
        <v>4.5599999999999996</v>
      </c>
      <c r="BN3588" s="2">
        <v>37.159999999999997</v>
      </c>
      <c r="BO3588" s="2">
        <v>37.159999999999997</v>
      </c>
      <c r="BP3588" s="2"/>
      <c r="BQ3588" s="2" t="s">
        <v>2695</v>
      </c>
      <c r="BR3588" s="2" t="s">
        <v>84</v>
      </c>
      <c r="BS3588" s="3">
        <v>42857</v>
      </c>
      <c r="BT3588" s="4">
        <v>0.29236111111111113</v>
      </c>
      <c r="BU3588" s="2" t="s">
        <v>3483</v>
      </c>
      <c r="BV3588" s="2" t="s">
        <v>86</v>
      </c>
      <c r="BW3588" s="2"/>
      <c r="BX3588" s="2"/>
      <c r="BY3588" s="2">
        <v>9274.75</v>
      </c>
      <c r="BZ3588" s="2" t="s">
        <v>27</v>
      </c>
      <c r="CA3588" s="2" t="s">
        <v>520</v>
      </c>
      <c r="CB3588" s="2"/>
      <c r="CC3588" s="2" t="s">
        <v>92</v>
      </c>
      <c r="CD3588" s="2">
        <v>1406</v>
      </c>
      <c r="CE3588" s="2" t="s">
        <v>89</v>
      </c>
      <c r="CF3588" s="2"/>
      <c r="CG3588" s="2"/>
      <c r="CH3588" s="2"/>
      <c r="CI3588" s="2">
        <v>1</v>
      </c>
      <c r="CJ3588" s="2">
        <v>2</v>
      </c>
      <c r="CK3588" s="2">
        <v>22</v>
      </c>
      <c r="CL3588" s="2" t="s">
        <v>86</v>
      </c>
      <c r="CM3588" s="2"/>
    </row>
    <row r="3589" spans="1:91">
      <c r="A3589" s="2" t="s">
        <v>71</v>
      </c>
      <c r="B3589" s="2" t="s">
        <v>72</v>
      </c>
      <c r="C3589" s="2" t="s">
        <v>73</v>
      </c>
      <c r="D3589" s="2"/>
      <c r="E3589" s="2" t="str">
        <f>"FES1162545634"</f>
        <v>FES1162545634</v>
      </c>
      <c r="F3589" s="3">
        <v>42853</v>
      </c>
      <c r="G3589" s="2">
        <v>201710</v>
      </c>
      <c r="H3589" s="2" t="s">
        <v>74</v>
      </c>
      <c r="I3589" s="2" t="s">
        <v>75</v>
      </c>
      <c r="J3589" s="2" t="s">
        <v>76</v>
      </c>
      <c r="K3589" s="2" t="s">
        <v>77</v>
      </c>
      <c r="L3589" s="2" t="s">
        <v>112</v>
      </c>
      <c r="M3589" s="2" t="s">
        <v>113</v>
      </c>
      <c r="N3589" s="2" t="s">
        <v>114</v>
      </c>
      <c r="O3589" s="2" t="s">
        <v>115</v>
      </c>
      <c r="P3589" s="2" t="str">
        <f>"2170561727                    "</f>
        <v xml:space="preserve">2170561727                    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10.72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1</v>
      </c>
      <c r="BI3589" s="2">
        <v>5</v>
      </c>
      <c r="BJ3589" s="2">
        <v>0.3</v>
      </c>
      <c r="BK3589" s="2">
        <v>5</v>
      </c>
      <c r="BL3589" s="2">
        <v>104.32</v>
      </c>
      <c r="BM3589" s="2">
        <v>14.6</v>
      </c>
      <c r="BN3589" s="2">
        <v>118.92</v>
      </c>
      <c r="BO3589" s="2">
        <v>118.92</v>
      </c>
      <c r="BP3589" s="2"/>
      <c r="BQ3589" s="2" t="s">
        <v>116</v>
      </c>
      <c r="BR3589" s="2" t="s">
        <v>84</v>
      </c>
      <c r="BS3589" s="1" t="s">
        <v>1744</v>
      </c>
      <c r="BT3589" s="2"/>
      <c r="BU3589" s="2"/>
      <c r="BV3589" s="2"/>
      <c r="BW3589" s="2"/>
      <c r="BX3589" s="2"/>
      <c r="BY3589" s="2">
        <v>1650</v>
      </c>
      <c r="BZ3589" s="2" t="s">
        <v>27</v>
      </c>
      <c r="CA3589" s="2"/>
      <c r="CB3589" s="2"/>
      <c r="CC3589" s="2" t="s">
        <v>113</v>
      </c>
      <c r="CD3589" s="2">
        <v>3201</v>
      </c>
      <c r="CE3589" s="2" t="s">
        <v>89</v>
      </c>
      <c r="CF3589" s="2"/>
      <c r="CG3589" s="2"/>
      <c r="CH3589" s="2"/>
      <c r="CI3589" s="2">
        <v>1</v>
      </c>
      <c r="CJ3589" s="2" t="s">
        <v>1744</v>
      </c>
      <c r="CK3589" s="2">
        <v>21</v>
      </c>
      <c r="CL3589" s="2" t="s">
        <v>86</v>
      </c>
      <c r="CM3589" s="2"/>
    </row>
    <row r="3590" spans="1:91">
      <c r="A3590" s="2" t="s">
        <v>71</v>
      </c>
      <c r="B3590" s="2" t="s">
        <v>72</v>
      </c>
      <c r="C3590" s="2" t="s">
        <v>73</v>
      </c>
      <c r="D3590" s="2"/>
      <c r="E3590" s="2" t="str">
        <f>"FES1162545960"</f>
        <v>FES1162545960</v>
      </c>
      <c r="F3590" s="3">
        <v>42853</v>
      </c>
      <c r="G3590" s="2">
        <v>201710</v>
      </c>
      <c r="H3590" s="2" t="s">
        <v>74</v>
      </c>
      <c r="I3590" s="2" t="s">
        <v>75</v>
      </c>
      <c r="J3590" s="2" t="s">
        <v>76</v>
      </c>
      <c r="K3590" s="2" t="s">
        <v>77</v>
      </c>
      <c r="L3590" s="2" t="s">
        <v>609</v>
      </c>
      <c r="M3590" s="2" t="s">
        <v>610</v>
      </c>
      <c r="N3590" s="2" t="s">
        <v>1263</v>
      </c>
      <c r="O3590" s="2" t="s">
        <v>115</v>
      </c>
      <c r="P3590" s="2" t="str">
        <f>"2170564026                    "</f>
        <v xml:space="preserve">2170564026                    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4.29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1</v>
      </c>
      <c r="BI3590" s="2">
        <v>1.1000000000000001</v>
      </c>
      <c r="BJ3590" s="2">
        <v>1</v>
      </c>
      <c r="BK3590" s="2">
        <v>1.5</v>
      </c>
      <c r="BL3590" s="2">
        <v>41.73</v>
      </c>
      <c r="BM3590" s="2">
        <v>5.84</v>
      </c>
      <c r="BN3590" s="2">
        <v>47.57</v>
      </c>
      <c r="BO3590" s="2">
        <v>47.57</v>
      </c>
      <c r="BP3590" s="2"/>
      <c r="BQ3590" s="2" t="s">
        <v>1264</v>
      </c>
      <c r="BR3590" s="2" t="s">
        <v>84</v>
      </c>
      <c r="BS3590" s="1" t="s">
        <v>1744</v>
      </c>
      <c r="BT3590" s="2"/>
      <c r="BU3590" s="2"/>
      <c r="BV3590" s="2"/>
      <c r="BW3590" s="2"/>
      <c r="BX3590" s="2"/>
      <c r="BY3590" s="2">
        <v>4979.5200000000004</v>
      </c>
      <c r="BZ3590" s="2" t="s">
        <v>27</v>
      </c>
      <c r="CA3590" s="2"/>
      <c r="CB3590" s="2"/>
      <c r="CC3590" s="2" t="s">
        <v>610</v>
      </c>
      <c r="CD3590" s="2">
        <v>1900</v>
      </c>
      <c r="CE3590" s="2" t="s">
        <v>89</v>
      </c>
      <c r="CF3590" s="2"/>
      <c r="CG3590" s="2"/>
      <c r="CH3590" s="2"/>
      <c r="CI3590" s="2">
        <v>1</v>
      </c>
      <c r="CJ3590" s="2" t="s">
        <v>1744</v>
      </c>
      <c r="CK3590" s="2">
        <v>21</v>
      </c>
      <c r="CL3590" s="2" t="s">
        <v>86</v>
      </c>
      <c r="CM3590" s="2"/>
    </row>
    <row r="3591" spans="1:91">
      <c r="A3591" s="2" t="s">
        <v>71</v>
      </c>
      <c r="B3591" s="2" t="s">
        <v>72</v>
      </c>
      <c r="C3591" s="2" t="s">
        <v>73</v>
      </c>
      <c r="D3591" s="2"/>
      <c r="E3591" s="2" t="str">
        <f>"FES1162546034"</f>
        <v>FES1162546034</v>
      </c>
      <c r="F3591" s="3">
        <v>42853</v>
      </c>
      <c r="G3591" s="2">
        <v>201710</v>
      </c>
      <c r="H3591" s="2" t="s">
        <v>74</v>
      </c>
      <c r="I3591" s="2" t="s">
        <v>75</v>
      </c>
      <c r="J3591" s="2" t="s">
        <v>76</v>
      </c>
      <c r="K3591" s="2" t="s">
        <v>77</v>
      </c>
      <c r="L3591" s="2" t="s">
        <v>74</v>
      </c>
      <c r="M3591" s="2" t="s">
        <v>75</v>
      </c>
      <c r="N3591" s="2" t="s">
        <v>2964</v>
      </c>
      <c r="O3591" s="2" t="s">
        <v>115</v>
      </c>
      <c r="P3591" s="2" t="str">
        <f>"2170564438                    "</f>
        <v xml:space="preserve">2170564438                    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3.35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  <c r="BG3591" s="2">
        <v>0</v>
      </c>
      <c r="BH3591" s="2">
        <v>1</v>
      </c>
      <c r="BI3591" s="2">
        <v>1</v>
      </c>
      <c r="BJ3591" s="2">
        <v>0.2</v>
      </c>
      <c r="BK3591" s="2">
        <v>1</v>
      </c>
      <c r="BL3591" s="2">
        <v>32.6</v>
      </c>
      <c r="BM3591" s="2">
        <v>4.5599999999999996</v>
      </c>
      <c r="BN3591" s="2">
        <v>37.159999999999997</v>
      </c>
      <c r="BO3591" s="2">
        <v>37.159999999999997</v>
      </c>
      <c r="BP3591" s="2"/>
      <c r="BQ3591" s="2" t="s">
        <v>2965</v>
      </c>
      <c r="BR3591" s="2" t="s">
        <v>84</v>
      </c>
      <c r="BS3591" s="1" t="s">
        <v>1744</v>
      </c>
      <c r="BT3591" s="2"/>
      <c r="BU3591" s="2"/>
      <c r="BV3591" s="2"/>
      <c r="BW3591" s="2"/>
      <c r="BX3591" s="2"/>
      <c r="BY3591" s="2">
        <v>1200</v>
      </c>
      <c r="BZ3591" s="2" t="s">
        <v>27</v>
      </c>
      <c r="CA3591" s="2"/>
      <c r="CB3591" s="2"/>
      <c r="CC3591" s="2" t="s">
        <v>75</v>
      </c>
      <c r="CD3591" s="2">
        <v>1665</v>
      </c>
      <c r="CE3591" s="2" t="s">
        <v>118</v>
      </c>
      <c r="CF3591" s="2"/>
      <c r="CG3591" s="2"/>
      <c r="CH3591" s="2"/>
      <c r="CI3591" s="2">
        <v>1</v>
      </c>
      <c r="CJ3591" s="2" t="s">
        <v>1744</v>
      </c>
      <c r="CK3591" s="2">
        <v>22</v>
      </c>
      <c r="CL3591" s="2" t="s">
        <v>86</v>
      </c>
      <c r="CM3591" s="2"/>
    </row>
    <row r="3592" spans="1:91">
      <c r="A3592" s="2" t="s">
        <v>71</v>
      </c>
      <c r="B3592" s="2" t="s">
        <v>72</v>
      </c>
      <c r="C3592" s="2" t="s">
        <v>73</v>
      </c>
      <c r="D3592" s="2"/>
      <c r="E3592" s="2" t="str">
        <f>"FES1162545625"</f>
        <v>FES1162545625</v>
      </c>
      <c r="F3592" s="3">
        <v>42853</v>
      </c>
      <c r="G3592" s="2">
        <v>201710</v>
      </c>
      <c r="H3592" s="2" t="s">
        <v>74</v>
      </c>
      <c r="I3592" s="2" t="s">
        <v>75</v>
      </c>
      <c r="J3592" s="2" t="s">
        <v>76</v>
      </c>
      <c r="K3592" s="2" t="s">
        <v>77</v>
      </c>
      <c r="L3592" s="2" t="s">
        <v>112</v>
      </c>
      <c r="M3592" s="2" t="s">
        <v>113</v>
      </c>
      <c r="N3592" s="2" t="s">
        <v>114</v>
      </c>
      <c r="O3592" s="2" t="s">
        <v>115</v>
      </c>
      <c r="P3592" s="2" t="str">
        <f>"2170560977                    "</f>
        <v xml:space="preserve">2170560977                    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53.59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3</v>
      </c>
      <c r="BI3592" s="2">
        <v>24.9</v>
      </c>
      <c r="BJ3592" s="2">
        <v>4.3</v>
      </c>
      <c r="BK3592" s="2">
        <v>25</v>
      </c>
      <c r="BL3592" s="2">
        <v>521.59</v>
      </c>
      <c r="BM3592" s="2">
        <v>73.02</v>
      </c>
      <c r="BN3592" s="2">
        <v>594.61</v>
      </c>
      <c r="BO3592" s="2">
        <v>594.61</v>
      </c>
      <c r="BP3592" s="2"/>
      <c r="BQ3592" s="2" t="s">
        <v>116</v>
      </c>
      <c r="BR3592" s="2" t="s">
        <v>84</v>
      </c>
      <c r="BS3592" s="1" t="s">
        <v>1744</v>
      </c>
      <c r="BT3592" s="2"/>
      <c r="BU3592" s="2"/>
      <c r="BV3592" s="2"/>
      <c r="BW3592" s="2"/>
      <c r="BX3592" s="2"/>
      <c r="BY3592" s="2">
        <v>21313.17</v>
      </c>
      <c r="BZ3592" s="2" t="s">
        <v>27</v>
      </c>
      <c r="CA3592" s="2"/>
      <c r="CB3592" s="2"/>
      <c r="CC3592" s="2" t="s">
        <v>113</v>
      </c>
      <c r="CD3592" s="2">
        <v>3201</v>
      </c>
      <c r="CE3592" s="2" t="s">
        <v>118</v>
      </c>
      <c r="CF3592" s="2"/>
      <c r="CG3592" s="2"/>
      <c r="CH3592" s="2"/>
      <c r="CI3592" s="2">
        <v>1</v>
      </c>
      <c r="CJ3592" s="2" t="s">
        <v>1744</v>
      </c>
      <c r="CK3592" s="2">
        <v>21</v>
      </c>
      <c r="CL3592" s="2" t="s">
        <v>86</v>
      </c>
      <c r="CM3592" s="2"/>
    </row>
    <row r="3593" spans="1:91">
      <c r="A3593" s="2" t="s">
        <v>71</v>
      </c>
      <c r="B3593" s="2" t="s">
        <v>72</v>
      </c>
      <c r="C3593" s="2" t="s">
        <v>73</v>
      </c>
      <c r="D3593" s="2"/>
      <c r="E3593" s="2" t="str">
        <f>"FES1162545959"</f>
        <v>FES1162545959</v>
      </c>
      <c r="F3593" s="3">
        <v>42853</v>
      </c>
      <c r="G3593" s="2">
        <v>201710</v>
      </c>
      <c r="H3593" s="2" t="s">
        <v>74</v>
      </c>
      <c r="I3593" s="2" t="s">
        <v>75</v>
      </c>
      <c r="J3593" s="2" t="s">
        <v>76</v>
      </c>
      <c r="K3593" s="2" t="s">
        <v>77</v>
      </c>
      <c r="L3593" s="2" t="s">
        <v>401</v>
      </c>
      <c r="M3593" s="2" t="s">
        <v>402</v>
      </c>
      <c r="N3593" s="2" t="s">
        <v>1114</v>
      </c>
      <c r="O3593" s="2" t="s">
        <v>115</v>
      </c>
      <c r="P3593" s="2" t="str">
        <f>"2170563978                    "</f>
        <v xml:space="preserve">2170563978                    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4.29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1</v>
      </c>
      <c r="BI3593" s="2">
        <v>0.5</v>
      </c>
      <c r="BJ3593" s="2">
        <v>0.2</v>
      </c>
      <c r="BK3593" s="2">
        <v>0.5</v>
      </c>
      <c r="BL3593" s="2">
        <v>41.73</v>
      </c>
      <c r="BM3593" s="2">
        <v>5.84</v>
      </c>
      <c r="BN3593" s="2">
        <v>47.57</v>
      </c>
      <c r="BO3593" s="2">
        <v>47.57</v>
      </c>
      <c r="BP3593" s="2"/>
      <c r="BQ3593" s="2" t="s">
        <v>1115</v>
      </c>
      <c r="BR3593" s="2" t="s">
        <v>84</v>
      </c>
      <c r="BS3593" s="1" t="s">
        <v>1744</v>
      </c>
      <c r="BT3593" s="2"/>
      <c r="BU3593" s="2"/>
      <c r="BV3593" s="2"/>
      <c r="BW3593" s="2"/>
      <c r="BX3593" s="2"/>
      <c r="BY3593" s="2">
        <v>1200</v>
      </c>
      <c r="BZ3593" s="2" t="s">
        <v>27</v>
      </c>
      <c r="CA3593" s="2"/>
      <c r="CB3593" s="2"/>
      <c r="CC3593" s="2" t="s">
        <v>402</v>
      </c>
      <c r="CD3593" s="2">
        <v>4133</v>
      </c>
      <c r="CE3593" s="2" t="s">
        <v>118</v>
      </c>
      <c r="CF3593" s="2"/>
      <c r="CG3593" s="2"/>
      <c r="CH3593" s="2"/>
      <c r="CI3593" s="2">
        <v>1</v>
      </c>
      <c r="CJ3593" s="2" t="s">
        <v>1744</v>
      </c>
      <c r="CK3593" s="2">
        <v>21</v>
      </c>
      <c r="CL3593" s="2" t="s">
        <v>86</v>
      </c>
      <c r="CM3593" s="2"/>
    </row>
    <row r="3594" spans="1:91">
      <c r="A3594" s="2" t="s">
        <v>71</v>
      </c>
      <c r="B3594" s="2" t="s">
        <v>72</v>
      </c>
      <c r="C3594" s="2" t="s">
        <v>73</v>
      </c>
      <c r="D3594" s="2"/>
      <c r="E3594" s="2" t="str">
        <f>"FES1162545693"</f>
        <v>FES1162545693</v>
      </c>
      <c r="F3594" s="3">
        <v>42853</v>
      </c>
      <c r="G3594" s="2">
        <v>201710</v>
      </c>
      <c r="H3594" s="2" t="s">
        <v>74</v>
      </c>
      <c r="I3594" s="2" t="s">
        <v>75</v>
      </c>
      <c r="J3594" s="2" t="s">
        <v>76</v>
      </c>
      <c r="K3594" s="2" t="s">
        <v>77</v>
      </c>
      <c r="L3594" s="2" t="s">
        <v>99</v>
      </c>
      <c r="M3594" s="2" t="s">
        <v>100</v>
      </c>
      <c r="N3594" s="2" t="s">
        <v>151</v>
      </c>
      <c r="O3594" s="2" t="s">
        <v>115</v>
      </c>
      <c r="P3594" s="2" t="str">
        <f>"2170564155                    "</f>
        <v xml:space="preserve">2170564155                    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4.29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1</v>
      </c>
      <c r="BI3594" s="2">
        <v>0.5</v>
      </c>
      <c r="BJ3594" s="2">
        <v>0.2</v>
      </c>
      <c r="BK3594" s="2">
        <v>0.5</v>
      </c>
      <c r="BL3594" s="2">
        <v>41.73</v>
      </c>
      <c r="BM3594" s="2">
        <v>5.84</v>
      </c>
      <c r="BN3594" s="2">
        <v>47.57</v>
      </c>
      <c r="BO3594" s="2">
        <v>47.57</v>
      </c>
      <c r="BP3594" s="2"/>
      <c r="BQ3594" s="2" t="s">
        <v>152</v>
      </c>
      <c r="BR3594" s="2" t="s">
        <v>84</v>
      </c>
      <c r="BS3594" s="3">
        <v>42857</v>
      </c>
      <c r="BT3594" s="4">
        <v>0.35833333333333334</v>
      </c>
      <c r="BU3594" s="2" t="s">
        <v>153</v>
      </c>
      <c r="BV3594" s="2" t="s">
        <v>86</v>
      </c>
      <c r="BW3594" s="2"/>
      <c r="BX3594" s="2"/>
      <c r="BY3594" s="2">
        <v>1200</v>
      </c>
      <c r="BZ3594" s="2" t="s">
        <v>27</v>
      </c>
      <c r="CA3594" s="2" t="s">
        <v>3390</v>
      </c>
      <c r="CB3594" s="2"/>
      <c r="CC3594" s="2" t="s">
        <v>100</v>
      </c>
      <c r="CD3594" s="2">
        <v>6001</v>
      </c>
      <c r="CE3594" s="2" t="s">
        <v>118</v>
      </c>
      <c r="CF3594" s="2"/>
      <c r="CG3594" s="2"/>
      <c r="CH3594" s="2"/>
      <c r="CI3594" s="2">
        <v>1</v>
      </c>
      <c r="CJ3594" s="2">
        <v>2</v>
      </c>
      <c r="CK3594" s="2">
        <v>21</v>
      </c>
      <c r="CL3594" s="2" t="s">
        <v>86</v>
      </c>
      <c r="CM3594" s="2"/>
    </row>
    <row r="3595" spans="1:91">
      <c r="A3595" s="2" t="s">
        <v>71</v>
      </c>
      <c r="B3595" s="2" t="s">
        <v>72</v>
      </c>
      <c r="C3595" s="2" t="s">
        <v>73</v>
      </c>
      <c r="D3595" s="2"/>
      <c r="E3595" s="2" t="str">
        <f>"FES1162546015"</f>
        <v>FES1162546015</v>
      </c>
      <c r="F3595" s="3">
        <v>42853</v>
      </c>
      <c r="G3595" s="2">
        <v>201710</v>
      </c>
      <c r="H3595" s="2" t="s">
        <v>74</v>
      </c>
      <c r="I3595" s="2" t="s">
        <v>75</v>
      </c>
      <c r="J3595" s="2" t="s">
        <v>76</v>
      </c>
      <c r="K3595" s="2" t="s">
        <v>77</v>
      </c>
      <c r="L3595" s="2" t="s">
        <v>187</v>
      </c>
      <c r="M3595" s="2" t="s">
        <v>146</v>
      </c>
      <c r="N3595" s="2" t="s">
        <v>3484</v>
      </c>
      <c r="O3595" s="2" t="s">
        <v>115</v>
      </c>
      <c r="P3595" s="2" t="str">
        <f>"2170564418                    "</f>
        <v xml:space="preserve">2170564418                    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7.5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1</v>
      </c>
      <c r="BI3595" s="2">
        <v>2</v>
      </c>
      <c r="BJ3595" s="2">
        <v>3.3</v>
      </c>
      <c r="BK3595" s="2">
        <v>3.5</v>
      </c>
      <c r="BL3595" s="2">
        <v>73.02</v>
      </c>
      <c r="BM3595" s="2">
        <v>10.220000000000001</v>
      </c>
      <c r="BN3595" s="2">
        <v>83.24</v>
      </c>
      <c r="BO3595" s="2">
        <v>83.24</v>
      </c>
      <c r="BP3595" s="2"/>
      <c r="BQ3595" s="2" t="s">
        <v>122</v>
      </c>
      <c r="BR3595" s="2" t="s">
        <v>84</v>
      </c>
      <c r="BS3595" s="1" t="s">
        <v>1744</v>
      </c>
      <c r="BT3595" s="2"/>
      <c r="BU3595" s="2"/>
      <c r="BV3595" s="2"/>
      <c r="BW3595" s="2"/>
      <c r="BX3595" s="2"/>
      <c r="BY3595" s="2">
        <v>16552.759999999998</v>
      </c>
      <c r="BZ3595" s="2" t="s">
        <v>27</v>
      </c>
      <c r="CA3595" s="2"/>
      <c r="CB3595" s="2"/>
      <c r="CC3595" s="2" t="s">
        <v>146</v>
      </c>
      <c r="CD3595" s="2">
        <v>181</v>
      </c>
      <c r="CE3595" s="2" t="s">
        <v>89</v>
      </c>
      <c r="CF3595" s="2"/>
      <c r="CG3595" s="2"/>
      <c r="CH3595" s="2"/>
      <c r="CI3595" s="2">
        <v>1</v>
      </c>
      <c r="CJ3595" s="2" t="s">
        <v>1744</v>
      </c>
      <c r="CK3595" s="2">
        <v>21</v>
      </c>
      <c r="CL3595" s="2" t="s">
        <v>86</v>
      </c>
      <c r="CM3595" s="2"/>
    </row>
    <row r="3596" spans="1:91">
      <c r="A3596" s="2" t="s">
        <v>71</v>
      </c>
      <c r="B3596" s="2" t="s">
        <v>72</v>
      </c>
      <c r="C3596" s="2" t="s">
        <v>73</v>
      </c>
      <c r="D3596" s="2"/>
      <c r="E3596" s="2" t="str">
        <f>"FES1162545965"</f>
        <v>FES1162545965</v>
      </c>
      <c r="F3596" s="3">
        <v>42853</v>
      </c>
      <c r="G3596" s="2">
        <v>201710</v>
      </c>
      <c r="H3596" s="2" t="s">
        <v>74</v>
      </c>
      <c r="I3596" s="2" t="s">
        <v>75</v>
      </c>
      <c r="J3596" s="2" t="s">
        <v>76</v>
      </c>
      <c r="K3596" s="2" t="s">
        <v>77</v>
      </c>
      <c r="L3596" s="2" t="s">
        <v>176</v>
      </c>
      <c r="M3596" s="2" t="s">
        <v>176</v>
      </c>
      <c r="N3596" s="2" t="s">
        <v>177</v>
      </c>
      <c r="O3596" s="2" t="s">
        <v>115</v>
      </c>
      <c r="P3596" s="2" t="str">
        <f>"2170564339                    "</f>
        <v xml:space="preserve">2170564339                    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4.29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  <c r="BG3596" s="2">
        <v>0</v>
      </c>
      <c r="BH3596" s="2">
        <v>1</v>
      </c>
      <c r="BI3596" s="2">
        <v>1</v>
      </c>
      <c r="BJ3596" s="2">
        <v>0.2</v>
      </c>
      <c r="BK3596" s="2">
        <v>1</v>
      </c>
      <c r="BL3596" s="2">
        <v>41.73</v>
      </c>
      <c r="BM3596" s="2">
        <v>5.84</v>
      </c>
      <c r="BN3596" s="2">
        <v>47.57</v>
      </c>
      <c r="BO3596" s="2">
        <v>47.57</v>
      </c>
      <c r="BP3596" s="2"/>
      <c r="BQ3596" s="2" t="s">
        <v>178</v>
      </c>
      <c r="BR3596" s="2" t="s">
        <v>84</v>
      </c>
      <c r="BS3596" s="1" t="s">
        <v>1744</v>
      </c>
      <c r="BT3596" s="2"/>
      <c r="BU3596" s="2"/>
      <c r="BV3596" s="2"/>
      <c r="BW3596" s="2"/>
      <c r="BX3596" s="2"/>
      <c r="BY3596" s="2">
        <v>1200</v>
      </c>
      <c r="BZ3596" s="2" t="s">
        <v>27</v>
      </c>
      <c r="CA3596" s="2"/>
      <c r="CB3596" s="2"/>
      <c r="CC3596" s="2" t="s">
        <v>176</v>
      </c>
      <c r="CD3596" s="2">
        <v>7646</v>
      </c>
      <c r="CE3596" s="2" t="s">
        <v>118</v>
      </c>
      <c r="CF3596" s="2"/>
      <c r="CG3596" s="2"/>
      <c r="CH3596" s="2"/>
      <c r="CI3596" s="2">
        <v>1</v>
      </c>
      <c r="CJ3596" s="2" t="s">
        <v>1744</v>
      </c>
      <c r="CK3596" s="2">
        <v>21</v>
      </c>
      <c r="CL3596" s="2" t="s">
        <v>86</v>
      </c>
      <c r="CM3596" s="2"/>
    </row>
    <row r="3597" spans="1:91">
      <c r="A3597" s="2" t="s">
        <v>71</v>
      </c>
      <c r="B3597" s="2" t="s">
        <v>72</v>
      </c>
      <c r="C3597" s="2" t="s">
        <v>73</v>
      </c>
      <c r="D3597" s="2"/>
      <c r="E3597" s="2" t="str">
        <f>"FES1162545833"</f>
        <v>FES1162545833</v>
      </c>
      <c r="F3597" s="3">
        <v>42853</v>
      </c>
      <c r="G3597" s="2">
        <v>201710</v>
      </c>
      <c r="H3597" s="2" t="s">
        <v>74</v>
      </c>
      <c r="I3597" s="2" t="s">
        <v>75</v>
      </c>
      <c r="J3597" s="2" t="s">
        <v>76</v>
      </c>
      <c r="K3597" s="2" t="s">
        <v>77</v>
      </c>
      <c r="L3597" s="2" t="s">
        <v>74</v>
      </c>
      <c r="M3597" s="2" t="s">
        <v>75</v>
      </c>
      <c r="N3597" s="2" t="s">
        <v>3485</v>
      </c>
      <c r="O3597" s="2" t="s">
        <v>115</v>
      </c>
      <c r="P3597" s="2" t="str">
        <f>"2170564289                    "</f>
        <v xml:space="preserve">2170564289                    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3.35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1</v>
      </c>
      <c r="BI3597" s="2">
        <v>0.5</v>
      </c>
      <c r="BJ3597" s="2">
        <v>0.2</v>
      </c>
      <c r="BK3597" s="2">
        <v>1</v>
      </c>
      <c r="BL3597" s="2">
        <v>32.6</v>
      </c>
      <c r="BM3597" s="2">
        <v>4.5599999999999996</v>
      </c>
      <c r="BN3597" s="2">
        <v>37.159999999999997</v>
      </c>
      <c r="BO3597" s="2">
        <v>37.159999999999997</v>
      </c>
      <c r="BP3597" s="2"/>
      <c r="BQ3597" s="2" t="s">
        <v>3486</v>
      </c>
      <c r="BR3597" s="2" t="s">
        <v>84</v>
      </c>
      <c r="BS3597" s="3">
        <v>42857</v>
      </c>
      <c r="BT3597" s="4">
        <v>0.32569444444444445</v>
      </c>
      <c r="BU3597" s="2" t="s">
        <v>3487</v>
      </c>
      <c r="BV3597" s="2" t="s">
        <v>86</v>
      </c>
      <c r="BW3597" s="2"/>
      <c r="BX3597" s="2"/>
      <c r="BY3597" s="2">
        <v>1200</v>
      </c>
      <c r="BZ3597" s="2" t="s">
        <v>27</v>
      </c>
      <c r="CA3597" s="2" t="s">
        <v>2027</v>
      </c>
      <c r="CB3597" s="2"/>
      <c r="CC3597" s="2" t="s">
        <v>75</v>
      </c>
      <c r="CD3597" s="2">
        <v>1609</v>
      </c>
      <c r="CE3597" s="2" t="s">
        <v>118</v>
      </c>
      <c r="CF3597" s="2"/>
      <c r="CG3597" s="2"/>
      <c r="CH3597" s="2"/>
      <c r="CI3597" s="2">
        <v>1</v>
      </c>
      <c r="CJ3597" s="2">
        <v>2</v>
      </c>
      <c r="CK3597" s="2">
        <v>22</v>
      </c>
      <c r="CL3597" s="2" t="s">
        <v>86</v>
      </c>
      <c r="CM3597" s="2"/>
    </row>
    <row r="3598" spans="1:91">
      <c r="A3598" s="2" t="s">
        <v>71</v>
      </c>
      <c r="B3598" s="2" t="s">
        <v>72</v>
      </c>
      <c r="C3598" s="2" t="s">
        <v>73</v>
      </c>
      <c r="D3598" s="2"/>
      <c r="E3598" s="2" t="str">
        <f>"FES1162545974"</f>
        <v>FES1162545974</v>
      </c>
      <c r="F3598" s="3">
        <v>42853</v>
      </c>
      <c r="G3598" s="2">
        <v>201710</v>
      </c>
      <c r="H3598" s="2" t="s">
        <v>74</v>
      </c>
      <c r="I3598" s="2" t="s">
        <v>75</v>
      </c>
      <c r="J3598" s="2" t="s">
        <v>76</v>
      </c>
      <c r="K3598" s="2" t="s">
        <v>77</v>
      </c>
      <c r="L3598" s="2" t="s">
        <v>131</v>
      </c>
      <c r="M3598" s="2" t="s">
        <v>132</v>
      </c>
      <c r="N3598" s="2" t="s">
        <v>1269</v>
      </c>
      <c r="O3598" s="2" t="s">
        <v>115</v>
      </c>
      <c r="P3598" s="2" t="str">
        <f>"2170564407                    "</f>
        <v xml:space="preserve">2170564407                    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4.29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  <c r="BG3598" s="2">
        <v>0</v>
      </c>
      <c r="BH3598" s="2">
        <v>1</v>
      </c>
      <c r="BI3598" s="2">
        <v>1.7</v>
      </c>
      <c r="BJ3598" s="2">
        <v>1</v>
      </c>
      <c r="BK3598" s="2">
        <v>2</v>
      </c>
      <c r="BL3598" s="2">
        <v>41.73</v>
      </c>
      <c r="BM3598" s="2">
        <v>5.84</v>
      </c>
      <c r="BN3598" s="2">
        <v>47.57</v>
      </c>
      <c r="BO3598" s="2">
        <v>47.57</v>
      </c>
      <c r="BP3598" s="2"/>
      <c r="BQ3598" s="2" t="s">
        <v>129</v>
      </c>
      <c r="BR3598" s="2" t="s">
        <v>84</v>
      </c>
      <c r="BS3598" s="1" t="s">
        <v>1744</v>
      </c>
      <c r="BT3598" s="2"/>
      <c r="BU3598" s="2"/>
      <c r="BV3598" s="2"/>
      <c r="BW3598" s="2"/>
      <c r="BX3598" s="2"/>
      <c r="BY3598" s="2">
        <v>4847.3900000000003</v>
      </c>
      <c r="BZ3598" s="2" t="s">
        <v>27</v>
      </c>
      <c r="CA3598" s="2"/>
      <c r="CB3598" s="2"/>
      <c r="CC3598" s="2" t="s">
        <v>132</v>
      </c>
      <c r="CD3598" s="2">
        <v>7800</v>
      </c>
      <c r="CE3598" s="2" t="s">
        <v>89</v>
      </c>
      <c r="CF3598" s="2"/>
      <c r="CG3598" s="2"/>
      <c r="CH3598" s="2"/>
      <c r="CI3598" s="2">
        <v>1</v>
      </c>
      <c r="CJ3598" s="2" t="s">
        <v>1744</v>
      </c>
      <c r="CK3598" s="2">
        <v>21</v>
      </c>
      <c r="CL3598" s="2" t="s">
        <v>86</v>
      </c>
      <c r="CM3598" s="2"/>
    </row>
    <row r="3599" spans="1:91">
      <c r="A3599" s="2" t="s">
        <v>71</v>
      </c>
      <c r="B3599" s="2" t="s">
        <v>72</v>
      </c>
      <c r="C3599" s="2" t="s">
        <v>73</v>
      </c>
      <c r="D3599" s="2"/>
      <c r="E3599" s="2" t="str">
        <f>"FES1162545963"</f>
        <v>FES1162545963</v>
      </c>
      <c r="F3599" s="3">
        <v>42853</v>
      </c>
      <c r="G3599" s="2">
        <v>201710</v>
      </c>
      <c r="H3599" s="2" t="s">
        <v>74</v>
      </c>
      <c r="I3599" s="2" t="s">
        <v>75</v>
      </c>
      <c r="J3599" s="2" t="s">
        <v>76</v>
      </c>
      <c r="K3599" s="2" t="s">
        <v>77</v>
      </c>
      <c r="L3599" s="2" t="s">
        <v>934</v>
      </c>
      <c r="M3599" s="2" t="s">
        <v>935</v>
      </c>
      <c r="N3599" s="2" t="s">
        <v>3339</v>
      </c>
      <c r="O3599" s="2" t="s">
        <v>115</v>
      </c>
      <c r="P3599" s="2" t="str">
        <f>"2170564202                    "</f>
        <v xml:space="preserve">2170564202                    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4.29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1</v>
      </c>
      <c r="BI3599" s="2">
        <v>0.5</v>
      </c>
      <c r="BJ3599" s="2">
        <v>1</v>
      </c>
      <c r="BK3599" s="2">
        <v>1</v>
      </c>
      <c r="BL3599" s="2">
        <v>41.73</v>
      </c>
      <c r="BM3599" s="2">
        <v>5.84</v>
      </c>
      <c r="BN3599" s="2">
        <v>47.57</v>
      </c>
      <c r="BO3599" s="2">
        <v>47.57</v>
      </c>
      <c r="BP3599" s="2"/>
      <c r="BQ3599" s="2" t="s">
        <v>3340</v>
      </c>
      <c r="BR3599" s="2" t="s">
        <v>84</v>
      </c>
      <c r="BS3599" s="1" t="s">
        <v>1744</v>
      </c>
      <c r="BT3599" s="2"/>
      <c r="BU3599" s="2"/>
      <c r="BV3599" s="2"/>
      <c r="BW3599" s="2"/>
      <c r="BX3599" s="2"/>
      <c r="BY3599" s="2">
        <v>4911.5</v>
      </c>
      <c r="BZ3599" s="2" t="s">
        <v>27</v>
      </c>
      <c r="CA3599" s="2"/>
      <c r="CB3599" s="2"/>
      <c r="CC3599" s="2" t="s">
        <v>935</v>
      </c>
      <c r="CD3599" s="2">
        <v>1939</v>
      </c>
      <c r="CE3599" s="2" t="s">
        <v>89</v>
      </c>
      <c r="CF3599" s="2"/>
      <c r="CG3599" s="2"/>
      <c r="CH3599" s="2"/>
      <c r="CI3599" s="2">
        <v>1</v>
      </c>
      <c r="CJ3599" s="2" t="s">
        <v>1744</v>
      </c>
      <c r="CK3599" s="2">
        <v>21</v>
      </c>
      <c r="CL3599" s="2" t="s">
        <v>86</v>
      </c>
      <c r="CM3599" s="2"/>
    </row>
    <row r="3600" spans="1:91">
      <c r="A3600" s="2" t="s">
        <v>71</v>
      </c>
      <c r="B3600" s="2" t="s">
        <v>72</v>
      </c>
      <c r="C3600" s="2" t="s">
        <v>73</v>
      </c>
      <c r="D3600" s="2"/>
      <c r="E3600" s="2" t="str">
        <f>"FES1162545988"</f>
        <v>FES1162545988</v>
      </c>
      <c r="F3600" s="3">
        <v>42853</v>
      </c>
      <c r="G3600" s="2">
        <v>201710</v>
      </c>
      <c r="H3600" s="2" t="s">
        <v>74</v>
      </c>
      <c r="I3600" s="2" t="s">
        <v>75</v>
      </c>
      <c r="J3600" s="2" t="s">
        <v>76</v>
      </c>
      <c r="K3600" s="2" t="s">
        <v>77</v>
      </c>
      <c r="L3600" s="2" t="s">
        <v>131</v>
      </c>
      <c r="M3600" s="2" t="s">
        <v>132</v>
      </c>
      <c r="N3600" s="2" t="s">
        <v>2400</v>
      </c>
      <c r="O3600" s="2" t="s">
        <v>115</v>
      </c>
      <c r="P3600" s="2" t="str">
        <f>"2170562334                    "</f>
        <v xml:space="preserve">2170562334                    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4.29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  <c r="BG3600" s="2">
        <v>0</v>
      </c>
      <c r="BH3600" s="2">
        <v>1</v>
      </c>
      <c r="BI3600" s="2">
        <v>1</v>
      </c>
      <c r="BJ3600" s="2">
        <v>0.2</v>
      </c>
      <c r="BK3600" s="2">
        <v>1</v>
      </c>
      <c r="BL3600" s="2">
        <v>41.73</v>
      </c>
      <c r="BM3600" s="2">
        <v>5.84</v>
      </c>
      <c r="BN3600" s="2">
        <v>47.57</v>
      </c>
      <c r="BO3600" s="2">
        <v>47.57</v>
      </c>
      <c r="BP3600" s="2"/>
      <c r="BQ3600" s="2" t="s">
        <v>122</v>
      </c>
      <c r="BR3600" s="2" t="s">
        <v>84</v>
      </c>
      <c r="BS3600" s="1" t="s">
        <v>1744</v>
      </c>
      <c r="BT3600" s="2"/>
      <c r="BU3600" s="2"/>
      <c r="BV3600" s="2"/>
      <c r="BW3600" s="2"/>
      <c r="BX3600" s="2"/>
      <c r="BY3600" s="2">
        <v>1200</v>
      </c>
      <c r="BZ3600" s="2" t="s">
        <v>27</v>
      </c>
      <c r="CA3600" s="2"/>
      <c r="CB3600" s="2"/>
      <c r="CC3600" s="2" t="s">
        <v>132</v>
      </c>
      <c r="CD3600" s="2">
        <v>7441</v>
      </c>
      <c r="CE3600" s="2" t="s">
        <v>118</v>
      </c>
      <c r="CF3600" s="2"/>
      <c r="CG3600" s="2"/>
      <c r="CH3600" s="2"/>
      <c r="CI3600" s="2">
        <v>1</v>
      </c>
      <c r="CJ3600" s="2" t="s">
        <v>1744</v>
      </c>
      <c r="CK3600" s="2">
        <v>21</v>
      </c>
      <c r="CL3600" s="2" t="s">
        <v>86</v>
      </c>
      <c r="CM3600" s="2"/>
    </row>
    <row r="3601" spans="1:91">
      <c r="A3601" s="2" t="s">
        <v>71</v>
      </c>
      <c r="B3601" s="2" t="s">
        <v>72</v>
      </c>
      <c r="C3601" s="2" t="s">
        <v>73</v>
      </c>
      <c r="D3601" s="2"/>
      <c r="E3601" s="2" t="str">
        <f>"FES1162545961"</f>
        <v>FES1162545961</v>
      </c>
      <c r="F3601" s="3">
        <v>42853</v>
      </c>
      <c r="G3601" s="2">
        <v>201710</v>
      </c>
      <c r="H3601" s="2" t="s">
        <v>74</v>
      </c>
      <c r="I3601" s="2" t="s">
        <v>75</v>
      </c>
      <c r="J3601" s="2" t="s">
        <v>76</v>
      </c>
      <c r="K3601" s="2" t="s">
        <v>77</v>
      </c>
      <c r="L3601" s="2" t="s">
        <v>187</v>
      </c>
      <c r="M3601" s="2" t="s">
        <v>146</v>
      </c>
      <c r="N3601" s="2" t="s">
        <v>141</v>
      </c>
      <c r="O3601" s="2" t="s">
        <v>115</v>
      </c>
      <c r="P3601" s="2" t="str">
        <f>"2170564038                    "</f>
        <v xml:space="preserve">2170564038                    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8.57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1</v>
      </c>
      <c r="BI3601" s="2">
        <v>4</v>
      </c>
      <c r="BJ3601" s="2">
        <v>1.7</v>
      </c>
      <c r="BK3601" s="2">
        <v>4</v>
      </c>
      <c r="BL3601" s="2">
        <v>83.45</v>
      </c>
      <c r="BM3601" s="2">
        <v>11.68</v>
      </c>
      <c r="BN3601" s="2">
        <v>95.13</v>
      </c>
      <c r="BO3601" s="2">
        <v>95.13</v>
      </c>
      <c r="BP3601" s="2"/>
      <c r="BQ3601" s="2" t="s">
        <v>142</v>
      </c>
      <c r="BR3601" s="2" t="s">
        <v>84</v>
      </c>
      <c r="BS3601" s="1" t="s">
        <v>1744</v>
      </c>
      <c r="BT3601" s="2"/>
      <c r="BU3601" s="2"/>
      <c r="BV3601" s="2"/>
      <c r="BW3601" s="2"/>
      <c r="BX3601" s="2"/>
      <c r="BY3601" s="2">
        <v>8502.65</v>
      </c>
      <c r="BZ3601" s="2" t="s">
        <v>27</v>
      </c>
      <c r="CA3601" s="2"/>
      <c r="CB3601" s="2"/>
      <c r="CC3601" s="2" t="s">
        <v>146</v>
      </c>
      <c r="CD3601" s="2">
        <v>157</v>
      </c>
      <c r="CE3601" s="2" t="s">
        <v>89</v>
      </c>
      <c r="CF3601" s="2"/>
      <c r="CG3601" s="2"/>
      <c r="CH3601" s="2"/>
      <c r="CI3601" s="2">
        <v>1</v>
      </c>
      <c r="CJ3601" s="2" t="s">
        <v>1744</v>
      </c>
      <c r="CK3601" s="2">
        <v>21</v>
      </c>
      <c r="CL3601" s="2" t="s">
        <v>86</v>
      </c>
      <c r="CM3601" s="2"/>
    </row>
    <row r="3602" spans="1:91">
      <c r="A3602" s="2" t="s">
        <v>71</v>
      </c>
      <c r="B3602" s="2" t="s">
        <v>72</v>
      </c>
      <c r="C3602" s="2" t="s">
        <v>73</v>
      </c>
      <c r="D3602" s="2"/>
      <c r="E3602" s="2" t="str">
        <f>"FES1162545958"</f>
        <v>FES1162545958</v>
      </c>
      <c r="F3602" s="3">
        <v>42853</v>
      </c>
      <c r="G3602" s="2">
        <v>201710</v>
      </c>
      <c r="H3602" s="2" t="s">
        <v>74</v>
      </c>
      <c r="I3602" s="2" t="s">
        <v>75</v>
      </c>
      <c r="J3602" s="2" t="s">
        <v>76</v>
      </c>
      <c r="K3602" s="2" t="s">
        <v>77</v>
      </c>
      <c r="L3602" s="2" t="s">
        <v>187</v>
      </c>
      <c r="M3602" s="2" t="s">
        <v>146</v>
      </c>
      <c r="N3602" s="2" t="s">
        <v>141</v>
      </c>
      <c r="O3602" s="2" t="s">
        <v>115</v>
      </c>
      <c r="P3602" s="2" t="str">
        <f>"2170563951                    "</f>
        <v xml:space="preserve">2170563951                    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7.5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1</v>
      </c>
      <c r="BI3602" s="2">
        <v>3.3</v>
      </c>
      <c r="BJ3602" s="2">
        <v>1.7</v>
      </c>
      <c r="BK3602" s="2">
        <v>3.5</v>
      </c>
      <c r="BL3602" s="2">
        <v>73.02</v>
      </c>
      <c r="BM3602" s="2">
        <v>10.220000000000001</v>
      </c>
      <c r="BN3602" s="2">
        <v>83.24</v>
      </c>
      <c r="BO3602" s="2">
        <v>83.24</v>
      </c>
      <c r="BP3602" s="2"/>
      <c r="BQ3602" s="2" t="s">
        <v>142</v>
      </c>
      <c r="BR3602" s="2" t="s">
        <v>84</v>
      </c>
      <c r="BS3602" s="1" t="s">
        <v>1744</v>
      </c>
      <c r="BT3602" s="2"/>
      <c r="BU3602" s="2"/>
      <c r="BV3602" s="2"/>
      <c r="BW3602" s="2"/>
      <c r="BX3602" s="2"/>
      <c r="BY3602" s="2">
        <v>8409.08</v>
      </c>
      <c r="BZ3602" s="2" t="s">
        <v>27</v>
      </c>
      <c r="CA3602" s="2"/>
      <c r="CB3602" s="2"/>
      <c r="CC3602" s="2" t="s">
        <v>146</v>
      </c>
      <c r="CD3602" s="2">
        <v>157</v>
      </c>
      <c r="CE3602" s="2" t="s">
        <v>89</v>
      </c>
      <c r="CF3602" s="2"/>
      <c r="CG3602" s="2"/>
      <c r="CH3602" s="2"/>
      <c r="CI3602" s="2">
        <v>1</v>
      </c>
      <c r="CJ3602" s="2" t="s">
        <v>1744</v>
      </c>
      <c r="CK3602" s="2">
        <v>21</v>
      </c>
      <c r="CL3602" s="2" t="s">
        <v>86</v>
      </c>
      <c r="CM3602" s="2"/>
    </row>
    <row r="3603" spans="1:91">
      <c r="A3603" s="2" t="s">
        <v>71</v>
      </c>
      <c r="B3603" s="2" t="s">
        <v>72</v>
      </c>
      <c r="C3603" s="2" t="s">
        <v>73</v>
      </c>
      <c r="D3603" s="2"/>
      <c r="E3603" s="2" t="str">
        <f>"FES1162545971"</f>
        <v>FES1162545971</v>
      </c>
      <c r="F3603" s="3">
        <v>42853</v>
      </c>
      <c r="G3603" s="2">
        <v>201710</v>
      </c>
      <c r="H3603" s="2" t="s">
        <v>74</v>
      </c>
      <c r="I3603" s="2" t="s">
        <v>75</v>
      </c>
      <c r="J3603" s="2" t="s">
        <v>76</v>
      </c>
      <c r="K3603" s="2" t="s">
        <v>77</v>
      </c>
      <c r="L3603" s="2" t="s">
        <v>131</v>
      </c>
      <c r="M3603" s="2" t="s">
        <v>132</v>
      </c>
      <c r="N3603" s="2" t="s">
        <v>1081</v>
      </c>
      <c r="O3603" s="2" t="s">
        <v>115</v>
      </c>
      <c r="P3603" s="2" t="str">
        <f>"2170564399                    "</f>
        <v xml:space="preserve">2170564399                    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5.36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2.2000000000000002</v>
      </c>
      <c r="BJ3603" s="2">
        <v>1</v>
      </c>
      <c r="BK3603" s="2">
        <v>2.5</v>
      </c>
      <c r="BL3603" s="2">
        <v>52.16</v>
      </c>
      <c r="BM3603" s="2">
        <v>7.3</v>
      </c>
      <c r="BN3603" s="2">
        <v>59.46</v>
      </c>
      <c r="BO3603" s="2">
        <v>59.46</v>
      </c>
      <c r="BP3603" s="2"/>
      <c r="BQ3603" s="2" t="s">
        <v>1082</v>
      </c>
      <c r="BR3603" s="2" t="s">
        <v>84</v>
      </c>
      <c r="BS3603" s="3">
        <v>42857</v>
      </c>
      <c r="BT3603" s="4">
        <v>0.34583333333333338</v>
      </c>
      <c r="BU3603" s="2" t="s">
        <v>3470</v>
      </c>
      <c r="BV3603" s="2" t="s">
        <v>86</v>
      </c>
      <c r="BW3603" s="2"/>
      <c r="BX3603" s="2"/>
      <c r="BY3603" s="2">
        <v>4955.58</v>
      </c>
      <c r="BZ3603" s="2" t="s">
        <v>27</v>
      </c>
      <c r="CA3603" s="2" t="s">
        <v>2870</v>
      </c>
      <c r="CB3603" s="2"/>
      <c r="CC3603" s="2" t="s">
        <v>132</v>
      </c>
      <c r="CD3603" s="2">
        <v>7460</v>
      </c>
      <c r="CE3603" s="2" t="s">
        <v>89</v>
      </c>
      <c r="CF3603" s="2"/>
      <c r="CG3603" s="2"/>
      <c r="CH3603" s="2"/>
      <c r="CI3603" s="2">
        <v>1</v>
      </c>
      <c r="CJ3603" s="2">
        <v>2</v>
      </c>
      <c r="CK3603" s="2">
        <v>21</v>
      </c>
      <c r="CL3603" s="2" t="s">
        <v>86</v>
      </c>
      <c r="CM3603" s="2"/>
    </row>
    <row r="3604" spans="1:91">
      <c r="A3604" s="2" t="s">
        <v>71</v>
      </c>
      <c r="B3604" s="2" t="s">
        <v>72</v>
      </c>
      <c r="C3604" s="2" t="s">
        <v>73</v>
      </c>
      <c r="D3604" s="2"/>
      <c r="E3604" s="2" t="str">
        <f>"FES1162545952"</f>
        <v>FES1162545952</v>
      </c>
      <c r="F3604" s="3">
        <v>42853</v>
      </c>
      <c r="G3604" s="2">
        <v>201710</v>
      </c>
      <c r="H3604" s="2" t="s">
        <v>74</v>
      </c>
      <c r="I3604" s="2" t="s">
        <v>75</v>
      </c>
      <c r="J3604" s="2" t="s">
        <v>76</v>
      </c>
      <c r="K3604" s="2" t="s">
        <v>77</v>
      </c>
      <c r="L3604" s="2" t="s">
        <v>126</v>
      </c>
      <c r="M3604" s="2" t="s">
        <v>127</v>
      </c>
      <c r="N3604" s="2" t="s">
        <v>718</v>
      </c>
      <c r="O3604" s="2" t="s">
        <v>115</v>
      </c>
      <c r="P3604" s="2" t="str">
        <f>"2170563111                    "</f>
        <v xml:space="preserve">2170563111                    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4.29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1</v>
      </c>
      <c r="BI3604" s="2">
        <v>1.6</v>
      </c>
      <c r="BJ3604" s="2">
        <v>1.1000000000000001</v>
      </c>
      <c r="BK3604" s="2">
        <v>2</v>
      </c>
      <c r="BL3604" s="2">
        <v>41.73</v>
      </c>
      <c r="BM3604" s="2">
        <v>5.84</v>
      </c>
      <c r="BN3604" s="2">
        <v>47.57</v>
      </c>
      <c r="BO3604" s="2">
        <v>47.57</v>
      </c>
      <c r="BP3604" s="2"/>
      <c r="BQ3604" s="2" t="s">
        <v>719</v>
      </c>
      <c r="BR3604" s="2" t="s">
        <v>84</v>
      </c>
      <c r="BS3604" s="1" t="s">
        <v>1744</v>
      </c>
      <c r="BT3604" s="2"/>
      <c r="BU3604" s="2"/>
      <c r="BV3604" s="2"/>
      <c r="BW3604" s="2"/>
      <c r="BX3604" s="2"/>
      <c r="BY3604" s="2">
        <v>5260.8</v>
      </c>
      <c r="BZ3604" s="2" t="s">
        <v>27</v>
      </c>
      <c r="CA3604" s="2"/>
      <c r="CB3604" s="2"/>
      <c r="CC3604" s="2" t="s">
        <v>127</v>
      </c>
      <c r="CD3604" s="2">
        <v>6850</v>
      </c>
      <c r="CE3604" s="2" t="s">
        <v>89</v>
      </c>
      <c r="CF3604" s="2"/>
      <c r="CG3604" s="2"/>
      <c r="CH3604" s="2"/>
      <c r="CI3604" s="2">
        <v>3</v>
      </c>
      <c r="CJ3604" s="2" t="s">
        <v>1744</v>
      </c>
      <c r="CK3604" s="2">
        <v>21</v>
      </c>
      <c r="CL3604" s="2" t="s">
        <v>86</v>
      </c>
      <c r="CM3604" s="2"/>
    </row>
    <row r="3605" spans="1:91">
      <c r="A3605" s="2" t="s">
        <v>71</v>
      </c>
      <c r="B3605" s="2" t="s">
        <v>72</v>
      </c>
      <c r="C3605" s="2" t="s">
        <v>73</v>
      </c>
      <c r="D3605" s="2"/>
      <c r="E3605" s="2" t="str">
        <f>"FES1162545597"</f>
        <v>FES1162545597</v>
      </c>
      <c r="F3605" s="3">
        <v>42853</v>
      </c>
      <c r="G3605" s="2">
        <v>201710</v>
      </c>
      <c r="H3605" s="2" t="s">
        <v>74</v>
      </c>
      <c r="I3605" s="2" t="s">
        <v>75</v>
      </c>
      <c r="J3605" s="2" t="s">
        <v>76</v>
      </c>
      <c r="K3605" s="2" t="s">
        <v>77</v>
      </c>
      <c r="L3605" s="2" t="s">
        <v>112</v>
      </c>
      <c r="M3605" s="2" t="s">
        <v>113</v>
      </c>
      <c r="N3605" s="2" t="s">
        <v>114</v>
      </c>
      <c r="O3605" s="2" t="s">
        <v>115</v>
      </c>
      <c r="P3605" s="2" t="str">
        <f>"2170559504                    "</f>
        <v xml:space="preserve">2170559504                    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18.22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2</v>
      </c>
      <c r="BI3605" s="2">
        <v>8.1</v>
      </c>
      <c r="BJ3605" s="2">
        <v>2.5</v>
      </c>
      <c r="BK3605" s="2">
        <v>8.5</v>
      </c>
      <c r="BL3605" s="2">
        <v>177.34</v>
      </c>
      <c r="BM3605" s="2">
        <v>24.83</v>
      </c>
      <c r="BN3605" s="2">
        <v>202.17</v>
      </c>
      <c r="BO3605" s="2">
        <v>202.17</v>
      </c>
      <c r="BP3605" s="2"/>
      <c r="BQ3605" s="2" t="s">
        <v>116</v>
      </c>
      <c r="BR3605" s="2" t="s">
        <v>84</v>
      </c>
      <c r="BS3605" s="1" t="s">
        <v>1744</v>
      </c>
      <c r="BT3605" s="2"/>
      <c r="BU3605" s="2"/>
      <c r="BV3605" s="2"/>
      <c r="BW3605" s="2"/>
      <c r="BX3605" s="2"/>
      <c r="BY3605" s="2">
        <v>12625.99</v>
      </c>
      <c r="BZ3605" s="2" t="s">
        <v>27</v>
      </c>
      <c r="CA3605" s="2"/>
      <c r="CB3605" s="2"/>
      <c r="CC3605" s="2" t="s">
        <v>113</v>
      </c>
      <c r="CD3605" s="2">
        <v>3201</v>
      </c>
      <c r="CE3605" s="2" t="s">
        <v>118</v>
      </c>
      <c r="CF3605" s="2"/>
      <c r="CG3605" s="2"/>
      <c r="CH3605" s="2"/>
      <c r="CI3605" s="2">
        <v>1</v>
      </c>
      <c r="CJ3605" s="2" t="s">
        <v>1744</v>
      </c>
      <c r="CK3605" s="2">
        <v>21</v>
      </c>
      <c r="CL3605" s="2" t="s">
        <v>86</v>
      </c>
      <c r="CM3605" s="2"/>
    </row>
    <row r="3606" spans="1:91">
      <c r="A3606" s="2" t="s">
        <v>71</v>
      </c>
      <c r="B3606" s="2" t="s">
        <v>72</v>
      </c>
      <c r="C3606" s="2" t="s">
        <v>73</v>
      </c>
      <c r="D3606" s="2"/>
      <c r="E3606" s="2" t="str">
        <f>"FES1162545598"</f>
        <v>FES1162545598</v>
      </c>
      <c r="F3606" s="3">
        <v>42853</v>
      </c>
      <c r="G3606" s="2">
        <v>201710</v>
      </c>
      <c r="H3606" s="2" t="s">
        <v>74</v>
      </c>
      <c r="I3606" s="2" t="s">
        <v>75</v>
      </c>
      <c r="J3606" s="2" t="s">
        <v>76</v>
      </c>
      <c r="K3606" s="2" t="s">
        <v>77</v>
      </c>
      <c r="L3606" s="2" t="s">
        <v>112</v>
      </c>
      <c r="M3606" s="2" t="s">
        <v>113</v>
      </c>
      <c r="N3606" s="2" t="s">
        <v>114</v>
      </c>
      <c r="O3606" s="2" t="s">
        <v>115</v>
      </c>
      <c r="P3606" s="2" t="str">
        <f>"2170559506                    "</f>
        <v xml:space="preserve">2170559506                    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17.149999999999999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2</v>
      </c>
      <c r="BI3606" s="2">
        <v>8</v>
      </c>
      <c r="BJ3606" s="2">
        <v>3.4</v>
      </c>
      <c r="BK3606" s="2">
        <v>8</v>
      </c>
      <c r="BL3606" s="2">
        <v>166.91</v>
      </c>
      <c r="BM3606" s="2">
        <v>23.37</v>
      </c>
      <c r="BN3606" s="2">
        <v>190.28</v>
      </c>
      <c r="BO3606" s="2">
        <v>190.28</v>
      </c>
      <c r="BP3606" s="2"/>
      <c r="BQ3606" s="2" t="s">
        <v>116</v>
      </c>
      <c r="BR3606" s="2" t="s">
        <v>84</v>
      </c>
      <c r="BS3606" s="1" t="s">
        <v>1744</v>
      </c>
      <c r="BT3606" s="2"/>
      <c r="BU3606" s="2"/>
      <c r="BV3606" s="2"/>
      <c r="BW3606" s="2"/>
      <c r="BX3606" s="2"/>
      <c r="BY3606" s="2">
        <v>17040</v>
      </c>
      <c r="BZ3606" s="2" t="s">
        <v>27</v>
      </c>
      <c r="CA3606" s="2"/>
      <c r="CB3606" s="2"/>
      <c r="CC3606" s="2" t="s">
        <v>113</v>
      </c>
      <c r="CD3606" s="2">
        <v>3201</v>
      </c>
      <c r="CE3606" s="2" t="s">
        <v>118</v>
      </c>
      <c r="CF3606" s="2"/>
      <c r="CG3606" s="2"/>
      <c r="CH3606" s="2"/>
      <c r="CI3606" s="2">
        <v>1</v>
      </c>
      <c r="CJ3606" s="2" t="s">
        <v>1744</v>
      </c>
      <c r="CK3606" s="2">
        <v>21</v>
      </c>
      <c r="CL3606" s="2" t="s">
        <v>86</v>
      </c>
      <c r="CM3606" s="2"/>
    </row>
    <row r="3607" spans="1:91">
      <c r="A3607" s="2" t="s">
        <v>71</v>
      </c>
      <c r="B3607" s="2" t="s">
        <v>72</v>
      </c>
      <c r="C3607" s="2" t="s">
        <v>73</v>
      </c>
      <c r="D3607" s="2"/>
      <c r="E3607" s="2" t="str">
        <f>"FES1162545981"</f>
        <v>FES1162545981</v>
      </c>
      <c r="F3607" s="3">
        <v>42853</v>
      </c>
      <c r="G3607" s="2">
        <v>201710</v>
      </c>
      <c r="H3607" s="2" t="s">
        <v>74</v>
      </c>
      <c r="I3607" s="2" t="s">
        <v>75</v>
      </c>
      <c r="J3607" s="2" t="s">
        <v>76</v>
      </c>
      <c r="K3607" s="2" t="s">
        <v>77</v>
      </c>
      <c r="L3607" s="2" t="s">
        <v>187</v>
      </c>
      <c r="M3607" s="2" t="s">
        <v>146</v>
      </c>
      <c r="N3607" s="2" t="s">
        <v>1547</v>
      </c>
      <c r="O3607" s="2" t="s">
        <v>115</v>
      </c>
      <c r="P3607" s="2" t="str">
        <f>"2170561782                    "</f>
        <v xml:space="preserve">2170561782                    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4.29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1</v>
      </c>
      <c r="BI3607" s="2">
        <v>1</v>
      </c>
      <c r="BJ3607" s="2">
        <v>0.2</v>
      </c>
      <c r="BK3607" s="2">
        <v>1</v>
      </c>
      <c r="BL3607" s="2">
        <v>41.73</v>
      </c>
      <c r="BM3607" s="2">
        <v>5.84</v>
      </c>
      <c r="BN3607" s="2">
        <v>47.57</v>
      </c>
      <c r="BO3607" s="2">
        <v>47.57</v>
      </c>
      <c r="BP3607" s="2"/>
      <c r="BQ3607" s="2" t="s">
        <v>1548</v>
      </c>
      <c r="BR3607" s="2" t="s">
        <v>84</v>
      </c>
      <c r="BS3607" s="1" t="s">
        <v>1744</v>
      </c>
      <c r="BT3607" s="2"/>
      <c r="BU3607" s="2"/>
      <c r="BV3607" s="2"/>
      <c r="BW3607" s="2"/>
      <c r="BX3607" s="2"/>
      <c r="BY3607" s="2">
        <v>1200</v>
      </c>
      <c r="BZ3607" s="2" t="s">
        <v>27</v>
      </c>
      <c r="CA3607" s="2"/>
      <c r="CB3607" s="2"/>
      <c r="CC3607" s="2" t="s">
        <v>146</v>
      </c>
      <c r="CD3607" s="2">
        <v>200</v>
      </c>
      <c r="CE3607" s="2" t="s">
        <v>118</v>
      </c>
      <c r="CF3607" s="2"/>
      <c r="CG3607" s="2"/>
      <c r="CH3607" s="2"/>
      <c r="CI3607" s="2">
        <v>1</v>
      </c>
      <c r="CJ3607" s="2" t="s">
        <v>1744</v>
      </c>
      <c r="CK3607" s="2">
        <v>21</v>
      </c>
      <c r="CL3607" s="2" t="s">
        <v>86</v>
      </c>
      <c r="CM3607" s="2"/>
    </row>
    <row r="3608" spans="1:91">
      <c r="A3608" s="2" t="s">
        <v>71</v>
      </c>
      <c r="B3608" s="2" t="s">
        <v>72</v>
      </c>
      <c r="C3608" s="2" t="s">
        <v>73</v>
      </c>
      <c r="D3608" s="2"/>
      <c r="E3608" s="2" t="str">
        <f>"FES1162545962"</f>
        <v>FES1162545962</v>
      </c>
      <c r="F3608" s="3">
        <v>42853</v>
      </c>
      <c r="G3608" s="2">
        <v>201710</v>
      </c>
      <c r="H3608" s="2" t="s">
        <v>74</v>
      </c>
      <c r="I3608" s="2" t="s">
        <v>75</v>
      </c>
      <c r="J3608" s="2" t="s">
        <v>76</v>
      </c>
      <c r="K3608" s="2" t="s">
        <v>77</v>
      </c>
      <c r="L3608" s="2" t="s">
        <v>187</v>
      </c>
      <c r="M3608" s="2" t="s">
        <v>146</v>
      </c>
      <c r="N3608" s="2" t="s">
        <v>326</v>
      </c>
      <c r="O3608" s="2" t="s">
        <v>115</v>
      </c>
      <c r="P3608" s="2" t="str">
        <f>"2170564137                    "</f>
        <v xml:space="preserve">2170564137                    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4.29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1</v>
      </c>
      <c r="BI3608" s="2">
        <v>1</v>
      </c>
      <c r="BJ3608" s="2">
        <v>0.2</v>
      </c>
      <c r="BK3608" s="2">
        <v>1</v>
      </c>
      <c r="BL3608" s="2">
        <v>41.73</v>
      </c>
      <c r="BM3608" s="2">
        <v>5.84</v>
      </c>
      <c r="BN3608" s="2">
        <v>47.57</v>
      </c>
      <c r="BO3608" s="2">
        <v>47.57</v>
      </c>
      <c r="BP3608" s="2"/>
      <c r="BQ3608" s="2" t="s">
        <v>3116</v>
      </c>
      <c r="BR3608" s="2" t="s">
        <v>84</v>
      </c>
      <c r="BS3608" s="1" t="s">
        <v>1744</v>
      </c>
      <c r="BT3608" s="2"/>
      <c r="BU3608" s="2"/>
      <c r="BV3608" s="2"/>
      <c r="BW3608" s="2"/>
      <c r="BX3608" s="2"/>
      <c r="BY3608" s="2">
        <v>1200</v>
      </c>
      <c r="BZ3608" s="2" t="s">
        <v>27</v>
      </c>
      <c r="CA3608" s="2"/>
      <c r="CB3608" s="2"/>
      <c r="CC3608" s="2" t="s">
        <v>146</v>
      </c>
      <c r="CD3608" s="2">
        <v>200</v>
      </c>
      <c r="CE3608" s="2" t="s">
        <v>118</v>
      </c>
      <c r="CF3608" s="2"/>
      <c r="CG3608" s="2"/>
      <c r="CH3608" s="2"/>
      <c r="CI3608" s="2">
        <v>1</v>
      </c>
      <c r="CJ3608" s="2" t="s">
        <v>1744</v>
      </c>
      <c r="CK3608" s="2">
        <v>21</v>
      </c>
      <c r="CL3608" s="2" t="s">
        <v>86</v>
      </c>
      <c r="CM3608" s="2"/>
    </row>
    <row r="3609" spans="1:91">
      <c r="A3609" s="2" t="s">
        <v>71</v>
      </c>
      <c r="B3609" s="2" t="s">
        <v>72</v>
      </c>
      <c r="C3609" s="2" t="s">
        <v>73</v>
      </c>
      <c r="D3609" s="2"/>
      <c r="E3609" s="2" t="str">
        <f>"FES1162546030"</f>
        <v>FES1162546030</v>
      </c>
      <c r="F3609" s="3">
        <v>42853</v>
      </c>
      <c r="G3609" s="2">
        <v>201710</v>
      </c>
      <c r="H3609" s="2" t="s">
        <v>74</v>
      </c>
      <c r="I3609" s="2" t="s">
        <v>75</v>
      </c>
      <c r="J3609" s="2" t="s">
        <v>76</v>
      </c>
      <c r="K3609" s="2" t="s">
        <v>77</v>
      </c>
      <c r="L3609" s="2" t="s">
        <v>187</v>
      </c>
      <c r="M3609" s="2" t="s">
        <v>146</v>
      </c>
      <c r="N3609" s="2" t="s">
        <v>1306</v>
      </c>
      <c r="O3609" s="2" t="s">
        <v>115</v>
      </c>
      <c r="P3609" s="2" t="str">
        <f>"2170564435                    "</f>
        <v xml:space="preserve">2170564435                    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4.29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1</v>
      </c>
      <c r="BI3609" s="2">
        <v>1</v>
      </c>
      <c r="BJ3609" s="2">
        <v>0.2</v>
      </c>
      <c r="BK3609" s="2">
        <v>1</v>
      </c>
      <c r="BL3609" s="2">
        <v>41.73</v>
      </c>
      <c r="BM3609" s="2">
        <v>5.84</v>
      </c>
      <c r="BN3609" s="2">
        <v>47.57</v>
      </c>
      <c r="BO3609" s="2">
        <v>47.57</v>
      </c>
      <c r="BP3609" s="2"/>
      <c r="BQ3609" s="2" t="s">
        <v>1307</v>
      </c>
      <c r="BR3609" s="2" t="s">
        <v>84</v>
      </c>
      <c r="BS3609" s="1" t="s">
        <v>1744</v>
      </c>
      <c r="BT3609" s="2"/>
      <c r="BU3609" s="2"/>
      <c r="BV3609" s="2"/>
      <c r="BW3609" s="2"/>
      <c r="BX3609" s="2"/>
      <c r="BY3609" s="2">
        <v>1200</v>
      </c>
      <c r="BZ3609" s="2" t="s">
        <v>27</v>
      </c>
      <c r="CA3609" s="2"/>
      <c r="CB3609" s="2"/>
      <c r="CC3609" s="2" t="s">
        <v>146</v>
      </c>
      <c r="CD3609" s="2">
        <v>117</v>
      </c>
      <c r="CE3609" s="2" t="s">
        <v>118</v>
      </c>
      <c r="CF3609" s="2"/>
      <c r="CG3609" s="2"/>
      <c r="CH3609" s="2"/>
      <c r="CI3609" s="2">
        <v>1</v>
      </c>
      <c r="CJ3609" s="2" t="s">
        <v>1744</v>
      </c>
      <c r="CK3609" s="2">
        <v>21</v>
      </c>
      <c r="CL3609" s="2" t="s">
        <v>86</v>
      </c>
      <c r="CM3609" s="2"/>
    </row>
    <row r="3610" spans="1:91">
      <c r="A3610" s="2" t="s">
        <v>71</v>
      </c>
      <c r="B3610" s="2" t="s">
        <v>72</v>
      </c>
      <c r="C3610" s="2" t="s">
        <v>73</v>
      </c>
      <c r="D3610" s="2"/>
      <c r="E3610" s="2" t="str">
        <f>"FES1162545632"</f>
        <v>FES1162545632</v>
      </c>
      <c r="F3610" s="3">
        <v>42853</v>
      </c>
      <c r="G3610" s="2">
        <v>201710</v>
      </c>
      <c r="H3610" s="2" t="s">
        <v>74</v>
      </c>
      <c r="I3610" s="2" t="s">
        <v>75</v>
      </c>
      <c r="J3610" s="2" t="s">
        <v>76</v>
      </c>
      <c r="K3610" s="2" t="s">
        <v>77</v>
      </c>
      <c r="L3610" s="2" t="s">
        <v>112</v>
      </c>
      <c r="M3610" s="2" t="s">
        <v>113</v>
      </c>
      <c r="N3610" s="2" t="s">
        <v>114</v>
      </c>
      <c r="O3610" s="2" t="s">
        <v>115</v>
      </c>
      <c r="P3610" s="2" t="str">
        <f>"2170561527                    "</f>
        <v xml:space="preserve">2170561527                    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4.29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  <c r="BG3610" s="2">
        <v>0</v>
      </c>
      <c r="BH3610" s="2">
        <v>1</v>
      </c>
      <c r="BI3610" s="2">
        <v>1</v>
      </c>
      <c r="BJ3610" s="2">
        <v>0.2</v>
      </c>
      <c r="BK3610" s="2">
        <v>1</v>
      </c>
      <c r="BL3610" s="2">
        <v>41.73</v>
      </c>
      <c r="BM3610" s="2">
        <v>5.84</v>
      </c>
      <c r="BN3610" s="2">
        <v>47.57</v>
      </c>
      <c r="BO3610" s="2">
        <v>47.57</v>
      </c>
      <c r="BP3610" s="2"/>
      <c r="BQ3610" s="2" t="s">
        <v>116</v>
      </c>
      <c r="BR3610" s="2" t="s">
        <v>84</v>
      </c>
      <c r="BS3610" s="1" t="s">
        <v>1744</v>
      </c>
      <c r="BT3610" s="2"/>
      <c r="BU3610" s="2"/>
      <c r="BV3610" s="2"/>
      <c r="BW3610" s="2"/>
      <c r="BX3610" s="2"/>
      <c r="BY3610" s="2">
        <v>1200</v>
      </c>
      <c r="BZ3610" s="2" t="s">
        <v>27</v>
      </c>
      <c r="CA3610" s="2"/>
      <c r="CB3610" s="2"/>
      <c r="CC3610" s="2" t="s">
        <v>113</v>
      </c>
      <c r="CD3610" s="2">
        <v>3201</v>
      </c>
      <c r="CE3610" s="2" t="s">
        <v>118</v>
      </c>
      <c r="CF3610" s="2"/>
      <c r="CG3610" s="2"/>
      <c r="CH3610" s="2"/>
      <c r="CI3610" s="2">
        <v>1</v>
      </c>
      <c r="CJ3610" s="2" t="s">
        <v>1744</v>
      </c>
      <c r="CK3610" s="2">
        <v>21</v>
      </c>
      <c r="CL3610" s="2" t="s">
        <v>86</v>
      </c>
      <c r="CM3610" s="2"/>
    </row>
    <row r="3611" spans="1:91">
      <c r="A3611" s="2" t="s">
        <v>71</v>
      </c>
      <c r="B3611" s="2" t="s">
        <v>72</v>
      </c>
      <c r="C3611" s="2" t="s">
        <v>73</v>
      </c>
      <c r="D3611" s="2"/>
      <c r="E3611" s="2" t="str">
        <f>"FES1162546008"</f>
        <v>FES1162546008</v>
      </c>
      <c r="F3611" s="3">
        <v>42853</v>
      </c>
      <c r="G3611" s="2">
        <v>201710</v>
      </c>
      <c r="H3611" s="2" t="s">
        <v>74</v>
      </c>
      <c r="I3611" s="2" t="s">
        <v>75</v>
      </c>
      <c r="J3611" s="2" t="s">
        <v>76</v>
      </c>
      <c r="K3611" s="2" t="s">
        <v>77</v>
      </c>
      <c r="L3611" s="2" t="s">
        <v>131</v>
      </c>
      <c r="M3611" s="2" t="s">
        <v>132</v>
      </c>
      <c r="N3611" s="2" t="s">
        <v>3488</v>
      </c>
      <c r="O3611" s="2" t="s">
        <v>115</v>
      </c>
      <c r="P3611" s="2" t="str">
        <f>"2170564379                    "</f>
        <v xml:space="preserve">2170564379                    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4.29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1</v>
      </c>
      <c r="BI3611" s="2">
        <v>1</v>
      </c>
      <c r="BJ3611" s="2">
        <v>0.2</v>
      </c>
      <c r="BK3611" s="2">
        <v>1</v>
      </c>
      <c r="BL3611" s="2">
        <v>41.73</v>
      </c>
      <c r="BM3611" s="2">
        <v>5.84</v>
      </c>
      <c r="BN3611" s="2">
        <v>47.57</v>
      </c>
      <c r="BO3611" s="2">
        <v>47.57</v>
      </c>
      <c r="BP3611" s="2"/>
      <c r="BQ3611" s="2" t="s">
        <v>3489</v>
      </c>
      <c r="BR3611" s="2" t="s">
        <v>84</v>
      </c>
      <c r="BS3611" s="1" t="s">
        <v>1744</v>
      </c>
      <c r="BT3611" s="2"/>
      <c r="BU3611" s="2"/>
      <c r="BV3611" s="2"/>
      <c r="BW3611" s="2"/>
      <c r="BX3611" s="2"/>
      <c r="BY3611" s="2">
        <v>1200</v>
      </c>
      <c r="BZ3611" s="2" t="s">
        <v>27</v>
      </c>
      <c r="CA3611" s="2"/>
      <c r="CB3611" s="2"/>
      <c r="CC3611" s="2" t="s">
        <v>132</v>
      </c>
      <c r="CD3611" s="2">
        <v>7441</v>
      </c>
      <c r="CE3611" s="2" t="s">
        <v>118</v>
      </c>
      <c r="CF3611" s="2"/>
      <c r="CG3611" s="2"/>
      <c r="CH3611" s="2"/>
      <c r="CI3611" s="2">
        <v>1</v>
      </c>
      <c r="CJ3611" s="2" t="s">
        <v>1744</v>
      </c>
      <c r="CK3611" s="2">
        <v>21</v>
      </c>
      <c r="CL3611" s="2" t="s">
        <v>86</v>
      </c>
      <c r="CM3611" s="2"/>
    </row>
    <row r="3612" spans="1:91">
      <c r="A3612" s="2" t="s">
        <v>71</v>
      </c>
      <c r="B3612" s="2" t="s">
        <v>72</v>
      </c>
      <c r="C3612" s="2" t="s">
        <v>73</v>
      </c>
      <c r="D3612" s="2"/>
      <c r="E3612" s="2" t="str">
        <f>"FES1162545943"</f>
        <v>FES1162545943</v>
      </c>
      <c r="F3612" s="3">
        <v>42853</v>
      </c>
      <c r="G3612" s="2">
        <v>201710</v>
      </c>
      <c r="H3612" s="2" t="s">
        <v>74</v>
      </c>
      <c r="I3612" s="2" t="s">
        <v>75</v>
      </c>
      <c r="J3612" s="2" t="s">
        <v>76</v>
      </c>
      <c r="K3612" s="2" t="s">
        <v>77</v>
      </c>
      <c r="L3612" s="2" t="s">
        <v>176</v>
      </c>
      <c r="M3612" s="2" t="s">
        <v>176</v>
      </c>
      <c r="N3612" s="2" t="s">
        <v>339</v>
      </c>
      <c r="O3612" s="2" t="s">
        <v>115</v>
      </c>
      <c r="P3612" s="2" t="str">
        <f>"2170562081                    "</f>
        <v xml:space="preserve">2170562081                    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4.29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  <c r="BG3612" s="2">
        <v>0</v>
      </c>
      <c r="BH3612" s="2">
        <v>1</v>
      </c>
      <c r="BI3612" s="2">
        <v>1</v>
      </c>
      <c r="BJ3612" s="2">
        <v>0.2</v>
      </c>
      <c r="BK3612" s="2">
        <v>1</v>
      </c>
      <c r="BL3612" s="2">
        <v>41.73</v>
      </c>
      <c r="BM3612" s="2">
        <v>5.84</v>
      </c>
      <c r="BN3612" s="2">
        <v>47.57</v>
      </c>
      <c r="BO3612" s="2">
        <v>47.57</v>
      </c>
      <c r="BP3612" s="2"/>
      <c r="BQ3612" s="2" t="s">
        <v>340</v>
      </c>
      <c r="BR3612" s="2" t="s">
        <v>84</v>
      </c>
      <c r="BS3612" s="1" t="s">
        <v>1744</v>
      </c>
      <c r="BT3612" s="2"/>
      <c r="BU3612" s="2"/>
      <c r="BV3612" s="2"/>
      <c r="BW3612" s="2"/>
      <c r="BX3612" s="2"/>
      <c r="BY3612" s="2">
        <v>1200</v>
      </c>
      <c r="BZ3612" s="2" t="s">
        <v>27</v>
      </c>
      <c r="CA3612" s="2"/>
      <c r="CB3612" s="2"/>
      <c r="CC3612" s="2" t="s">
        <v>176</v>
      </c>
      <c r="CD3612" s="2">
        <v>7646</v>
      </c>
      <c r="CE3612" s="2" t="s">
        <v>118</v>
      </c>
      <c r="CF3612" s="2"/>
      <c r="CG3612" s="2"/>
      <c r="CH3612" s="2"/>
      <c r="CI3612" s="2">
        <v>1</v>
      </c>
      <c r="CJ3612" s="2" t="s">
        <v>1744</v>
      </c>
      <c r="CK3612" s="2">
        <v>21</v>
      </c>
      <c r="CL3612" s="2" t="s">
        <v>86</v>
      </c>
      <c r="CM3612" s="2"/>
    </row>
    <row r="3613" spans="1:91">
      <c r="A3613" s="2" t="s">
        <v>71</v>
      </c>
      <c r="B3613" s="2" t="s">
        <v>72</v>
      </c>
      <c r="C3613" s="2" t="s">
        <v>73</v>
      </c>
      <c r="D3613" s="2"/>
      <c r="E3613" s="2" t="str">
        <f>"FES1162546004"</f>
        <v>FES1162546004</v>
      </c>
      <c r="F3613" s="3">
        <v>42853</v>
      </c>
      <c r="G3613" s="2">
        <v>201710</v>
      </c>
      <c r="H3613" s="2" t="s">
        <v>74</v>
      </c>
      <c r="I3613" s="2" t="s">
        <v>75</v>
      </c>
      <c r="J3613" s="2" t="s">
        <v>76</v>
      </c>
      <c r="K3613" s="2" t="s">
        <v>77</v>
      </c>
      <c r="L3613" s="2" t="s">
        <v>212</v>
      </c>
      <c r="M3613" s="2" t="s">
        <v>213</v>
      </c>
      <c r="N3613" s="2" t="s">
        <v>509</v>
      </c>
      <c r="O3613" s="2" t="s">
        <v>115</v>
      </c>
      <c r="P3613" s="2" t="str">
        <f>"2170563958                    "</f>
        <v xml:space="preserve">2170563958                    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8.9600000000000009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1</v>
      </c>
      <c r="BI3613" s="2">
        <v>3</v>
      </c>
      <c r="BJ3613" s="2">
        <v>1</v>
      </c>
      <c r="BK3613" s="2">
        <v>3</v>
      </c>
      <c r="BL3613" s="2">
        <v>87.25</v>
      </c>
      <c r="BM3613" s="2">
        <v>12.22</v>
      </c>
      <c r="BN3613" s="2">
        <v>99.47</v>
      </c>
      <c r="BO3613" s="2">
        <v>99.47</v>
      </c>
      <c r="BP3613" s="2"/>
      <c r="BQ3613" s="2" t="s">
        <v>510</v>
      </c>
      <c r="BR3613" s="2" t="s">
        <v>84</v>
      </c>
      <c r="BS3613" s="1" t="s">
        <v>1744</v>
      </c>
      <c r="BT3613" s="2"/>
      <c r="BU3613" s="2"/>
      <c r="BV3613" s="2"/>
      <c r="BW3613" s="2"/>
      <c r="BX3613" s="2"/>
      <c r="BY3613" s="2">
        <v>4979.5200000000004</v>
      </c>
      <c r="BZ3613" s="2" t="s">
        <v>27</v>
      </c>
      <c r="CA3613" s="2"/>
      <c r="CB3613" s="2"/>
      <c r="CC3613" s="2" t="s">
        <v>213</v>
      </c>
      <c r="CD3613" s="2">
        <v>1001</v>
      </c>
      <c r="CE3613" s="2" t="s">
        <v>89</v>
      </c>
      <c r="CF3613" s="2"/>
      <c r="CG3613" s="2"/>
      <c r="CH3613" s="2"/>
      <c r="CI3613" s="2">
        <v>1</v>
      </c>
      <c r="CJ3613" s="2" t="s">
        <v>1744</v>
      </c>
      <c r="CK3613" s="2">
        <v>24</v>
      </c>
      <c r="CL3613" s="2" t="s">
        <v>86</v>
      </c>
      <c r="CM3613" s="2"/>
    </row>
    <row r="3614" spans="1:91">
      <c r="A3614" s="2" t="s">
        <v>71</v>
      </c>
      <c r="B3614" s="2" t="s">
        <v>72</v>
      </c>
      <c r="C3614" s="2" t="s">
        <v>73</v>
      </c>
      <c r="D3614" s="2"/>
      <c r="E3614" s="2" t="str">
        <f>"FES1162545972"</f>
        <v>FES1162545972</v>
      </c>
      <c r="F3614" s="3">
        <v>42853</v>
      </c>
      <c r="G3614" s="2">
        <v>201710</v>
      </c>
      <c r="H3614" s="2" t="s">
        <v>74</v>
      </c>
      <c r="I3614" s="2" t="s">
        <v>75</v>
      </c>
      <c r="J3614" s="2" t="s">
        <v>76</v>
      </c>
      <c r="K3614" s="2" t="s">
        <v>77</v>
      </c>
      <c r="L3614" s="2" t="s">
        <v>131</v>
      </c>
      <c r="M3614" s="2" t="s">
        <v>132</v>
      </c>
      <c r="N3614" s="2" t="s">
        <v>1097</v>
      </c>
      <c r="O3614" s="2" t="s">
        <v>115</v>
      </c>
      <c r="P3614" s="2" t="str">
        <f>"2170564401                    "</f>
        <v xml:space="preserve">2170564401                    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4.29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1</v>
      </c>
      <c r="BI3614" s="2">
        <v>1.4</v>
      </c>
      <c r="BJ3614" s="2">
        <v>1</v>
      </c>
      <c r="BK3614" s="2">
        <v>1.5</v>
      </c>
      <c r="BL3614" s="2">
        <v>41.73</v>
      </c>
      <c r="BM3614" s="2">
        <v>5.84</v>
      </c>
      <c r="BN3614" s="2">
        <v>47.57</v>
      </c>
      <c r="BO3614" s="2">
        <v>47.57</v>
      </c>
      <c r="BP3614" s="2"/>
      <c r="BQ3614" s="2" t="s">
        <v>1098</v>
      </c>
      <c r="BR3614" s="2" t="s">
        <v>84</v>
      </c>
      <c r="BS3614" s="1" t="s">
        <v>1744</v>
      </c>
      <c r="BT3614" s="2"/>
      <c r="BU3614" s="2"/>
      <c r="BV3614" s="2"/>
      <c r="BW3614" s="2"/>
      <c r="BX3614" s="2"/>
      <c r="BY3614" s="2">
        <v>4885.6499999999996</v>
      </c>
      <c r="BZ3614" s="2" t="s">
        <v>27</v>
      </c>
      <c r="CA3614" s="2"/>
      <c r="CB3614" s="2"/>
      <c r="CC3614" s="2" t="s">
        <v>132</v>
      </c>
      <c r="CD3614" s="2">
        <v>7925</v>
      </c>
      <c r="CE3614" s="2" t="s">
        <v>89</v>
      </c>
      <c r="CF3614" s="2"/>
      <c r="CG3614" s="2"/>
      <c r="CH3614" s="2"/>
      <c r="CI3614" s="2">
        <v>1</v>
      </c>
      <c r="CJ3614" s="2" t="s">
        <v>1744</v>
      </c>
      <c r="CK3614" s="2">
        <v>21</v>
      </c>
      <c r="CL3614" s="2" t="s">
        <v>86</v>
      </c>
      <c r="CM3614" s="2"/>
    </row>
    <row r="3615" spans="1:91">
      <c r="A3615" s="2" t="s">
        <v>71</v>
      </c>
      <c r="B3615" s="2" t="s">
        <v>72</v>
      </c>
      <c r="C3615" s="2" t="s">
        <v>73</v>
      </c>
      <c r="D3615" s="2"/>
      <c r="E3615" s="2" t="str">
        <f>"FES1162545928"</f>
        <v>FES1162545928</v>
      </c>
      <c r="F3615" s="3">
        <v>42853</v>
      </c>
      <c r="G3615" s="2">
        <v>201710</v>
      </c>
      <c r="H3615" s="2" t="s">
        <v>74</v>
      </c>
      <c r="I3615" s="2" t="s">
        <v>75</v>
      </c>
      <c r="J3615" s="2" t="s">
        <v>76</v>
      </c>
      <c r="K3615" s="2" t="s">
        <v>77</v>
      </c>
      <c r="L3615" s="2" t="s">
        <v>187</v>
      </c>
      <c r="M3615" s="2" t="s">
        <v>146</v>
      </c>
      <c r="N3615" s="2" t="s">
        <v>141</v>
      </c>
      <c r="O3615" s="2" t="s">
        <v>115</v>
      </c>
      <c r="P3615" s="2" t="str">
        <f>"2170564386                    "</f>
        <v xml:space="preserve">2170564386                    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4.29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1</v>
      </c>
      <c r="BI3615" s="2">
        <v>1.6</v>
      </c>
      <c r="BJ3615" s="2">
        <v>1</v>
      </c>
      <c r="BK3615" s="2">
        <v>2</v>
      </c>
      <c r="BL3615" s="2">
        <v>41.73</v>
      </c>
      <c r="BM3615" s="2">
        <v>5.84</v>
      </c>
      <c r="BN3615" s="2">
        <v>47.57</v>
      </c>
      <c r="BO3615" s="2">
        <v>47.57</v>
      </c>
      <c r="BP3615" s="2"/>
      <c r="BQ3615" s="2" t="s">
        <v>142</v>
      </c>
      <c r="BR3615" s="2" t="s">
        <v>84</v>
      </c>
      <c r="BS3615" s="1" t="s">
        <v>1744</v>
      </c>
      <c r="BT3615" s="2"/>
      <c r="BU3615" s="2"/>
      <c r="BV3615" s="2"/>
      <c r="BW3615" s="2"/>
      <c r="BX3615" s="2"/>
      <c r="BY3615" s="2">
        <v>4838.9799999999996</v>
      </c>
      <c r="BZ3615" s="2" t="s">
        <v>27</v>
      </c>
      <c r="CA3615" s="2"/>
      <c r="CB3615" s="2"/>
      <c r="CC3615" s="2" t="s">
        <v>146</v>
      </c>
      <c r="CD3615" s="2">
        <v>157</v>
      </c>
      <c r="CE3615" s="2" t="s">
        <v>89</v>
      </c>
      <c r="CF3615" s="2"/>
      <c r="CG3615" s="2"/>
      <c r="CH3615" s="2"/>
      <c r="CI3615" s="2">
        <v>1</v>
      </c>
      <c r="CJ3615" s="2" t="s">
        <v>1744</v>
      </c>
      <c r="CK3615" s="2">
        <v>21</v>
      </c>
      <c r="CL3615" s="2" t="s">
        <v>86</v>
      </c>
      <c r="CM3615" s="2"/>
    </row>
    <row r="3616" spans="1:91">
      <c r="A3616" s="2" t="s">
        <v>71</v>
      </c>
      <c r="B3616" s="2" t="s">
        <v>72</v>
      </c>
      <c r="C3616" s="2" t="s">
        <v>73</v>
      </c>
      <c r="D3616" s="2"/>
      <c r="E3616" s="2" t="str">
        <f>"FES1162545925"</f>
        <v>FES1162545925</v>
      </c>
      <c r="F3616" s="3">
        <v>42853</v>
      </c>
      <c r="G3616" s="2">
        <v>201710</v>
      </c>
      <c r="H3616" s="2" t="s">
        <v>74</v>
      </c>
      <c r="I3616" s="2" t="s">
        <v>75</v>
      </c>
      <c r="J3616" s="2" t="s">
        <v>76</v>
      </c>
      <c r="K3616" s="2" t="s">
        <v>77</v>
      </c>
      <c r="L3616" s="2" t="s">
        <v>294</v>
      </c>
      <c r="M3616" s="2" t="s">
        <v>295</v>
      </c>
      <c r="N3616" s="2" t="s">
        <v>3490</v>
      </c>
      <c r="O3616" s="2" t="s">
        <v>115</v>
      </c>
      <c r="P3616" s="2" t="str">
        <f>"2170564376                    "</f>
        <v xml:space="preserve">2170564376                    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4.29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1</v>
      </c>
      <c r="BI3616" s="2">
        <v>1</v>
      </c>
      <c r="BJ3616" s="2">
        <v>0.2</v>
      </c>
      <c r="BK3616" s="2">
        <v>1</v>
      </c>
      <c r="BL3616" s="2">
        <v>41.73</v>
      </c>
      <c r="BM3616" s="2">
        <v>5.84</v>
      </c>
      <c r="BN3616" s="2">
        <v>47.57</v>
      </c>
      <c r="BO3616" s="2">
        <v>47.57</v>
      </c>
      <c r="BP3616" s="2"/>
      <c r="BQ3616" s="2" t="s">
        <v>3491</v>
      </c>
      <c r="BR3616" s="2" t="s">
        <v>84</v>
      </c>
      <c r="BS3616" s="1" t="s">
        <v>1744</v>
      </c>
      <c r="BT3616" s="2"/>
      <c r="BU3616" s="2"/>
      <c r="BV3616" s="2"/>
      <c r="BW3616" s="2"/>
      <c r="BX3616" s="2"/>
      <c r="BY3616" s="2">
        <v>1200</v>
      </c>
      <c r="BZ3616" s="2" t="s">
        <v>27</v>
      </c>
      <c r="CA3616" s="2"/>
      <c r="CB3616" s="2"/>
      <c r="CC3616" s="2" t="s">
        <v>295</v>
      </c>
      <c r="CD3616" s="2">
        <v>3610</v>
      </c>
      <c r="CE3616" s="2" t="s">
        <v>118</v>
      </c>
      <c r="CF3616" s="2"/>
      <c r="CG3616" s="2"/>
      <c r="CH3616" s="2"/>
      <c r="CI3616" s="2">
        <v>1</v>
      </c>
      <c r="CJ3616" s="2" t="s">
        <v>1744</v>
      </c>
      <c r="CK3616" s="2">
        <v>21</v>
      </c>
      <c r="CL3616" s="2" t="s">
        <v>86</v>
      </c>
      <c r="CM3616" s="2"/>
    </row>
    <row r="3617" spans="1:91">
      <c r="A3617" s="2" t="s">
        <v>71</v>
      </c>
      <c r="B3617" s="2" t="s">
        <v>72</v>
      </c>
      <c r="C3617" s="2" t="s">
        <v>73</v>
      </c>
      <c r="D3617" s="2"/>
      <c r="E3617" s="2" t="str">
        <f>"FES1162545938"</f>
        <v>FES1162545938</v>
      </c>
      <c r="F3617" s="3">
        <v>42853</v>
      </c>
      <c r="G3617" s="2">
        <v>201710</v>
      </c>
      <c r="H3617" s="2" t="s">
        <v>74</v>
      </c>
      <c r="I3617" s="2" t="s">
        <v>75</v>
      </c>
      <c r="J3617" s="2" t="s">
        <v>76</v>
      </c>
      <c r="K3617" s="2" t="s">
        <v>77</v>
      </c>
      <c r="L3617" s="2" t="s">
        <v>131</v>
      </c>
      <c r="M3617" s="2" t="s">
        <v>132</v>
      </c>
      <c r="N3617" s="2" t="s">
        <v>731</v>
      </c>
      <c r="O3617" s="2" t="s">
        <v>115</v>
      </c>
      <c r="P3617" s="2" t="str">
        <f>"2170561954                    "</f>
        <v xml:space="preserve">2170561954                    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4.29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1</v>
      </c>
      <c r="BI3617" s="2">
        <v>1</v>
      </c>
      <c r="BJ3617" s="2">
        <v>0.2</v>
      </c>
      <c r="BK3617" s="2">
        <v>1</v>
      </c>
      <c r="BL3617" s="2">
        <v>41.73</v>
      </c>
      <c r="BM3617" s="2">
        <v>5.84</v>
      </c>
      <c r="BN3617" s="2">
        <v>47.57</v>
      </c>
      <c r="BO3617" s="2">
        <v>47.57</v>
      </c>
      <c r="BP3617" s="2"/>
      <c r="BQ3617" s="2" t="s">
        <v>732</v>
      </c>
      <c r="BR3617" s="2" t="s">
        <v>84</v>
      </c>
      <c r="BS3617" s="1" t="s">
        <v>1744</v>
      </c>
      <c r="BT3617" s="2"/>
      <c r="BU3617" s="2"/>
      <c r="BV3617" s="2"/>
      <c r="BW3617" s="2"/>
      <c r="BX3617" s="2"/>
      <c r="BY3617" s="2">
        <v>1200</v>
      </c>
      <c r="BZ3617" s="2" t="s">
        <v>27</v>
      </c>
      <c r="CA3617" s="2"/>
      <c r="CB3617" s="2"/>
      <c r="CC3617" s="2" t="s">
        <v>132</v>
      </c>
      <c r="CD3617" s="2">
        <v>7945</v>
      </c>
      <c r="CE3617" s="2" t="s">
        <v>118</v>
      </c>
      <c r="CF3617" s="2"/>
      <c r="CG3617" s="2"/>
      <c r="CH3617" s="2"/>
      <c r="CI3617" s="2">
        <v>1</v>
      </c>
      <c r="CJ3617" s="2" t="s">
        <v>1744</v>
      </c>
      <c r="CK3617" s="2">
        <v>21</v>
      </c>
      <c r="CL3617" s="2" t="s">
        <v>86</v>
      </c>
      <c r="CM3617" s="2"/>
    </row>
    <row r="3618" spans="1:91">
      <c r="A3618" s="2" t="s">
        <v>71</v>
      </c>
      <c r="B3618" s="2" t="s">
        <v>72</v>
      </c>
      <c r="C3618" s="2" t="s">
        <v>73</v>
      </c>
      <c r="D3618" s="2"/>
      <c r="E3618" s="2" t="str">
        <f>"FES1162545937"</f>
        <v>FES1162545937</v>
      </c>
      <c r="F3618" s="3">
        <v>42853</v>
      </c>
      <c r="G3618" s="2">
        <v>201710</v>
      </c>
      <c r="H3618" s="2" t="s">
        <v>74</v>
      </c>
      <c r="I3618" s="2" t="s">
        <v>75</v>
      </c>
      <c r="J3618" s="2" t="s">
        <v>76</v>
      </c>
      <c r="K3618" s="2" t="s">
        <v>77</v>
      </c>
      <c r="L3618" s="2" t="s">
        <v>131</v>
      </c>
      <c r="M3618" s="2" t="s">
        <v>132</v>
      </c>
      <c r="N3618" s="2" t="s">
        <v>677</v>
      </c>
      <c r="O3618" s="2" t="s">
        <v>115</v>
      </c>
      <c r="P3618" s="2" t="str">
        <f>"2170561804                    "</f>
        <v xml:space="preserve">2170561804                    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4.29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1</v>
      </c>
      <c r="BI3618" s="2">
        <v>0.8</v>
      </c>
      <c r="BJ3618" s="2">
        <v>1.6</v>
      </c>
      <c r="BK3618" s="2">
        <v>2</v>
      </c>
      <c r="BL3618" s="2">
        <v>41.73</v>
      </c>
      <c r="BM3618" s="2">
        <v>5.84</v>
      </c>
      <c r="BN3618" s="2">
        <v>47.57</v>
      </c>
      <c r="BO3618" s="2">
        <v>47.57</v>
      </c>
      <c r="BP3618" s="2"/>
      <c r="BQ3618" s="2" t="s">
        <v>678</v>
      </c>
      <c r="BR3618" s="2" t="s">
        <v>84</v>
      </c>
      <c r="BS3618" s="1" t="s">
        <v>1744</v>
      </c>
      <c r="BT3618" s="2"/>
      <c r="BU3618" s="2"/>
      <c r="BV3618" s="2"/>
      <c r="BW3618" s="2"/>
      <c r="BX3618" s="2"/>
      <c r="BY3618" s="2">
        <v>7896.6</v>
      </c>
      <c r="BZ3618" s="2" t="s">
        <v>27</v>
      </c>
      <c r="CA3618" s="2"/>
      <c r="CB3618" s="2"/>
      <c r="CC3618" s="2" t="s">
        <v>132</v>
      </c>
      <c r="CD3618" s="2">
        <v>7800</v>
      </c>
      <c r="CE3618" s="2" t="s">
        <v>89</v>
      </c>
      <c r="CF3618" s="2"/>
      <c r="CG3618" s="2"/>
      <c r="CH3618" s="2"/>
      <c r="CI3618" s="2">
        <v>1</v>
      </c>
      <c r="CJ3618" s="2" t="s">
        <v>1744</v>
      </c>
      <c r="CK3618" s="2">
        <v>21</v>
      </c>
      <c r="CL3618" s="2" t="s">
        <v>86</v>
      </c>
      <c r="CM3618" s="2"/>
    </row>
    <row r="3619" spans="1:91">
      <c r="A3619" s="2" t="s">
        <v>71</v>
      </c>
      <c r="B3619" s="2" t="s">
        <v>72</v>
      </c>
      <c r="C3619" s="2" t="s">
        <v>73</v>
      </c>
      <c r="D3619" s="2"/>
      <c r="E3619" s="2" t="str">
        <f>"FES1162546047"</f>
        <v>FES1162546047</v>
      </c>
      <c r="F3619" s="3">
        <v>42853</v>
      </c>
      <c r="G3619" s="2">
        <v>201710</v>
      </c>
      <c r="H3619" s="2" t="s">
        <v>74</v>
      </c>
      <c r="I3619" s="2" t="s">
        <v>75</v>
      </c>
      <c r="J3619" s="2" t="s">
        <v>76</v>
      </c>
      <c r="K3619" s="2" t="s">
        <v>77</v>
      </c>
      <c r="L3619" s="2" t="s">
        <v>190</v>
      </c>
      <c r="M3619" s="2" t="s">
        <v>191</v>
      </c>
      <c r="N3619" s="2" t="s">
        <v>3492</v>
      </c>
      <c r="O3619" s="2" t="s">
        <v>115</v>
      </c>
      <c r="P3619" s="2" t="str">
        <f>"2170564449                    "</f>
        <v xml:space="preserve">2170564449                    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6.03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1</v>
      </c>
      <c r="BI3619" s="2">
        <v>1</v>
      </c>
      <c r="BJ3619" s="2">
        <v>0.2</v>
      </c>
      <c r="BK3619" s="2">
        <v>1</v>
      </c>
      <c r="BL3619" s="2">
        <v>58.68</v>
      </c>
      <c r="BM3619" s="2">
        <v>8.2200000000000006</v>
      </c>
      <c r="BN3619" s="2">
        <v>66.900000000000006</v>
      </c>
      <c r="BO3619" s="2">
        <v>66.900000000000006</v>
      </c>
      <c r="BP3619" s="2"/>
      <c r="BQ3619" s="2" t="s">
        <v>122</v>
      </c>
      <c r="BR3619" s="2" t="s">
        <v>84</v>
      </c>
      <c r="BS3619" s="1" t="s">
        <v>1744</v>
      </c>
      <c r="BT3619" s="2"/>
      <c r="BU3619" s="2"/>
      <c r="BV3619" s="2"/>
      <c r="BW3619" s="2"/>
      <c r="BX3619" s="2"/>
      <c r="BY3619" s="2">
        <v>1200</v>
      </c>
      <c r="BZ3619" s="2" t="s">
        <v>27</v>
      </c>
      <c r="CA3619" s="2"/>
      <c r="CB3619" s="2"/>
      <c r="CC3619" s="2" t="s">
        <v>191</v>
      </c>
      <c r="CD3619" s="2">
        <v>1739</v>
      </c>
      <c r="CE3619" s="2" t="s">
        <v>118</v>
      </c>
      <c r="CF3619" s="2"/>
      <c r="CG3619" s="2"/>
      <c r="CH3619" s="2"/>
      <c r="CI3619" s="2">
        <v>1</v>
      </c>
      <c r="CJ3619" s="2" t="s">
        <v>1744</v>
      </c>
      <c r="CK3619" s="2">
        <v>24</v>
      </c>
      <c r="CL3619" s="2" t="s">
        <v>86</v>
      </c>
      <c r="CM3619" s="2"/>
    </row>
    <row r="3620" spans="1:91">
      <c r="A3620" s="2" t="s">
        <v>71</v>
      </c>
      <c r="B3620" s="2" t="s">
        <v>72</v>
      </c>
      <c r="C3620" s="2" t="s">
        <v>73</v>
      </c>
      <c r="D3620" s="2"/>
      <c r="E3620" s="2" t="str">
        <f>"FES1162545877"</f>
        <v>FES1162545877</v>
      </c>
      <c r="F3620" s="3">
        <v>42853</v>
      </c>
      <c r="G3620" s="2">
        <v>201710</v>
      </c>
      <c r="H3620" s="2" t="s">
        <v>74</v>
      </c>
      <c r="I3620" s="2" t="s">
        <v>75</v>
      </c>
      <c r="J3620" s="2" t="s">
        <v>76</v>
      </c>
      <c r="K3620" s="2" t="s">
        <v>77</v>
      </c>
      <c r="L3620" s="2" t="s">
        <v>180</v>
      </c>
      <c r="M3620" s="2" t="s">
        <v>181</v>
      </c>
      <c r="N3620" s="2" t="s">
        <v>3493</v>
      </c>
      <c r="O3620" s="2" t="s">
        <v>115</v>
      </c>
      <c r="P3620" s="2" t="str">
        <f>"2170564322                    "</f>
        <v xml:space="preserve">2170564322                    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4.29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1</v>
      </c>
      <c r="BI3620" s="2">
        <v>1.8</v>
      </c>
      <c r="BJ3620" s="2">
        <v>0.2</v>
      </c>
      <c r="BK3620" s="2">
        <v>2</v>
      </c>
      <c r="BL3620" s="2">
        <v>41.73</v>
      </c>
      <c r="BM3620" s="2">
        <v>5.84</v>
      </c>
      <c r="BN3620" s="2">
        <v>47.57</v>
      </c>
      <c r="BO3620" s="2">
        <v>47.57</v>
      </c>
      <c r="BP3620" s="2"/>
      <c r="BQ3620" s="2" t="s">
        <v>3494</v>
      </c>
      <c r="BR3620" s="2" t="s">
        <v>84</v>
      </c>
      <c r="BS3620" s="1" t="s">
        <v>1744</v>
      </c>
      <c r="BT3620" s="2"/>
      <c r="BU3620" s="2"/>
      <c r="BV3620" s="2"/>
      <c r="BW3620" s="2"/>
      <c r="BX3620" s="2"/>
      <c r="BY3620" s="2">
        <v>1200</v>
      </c>
      <c r="BZ3620" s="2" t="s">
        <v>27</v>
      </c>
      <c r="CA3620" s="2"/>
      <c r="CB3620" s="2"/>
      <c r="CC3620" s="2" t="s">
        <v>181</v>
      </c>
      <c r="CD3620" s="2">
        <v>4052</v>
      </c>
      <c r="CE3620" s="2" t="s">
        <v>118</v>
      </c>
      <c r="CF3620" s="2"/>
      <c r="CG3620" s="2"/>
      <c r="CH3620" s="2"/>
      <c r="CI3620" s="2">
        <v>1</v>
      </c>
      <c r="CJ3620" s="2" t="s">
        <v>1744</v>
      </c>
      <c r="CK3620" s="2">
        <v>21</v>
      </c>
      <c r="CL3620" s="2" t="s">
        <v>86</v>
      </c>
      <c r="CM3620" s="2"/>
    </row>
    <row r="3621" spans="1:91">
      <c r="A3621" s="2" t="s">
        <v>71</v>
      </c>
      <c r="B3621" s="2" t="s">
        <v>72</v>
      </c>
      <c r="C3621" s="2" t="s">
        <v>73</v>
      </c>
      <c r="D3621" s="2"/>
      <c r="E3621" s="2" t="str">
        <f>"FES1162546107"</f>
        <v>FES1162546107</v>
      </c>
      <c r="F3621" s="3">
        <v>42853</v>
      </c>
      <c r="G3621" s="2">
        <v>201710</v>
      </c>
      <c r="H3621" s="2" t="s">
        <v>74</v>
      </c>
      <c r="I3621" s="2" t="s">
        <v>75</v>
      </c>
      <c r="J3621" s="2" t="s">
        <v>76</v>
      </c>
      <c r="K3621" s="2" t="s">
        <v>77</v>
      </c>
      <c r="L3621" s="2" t="s">
        <v>99</v>
      </c>
      <c r="M3621" s="2" t="s">
        <v>100</v>
      </c>
      <c r="N3621" s="2" t="s">
        <v>1783</v>
      </c>
      <c r="O3621" s="2" t="s">
        <v>115</v>
      </c>
      <c r="P3621" s="2" t="str">
        <f>"2170564515                    "</f>
        <v xml:space="preserve">2170564515                    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18.22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1</v>
      </c>
      <c r="BI3621" s="2">
        <v>8.4</v>
      </c>
      <c r="BJ3621" s="2">
        <v>3.8</v>
      </c>
      <c r="BK3621" s="2">
        <v>8.5</v>
      </c>
      <c r="BL3621" s="2">
        <v>177.34</v>
      </c>
      <c r="BM3621" s="2">
        <v>24.83</v>
      </c>
      <c r="BN3621" s="2">
        <v>202.17</v>
      </c>
      <c r="BO3621" s="2">
        <v>202.17</v>
      </c>
      <c r="BP3621" s="2"/>
      <c r="BQ3621" s="2" t="s">
        <v>1784</v>
      </c>
      <c r="BR3621" s="2" t="s">
        <v>84</v>
      </c>
      <c r="BS3621" s="3">
        <v>42857</v>
      </c>
      <c r="BT3621" s="4">
        <v>0.30902777777777779</v>
      </c>
      <c r="BU3621" s="2" t="s">
        <v>1785</v>
      </c>
      <c r="BV3621" s="2" t="s">
        <v>86</v>
      </c>
      <c r="BW3621" s="2"/>
      <c r="BX3621" s="2"/>
      <c r="BY3621" s="2">
        <v>18946.240000000002</v>
      </c>
      <c r="BZ3621" s="2" t="s">
        <v>27</v>
      </c>
      <c r="CA3621" s="2" t="s">
        <v>3390</v>
      </c>
      <c r="CB3621" s="2"/>
      <c r="CC3621" s="2" t="s">
        <v>100</v>
      </c>
      <c r="CD3621" s="2">
        <v>6001</v>
      </c>
      <c r="CE3621" s="2" t="s">
        <v>89</v>
      </c>
      <c r="CF3621" s="2"/>
      <c r="CG3621" s="2"/>
      <c r="CH3621" s="2"/>
      <c r="CI3621" s="2">
        <v>1</v>
      </c>
      <c r="CJ3621" s="2">
        <v>2</v>
      </c>
      <c r="CK3621" s="2">
        <v>21</v>
      </c>
      <c r="CL3621" s="2" t="s">
        <v>86</v>
      </c>
      <c r="CM3621" s="2"/>
    </row>
    <row r="3622" spans="1:91">
      <c r="A3622" s="2" t="s">
        <v>71</v>
      </c>
      <c r="B3622" s="2" t="s">
        <v>72</v>
      </c>
      <c r="C3622" s="2" t="s">
        <v>73</v>
      </c>
      <c r="D3622" s="2"/>
      <c r="E3622" s="2" t="str">
        <f>"FES1162546106"</f>
        <v>FES1162546106</v>
      </c>
      <c r="F3622" s="3">
        <v>42853</v>
      </c>
      <c r="G3622" s="2">
        <v>201710</v>
      </c>
      <c r="H3622" s="2" t="s">
        <v>74</v>
      </c>
      <c r="I3622" s="2" t="s">
        <v>75</v>
      </c>
      <c r="J3622" s="2" t="s">
        <v>76</v>
      </c>
      <c r="K3622" s="2" t="s">
        <v>77</v>
      </c>
      <c r="L3622" s="2" t="s">
        <v>190</v>
      </c>
      <c r="M3622" s="2" t="s">
        <v>191</v>
      </c>
      <c r="N3622" s="2" t="s">
        <v>192</v>
      </c>
      <c r="O3622" s="2" t="s">
        <v>115</v>
      </c>
      <c r="P3622" s="2" t="str">
        <f>"2170564513                    "</f>
        <v xml:space="preserve">2170564513                    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6.03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1</v>
      </c>
      <c r="BI3622" s="2">
        <v>1.4</v>
      </c>
      <c r="BJ3622" s="2">
        <v>1.7</v>
      </c>
      <c r="BK3622" s="2">
        <v>2</v>
      </c>
      <c r="BL3622" s="2">
        <v>58.68</v>
      </c>
      <c r="BM3622" s="2">
        <v>8.2200000000000006</v>
      </c>
      <c r="BN3622" s="2">
        <v>66.900000000000006</v>
      </c>
      <c r="BO3622" s="2">
        <v>66.900000000000006</v>
      </c>
      <c r="BP3622" s="2"/>
      <c r="BQ3622" s="2" t="s">
        <v>193</v>
      </c>
      <c r="BR3622" s="2" t="s">
        <v>84</v>
      </c>
      <c r="BS3622" s="1" t="s">
        <v>1744</v>
      </c>
      <c r="BT3622" s="2"/>
      <c r="BU3622" s="2"/>
      <c r="BV3622" s="2"/>
      <c r="BW3622" s="2"/>
      <c r="BX3622" s="2"/>
      <c r="BY3622" s="2">
        <v>8638.7900000000009</v>
      </c>
      <c r="BZ3622" s="2" t="s">
        <v>27</v>
      </c>
      <c r="CA3622" s="2"/>
      <c r="CB3622" s="2"/>
      <c r="CC3622" s="2" t="s">
        <v>191</v>
      </c>
      <c r="CD3622" s="2">
        <v>1739</v>
      </c>
      <c r="CE3622" s="2" t="s">
        <v>89</v>
      </c>
      <c r="CF3622" s="2"/>
      <c r="CG3622" s="2"/>
      <c r="CH3622" s="2"/>
      <c r="CI3622" s="2">
        <v>1</v>
      </c>
      <c r="CJ3622" s="2" t="s">
        <v>1744</v>
      </c>
      <c r="CK3622" s="2">
        <v>24</v>
      </c>
      <c r="CL3622" s="2" t="s">
        <v>86</v>
      </c>
      <c r="CM3622" s="2"/>
    </row>
    <row r="3623" spans="1:91">
      <c r="A3623" s="2" t="s">
        <v>71</v>
      </c>
      <c r="B3623" s="2" t="s">
        <v>72</v>
      </c>
      <c r="C3623" s="2" t="s">
        <v>73</v>
      </c>
      <c r="D3623" s="2"/>
      <c r="E3623" s="2" t="str">
        <f>"FES1162546078"</f>
        <v>FES1162546078</v>
      </c>
      <c r="F3623" s="3">
        <v>42853</v>
      </c>
      <c r="G3623" s="2">
        <v>201710</v>
      </c>
      <c r="H3623" s="2" t="s">
        <v>74</v>
      </c>
      <c r="I3623" s="2" t="s">
        <v>75</v>
      </c>
      <c r="J3623" s="2" t="s">
        <v>76</v>
      </c>
      <c r="K3623" s="2" t="s">
        <v>77</v>
      </c>
      <c r="L3623" s="2" t="s">
        <v>74</v>
      </c>
      <c r="M3623" s="2" t="s">
        <v>75</v>
      </c>
      <c r="N3623" s="2" t="s">
        <v>488</v>
      </c>
      <c r="O3623" s="2" t="s">
        <v>115</v>
      </c>
      <c r="P3623" s="2" t="str">
        <f>"2170564484                    "</f>
        <v xml:space="preserve">2170564484                    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3.35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1</v>
      </c>
      <c r="BI3623" s="2">
        <v>1</v>
      </c>
      <c r="BJ3623" s="2">
        <v>0.2</v>
      </c>
      <c r="BK3623" s="2">
        <v>1</v>
      </c>
      <c r="BL3623" s="2">
        <v>32.6</v>
      </c>
      <c r="BM3623" s="2">
        <v>4.5599999999999996</v>
      </c>
      <c r="BN3623" s="2">
        <v>37.159999999999997</v>
      </c>
      <c r="BO3623" s="2">
        <v>37.159999999999997</v>
      </c>
      <c r="BP3623" s="2"/>
      <c r="BQ3623" s="2" t="s">
        <v>489</v>
      </c>
      <c r="BR3623" s="2" t="s">
        <v>84</v>
      </c>
      <c r="BS3623" s="1" t="s">
        <v>1744</v>
      </c>
      <c r="BT3623" s="2"/>
      <c r="BU3623" s="2"/>
      <c r="BV3623" s="2"/>
      <c r="BW3623" s="2"/>
      <c r="BX3623" s="2"/>
      <c r="BY3623" s="2">
        <v>1200</v>
      </c>
      <c r="BZ3623" s="2" t="s">
        <v>27</v>
      </c>
      <c r="CA3623" s="2"/>
      <c r="CB3623" s="2"/>
      <c r="CC3623" s="2" t="s">
        <v>75</v>
      </c>
      <c r="CD3623" s="2">
        <v>1645</v>
      </c>
      <c r="CE3623" s="2" t="s">
        <v>118</v>
      </c>
      <c r="CF3623" s="2"/>
      <c r="CG3623" s="2"/>
      <c r="CH3623" s="2"/>
      <c r="CI3623" s="2">
        <v>1</v>
      </c>
      <c r="CJ3623" s="2" t="s">
        <v>1744</v>
      </c>
      <c r="CK3623" s="2">
        <v>22</v>
      </c>
      <c r="CL3623" s="2" t="s">
        <v>86</v>
      </c>
      <c r="CM3623" s="2"/>
    </row>
    <row r="3624" spans="1:91">
      <c r="A3624" s="2" t="s">
        <v>71</v>
      </c>
      <c r="B3624" s="2" t="s">
        <v>72</v>
      </c>
      <c r="C3624" s="2" t="s">
        <v>73</v>
      </c>
      <c r="D3624" s="2"/>
      <c r="E3624" s="2" t="str">
        <f>"FES1162545931"</f>
        <v>FES1162545931</v>
      </c>
      <c r="F3624" s="3">
        <v>42853</v>
      </c>
      <c r="G3624" s="2">
        <v>201710</v>
      </c>
      <c r="H3624" s="2" t="s">
        <v>74</v>
      </c>
      <c r="I3624" s="2" t="s">
        <v>75</v>
      </c>
      <c r="J3624" s="2" t="s">
        <v>76</v>
      </c>
      <c r="K3624" s="2" t="s">
        <v>77</v>
      </c>
      <c r="L3624" s="2" t="s">
        <v>180</v>
      </c>
      <c r="M3624" s="2" t="s">
        <v>181</v>
      </c>
      <c r="N3624" s="2" t="s">
        <v>3495</v>
      </c>
      <c r="O3624" s="2" t="s">
        <v>115</v>
      </c>
      <c r="P3624" s="2" t="str">
        <f>"2170564389                    "</f>
        <v xml:space="preserve">2170564389                    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52.51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1</v>
      </c>
      <c r="BI3624" s="2">
        <v>24.2</v>
      </c>
      <c r="BJ3624" s="2">
        <v>17.8</v>
      </c>
      <c r="BK3624" s="2">
        <v>24.5</v>
      </c>
      <c r="BL3624" s="2">
        <v>511.15</v>
      </c>
      <c r="BM3624" s="2">
        <v>71.56</v>
      </c>
      <c r="BN3624" s="2">
        <v>582.71</v>
      </c>
      <c r="BO3624" s="2">
        <v>582.71</v>
      </c>
      <c r="BP3624" s="2"/>
      <c r="BQ3624" s="2" t="s">
        <v>116</v>
      </c>
      <c r="BR3624" s="2" t="s">
        <v>84</v>
      </c>
      <c r="BS3624" s="1" t="s">
        <v>1744</v>
      </c>
      <c r="BT3624" s="2"/>
      <c r="BU3624" s="2"/>
      <c r="BV3624" s="2"/>
      <c r="BW3624" s="2"/>
      <c r="BX3624" s="2"/>
      <c r="BY3624" s="2">
        <v>89136.88</v>
      </c>
      <c r="BZ3624" s="2" t="s">
        <v>27</v>
      </c>
      <c r="CA3624" s="2"/>
      <c r="CB3624" s="2"/>
      <c r="CC3624" s="2" t="s">
        <v>181</v>
      </c>
      <c r="CD3624" s="2">
        <v>4052</v>
      </c>
      <c r="CE3624" s="2" t="s">
        <v>89</v>
      </c>
      <c r="CF3624" s="2"/>
      <c r="CG3624" s="2"/>
      <c r="CH3624" s="2"/>
      <c r="CI3624" s="2">
        <v>1</v>
      </c>
      <c r="CJ3624" s="2" t="s">
        <v>1744</v>
      </c>
      <c r="CK3624" s="2">
        <v>21</v>
      </c>
      <c r="CL3624" s="2" t="s">
        <v>86</v>
      </c>
      <c r="CM3624" s="2"/>
    </row>
    <row r="3625" spans="1:91">
      <c r="A3625" s="2" t="s">
        <v>71</v>
      </c>
      <c r="B3625" s="2" t="s">
        <v>72</v>
      </c>
      <c r="C3625" s="2" t="s">
        <v>73</v>
      </c>
      <c r="D3625" s="2"/>
      <c r="E3625" s="2" t="str">
        <f>"FES1162545996"</f>
        <v>FES1162545996</v>
      </c>
      <c r="F3625" s="3">
        <v>42853</v>
      </c>
      <c r="G3625" s="2">
        <v>201710</v>
      </c>
      <c r="H3625" s="2" t="s">
        <v>74</v>
      </c>
      <c r="I3625" s="2" t="s">
        <v>75</v>
      </c>
      <c r="J3625" s="2" t="s">
        <v>76</v>
      </c>
      <c r="K3625" s="2" t="s">
        <v>77</v>
      </c>
      <c r="L3625" s="2" t="s">
        <v>294</v>
      </c>
      <c r="M3625" s="2" t="s">
        <v>295</v>
      </c>
      <c r="N3625" s="2" t="s">
        <v>1403</v>
      </c>
      <c r="O3625" s="2" t="s">
        <v>115</v>
      </c>
      <c r="P3625" s="2" t="str">
        <f>"2170562418                    "</f>
        <v xml:space="preserve">2170562418                    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19.29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1</v>
      </c>
      <c r="BI3625" s="2">
        <v>4.7</v>
      </c>
      <c r="BJ3625" s="2">
        <v>9</v>
      </c>
      <c r="BK3625" s="2">
        <v>9</v>
      </c>
      <c r="BL3625" s="2">
        <v>187.77</v>
      </c>
      <c r="BM3625" s="2">
        <v>26.29</v>
      </c>
      <c r="BN3625" s="2">
        <v>214.06</v>
      </c>
      <c r="BO3625" s="2">
        <v>214.06</v>
      </c>
      <c r="BP3625" s="2"/>
      <c r="BQ3625" s="2"/>
      <c r="BR3625" s="2" t="s">
        <v>84</v>
      </c>
      <c r="BS3625" s="1" t="s">
        <v>1744</v>
      </c>
      <c r="BT3625" s="2"/>
      <c r="BU3625" s="2"/>
      <c r="BV3625" s="2"/>
      <c r="BW3625" s="2"/>
      <c r="BX3625" s="2"/>
      <c r="BY3625" s="2">
        <v>45006.19</v>
      </c>
      <c r="BZ3625" s="2" t="s">
        <v>27</v>
      </c>
      <c r="CA3625" s="2"/>
      <c r="CB3625" s="2"/>
      <c r="CC3625" s="2" t="s">
        <v>295</v>
      </c>
      <c r="CD3625" s="2">
        <v>3610</v>
      </c>
      <c r="CE3625" s="2" t="s">
        <v>89</v>
      </c>
      <c r="CF3625" s="2"/>
      <c r="CG3625" s="2"/>
      <c r="CH3625" s="2"/>
      <c r="CI3625" s="2">
        <v>1</v>
      </c>
      <c r="CJ3625" s="2" t="s">
        <v>1744</v>
      </c>
      <c r="CK3625" s="2">
        <v>21</v>
      </c>
      <c r="CL3625" s="2" t="s">
        <v>86</v>
      </c>
      <c r="CM3625" s="2"/>
    </row>
    <row r="3626" spans="1:91">
      <c r="A3626" s="2" t="s">
        <v>71</v>
      </c>
      <c r="B3626" s="2" t="s">
        <v>72</v>
      </c>
      <c r="C3626" s="2" t="s">
        <v>73</v>
      </c>
      <c r="D3626" s="2"/>
      <c r="E3626" s="2" t="str">
        <f>"FES1162546077"</f>
        <v>FES1162546077</v>
      </c>
      <c r="F3626" s="3">
        <v>42853</v>
      </c>
      <c r="G3626" s="2">
        <v>201710</v>
      </c>
      <c r="H3626" s="2" t="s">
        <v>74</v>
      </c>
      <c r="I3626" s="2" t="s">
        <v>75</v>
      </c>
      <c r="J3626" s="2" t="s">
        <v>76</v>
      </c>
      <c r="K3626" s="2" t="s">
        <v>77</v>
      </c>
      <c r="L3626" s="2" t="s">
        <v>131</v>
      </c>
      <c r="M3626" s="2" t="s">
        <v>132</v>
      </c>
      <c r="N3626" s="2" t="s">
        <v>3496</v>
      </c>
      <c r="O3626" s="2" t="s">
        <v>115</v>
      </c>
      <c r="P3626" s="2" t="str">
        <f>"2170564483                    "</f>
        <v xml:space="preserve">2170564483                    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4.29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1</v>
      </c>
      <c r="BI3626" s="2">
        <v>1</v>
      </c>
      <c r="BJ3626" s="2">
        <v>0.2</v>
      </c>
      <c r="BK3626" s="2">
        <v>1</v>
      </c>
      <c r="BL3626" s="2">
        <v>41.73</v>
      </c>
      <c r="BM3626" s="2">
        <v>5.84</v>
      </c>
      <c r="BN3626" s="2">
        <v>47.57</v>
      </c>
      <c r="BO3626" s="2">
        <v>47.57</v>
      </c>
      <c r="BP3626" s="2"/>
      <c r="BQ3626" s="2"/>
      <c r="BR3626" s="2" t="s">
        <v>84</v>
      </c>
      <c r="BS3626" s="1" t="s">
        <v>1744</v>
      </c>
      <c r="BT3626" s="2"/>
      <c r="BU3626" s="2"/>
      <c r="BV3626" s="2"/>
      <c r="BW3626" s="2"/>
      <c r="BX3626" s="2"/>
      <c r="BY3626" s="2">
        <v>1200</v>
      </c>
      <c r="BZ3626" s="2" t="s">
        <v>27</v>
      </c>
      <c r="CA3626" s="2"/>
      <c r="CB3626" s="2"/>
      <c r="CC3626" s="2" t="s">
        <v>132</v>
      </c>
      <c r="CD3626" s="2">
        <v>7800</v>
      </c>
      <c r="CE3626" s="2" t="s">
        <v>118</v>
      </c>
      <c r="CF3626" s="2"/>
      <c r="CG3626" s="2"/>
      <c r="CH3626" s="2"/>
      <c r="CI3626" s="2">
        <v>1</v>
      </c>
      <c r="CJ3626" s="2" t="s">
        <v>1744</v>
      </c>
      <c r="CK3626" s="2">
        <v>21</v>
      </c>
      <c r="CL3626" s="2" t="s">
        <v>86</v>
      </c>
      <c r="CM3626" s="2"/>
    </row>
    <row r="3627" spans="1:91">
      <c r="A3627" s="2" t="s">
        <v>71</v>
      </c>
      <c r="B3627" s="2" t="s">
        <v>72</v>
      </c>
      <c r="C3627" s="2" t="s">
        <v>73</v>
      </c>
      <c r="D3627" s="2"/>
      <c r="E3627" s="2" t="str">
        <f>"FES1162545922"</f>
        <v>FES1162545922</v>
      </c>
      <c r="F3627" s="3">
        <v>42853</v>
      </c>
      <c r="G3627" s="2">
        <v>201710</v>
      </c>
      <c r="H3627" s="2" t="s">
        <v>74</v>
      </c>
      <c r="I3627" s="2" t="s">
        <v>75</v>
      </c>
      <c r="J3627" s="2" t="s">
        <v>76</v>
      </c>
      <c r="K3627" s="2" t="s">
        <v>77</v>
      </c>
      <c r="L3627" s="2" t="s">
        <v>119</v>
      </c>
      <c r="M3627" s="2" t="s">
        <v>120</v>
      </c>
      <c r="N3627" s="2" t="s">
        <v>121</v>
      </c>
      <c r="O3627" s="2" t="s">
        <v>115</v>
      </c>
      <c r="P3627" s="2" t="str">
        <f>"2170564303                    "</f>
        <v xml:space="preserve">2170564303                    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3.35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1</v>
      </c>
      <c r="BI3627" s="2">
        <v>2.9</v>
      </c>
      <c r="BJ3627" s="2">
        <v>3.4</v>
      </c>
      <c r="BK3627" s="2">
        <v>4</v>
      </c>
      <c r="BL3627" s="2">
        <v>32.6</v>
      </c>
      <c r="BM3627" s="2">
        <v>4.5599999999999996</v>
      </c>
      <c r="BN3627" s="2">
        <v>37.159999999999997</v>
      </c>
      <c r="BO3627" s="2">
        <v>37.159999999999997</v>
      </c>
      <c r="BP3627" s="2"/>
      <c r="BQ3627" s="2" t="s">
        <v>122</v>
      </c>
      <c r="BR3627" s="2" t="s">
        <v>84</v>
      </c>
      <c r="BS3627" s="1" t="s">
        <v>1744</v>
      </c>
      <c r="BT3627" s="2"/>
      <c r="BU3627" s="2"/>
      <c r="BV3627" s="2"/>
      <c r="BW3627" s="2"/>
      <c r="BX3627" s="2"/>
      <c r="BY3627" s="2">
        <v>16979.330000000002</v>
      </c>
      <c r="BZ3627" s="2" t="s">
        <v>27</v>
      </c>
      <c r="CA3627" s="2"/>
      <c r="CB3627" s="2"/>
      <c r="CC3627" s="2" t="s">
        <v>120</v>
      </c>
      <c r="CD3627" s="2">
        <v>2163</v>
      </c>
      <c r="CE3627" s="2" t="s">
        <v>89</v>
      </c>
      <c r="CF3627" s="2"/>
      <c r="CG3627" s="2"/>
      <c r="CH3627" s="2"/>
      <c r="CI3627" s="2">
        <v>1</v>
      </c>
      <c r="CJ3627" s="2" t="s">
        <v>1744</v>
      </c>
      <c r="CK3627" s="2">
        <v>22</v>
      </c>
      <c r="CL3627" s="2" t="s">
        <v>86</v>
      </c>
      <c r="CM3627" s="2"/>
    </row>
    <row r="3628" spans="1:91">
      <c r="A3628" s="2" t="s">
        <v>71</v>
      </c>
      <c r="B3628" s="2" t="s">
        <v>72</v>
      </c>
      <c r="C3628" s="2" t="s">
        <v>73</v>
      </c>
      <c r="D3628" s="2"/>
      <c r="E3628" s="2" t="str">
        <f>"FES1162546052"</f>
        <v>FES1162546052</v>
      </c>
      <c r="F3628" s="3">
        <v>42853</v>
      </c>
      <c r="G3628" s="2">
        <v>201710</v>
      </c>
      <c r="H3628" s="2" t="s">
        <v>74</v>
      </c>
      <c r="I3628" s="2" t="s">
        <v>75</v>
      </c>
      <c r="J3628" s="2" t="s">
        <v>76</v>
      </c>
      <c r="K3628" s="2" t="s">
        <v>77</v>
      </c>
      <c r="L3628" s="2" t="s">
        <v>1800</v>
      </c>
      <c r="M3628" s="2" t="s">
        <v>1801</v>
      </c>
      <c r="N3628" s="2" t="s">
        <v>1802</v>
      </c>
      <c r="O3628" s="2" t="s">
        <v>115</v>
      </c>
      <c r="P3628" s="2" t="str">
        <f>"2170564453                    "</f>
        <v xml:space="preserve">2170564453                    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8.31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1</v>
      </c>
      <c r="BI3628" s="2">
        <v>1</v>
      </c>
      <c r="BJ3628" s="2">
        <v>0.2</v>
      </c>
      <c r="BK3628" s="2">
        <v>1</v>
      </c>
      <c r="BL3628" s="2">
        <v>80.849999999999994</v>
      </c>
      <c r="BM3628" s="2">
        <v>11.32</v>
      </c>
      <c r="BN3628" s="2">
        <v>92.17</v>
      </c>
      <c r="BO3628" s="2">
        <v>92.17</v>
      </c>
      <c r="BP3628" s="2"/>
      <c r="BQ3628" s="2" t="s">
        <v>1803</v>
      </c>
      <c r="BR3628" s="2" t="s">
        <v>84</v>
      </c>
      <c r="BS3628" s="1" t="s">
        <v>1744</v>
      </c>
      <c r="BT3628" s="2"/>
      <c r="BU3628" s="2"/>
      <c r="BV3628" s="2"/>
      <c r="BW3628" s="2"/>
      <c r="BX3628" s="2"/>
      <c r="BY3628" s="2">
        <v>1200</v>
      </c>
      <c r="BZ3628" s="2" t="s">
        <v>27</v>
      </c>
      <c r="CA3628" s="2"/>
      <c r="CB3628" s="2"/>
      <c r="CC3628" s="2" t="s">
        <v>1801</v>
      </c>
      <c r="CD3628" s="2">
        <v>7131</v>
      </c>
      <c r="CE3628" s="2" t="s">
        <v>118</v>
      </c>
      <c r="CF3628" s="2"/>
      <c r="CG3628" s="2"/>
      <c r="CH3628" s="2"/>
      <c r="CI3628" s="2">
        <v>1</v>
      </c>
      <c r="CJ3628" s="2" t="s">
        <v>1744</v>
      </c>
      <c r="CK3628" s="2">
        <v>23</v>
      </c>
      <c r="CL3628" s="2" t="s">
        <v>86</v>
      </c>
      <c r="CM3628" s="2"/>
    </row>
    <row r="3629" spans="1:91">
      <c r="A3629" s="2" t="s">
        <v>71</v>
      </c>
      <c r="B3629" s="2" t="s">
        <v>72</v>
      </c>
      <c r="C3629" s="2" t="s">
        <v>73</v>
      </c>
      <c r="D3629" s="2"/>
      <c r="E3629" s="2" t="str">
        <f>"FES1162546041"</f>
        <v>FES1162546041</v>
      </c>
      <c r="F3629" s="3">
        <v>42853</v>
      </c>
      <c r="G3629" s="2">
        <v>201710</v>
      </c>
      <c r="H3629" s="2" t="s">
        <v>74</v>
      </c>
      <c r="I3629" s="2" t="s">
        <v>75</v>
      </c>
      <c r="J3629" s="2" t="s">
        <v>76</v>
      </c>
      <c r="K3629" s="2" t="s">
        <v>77</v>
      </c>
      <c r="L3629" s="2" t="s">
        <v>99</v>
      </c>
      <c r="M3629" s="2" t="s">
        <v>100</v>
      </c>
      <c r="N3629" s="2" t="s">
        <v>513</v>
      </c>
      <c r="O3629" s="2" t="s">
        <v>115</v>
      </c>
      <c r="P3629" s="2" t="str">
        <f>"2170564447                    "</f>
        <v xml:space="preserve">2170564447                    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7.5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0</v>
      </c>
      <c r="BE3629" s="2">
        <v>0</v>
      </c>
      <c r="BF3629" s="2">
        <v>0</v>
      </c>
      <c r="BG3629" s="2">
        <v>0</v>
      </c>
      <c r="BH3629" s="2">
        <v>1</v>
      </c>
      <c r="BI3629" s="2">
        <v>1.2</v>
      </c>
      <c r="BJ3629" s="2">
        <v>3.3</v>
      </c>
      <c r="BK3629" s="2">
        <v>3.5</v>
      </c>
      <c r="BL3629" s="2">
        <v>73.02</v>
      </c>
      <c r="BM3629" s="2">
        <v>10.220000000000001</v>
      </c>
      <c r="BN3629" s="2">
        <v>83.24</v>
      </c>
      <c r="BO3629" s="2">
        <v>83.24</v>
      </c>
      <c r="BP3629" s="2"/>
      <c r="BQ3629" s="2" t="s">
        <v>3497</v>
      </c>
      <c r="BR3629" s="2" t="s">
        <v>84</v>
      </c>
      <c r="BS3629" s="1" t="s">
        <v>1744</v>
      </c>
      <c r="BT3629" s="2"/>
      <c r="BU3629" s="2"/>
      <c r="BV3629" s="2"/>
      <c r="BW3629" s="2"/>
      <c r="BX3629" s="2"/>
      <c r="BY3629" s="2">
        <v>16708.61</v>
      </c>
      <c r="BZ3629" s="2" t="s">
        <v>27</v>
      </c>
      <c r="CA3629" s="2"/>
      <c r="CB3629" s="2"/>
      <c r="CC3629" s="2" t="s">
        <v>100</v>
      </c>
      <c r="CD3629" s="2">
        <v>6045</v>
      </c>
      <c r="CE3629" s="2" t="s">
        <v>89</v>
      </c>
      <c r="CF3629" s="2"/>
      <c r="CG3629" s="2"/>
      <c r="CH3629" s="2"/>
      <c r="CI3629" s="2">
        <v>1</v>
      </c>
      <c r="CJ3629" s="2" t="s">
        <v>1744</v>
      </c>
      <c r="CK3629" s="2">
        <v>21</v>
      </c>
      <c r="CL3629" s="2" t="s">
        <v>86</v>
      </c>
      <c r="CM3629" s="2"/>
    </row>
    <row r="3630" spans="1:91">
      <c r="A3630" s="2" t="s">
        <v>71</v>
      </c>
      <c r="B3630" s="2" t="s">
        <v>72</v>
      </c>
      <c r="C3630" s="2" t="s">
        <v>73</v>
      </c>
      <c r="D3630" s="2"/>
      <c r="E3630" s="2" t="str">
        <f>"FES1162546066"</f>
        <v>FES1162546066</v>
      </c>
      <c r="F3630" s="3">
        <v>42853</v>
      </c>
      <c r="G3630" s="2">
        <v>201710</v>
      </c>
      <c r="H3630" s="2" t="s">
        <v>74</v>
      </c>
      <c r="I3630" s="2" t="s">
        <v>75</v>
      </c>
      <c r="J3630" s="2" t="s">
        <v>76</v>
      </c>
      <c r="K3630" s="2" t="s">
        <v>77</v>
      </c>
      <c r="L3630" s="2" t="s">
        <v>503</v>
      </c>
      <c r="M3630" s="2" t="s">
        <v>504</v>
      </c>
      <c r="N3630" s="2" t="s">
        <v>3498</v>
      </c>
      <c r="O3630" s="2" t="s">
        <v>115</v>
      </c>
      <c r="P3630" s="2" t="str">
        <f>"2170564468                    "</f>
        <v xml:space="preserve">2170564468                    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3.35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1</v>
      </c>
      <c r="BI3630" s="2">
        <v>1</v>
      </c>
      <c r="BJ3630" s="2">
        <v>0.2</v>
      </c>
      <c r="BK3630" s="2">
        <v>1</v>
      </c>
      <c r="BL3630" s="2">
        <v>32.6</v>
      </c>
      <c r="BM3630" s="2">
        <v>4.5599999999999996</v>
      </c>
      <c r="BN3630" s="2">
        <v>37.159999999999997</v>
      </c>
      <c r="BO3630" s="2">
        <v>37.159999999999997</v>
      </c>
      <c r="BP3630" s="2"/>
      <c r="BQ3630" s="2"/>
      <c r="BR3630" s="2" t="s">
        <v>84</v>
      </c>
      <c r="BS3630" s="1" t="s">
        <v>1744</v>
      </c>
      <c r="BT3630" s="2"/>
      <c r="BU3630" s="2"/>
      <c r="BV3630" s="2"/>
      <c r="BW3630" s="2"/>
      <c r="BX3630" s="2"/>
      <c r="BY3630" s="2">
        <v>1200</v>
      </c>
      <c r="BZ3630" s="2" t="s">
        <v>27</v>
      </c>
      <c r="CA3630" s="2"/>
      <c r="CB3630" s="2"/>
      <c r="CC3630" s="2" t="s">
        <v>504</v>
      </c>
      <c r="CD3630" s="2">
        <v>1500</v>
      </c>
      <c r="CE3630" s="2" t="s">
        <v>118</v>
      </c>
      <c r="CF3630" s="2"/>
      <c r="CG3630" s="2"/>
      <c r="CH3630" s="2"/>
      <c r="CI3630" s="2">
        <v>1</v>
      </c>
      <c r="CJ3630" s="2" t="s">
        <v>1744</v>
      </c>
      <c r="CK3630" s="2">
        <v>22</v>
      </c>
      <c r="CL3630" s="2" t="s">
        <v>86</v>
      </c>
      <c r="CM3630" s="2"/>
    </row>
    <row r="3631" spans="1:91">
      <c r="A3631" s="2" t="s">
        <v>71</v>
      </c>
      <c r="B3631" s="2" t="s">
        <v>72</v>
      </c>
      <c r="C3631" s="2" t="s">
        <v>73</v>
      </c>
      <c r="D3631" s="2"/>
      <c r="E3631" s="2" t="str">
        <f>"FES1162546022"</f>
        <v>FES1162546022</v>
      </c>
      <c r="F3631" s="3">
        <v>42853</v>
      </c>
      <c r="G3631" s="2">
        <v>201710</v>
      </c>
      <c r="H3631" s="2" t="s">
        <v>74</v>
      </c>
      <c r="I3631" s="2" t="s">
        <v>75</v>
      </c>
      <c r="J3631" s="2" t="s">
        <v>76</v>
      </c>
      <c r="K3631" s="2" t="s">
        <v>77</v>
      </c>
      <c r="L3631" s="2" t="s">
        <v>396</v>
      </c>
      <c r="M3631" s="2" t="s">
        <v>397</v>
      </c>
      <c r="N3631" s="2" t="s">
        <v>398</v>
      </c>
      <c r="O3631" s="2" t="s">
        <v>115</v>
      </c>
      <c r="P3631" s="2" t="str">
        <f>"2170564424                    "</f>
        <v xml:space="preserve">2170564424                    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4.29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1</v>
      </c>
      <c r="BI3631" s="2">
        <v>1</v>
      </c>
      <c r="BJ3631" s="2">
        <v>0.2</v>
      </c>
      <c r="BK3631" s="2">
        <v>1</v>
      </c>
      <c r="BL3631" s="2">
        <v>41.73</v>
      </c>
      <c r="BM3631" s="2">
        <v>5.84</v>
      </c>
      <c r="BN3631" s="2">
        <v>47.57</v>
      </c>
      <c r="BO3631" s="2">
        <v>47.57</v>
      </c>
      <c r="BP3631" s="2"/>
      <c r="BQ3631" s="2" t="s">
        <v>399</v>
      </c>
      <c r="BR3631" s="2" t="s">
        <v>84</v>
      </c>
      <c r="BS3631" s="1" t="s">
        <v>1744</v>
      </c>
      <c r="BT3631" s="2"/>
      <c r="BU3631" s="2"/>
      <c r="BV3631" s="2"/>
      <c r="BW3631" s="2"/>
      <c r="BX3631" s="2"/>
      <c r="BY3631" s="2">
        <v>1200</v>
      </c>
      <c r="BZ3631" s="2" t="s">
        <v>27</v>
      </c>
      <c r="CA3631" s="2"/>
      <c r="CB3631" s="2"/>
      <c r="CC3631" s="2" t="s">
        <v>397</v>
      </c>
      <c r="CD3631" s="2">
        <v>4300</v>
      </c>
      <c r="CE3631" s="2" t="s">
        <v>118</v>
      </c>
      <c r="CF3631" s="2"/>
      <c r="CG3631" s="2"/>
      <c r="CH3631" s="2"/>
      <c r="CI3631" s="2">
        <v>1</v>
      </c>
      <c r="CJ3631" s="2" t="s">
        <v>1744</v>
      </c>
      <c r="CK3631" s="2">
        <v>21</v>
      </c>
      <c r="CL3631" s="2" t="s">
        <v>86</v>
      </c>
      <c r="CM3631" s="2"/>
    </row>
    <row r="3632" spans="1:91">
      <c r="A3632" s="2" t="s">
        <v>71</v>
      </c>
      <c r="B3632" s="2" t="s">
        <v>72</v>
      </c>
      <c r="C3632" s="2" t="s">
        <v>73</v>
      </c>
      <c r="D3632" s="2"/>
      <c r="E3632" s="2" t="str">
        <f>"FES1162545964"</f>
        <v>FES1162545964</v>
      </c>
      <c r="F3632" s="3">
        <v>42853</v>
      </c>
      <c r="G3632" s="2">
        <v>201710</v>
      </c>
      <c r="H3632" s="2" t="s">
        <v>74</v>
      </c>
      <c r="I3632" s="2" t="s">
        <v>75</v>
      </c>
      <c r="J3632" s="2" t="s">
        <v>76</v>
      </c>
      <c r="K3632" s="2" t="s">
        <v>77</v>
      </c>
      <c r="L3632" s="2" t="s">
        <v>294</v>
      </c>
      <c r="M3632" s="2" t="s">
        <v>295</v>
      </c>
      <c r="N3632" s="2" t="s">
        <v>813</v>
      </c>
      <c r="O3632" s="2" t="s">
        <v>115</v>
      </c>
      <c r="P3632" s="2" t="str">
        <f>"2170564283                    "</f>
        <v xml:space="preserve">2170564283                    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4.29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1</v>
      </c>
      <c r="BI3632" s="2">
        <v>1</v>
      </c>
      <c r="BJ3632" s="2">
        <v>0.2</v>
      </c>
      <c r="BK3632" s="2">
        <v>1</v>
      </c>
      <c r="BL3632" s="2">
        <v>41.73</v>
      </c>
      <c r="BM3632" s="2">
        <v>5.84</v>
      </c>
      <c r="BN3632" s="2">
        <v>47.57</v>
      </c>
      <c r="BO3632" s="2">
        <v>47.57</v>
      </c>
      <c r="BP3632" s="2"/>
      <c r="BQ3632" s="2" t="s">
        <v>116</v>
      </c>
      <c r="BR3632" s="2" t="s">
        <v>84</v>
      </c>
      <c r="BS3632" s="1" t="s">
        <v>1744</v>
      </c>
      <c r="BT3632" s="2"/>
      <c r="BU3632" s="2"/>
      <c r="BV3632" s="2"/>
      <c r="BW3632" s="2"/>
      <c r="BX3632" s="2"/>
      <c r="BY3632" s="2">
        <v>1200</v>
      </c>
      <c r="BZ3632" s="2" t="s">
        <v>27</v>
      </c>
      <c r="CA3632" s="2"/>
      <c r="CB3632" s="2"/>
      <c r="CC3632" s="2" t="s">
        <v>295</v>
      </c>
      <c r="CD3632" s="2">
        <v>3610</v>
      </c>
      <c r="CE3632" s="2" t="s">
        <v>118</v>
      </c>
      <c r="CF3632" s="2"/>
      <c r="CG3632" s="2"/>
      <c r="CH3632" s="2"/>
      <c r="CI3632" s="2">
        <v>1</v>
      </c>
      <c r="CJ3632" s="2" t="s">
        <v>1744</v>
      </c>
      <c r="CK3632" s="2">
        <v>21</v>
      </c>
      <c r="CL3632" s="2" t="s">
        <v>86</v>
      </c>
      <c r="CM3632" s="2"/>
    </row>
    <row r="3633" spans="1:91">
      <c r="A3633" s="2" t="s">
        <v>71</v>
      </c>
      <c r="B3633" s="2" t="s">
        <v>72</v>
      </c>
      <c r="C3633" s="2" t="s">
        <v>73</v>
      </c>
      <c r="D3633" s="2"/>
      <c r="E3633" s="2" t="str">
        <f>"FES1162545932"</f>
        <v>FES1162545932</v>
      </c>
      <c r="F3633" s="3">
        <v>42853</v>
      </c>
      <c r="G3633" s="2">
        <v>201710</v>
      </c>
      <c r="H3633" s="2" t="s">
        <v>74</v>
      </c>
      <c r="I3633" s="2" t="s">
        <v>75</v>
      </c>
      <c r="J3633" s="2" t="s">
        <v>76</v>
      </c>
      <c r="K3633" s="2" t="s">
        <v>77</v>
      </c>
      <c r="L3633" s="2" t="s">
        <v>180</v>
      </c>
      <c r="M3633" s="2" t="s">
        <v>181</v>
      </c>
      <c r="N3633" s="2" t="s">
        <v>320</v>
      </c>
      <c r="O3633" s="2" t="s">
        <v>115</v>
      </c>
      <c r="P3633" s="2" t="str">
        <f>"2170559559                    "</f>
        <v xml:space="preserve">2170559559                    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4.29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1</v>
      </c>
      <c r="BI3633" s="2">
        <v>1</v>
      </c>
      <c r="BJ3633" s="2">
        <v>0.2</v>
      </c>
      <c r="BK3633" s="2">
        <v>1</v>
      </c>
      <c r="BL3633" s="2">
        <v>41.73</v>
      </c>
      <c r="BM3633" s="2">
        <v>5.84</v>
      </c>
      <c r="BN3633" s="2">
        <v>47.57</v>
      </c>
      <c r="BO3633" s="2">
        <v>47.57</v>
      </c>
      <c r="BP3633" s="2"/>
      <c r="BQ3633" s="2" t="s">
        <v>129</v>
      </c>
      <c r="BR3633" s="2" t="s">
        <v>84</v>
      </c>
      <c r="BS3633" s="1" t="s">
        <v>1744</v>
      </c>
      <c r="BT3633" s="2"/>
      <c r="BU3633" s="2"/>
      <c r="BV3633" s="2"/>
      <c r="BW3633" s="2"/>
      <c r="BX3633" s="2"/>
      <c r="BY3633" s="2">
        <v>1200</v>
      </c>
      <c r="BZ3633" s="2" t="s">
        <v>27</v>
      </c>
      <c r="CA3633" s="2"/>
      <c r="CB3633" s="2"/>
      <c r="CC3633" s="2" t="s">
        <v>181</v>
      </c>
      <c r="CD3633" s="2">
        <v>4051</v>
      </c>
      <c r="CE3633" s="2" t="s">
        <v>118</v>
      </c>
      <c r="CF3633" s="2"/>
      <c r="CG3633" s="2"/>
      <c r="CH3633" s="2"/>
      <c r="CI3633" s="2">
        <v>1</v>
      </c>
      <c r="CJ3633" s="2" t="s">
        <v>1744</v>
      </c>
      <c r="CK3633" s="2">
        <v>21</v>
      </c>
      <c r="CL3633" s="2" t="s">
        <v>86</v>
      </c>
      <c r="CM3633" s="2"/>
    </row>
    <row r="3634" spans="1:91">
      <c r="A3634" s="2" t="s">
        <v>71</v>
      </c>
      <c r="B3634" s="2" t="s">
        <v>72</v>
      </c>
      <c r="C3634" s="2" t="s">
        <v>73</v>
      </c>
      <c r="D3634" s="2"/>
      <c r="E3634" s="2" t="str">
        <f>"FES1162546038"</f>
        <v>FES1162546038</v>
      </c>
      <c r="F3634" s="3">
        <v>42853</v>
      </c>
      <c r="G3634" s="2">
        <v>201710</v>
      </c>
      <c r="H3634" s="2" t="s">
        <v>74</v>
      </c>
      <c r="I3634" s="2" t="s">
        <v>75</v>
      </c>
      <c r="J3634" s="2" t="s">
        <v>76</v>
      </c>
      <c r="K3634" s="2" t="s">
        <v>77</v>
      </c>
      <c r="L3634" s="2" t="s">
        <v>131</v>
      </c>
      <c r="M3634" s="2" t="s">
        <v>132</v>
      </c>
      <c r="N3634" s="2" t="s">
        <v>649</v>
      </c>
      <c r="O3634" s="2" t="s">
        <v>115</v>
      </c>
      <c r="P3634" s="2" t="str">
        <f>"21705644444                   "</f>
        <v xml:space="preserve">21705644444                   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18.22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1</v>
      </c>
      <c r="BI3634" s="2">
        <v>6.5</v>
      </c>
      <c r="BJ3634" s="2">
        <v>8.5</v>
      </c>
      <c r="BK3634" s="2">
        <v>8.5</v>
      </c>
      <c r="BL3634" s="2">
        <v>177.34</v>
      </c>
      <c r="BM3634" s="2">
        <v>24.83</v>
      </c>
      <c r="BN3634" s="2">
        <v>202.17</v>
      </c>
      <c r="BO3634" s="2">
        <v>202.17</v>
      </c>
      <c r="BP3634" s="2"/>
      <c r="BQ3634" s="2" t="s">
        <v>650</v>
      </c>
      <c r="BR3634" s="2" t="s">
        <v>84</v>
      </c>
      <c r="BS3634" s="1" t="s">
        <v>1744</v>
      </c>
      <c r="BT3634" s="2"/>
      <c r="BU3634" s="2"/>
      <c r="BV3634" s="2"/>
      <c r="BW3634" s="2"/>
      <c r="BX3634" s="2"/>
      <c r="BY3634" s="2">
        <v>42301.95</v>
      </c>
      <c r="BZ3634" s="2" t="s">
        <v>27</v>
      </c>
      <c r="CA3634" s="2"/>
      <c r="CB3634" s="2"/>
      <c r="CC3634" s="2" t="s">
        <v>132</v>
      </c>
      <c r="CD3634" s="2">
        <v>7405</v>
      </c>
      <c r="CE3634" s="2" t="s">
        <v>89</v>
      </c>
      <c r="CF3634" s="2"/>
      <c r="CG3634" s="2"/>
      <c r="CH3634" s="2"/>
      <c r="CI3634" s="2">
        <v>1</v>
      </c>
      <c r="CJ3634" s="2" t="s">
        <v>1744</v>
      </c>
      <c r="CK3634" s="2">
        <v>21</v>
      </c>
      <c r="CL3634" s="2" t="s">
        <v>86</v>
      </c>
      <c r="CM3634" s="2"/>
    </row>
    <row r="3635" spans="1:91">
      <c r="A3635" s="2" t="s">
        <v>71</v>
      </c>
      <c r="B3635" s="2" t="s">
        <v>72</v>
      </c>
      <c r="C3635" s="2" t="s">
        <v>73</v>
      </c>
      <c r="D3635" s="2"/>
      <c r="E3635" s="2" t="str">
        <f>"FES1162545655"</f>
        <v>FES1162545655</v>
      </c>
      <c r="F3635" s="3">
        <v>42853</v>
      </c>
      <c r="G3635" s="2">
        <v>201710</v>
      </c>
      <c r="H3635" s="2" t="s">
        <v>74</v>
      </c>
      <c r="I3635" s="2" t="s">
        <v>75</v>
      </c>
      <c r="J3635" s="2" t="s">
        <v>76</v>
      </c>
      <c r="K3635" s="2" t="s">
        <v>77</v>
      </c>
      <c r="L3635" s="2" t="s">
        <v>267</v>
      </c>
      <c r="M3635" s="2" t="s">
        <v>268</v>
      </c>
      <c r="N3635" s="2" t="s">
        <v>3520</v>
      </c>
      <c r="O3635" s="2" t="s">
        <v>115</v>
      </c>
      <c r="P3635" s="2" t="str">
        <f>"2170563800                    "</f>
        <v xml:space="preserve">2170563800                    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3.35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1</v>
      </c>
      <c r="BI3635" s="2">
        <v>6.8</v>
      </c>
      <c r="BJ3635" s="2">
        <v>3.2</v>
      </c>
      <c r="BK3635" s="2">
        <v>7</v>
      </c>
      <c r="BL3635" s="2">
        <v>32.6</v>
      </c>
      <c r="BM3635" s="2">
        <v>4.5599999999999996</v>
      </c>
      <c r="BN3635" s="2">
        <v>37.159999999999997</v>
      </c>
      <c r="BO3635" s="2">
        <v>37.159999999999997</v>
      </c>
      <c r="BP3635" s="2"/>
      <c r="BQ3635" s="2"/>
      <c r="BR3635" s="2" t="s">
        <v>84</v>
      </c>
      <c r="BS3635" s="1" t="s">
        <v>1744</v>
      </c>
      <c r="BT3635" s="2"/>
      <c r="BU3635" s="2"/>
      <c r="BV3635" s="2"/>
      <c r="BW3635" s="2"/>
      <c r="BX3635" s="2"/>
      <c r="BY3635" s="2">
        <v>16160.3</v>
      </c>
      <c r="BZ3635" s="2" t="s">
        <v>27</v>
      </c>
      <c r="CA3635" s="2"/>
      <c r="CB3635" s="2"/>
      <c r="CC3635" s="2" t="s">
        <v>268</v>
      </c>
      <c r="CD3635" s="2">
        <v>1709</v>
      </c>
      <c r="CE3635" s="2" t="s">
        <v>89</v>
      </c>
      <c r="CF3635" s="2"/>
      <c r="CG3635" s="2"/>
      <c r="CH3635" s="2"/>
      <c r="CI3635" s="2">
        <v>1</v>
      </c>
      <c r="CJ3635" s="2" t="s">
        <v>1744</v>
      </c>
      <c r="CK3635" s="2">
        <v>22</v>
      </c>
      <c r="CL3635" s="2" t="s">
        <v>86</v>
      </c>
      <c r="CM3635" s="2"/>
    </row>
    <row r="3636" spans="1:91">
      <c r="A3636" s="2" t="s">
        <v>71</v>
      </c>
      <c r="B3636" s="2" t="s">
        <v>72</v>
      </c>
      <c r="C3636" s="2" t="s">
        <v>73</v>
      </c>
      <c r="D3636" s="2"/>
      <c r="E3636" s="2" t="str">
        <f>"FES1162545830"</f>
        <v>FES1162545830</v>
      </c>
      <c r="F3636" s="3">
        <v>42853</v>
      </c>
      <c r="G3636" s="2">
        <v>201710</v>
      </c>
      <c r="H3636" s="2" t="s">
        <v>74</v>
      </c>
      <c r="I3636" s="2" t="s">
        <v>75</v>
      </c>
      <c r="J3636" s="2" t="s">
        <v>76</v>
      </c>
      <c r="K3636" s="2" t="s">
        <v>77</v>
      </c>
      <c r="L3636" s="2" t="s">
        <v>1333</v>
      </c>
      <c r="M3636" s="2" t="s">
        <v>1334</v>
      </c>
      <c r="N3636" s="2" t="s">
        <v>1335</v>
      </c>
      <c r="O3636" s="2" t="s">
        <v>115</v>
      </c>
      <c r="P3636" s="2" t="str">
        <f>"2170563902                    "</f>
        <v xml:space="preserve">2170563902                    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13.93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1</v>
      </c>
      <c r="BI3636" s="2">
        <v>1.1000000000000001</v>
      </c>
      <c r="BJ3636" s="2">
        <v>3.2</v>
      </c>
      <c r="BK3636" s="2">
        <v>3.5</v>
      </c>
      <c r="BL3636" s="2">
        <v>135.61000000000001</v>
      </c>
      <c r="BM3636" s="2">
        <v>18.989999999999998</v>
      </c>
      <c r="BN3636" s="2">
        <v>154.6</v>
      </c>
      <c r="BO3636" s="2">
        <v>154.6</v>
      </c>
      <c r="BP3636" s="2"/>
      <c r="BQ3636" s="2" t="s">
        <v>116</v>
      </c>
      <c r="BR3636" s="2" t="s">
        <v>84</v>
      </c>
      <c r="BS3636" s="1" t="s">
        <v>1744</v>
      </c>
      <c r="BT3636" s="2"/>
      <c r="BU3636" s="2"/>
      <c r="BV3636" s="2"/>
      <c r="BW3636" s="2"/>
      <c r="BX3636" s="2"/>
      <c r="BY3636" s="2">
        <v>16244.69</v>
      </c>
      <c r="BZ3636" s="2" t="s">
        <v>27</v>
      </c>
      <c r="CA3636" s="2"/>
      <c r="CB3636" s="2"/>
      <c r="CC3636" s="2" t="s">
        <v>1334</v>
      </c>
      <c r="CD3636" s="2">
        <v>4449</v>
      </c>
      <c r="CE3636" s="2" t="s">
        <v>118</v>
      </c>
      <c r="CF3636" s="2"/>
      <c r="CG3636" s="2"/>
      <c r="CH3636" s="2"/>
      <c r="CI3636" s="2">
        <v>1</v>
      </c>
      <c r="CJ3636" s="2" t="s">
        <v>1744</v>
      </c>
      <c r="CK3636" s="2">
        <v>23</v>
      </c>
      <c r="CL3636" s="2" t="s">
        <v>86</v>
      </c>
      <c r="CM3636" s="2"/>
    </row>
    <row r="3637" spans="1:91">
      <c r="A3637" s="2" t="s">
        <v>71</v>
      </c>
      <c r="B3637" s="2" t="s">
        <v>72</v>
      </c>
      <c r="C3637" s="2" t="s">
        <v>73</v>
      </c>
      <c r="D3637" s="2"/>
      <c r="E3637" s="2" t="str">
        <f>"FES1162546084"</f>
        <v>FES1162546084</v>
      </c>
      <c r="F3637" s="3">
        <v>42853</v>
      </c>
      <c r="G3637" s="2">
        <v>201710</v>
      </c>
      <c r="H3637" s="2" t="s">
        <v>74</v>
      </c>
      <c r="I3637" s="2" t="s">
        <v>75</v>
      </c>
      <c r="J3637" s="2" t="s">
        <v>76</v>
      </c>
      <c r="K3637" s="2" t="s">
        <v>77</v>
      </c>
      <c r="L3637" s="2" t="s">
        <v>358</v>
      </c>
      <c r="M3637" s="2" t="s">
        <v>359</v>
      </c>
      <c r="N3637" s="2" t="s">
        <v>546</v>
      </c>
      <c r="O3637" s="2" t="s">
        <v>115</v>
      </c>
      <c r="P3637" s="2" t="str">
        <f>"2170564485                    "</f>
        <v xml:space="preserve">2170564485                    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16.079999999999998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1</v>
      </c>
      <c r="BI3637" s="2">
        <v>7.5</v>
      </c>
      <c r="BJ3637" s="2">
        <v>3.5</v>
      </c>
      <c r="BK3637" s="2">
        <v>7.5</v>
      </c>
      <c r="BL3637" s="2">
        <v>156.47999999999999</v>
      </c>
      <c r="BM3637" s="2">
        <v>21.91</v>
      </c>
      <c r="BN3637" s="2">
        <v>178.39</v>
      </c>
      <c r="BO3637" s="2">
        <v>178.39</v>
      </c>
      <c r="BP3637" s="2"/>
      <c r="BQ3637" s="2" t="s">
        <v>547</v>
      </c>
      <c r="BR3637" s="2" t="s">
        <v>84</v>
      </c>
      <c r="BS3637" s="1" t="s">
        <v>1744</v>
      </c>
      <c r="BT3637" s="2"/>
      <c r="BU3637" s="2"/>
      <c r="BV3637" s="2"/>
      <c r="BW3637" s="2"/>
      <c r="BX3637" s="2"/>
      <c r="BY3637" s="2">
        <v>17525.91</v>
      </c>
      <c r="BZ3637" s="2" t="s">
        <v>27</v>
      </c>
      <c r="CA3637" s="2"/>
      <c r="CB3637" s="2"/>
      <c r="CC3637" s="2" t="s">
        <v>359</v>
      </c>
      <c r="CD3637" s="2">
        <v>6230</v>
      </c>
      <c r="CE3637" s="2" t="s">
        <v>172</v>
      </c>
      <c r="CF3637" s="2"/>
      <c r="CG3637" s="2"/>
      <c r="CH3637" s="2"/>
      <c r="CI3637" s="2">
        <v>1</v>
      </c>
      <c r="CJ3637" s="2" t="s">
        <v>1744</v>
      </c>
      <c r="CK3637" s="2">
        <v>21</v>
      </c>
      <c r="CL3637" s="2" t="s">
        <v>86</v>
      </c>
      <c r="CM3637" s="2"/>
    </row>
    <row r="3638" spans="1:91">
      <c r="A3638" s="2" t="s">
        <v>71</v>
      </c>
      <c r="B3638" s="2" t="s">
        <v>72</v>
      </c>
      <c r="C3638" s="2" t="s">
        <v>73</v>
      </c>
      <c r="D3638" s="2"/>
      <c r="E3638" s="2" t="str">
        <f>"FES1162546079"</f>
        <v>FES1162546079</v>
      </c>
      <c r="F3638" s="3">
        <v>42853</v>
      </c>
      <c r="G3638" s="2">
        <v>201710</v>
      </c>
      <c r="H3638" s="2" t="s">
        <v>74</v>
      </c>
      <c r="I3638" s="2" t="s">
        <v>75</v>
      </c>
      <c r="J3638" s="2" t="s">
        <v>76</v>
      </c>
      <c r="K3638" s="2" t="s">
        <v>77</v>
      </c>
      <c r="L3638" s="2" t="s">
        <v>1073</v>
      </c>
      <c r="M3638" s="2" t="s">
        <v>1074</v>
      </c>
      <c r="N3638" s="2" t="s">
        <v>225</v>
      </c>
      <c r="O3638" s="2" t="s">
        <v>115</v>
      </c>
      <c r="P3638" s="2" t="str">
        <f>"2170564487                    "</f>
        <v xml:space="preserve">2170564487                    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4.29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1</v>
      </c>
      <c r="BI3638" s="2">
        <v>1</v>
      </c>
      <c r="BJ3638" s="2">
        <v>0.2</v>
      </c>
      <c r="BK3638" s="2">
        <v>1</v>
      </c>
      <c r="BL3638" s="2">
        <v>41.73</v>
      </c>
      <c r="BM3638" s="2">
        <v>5.84</v>
      </c>
      <c r="BN3638" s="2">
        <v>47.57</v>
      </c>
      <c r="BO3638" s="2">
        <v>47.57</v>
      </c>
      <c r="BP3638" s="2"/>
      <c r="BQ3638" s="2" t="s">
        <v>2442</v>
      </c>
      <c r="BR3638" s="2" t="s">
        <v>84</v>
      </c>
      <c r="BS3638" s="1" t="s">
        <v>1744</v>
      </c>
      <c r="BT3638" s="2"/>
      <c r="BU3638" s="2"/>
      <c r="BV3638" s="2"/>
      <c r="BW3638" s="2"/>
      <c r="BX3638" s="2"/>
      <c r="BY3638" s="2">
        <v>1200</v>
      </c>
      <c r="BZ3638" s="2" t="s">
        <v>27</v>
      </c>
      <c r="CA3638" s="2"/>
      <c r="CB3638" s="2"/>
      <c r="CC3638" s="2" t="s">
        <v>1074</v>
      </c>
      <c r="CD3638" s="2">
        <v>1947</v>
      </c>
      <c r="CE3638" s="2" t="s">
        <v>118</v>
      </c>
      <c r="CF3638" s="2"/>
      <c r="CG3638" s="2"/>
      <c r="CH3638" s="2"/>
      <c r="CI3638" s="2">
        <v>1</v>
      </c>
      <c r="CJ3638" s="2" t="s">
        <v>1744</v>
      </c>
      <c r="CK3638" s="2">
        <v>21</v>
      </c>
      <c r="CL3638" s="2" t="s">
        <v>86</v>
      </c>
      <c r="CM3638" s="2"/>
    </row>
    <row r="3639" spans="1:91">
      <c r="A3639" s="2" t="s">
        <v>71</v>
      </c>
      <c r="B3639" s="2" t="s">
        <v>72</v>
      </c>
      <c r="C3639" s="2" t="s">
        <v>73</v>
      </c>
      <c r="D3639" s="2"/>
      <c r="E3639" s="2" t="str">
        <f>"FES1162545984"</f>
        <v>FES1162545984</v>
      </c>
      <c r="F3639" s="3">
        <v>42853</v>
      </c>
      <c r="G3639" s="2">
        <v>201710</v>
      </c>
      <c r="H3639" s="2" t="s">
        <v>74</v>
      </c>
      <c r="I3639" s="2" t="s">
        <v>75</v>
      </c>
      <c r="J3639" s="2" t="s">
        <v>76</v>
      </c>
      <c r="K3639" s="2" t="s">
        <v>77</v>
      </c>
      <c r="L3639" s="2" t="s">
        <v>516</v>
      </c>
      <c r="M3639" s="2" t="s">
        <v>517</v>
      </c>
      <c r="N3639" s="2" t="s">
        <v>808</v>
      </c>
      <c r="O3639" s="2" t="s">
        <v>115</v>
      </c>
      <c r="P3639" s="2" t="str">
        <f>"2170562290                    "</f>
        <v xml:space="preserve">2170562290                    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3.35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1</v>
      </c>
      <c r="BI3639" s="2">
        <v>1</v>
      </c>
      <c r="BJ3639" s="2">
        <v>0.2</v>
      </c>
      <c r="BK3639" s="2">
        <v>1</v>
      </c>
      <c r="BL3639" s="2">
        <v>32.6</v>
      </c>
      <c r="BM3639" s="2">
        <v>4.5599999999999996</v>
      </c>
      <c r="BN3639" s="2">
        <v>37.159999999999997</v>
      </c>
      <c r="BO3639" s="2">
        <v>37.159999999999997</v>
      </c>
      <c r="BP3639" s="2"/>
      <c r="BQ3639" s="2" t="s">
        <v>809</v>
      </c>
      <c r="BR3639" s="2" t="s">
        <v>84</v>
      </c>
      <c r="BS3639" s="1" t="s">
        <v>1744</v>
      </c>
      <c r="BT3639" s="2"/>
      <c r="BU3639" s="2"/>
      <c r="BV3639" s="2"/>
      <c r="BW3639" s="2"/>
      <c r="BX3639" s="2"/>
      <c r="BY3639" s="2">
        <v>1200</v>
      </c>
      <c r="BZ3639" s="2" t="s">
        <v>27</v>
      </c>
      <c r="CA3639" s="2"/>
      <c r="CB3639" s="2"/>
      <c r="CC3639" s="2" t="s">
        <v>517</v>
      </c>
      <c r="CD3639" s="2">
        <v>1459</v>
      </c>
      <c r="CE3639" s="2" t="s">
        <v>118</v>
      </c>
      <c r="CF3639" s="2"/>
      <c r="CG3639" s="2"/>
      <c r="CH3639" s="2"/>
      <c r="CI3639" s="2">
        <v>1</v>
      </c>
      <c r="CJ3639" s="2" t="s">
        <v>1744</v>
      </c>
      <c r="CK3639" s="2">
        <v>22</v>
      </c>
      <c r="CL3639" s="2" t="s">
        <v>86</v>
      </c>
      <c r="CM3639" s="2"/>
    </row>
    <row r="3640" spans="1:91">
      <c r="A3640" s="2" t="s">
        <v>71</v>
      </c>
      <c r="B3640" s="2" t="s">
        <v>72</v>
      </c>
      <c r="C3640" s="2" t="s">
        <v>73</v>
      </c>
      <c r="D3640" s="2"/>
      <c r="E3640" s="2" t="str">
        <f>"FES1162545998"</f>
        <v>FES1162545998</v>
      </c>
      <c r="F3640" s="3">
        <v>42853</v>
      </c>
      <c r="G3640" s="2">
        <v>201710</v>
      </c>
      <c r="H3640" s="2" t="s">
        <v>74</v>
      </c>
      <c r="I3640" s="2" t="s">
        <v>75</v>
      </c>
      <c r="J3640" s="2" t="s">
        <v>76</v>
      </c>
      <c r="K3640" s="2" t="s">
        <v>77</v>
      </c>
      <c r="L3640" s="2" t="s">
        <v>166</v>
      </c>
      <c r="M3640" s="2" t="s">
        <v>167</v>
      </c>
      <c r="N3640" s="2" t="s">
        <v>329</v>
      </c>
      <c r="O3640" s="2" t="s">
        <v>115</v>
      </c>
      <c r="P3640" s="2" t="str">
        <f>"21705621458                   "</f>
        <v xml:space="preserve">21705621458                   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3.35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1</v>
      </c>
      <c r="BI3640" s="2">
        <v>0.5</v>
      </c>
      <c r="BJ3640" s="2">
        <v>0.2</v>
      </c>
      <c r="BK3640" s="2">
        <v>1</v>
      </c>
      <c r="BL3640" s="2">
        <v>32.6</v>
      </c>
      <c r="BM3640" s="2">
        <v>4.5599999999999996</v>
      </c>
      <c r="BN3640" s="2">
        <v>37.159999999999997</v>
      </c>
      <c r="BO3640" s="2">
        <v>37.159999999999997</v>
      </c>
      <c r="BP3640" s="2"/>
      <c r="BQ3640" s="2" t="s">
        <v>330</v>
      </c>
      <c r="BR3640" s="2" t="s">
        <v>84</v>
      </c>
      <c r="BS3640" s="1" t="s">
        <v>1744</v>
      </c>
      <c r="BT3640" s="2"/>
      <c r="BU3640" s="2"/>
      <c r="BV3640" s="2"/>
      <c r="BW3640" s="2"/>
      <c r="BX3640" s="2"/>
      <c r="BY3640" s="2">
        <v>1200</v>
      </c>
      <c r="BZ3640" s="2" t="s">
        <v>27</v>
      </c>
      <c r="CA3640" s="2"/>
      <c r="CB3640" s="2"/>
      <c r="CC3640" s="2" t="s">
        <v>167</v>
      </c>
      <c r="CD3640" s="2">
        <v>2090</v>
      </c>
      <c r="CE3640" s="2" t="s">
        <v>118</v>
      </c>
      <c r="CF3640" s="2"/>
      <c r="CG3640" s="2"/>
      <c r="CH3640" s="2"/>
      <c r="CI3640" s="2">
        <v>1</v>
      </c>
      <c r="CJ3640" s="2" t="s">
        <v>1744</v>
      </c>
      <c r="CK3640" s="2">
        <v>22</v>
      </c>
      <c r="CL3640" s="2" t="s">
        <v>86</v>
      </c>
      <c r="CM3640" s="2"/>
    </row>
    <row r="3641" spans="1:91">
      <c r="A3641" s="2" t="s">
        <v>71</v>
      </c>
      <c r="B3641" s="2" t="s">
        <v>72</v>
      </c>
      <c r="C3641" s="2" t="s">
        <v>73</v>
      </c>
      <c r="D3641" s="2"/>
      <c r="E3641" s="2" t="str">
        <f>"FES1162545816"</f>
        <v>FES1162545816</v>
      </c>
      <c r="F3641" s="3">
        <v>42853</v>
      </c>
      <c r="G3641" s="2">
        <v>201710</v>
      </c>
      <c r="H3641" s="2" t="s">
        <v>74</v>
      </c>
      <c r="I3641" s="2" t="s">
        <v>75</v>
      </c>
      <c r="J3641" s="2" t="s">
        <v>76</v>
      </c>
      <c r="K3641" s="2" t="s">
        <v>77</v>
      </c>
      <c r="L3641" s="2" t="s">
        <v>180</v>
      </c>
      <c r="M3641" s="2" t="s">
        <v>181</v>
      </c>
      <c r="N3641" s="2" t="s">
        <v>1270</v>
      </c>
      <c r="O3641" s="2" t="s">
        <v>115</v>
      </c>
      <c r="P3641" s="2" t="str">
        <f>"2170564266                    "</f>
        <v xml:space="preserve">2170564266                    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4.29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1</v>
      </c>
      <c r="BI3641" s="2">
        <v>1</v>
      </c>
      <c r="BJ3641" s="2">
        <v>0.2</v>
      </c>
      <c r="BK3641" s="2">
        <v>1</v>
      </c>
      <c r="BL3641" s="2">
        <v>41.73</v>
      </c>
      <c r="BM3641" s="2">
        <v>5.84</v>
      </c>
      <c r="BN3641" s="2">
        <v>47.57</v>
      </c>
      <c r="BO3641" s="2">
        <v>47.57</v>
      </c>
      <c r="BP3641" s="2"/>
      <c r="BQ3641" s="2" t="s">
        <v>122</v>
      </c>
      <c r="BR3641" s="2" t="s">
        <v>84</v>
      </c>
      <c r="BS3641" s="1" t="s">
        <v>1744</v>
      </c>
      <c r="BT3641" s="2"/>
      <c r="BU3641" s="2"/>
      <c r="BV3641" s="2"/>
      <c r="BW3641" s="2"/>
      <c r="BX3641" s="2"/>
      <c r="BY3641" s="2">
        <v>1200</v>
      </c>
      <c r="BZ3641" s="2" t="s">
        <v>27</v>
      </c>
      <c r="CA3641" s="2"/>
      <c r="CB3641" s="2"/>
      <c r="CC3641" s="2" t="s">
        <v>181</v>
      </c>
      <c r="CD3641" s="2">
        <v>4052</v>
      </c>
      <c r="CE3641" s="2" t="s">
        <v>118</v>
      </c>
      <c r="CF3641" s="2"/>
      <c r="CG3641" s="2"/>
      <c r="CH3641" s="2"/>
      <c r="CI3641" s="2">
        <v>1</v>
      </c>
      <c r="CJ3641" s="2" t="s">
        <v>1744</v>
      </c>
      <c r="CK3641" s="2">
        <v>21</v>
      </c>
      <c r="CL3641" s="2" t="s">
        <v>86</v>
      </c>
      <c r="CM3641" s="2"/>
    </row>
    <row r="3642" spans="1:91">
      <c r="A3642" s="2" t="s">
        <v>71</v>
      </c>
      <c r="B3642" s="2" t="s">
        <v>72</v>
      </c>
      <c r="C3642" s="2" t="s">
        <v>73</v>
      </c>
      <c r="D3642" s="2"/>
      <c r="E3642" s="2" t="str">
        <f>"FES1162545906"</f>
        <v>FES1162545906</v>
      </c>
      <c r="F3642" s="3">
        <v>42853</v>
      </c>
      <c r="G3642" s="2">
        <v>201710</v>
      </c>
      <c r="H3642" s="2" t="s">
        <v>74</v>
      </c>
      <c r="I3642" s="2" t="s">
        <v>75</v>
      </c>
      <c r="J3642" s="2" t="s">
        <v>76</v>
      </c>
      <c r="K3642" s="2" t="s">
        <v>77</v>
      </c>
      <c r="L3642" s="2" t="s">
        <v>131</v>
      </c>
      <c r="M3642" s="2" t="s">
        <v>132</v>
      </c>
      <c r="N3642" s="2" t="s">
        <v>744</v>
      </c>
      <c r="O3642" s="2" t="s">
        <v>115</v>
      </c>
      <c r="P3642" s="2" t="str">
        <f>"2170564190                    "</f>
        <v xml:space="preserve">2170564190                    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6.43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1</v>
      </c>
      <c r="BI3642" s="2">
        <v>2.7</v>
      </c>
      <c r="BJ3642" s="2">
        <v>1.7</v>
      </c>
      <c r="BK3642" s="2">
        <v>3</v>
      </c>
      <c r="BL3642" s="2">
        <v>62.59</v>
      </c>
      <c r="BM3642" s="2">
        <v>8.76</v>
      </c>
      <c r="BN3642" s="2">
        <v>71.349999999999994</v>
      </c>
      <c r="BO3642" s="2">
        <v>71.349999999999994</v>
      </c>
      <c r="BP3642" s="2"/>
      <c r="BQ3642" s="2" t="s">
        <v>138</v>
      </c>
      <c r="BR3642" s="2" t="s">
        <v>84</v>
      </c>
      <c r="BS3642" s="1" t="s">
        <v>1744</v>
      </c>
      <c r="BT3642" s="2"/>
      <c r="BU3642" s="2"/>
      <c r="BV3642" s="2"/>
      <c r="BW3642" s="2"/>
      <c r="BX3642" s="2"/>
      <c r="BY3642" s="2">
        <v>8515.52</v>
      </c>
      <c r="BZ3642" s="2" t="s">
        <v>27</v>
      </c>
      <c r="CA3642" s="2"/>
      <c r="CB3642" s="2"/>
      <c r="CC3642" s="2" t="s">
        <v>132</v>
      </c>
      <c r="CD3642" s="2">
        <v>7405</v>
      </c>
      <c r="CE3642" s="2" t="s">
        <v>89</v>
      </c>
      <c r="CF3642" s="2"/>
      <c r="CG3642" s="2"/>
      <c r="CH3642" s="2"/>
      <c r="CI3642" s="2">
        <v>1</v>
      </c>
      <c r="CJ3642" s="2" t="s">
        <v>1744</v>
      </c>
      <c r="CK3642" s="2">
        <v>21</v>
      </c>
      <c r="CL3642" s="2" t="s">
        <v>86</v>
      </c>
      <c r="CM3642" s="2"/>
    </row>
    <row r="3643" spans="1:91">
      <c r="A3643" s="2" t="s">
        <v>71</v>
      </c>
      <c r="B3643" s="2" t="s">
        <v>72</v>
      </c>
      <c r="C3643" s="2" t="s">
        <v>73</v>
      </c>
      <c r="D3643" s="2"/>
      <c r="E3643" s="2" t="str">
        <f>"FES1162546003"</f>
        <v>FES1162546003</v>
      </c>
      <c r="F3643" s="3">
        <v>42853</v>
      </c>
      <c r="G3643" s="2">
        <v>201710</v>
      </c>
      <c r="H3643" s="2" t="s">
        <v>74</v>
      </c>
      <c r="I3643" s="2" t="s">
        <v>75</v>
      </c>
      <c r="J3643" s="2" t="s">
        <v>76</v>
      </c>
      <c r="K3643" s="2" t="s">
        <v>77</v>
      </c>
      <c r="L3643" s="2" t="s">
        <v>112</v>
      </c>
      <c r="M3643" s="2" t="s">
        <v>113</v>
      </c>
      <c r="N3643" s="2" t="s">
        <v>386</v>
      </c>
      <c r="O3643" s="2" t="s">
        <v>115</v>
      </c>
      <c r="P3643" s="2" t="str">
        <f>"2170563923                    "</f>
        <v xml:space="preserve">2170563923                    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4.29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1</v>
      </c>
      <c r="BI3643" s="2">
        <v>1</v>
      </c>
      <c r="BJ3643" s="2">
        <v>0.2</v>
      </c>
      <c r="BK3643" s="2">
        <v>1</v>
      </c>
      <c r="BL3643" s="2">
        <v>41.73</v>
      </c>
      <c r="BM3643" s="2">
        <v>5.84</v>
      </c>
      <c r="BN3643" s="2">
        <v>47.57</v>
      </c>
      <c r="BO3643" s="2">
        <v>47.57</v>
      </c>
      <c r="BP3643" s="2"/>
      <c r="BQ3643" s="2" t="s">
        <v>122</v>
      </c>
      <c r="BR3643" s="2" t="s">
        <v>84</v>
      </c>
      <c r="BS3643" s="1" t="s">
        <v>1744</v>
      </c>
      <c r="BT3643" s="2"/>
      <c r="BU3643" s="2"/>
      <c r="BV3643" s="2"/>
      <c r="BW3643" s="2"/>
      <c r="BX3643" s="2"/>
      <c r="BY3643" s="2">
        <v>1200</v>
      </c>
      <c r="BZ3643" s="2" t="s">
        <v>27</v>
      </c>
      <c r="CA3643" s="2"/>
      <c r="CB3643" s="2"/>
      <c r="CC3643" s="2" t="s">
        <v>113</v>
      </c>
      <c r="CD3643" s="2">
        <v>3200</v>
      </c>
      <c r="CE3643" s="2" t="s">
        <v>118</v>
      </c>
      <c r="CF3643" s="2"/>
      <c r="CG3643" s="2"/>
      <c r="CH3643" s="2"/>
      <c r="CI3643" s="2">
        <v>1</v>
      </c>
      <c r="CJ3643" s="2" t="s">
        <v>1744</v>
      </c>
      <c r="CK3643" s="2">
        <v>21</v>
      </c>
      <c r="CL3643" s="2" t="s">
        <v>86</v>
      </c>
      <c r="CM3643" s="2"/>
    </row>
    <row r="3644" spans="1:91">
      <c r="A3644" s="2" t="s">
        <v>71</v>
      </c>
      <c r="B3644" s="2" t="s">
        <v>72</v>
      </c>
      <c r="C3644" s="2" t="s">
        <v>73</v>
      </c>
      <c r="D3644" s="2"/>
      <c r="E3644" s="2" t="str">
        <f>"FES1162546009"</f>
        <v>FES1162546009</v>
      </c>
      <c r="F3644" s="3">
        <v>42853</v>
      </c>
      <c r="G3644" s="2">
        <v>201710</v>
      </c>
      <c r="H3644" s="2" t="s">
        <v>74</v>
      </c>
      <c r="I3644" s="2" t="s">
        <v>75</v>
      </c>
      <c r="J3644" s="2" t="s">
        <v>76</v>
      </c>
      <c r="K3644" s="2" t="s">
        <v>77</v>
      </c>
      <c r="L3644" s="2" t="s">
        <v>99</v>
      </c>
      <c r="M3644" s="2" t="s">
        <v>100</v>
      </c>
      <c r="N3644" s="2" t="s">
        <v>671</v>
      </c>
      <c r="O3644" s="2" t="s">
        <v>115</v>
      </c>
      <c r="P3644" s="2" t="str">
        <f>"2170564415                    "</f>
        <v xml:space="preserve">2170564415                    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8.57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1</v>
      </c>
      <c r="BI3644" s="2">
        <v>3.9</v>
      </c>
      <c r="BJ3644" s="2">
        <v>3.3</v>
      </c>
      <c r="BK3644" s="2">
        <v>4</v>
      </c>
      <c r="BL3644" s="2">
        <v>83.45</v>
      </c>
      <c r="BM3644" s="2">
        <v>11.68</v>
      </c>
      <c r="BN3644" s="2">
        <v>95.13</v>
      </c>
      <c r="BO3644" s="2">
        <v>95.13</v>
      </c>
      <c r="BP3644" s="2"/>
      <c r="BQ3644" s="2" t="s">
        <v>672</v>
      </c>
      <c r="BR3644" s="2" t="s">
        <v>84</v>
      </c>
      <c r="BS3644" s="1" t="s">
        <v>1744</v>
      </c>
      <c r="BT3644" s="2"/>
      <c r="BU3644" s="2"/>
      <c r="BV3644" s="2"/>
      <c r="BW3644" s="2"/>
      <c r="BX3644" s="2"/>
      <c r="BY3644" s="2">
        <v>16328.06</v>
      </c>
      <c r="BZ3644" s="2" t="s">
        <v>27</v>
      </c>
      <c r="CA3644" s="2"/>
      <c r="CB3644" s="2"/>
      <c r="CC3644" s="2" t="s">
        <v>100</v>
      </c>
      <c r="CD3644" s="2">
        <v>6001</v>
      </c>
      <c r="CE3644" s="2" t="s">
        <v>89</v>
      </c>
      <c r="CF3644" s="2"/>
      <c r="CG3644" s="2"/>
      <c r="CH3644" s="2"/>
      <c r="CI3644" s="2">
        <v>1</v>
      </c>
      <c r="CJ3644" s="2" t="s">
        <v>1744</v>
      </c>
      <c r="CK3644" s="2">
        <v>21</v>
      </c>
      <c r="CL3644" s="2" t="s">
        <v>86</v>
      </c>
      <c r="CM3644" s="2"/>
    </row>
    <row r="3645" spans="1:91">
      <c r="A3645" s="2" t="s">
        <v>71</v>
      </c>
      <c r="B3645" s="2" t="s">
        <v>72</v>
      </c>
      <c r="C3645" s="2" t="s">
        <v>73</v>
      </c>
      <c r="D3645" s="2"/>
      <c r="E3645" s="2" t="str">
        <f>"FES1162545982"</f>
        <v>FES1162545982</v>
      </c>
      <c r="F3645" s="3">
        <v>42853</v>
      </c>
      <c r="G3645" s="2">
        <v>201710</v>
      </c>
      <c r="H3645" s="2" t="s">
        <v>74</v>
      </c>
      <c r="I3645" s="2" t="s">
        <v>75</v>
      </c>
      <c r="J3645" s="2" t="s">
        <v>76</v>
      </c>
      <c r="K3645" s="2" t="s">
        <v>77</v>
      </c>
      <c r="L3645" s="2" t="s">
        <v>234</v>
      </c>
      <c r="M3645" s="2" t="s">
        <v>235</v>
      </c>
      <c r="N3645" s="2" t="s">
        <v>236</v>
      </c>
      <c r="O3645" s="2" t="s">
        <v>115</v>
      </c>
      <c r="P3645" s="2" t="str">
        <f>"2170562225                    "</f>
        <v xml:space="preserve">2170562225                    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5.36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1</v>
      </c>
      <c r="BI3645" s="2">
        <v>2.4</v>
      </c>
      <c r="BJ3645" s="2">
        <v>1.7</v>
      </c>
      <c r="BK3645" s="2">
        <v>2.5</v>
      </c>
      <c r="BL3645" s="2">
        <v>52.16</v>
      </c>
      <c r="BM3645" s="2">
        <v>7.3</v>
      </c>
      <c r="BN3645" s="2">
        <v>59.46</v>
      </c>
      <c r="BO3645" s="2">
        <v>59.46</v>
      </c>
      <c r="BP3645" s="2"/>
      <c r="BQ3645" s="2" t="s">
        <v>285</v>
      </c>
      <c r="BR3645" s="2" t="s">
        <v>84</v>
      </c>
      <c r="BS3645" s="1" t="s">
        <v>1744</v>
      </c>
      <c r="BT3645" s="2"/>
      <c r="BU3645" s="2"/>
      <c r="BV3645" s="2"/>
      <c r="BW3645" s="2"/>
      <c r="BX3645" s="2"/>
      <c r="BY3645" s="2">
        <v>8401.34</v>
      </c>
      <c r="BZ3645" s="2" t="s">
        <v>27</v>
      </c>
      <c r="CA3645" s="2"/>
      <c r="CB3645" s="2"/>
      <c r="CC3645" s="2" t="s">
        <v>235</v>
      </c>
      <c r="CD3645" s="2">
        <v>6220</v>
      </c>
      <c r="CE3645" s="2" t="s">
        <v>89</v>
      </c>
      <c r="CF3645" s="2"/>
      <c r="CG3645" s="2"/>
      <c r="CH3645" s="2"/>
      <c r="CI3645" s="2">
        <v>1</v>
      </c>
      <c r="CJ3645" s="2" t="s">
        <v>1744</v>
      </c>
      <c r="CK3645" s="2">
        <v>21</v>
      </c>
      <c r="CL3645" s="2" t="s">
        <v>86</v>
      </c>
      <c r="CM3645" s="2"/>
    </row>
    <row r="3646" spans="1:91">
      <c r="A3646" s="2" t="s">
        <v>71</v>
      </c>
      <c r="B3646" s="2" t="s">
        <v>72</v>
      </c>
      <c r="C3646" s="2" t="s">
        <v>73</v>
      </c>
      <c r="D3646" s="2"/>
      <c r="E3646" s="2" t="str">
        <f>"FES1162545966"</f>
        <v>FES1162545966</v>
      </c>
      <c r="F3646" s="3">
        <v>42853</v>
      </c>
      <c r="G3646" s="2">
        <v>201710</v>
      </c>
      <c r="H3646" s="2" t="s">
        <v>74</v>
      </c>
      <c r="I3646" s="2" t="s">
        <v>75</v>
      </c>
      <c r="J3646" s="2" t="s">
        <v>76</v>
      </c>
      <c r="K3646" s="2" t="s">
        <v>77</v>
      </c>
      <c r="L3646" s="2" t="s">
        <v>234</v>
      </c>
      <c r="M3646" s="2" t="s">
        <v>235</v>
      </c>
      <c r="N3646" s="2" t="s">
        <v>1643</v>
      </c>
      <c r="O3646" s="2" t="s">
        <v>115</v>
      </c>
      <c r="P3646" s="2" t="str">
        <f>"2170564390                    "</f>
        <v xml:space="preserve">2170564390                    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4.29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1</v>
      </c>
      <c r="BI3646" s="2">
        <v>0.8</v>
      </c>
      <c r="BJ3646" s="2">
        <v>0.9</v>
      </c>
      <c r="BK3646" s="2">
        <v>1</v>
      </c>
      <c r="BL3646" s="2">
        <v>41.73</v>
      </c>
      <c r="BM3646" s="2">
        <v>5.84</v>
      </c>
      <c r="BN3646" s="2">
        <v>47.57</v>
      </c>
      <c r="BO3646" s="2">
        <v>47.57</v>
      </c>
      <c r="BP3646" s="2"/>
      <c r="BQ3646" s="2" t="s">
        <v>1644</v>
      </c>
      <c r="BR3646" s="2" t="s">
        <v>84</v>
      </c>
      <c r="BS3646" s="1" t="s">
        <v>1744</v>
      </c>
      <c r="BT3646" s="2"/>
      <c r="BU3646" s="2"/>
      <c r="BV3646" s="2"/>
      <c r="BW3646" s="2"/>
      <c r="BX3646" s="2"/>
      <c r="BY3646" s="2">
        <v>4688.53</v>
      </c>
      <c r="BZ3646" s="2" t="s">
        <v>27</v>
      </c>
      <c r="CA3646" s="2"/>
      <c r="CB3646" s="2"/>
      <c r="CC3646" s="2" t="s">
        <v>235</v>
      </c>
      <c r="CD3646" s="2">
        <v>6220</v>
      </c>
      <c r="CE3646" s="2" t="s">
        <v>89</v>
      </c>
      <c r="CF3646" s="2"/>
      <c r="CG3646" s="2"/>
      <c r="CH3646" s="2"/>
      <c r="CI3646" s="2">
        <v>1</v>
      </c>
      <c r="CJ3646" s="2" t="s">
        <v>1744</v>
      </c>
      <c r="CK3646" s="2">
        <v>21</v>
      </c>
      <c r="CL3646" s="2" t="s">
        <v>86</v>
      </c>
      <c r="CM3646" s="2"/>
    </row>
    <row r="3647" spans="1:91">
      <c r="A3647" s="2" t="s">
        <v>71</v>
      </c>
      <c r="B3647" s="2" t="s">
        <v>72</v>
      </c>
      <c r="C3647" s="2" t="s">
        <v>73</v>
      </c>
      <c r="D3647" s="2"/>
      <c r="E3647" s="2" t="str">
        <f>"FES1162545946"</f>
        <v>FES1162545946</v>
      </c>
      <c r="F3647" s="3">
        <v>42853</v>
      </c>
      <c r="G3647" s="2">
        <v>201710</v>
      </c>
      <c r="H3647" s="2" t="s">
        <v>74</v>
      </c>
      <c r="I3647" s="2" t="s">
        <v>75</v>
      </c>
      <c r="J3647" s="2" t="s">
        <v>76</v>
      </c>
      <c r="K3647" s="2" t="s">
        <v>77</v>
      </c>
      <c r="L3647" s="2" t="s">
        <v>99</v>
      </c>
      <c r="M3647" s="2" t="s">
        <v>100</v>
      </c>
      <c r="N3647" s="2" t="s">
        <v>583</v>
      </c>
      <c r="O3647" s="2" t="s">
        <v>115</v>
      </c>
      <c r="P3647" s="2" t="str">
        <f>"2170562169                    "</f>
        <v xml:space="preserve">2170562169                    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8.57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1</v>
      </c>
      <c r="BI3647" s="2">
        <v>3.6</v>
      </c>
      <c r="BJ3647" s="2">
        <v>3.8</v>
      </c>
      <c r="BK3647" s="2">
        <v>4</v>
      </c>
      <c r="BL3647" s="2">
        <v>83.45</v>
      </c>
      <c r="BM3647" s="2">
        <v>11.68</v>
      </c>
      <c r="BN3647" s="2">
        <v>95.13</v>
      </c>
      <c r="BO3647" s="2">
        <v>95.13</v>
      </c>
      <c r="BP3647" s="2"/>
      <c r="BQ3647" s="2" t="s">
        <v>584</v>
      </c>
      <c r="BR3647" s="2" t="s">
        <v>84</v>
      </c>
      <c r="BS3647" s="1" t="s">
        <v>1744</v>
      </c>
      <c r="BT3647" s="2"/>
      <c r="BU3647" s="2"/>
      <c r="BV3647" s="2"/>
      <c r="BW3647" s="2"/>
      <c r="BX3647" s="2"/>
      <c r="BY3647" s="2">
        <v>19042.560000000001</v>
      </c>
      <c r="BZ3647" s="2" t="s">
        <v>27</v>
      </c>
      <c r="CA3647" s="2"/>
      <c r="CB3647" s="2"/>
      <c r="CC3647" s="2" t="s">
        <v>100</v>
      </c>
      <c r="CD3647" s="2">
        <v>6001</v>
      </c>
      <c r="CE3647" s="2" t="s">
        <v>89</v>
      </c>
      <c r="CF3647" s="2"/>
      <c r="CG3647" s="2"/>
      <c r="CH3647" s="2"/>
      <c r="CI3647" s="2">
        <v>1</v>
      </c>
      <c r="CJ3647" s="2" t="s">
        <v>1744</v>
      </c>
      <c r="CK3647" s="2">
        <v>21</v>
      </c>
      <c r="CL3647" s="2" t="s">
        <v>86</v>
      </c>
      <c r="CM3647" s="2"/>
    </row>
    <row r="3648" spans="1:91">
      <c r="A3648" s="2" t="s">
        <v>71</v>
      </c>
      <c r="B3648" s="2" t="s">
        <v>72</v>
      </c>
      <c r="C3648" s="2" t="s">
        <v>73</v>
      </c>
      <c r="D3648" s="2"/>
      <c r="E3648" s="2" t="str">
        <f>"FES1162546019"</f>
        <v>FES1162546019</v>
      </c>
      <c r="F3648" s="3">
        <v>42853</v>
      </c>
      <c r="G3648" s="2">
        <v>201710</v>
      </c>
      <c r="H3648" s="2" t="s">
        <v>74</v>
      </c>
      <c r="I3648" s="2" t="s">
        <v>75</v>
      </c>
      <c r="J3648" s="2" t="s">
        <v>76</v>
      </c>
      <c r="K3648" s="2" t="s">
        <v>77</v>
      </c>
      <c r="L3648" s="2" t="s">
        <v>358</v>
      </c>
      <c r="M3648" s="2" t="s">
        <v>359</v>
      </c>
      <c r="N3648" s="2" t="s">
        <v>3521</v>
      </c>
      <c r="O3648" s="2" t="s">
        <v>115</v>
      </c>
      <c r="P3648" s="2" t="str">
        <f>"2170564423                    "</f>
        <v xml:space="preserve">2170564423                    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5.36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1</v>
      </c>
      <c r="BI3648" s="2">
        <v>2.2000000000000002</v>
      </c>
      <c r="BJ3648" s="2">
        <v>1.7</v>
      </c>
      <c r="BK3648" s="2">
        <v>2.5</v>
      </c>
      <c r="BL3648" s="2">
        <v>52.16</v>
      </c>
      <c r="BM3648" s="2">
        <v>7.3</v>
      </c>
      <c r="BN3648" s="2">
        <v>59.46</v>
      </c>
      <c r="BO3648" s="2">
        <v>59.46</v>
      </c>
      <c r="BP3648" s="2"/>
      <c r="BQ3648" s="2" t="s">
        <v>801</v>
      </c>
      <c r="BR3648" s="2" t="s">
        <v>84</v>
      </c>
      <c r="BS3648" s="1" t="s">
        <v>1744</v>
      </c>
      <c r="BT3648" s="2"/>
      <c r="BU3648" s="2"/>
      <c r="BV3648" s="2"/>
      <c r="BW3648" s="2"/>
      <c r="BX3648" s="2"/>
      <c r="BY3648" s="2">
        <v>8615.52</v>
      </c>
      <c r="BZ3648" s="2" t="s">
        <v>27</v>
      </c>
      <c r="CA3648" s="2"/>
      <c r="CB3648" s="2"/>
      <c r="CC3648" s="2" t="s">
        <v>359</v>
      </c>
      <c r="CD3648" s="2">
        <v>6230</v>
      </c>
      <c r="CE3648" s="2" t="s">
        <v>89</v>
      </c>
      <c r="CF3648" s="2"/>
      <c r="CG3648" s="2"/>
      <c r="CH3648" s="2"/>
      <c r="CI3648" s="2">
        <v>1</v>
      </c>
      <c r="CJ3648" s="2" t="s">
        <v>1744</v>
      </c>
      <c r="CK3648" s="2">
        <v>21</v>
      </c>
      <c r="CL3648" s="2" t="s">
        <v>86</v>
      </c>
      <c r="CM3648" s="2"/>
    </row>
    <row r="3649" spans="1:91">
      <c r="A3649" s="2" t="s">
        <v>71</v>
      </c>
      <c r="B3649" s="2" t="s">
        <v>72</v>
      </c>
      <c r="C3649" s="2" t="s">
        <v>73</v>
      </c>
      <c r="D3649" s="2"/>
      <c r="E3649" s="2" t="str">
        <f>"FES1162546014"</f>
        <v>FES1162546014</v>
      </c>
      <c r="F3649" s="3">
        <v>42853</v>
      </c>
      <c r="G3649" s="2">
        <v>201710</v>
      </c>
      <c r="H3649" s="2" t="s">
        <v>74</v>
      </c>
      <c r="I3649" s="2" t="s">
        <v>75</v>
      </c>
      <c r="J3649" s="2" t="s">
        <v>76</v>
      </c>
      <c r="K3649" s="2" t="s">
        <v>77</v>
      </c>
      <c r="L3649" s="2" t="s">
        <v>358</v>
      </c>
      <c r="M3649" s="2" t="s">
        <v>359</v>
      </c>
      <c r="N3649" s="2" t="s">
        <v>3521</v>
      </c>
      <c r="O3649" s="2" t="s">
        <v>115</v>
      </c>
      <c r="P3649" s="2" t="str">
        <f>"2170564417                    "</f>
        <v xml:space="preserve">2170564417                    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6.43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1</v>
      </c>
      <c r="BI3649" s="2">
        <v>2</v>
      </c>
      <c r="BJ3649" s="2">
        <v>2.7</v>
      </c>
      <c r="BK3649" s="2">
        <v>3</v>
      </c>
      <c r="BL3649" s="2">
        <v>62.59</v>
      </c>
      <c r="BM3649" s="2">
        <v>8.76</v>
      </c>
      <c r="BN3649" s="2">
        <v>71.349999999999994</v>
      </c>
      <c r="BO3649" s="2">
        <v>71.349999999999994</v>
      </c>
      <c r="BP3649" s="2"/>
      <c r="BQ3649" s="2" t="s">
        <v>801</v>
      </c>
      <c r="BR3649" s="2" t="s">
        <v>84</v>
      </c>
      <c r="BS3649" s="1" t="s">
        <v>1744</v>
      </c>
      <c r="BT3649" s="2"/>
      <c r="BU3649" s="2"/>
      <c r="BV3649" s="2"/>
      <c r="BW3649" s="2"/>
      <c r="BX3649" s="2"/>
      <c r="BY3649" s="2">
        <v>13680</v>
      </c>
      <c r="BZ3649" s="2" t="s">
        <v>27</v>
      </c>
      <c r="CA3649" s="2"/>
      <c r="CB3649" s="2"/>
      <c r="CC3649" s="2" t="s">
        <v>359</v>
      </c>
      <c r="CD3649" s="2">
        <v>6230</v>
      </c>
      <c r="CE3649" s="2" t="s">
        <v>89</v>
      </c>
      <c r="CF3649" s="2"/>
      <c r="CG3649" s="2"/>
      <c r="CH3649" s="2"/>
      <c r="CI3649" s="2">
        <v>1</v>
      </c>
      <c r="CJ3649" s="2" t="s">
        <v>1744</v>
      </c>
      <c r="CK3649" s="2">
        <v>21</v>
      </c>
      <c r="CL3649" s="2" t="s">
        <v>86</v>
      </c>
      <c r="CM3649" s="2"/>
    </row>
    <row r="3650" spans="1:91">
      <c r="A3650" s="2" t="s">
        <v>71</v>
      </c>
      <c r="B3650" s="2" t="s">
        <v>72</v>
      </c>
      <c r="C3650" s="2" t="s">
        <v>73</v>
      </c>
      <c r="D3650" s="2"/>
      <c r="E3650" s="2" t="str">
        <f>"FES1162546016"</f>
        <v>FES1162546016</v>
      </c>
      <c r="F3650" s="3">
        <v>42853</v>
      </c>
      <c r="G3650" s="2">
        <v>201710</v>
      </c>
      <c r="H3650" s="2" t="s">
        <v>74</v>
      </c>
      <c r="I3650" s="2" t="s">
        <v>75</v>
      </c>
      <c r="J3650" s="2" t="s">
        <v>76</v>
      </c>
      <c r="K3650" s="2" t="s">
        <v>77</v>
      </c>
      <c r="L3650" s="2" t="s">
        <v>358</v>
      </c>
      <c r="M3650" s="2" t="s">
        <v>359</v>
      </c>
      <c r="N3650" s="2" t="s">
        <v>3521</v>
      </c>
      <c r="O3650" s="2" t="s">
        <v>115</v>
      </c>
      <c r="P3650" s="2" t="str">
        <f>"2170564419                    "</f>
        <v xml:space="preserve">2170564419                    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8.57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4</v>
      </c>
      <c r="BJ3650" s="2">
        <v>3.6</v>
      </c>
      <c r="BK3650" s="2">
        <v>4</v>
      </c>
      <c r="BL3650" s="2">
        <v>83.45</v>
      </c>
      <c r="BM3650" s="2">
        <v>11.68</v>
      </c>
      <c r="BN3650" s="2">
        <v>95.13</v>
      </c>
      <c r="BO3650" s="2">
        <v>95.13</v>
      </c>
      <c r="BP3650" s="2"/>
      <c r="BQ3650" s="2" t="s">
        <v>801</v>
      </c>
      <c r="BR3650" s="2" t="s">
        <v>84</v>
      </c>
      <c r="BS3650" s="1" t="s">
        <v>1744</v>
      </c>
      <c r="BT3650" s="2"/>
      <c r="BU3650" s="2"/>
      <c r="BV3650" s="2"/>
      <c r="BW3650" s="2"/>
      <c r="BX3650" s="2"/>
      <c r="BY3650" s="2">
        <v>17820</v>
      </c>
      <c r="BZ3650" s="2" t="s">
        <v>27</v>
      </c>
      <c r="CA3650" s="2"/>
      <c r="CB3650" s="2"/>
      <c r="CC3650" s="2" t="s">
        <v>359</v>
      </c>
      <c r="CD3650" s="2">
        <v>6230</v>
      </c>
      <c r="CE3650" s="2" t="s">
        <v>89</v>
      </c>
      <c r="CF3650" s="2"/>
      <c r="CG3650" s="2"/>
      <c r="CH3650" s="2"/>
      <c r="CI3650" s="2">
        <v>1</v>
      </c>
      <c r="CJ3650" s="2" t="s">
        <v>1744</v>
      </c>
      <c r="CK3650" s="2">
        <v>21</v>
      </c>
      <c r="CL3650" s="2" t="s">
        <v>86</v>
      </c>
      <c r="CM3650" s="2"/>
    </row>
    <row r="3651" spans="1:91">
      <c r="A3651" s="2" t="s">
        <v>71</v>
      </c>
      <c r="B3651" s="2" t="s">
        <v>72</v>
      </c>
      <c r="C3651" s="2" t="s">
        <v>73</v>
      </c>
      <c r="D3651" s="2"/>
      <c r="E3651" s="2" t="str">
        <f>"FES1162545936"</f>
        <v>FES1162545936</v>
      </c>
      <c r="F3651" s="3">
        <v>42853</v>
      </c>
      <c r="G3651" s="2">
        <v>201710</v>
      </c>
      <c r="H3651" s="2" t="s">
        <v>74</v>
      </c>
      <c r="I3651" s="2" t="s">
        <v>75</v>
      </c>
      <c r="J3651" s="2" t="s">
        <v>76</v>
      </c>
      <c r="K3651" s="2" t="s">
        <v>77</v>
      </c>
      <c r="L3651" s="2" t="s">
        <v>99</v>
      </c>
      <c r="M3651" s="2" t="s">
        <v>100</v>
      </c>
      <c r="N3651" s="2" t="s">
        <v>481</v>
      </c>
      <c r="O3651" s="2" t="s">
        <v>115</v>
      </c>
      <c r="P3651" s="2" t="str">
        <f>"2170561700                    "</f>
        <v xml:space="preserve">2170561700                    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4.29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1</v>
      </c>
      <c r="BI3651" s="2">
        <v>0.5</v>
      </c>
      <c r="BJ3651" s="2">
        <v>0.2</v>
      </c>
      <c r="BK3651" s="2">
        <v>0.5</v>
      </c>
      <c r="BL3651" s="2">
        <v>41.73</v>
      </c>
      <c r="BM3651" s="2">
        <v>5.84</v>
      </c>
      <c r="BN3651" s="2">
        <v>47.57</v>
      </c>
      <c r="BO3651" s="2">
        <v>47.57</v>
      </c>
      <c r="BP3651" s="2"/>
      <c r="BQ3651" s="2" t="s">
        <v>482</v>
      </c>
      <c r="BR3651" s="2" t="s">
        <v>84</v>
      </c>
      <c r="BS3651" s="1" t="s">
        <v>1744</v>
      </c>
      <c r="BT3651" s="2"/>
      <c r="BU3651" s="2"/>
      <c r="BV3651" s="2"/>
      <c r="BW3651" s="2"/>
      <c r="BX3651" s="2"/>
      <c r="BY3651" s="2">
        <v>1200</v>
      </c>
      <c r="BZ3651" s="2" t="s">
        <v>27</v>
      </c>
      <c r="CA3651" s="2"/>
      <c r="CB3651" s="2"/>
      <c r="CC3651" s="2" t="s">
        <v>100</v>
      </c>
      <c r="CD3651" s="2">
        <v>6001</v>
      </c>
      <c r="CE3651" s="2" t="s">
        <v>118</v>
      </c>
      <c r="CF3651" s="2"/>
      <c r="CG3651" s="2"/>
      <c r="CH3651" s="2"/>
      <c r="CI3651" s="2">
        <v>1</v>
      </c>
      <c r="CJ3651" s="2" t="s">
        <v>1744</v>
      </c>
      <c r="CK3651" s="2">
        <v>21</v>
      </c>
      <c r="CL3651" s="2" t="s">
        <v>86</v>
      </c>
      <c r="CM3651" s="2"/>
    </row>
    <row r="3652" spans="1:91">
      <c r="A3652" s="2" t="s">
        <v>71</v>
      </c>
      <c r="B3652" s="2" t="s">
        <v>72</v>
      </c>
      <c r="C3652" s="2" t="s">
        <v>73</v>
      </c>
      <c r="D3652" s="2"/>
      <c r="E3652" s="2" t="str">
        <f>"FES1162545997"</f>
        <v>FES1162545997</v>
      </c>
      <c r="F3652" s="3">
        <v>42853</v>
      </c>
      <c r="G3652" s="2">
        <v>201710</v>
      </c>
      <c r="H3652" s="2" t="s">
        <v>74</v>
      </c>
      <c r="I3652" s="2" t="s">
        <v>75</v>
      </c>
      <c r="J3652" s="2" t="s">
        <v>76</v>
      </c>
      <c r="K3652" s="2" t="s">
        <v>77</v>
      </c>
      <c r="L3652" s="2" t="s">
        <v>234</v>
      </c>
      <c r="M3652" s="2" t="s">
        <v>235</v>
      </c>
      <c r="N3652" s="2" t="s">
        <v>236</v>
      </c>
      <c r="O3652" s="2" t="s">
        <v>115</v>
      </c>
      <c r="P3652" s="2" t="str">
        <f>"2170562455                    "</f>
        <v xml:space="preserve">2170562455                    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4.29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0</v>
      </c>
      <c r="BD3652" s="2">
        <v>0</v>
      </c>
      <c r="BE3652" s="2">
        <v>0</v>
      </c>
      <c r="BF3652" s="2">
        <v>0</v>
      </c>
      <c r="BG3652" s="2">
        <v>0</v>
      </c>
      <c r="BH3652" s="2">
        <v>1</v>
      </c>
      <c r="BI3652" s="2">
        <v>0.5</v>
      </c>
      <c r="BJ3652" s="2">
        <v>0.2</v>
      </c>
      <c r="BK3652" s="2">
        <v>0.5</v>
      </c>
      <c r="BL3652" s="2">
        <v>41.73</v>
      </c>
      <c r="BM3652" s="2">
        <v>5.84</v>
      </c>
      <c r="BN3652" s="2">
        <v>47.57</v>
      </c>
      <c r="BO3652" s="2">
        <v>47.57</v>
      </c>
      <c r="BP3652" s="2"/>
      <c r="BQ3652" s="2" t="s">
        <v>285</v>
      </c>
      <c r="BR3652" s="2" t="s">
        <v>84</v>
      </c>
      <c r="BS3652" s="1" t="s">
        <v>1744</v>
      </c>
      <c r="BT3652" s="2"/>
      <c r="BU3652" s="2"/>
      <c r="BV3652" s="2"/>
      <c r="BW3652" s="2"/>
      <c r="BX3652" s="2"/>
      <c r="BY3652" s="2">
        <v>1200</v>
      </c>
      <c r="BZ3652" s="2" t="s">
        <v>27</v>
      </c>
      <c r="CA3652" s="2"/>
      <c r="CB3652" s="2"/>
      <c r="CC3652" s="2" t="s">
        <v>235</v>
      </c>
      <c r="CD3652" s="2">
        <v>6220</v>
      </c>
      <c r="CE3652" s="2" t="s">
        <v>118</v>
      </c>
      <c r="CF3652" s="2"/>
      <c r="CG3652" s="2"/>
      <c r="CH3652" s="2"/>
      <c r="CI3652" s="2">
        <v>1</v>
      </c>
      <c r="CJ3652" s="2" t="s">
        <v>1744</v>
      </c>
      <c r="CK3652" s="2">
        <v>21</v>
      </c>
      <c r="CL3652" s="2" t="s">
        <v>86</v>
      </c>
      <c r="CM3652" s="2"/>
    </row>
    <row r="3653" spans="1:91">
      <c r="A3653" s="2" t="s">
        <v>71</v>
      </c>
      <c r="B3653" s="2" t="s">
        <v>72</v>
      </c>
      <c r="C3653" s="2" t="s">
        <v>73</v>
      </c>
      <c r="D3653" s="2"/>
      <c r="E3653" s="2" t="str">
        <f>"FES1162545934"</f>
        <v>FES1162545934</v>
      </c>
      <c r="F3653" s="3">
        <v>42853</v>
      </c>
      <c r="G3653" s="2">
        <v>201710</v>
      </c>
      <c r="H3653" s="2" t="s">
        <v>74</v>
      </c>
      <c r="I3653" s="2" t="s">
        <v>75</v>
      </c>
      <c r="J3653" s="2" t="s">
        <v>76</v>
      </c>
      <c r="K3653" s="2" t="s">
        <v>77</v>
      </c>
      <c r="L3653" s="2" t="s">
        <v>160</v>
      </c>
      <c r="M3653" s="2" t="s">
        <v>161</v>
      </c>
      <c r="N3653" s="2" t="s">
        <v>2049</v>
      </c>
      <c r="O3653" s="2" t="s">
        <v>115</v>
      </c>
      <c r="P3653" s="2" t="str">
        <f>"2170561435                    "</f>
        <v xml:space="preserve">2170561435                    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4.29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1</v>
      </c>
      <c r="BI3653" s="2">
        <v>0.5</v>
      </c>
      <c r="BJ3653" s="2">
        <v>0.2</v>
      </c>
      <c r="BK3653" s="2">
        <v>0.5</v>
      </c>
      <c r="BL3653" s="2">
        <v>41.73</v>
      </c>
      <c r="BM3653" s="2">
        <v>5.84</v>
      </c>
      <c r="BN3653" s="2">
        <v>47.57</v>
      </c>
      <c r="BO3653" s="2">
        <v>47.57</v>
      </c>
      <c r="BP3653" s="2"/>
      <c r="BQ3653" s="2" t="s">
        <v>129</v>
      </c>
      <c r="BR3653" s="2" t="s">
        <v>84</v>
      </c>
      <c r="BS3653" s="1" t="s">
        <v>1744</v>
      </c>
      <c r="BT3653" s="2"/>
      <c r="BU3653" s="2"/>
      <c r="BV3653" s="2"/>
      <c r="BW3653" s="2"/>
      <c r="BX3653" s="2"/>
      <c r="BY3653" s="2">
        <v>1200</v>
      </c>
      <c r="BZ3653" s="2" t="s">
        <v>27</v>
      </c>
      <c r="CA3653" s="2"/>
      <c r="CB3653" s="2"/>
      <c r="CC3653" s="2" t="s">
        <v>161</v>
      </c>
      <c r="CD3653" s="2">
        <v>5201</v>
      </c>
      <c r="CE3653" s="2" t="s">
        <v>118</v>
      </c>
      <c r="CF3653" s="2"/>
      <c r="CG3653" s="2"/>
      <c r="CH3653" s="2"/>
      <c r="CI3653" s="2">
        <v>1</v>
      </c>
      <c r="CJ3653" s="2" t="s">
        <v>1744</v>
      </c>
      <c r="CK3653" s="2">
        <v>21</v>
      </c>
      <c r="CL3653" s="2" t="s">
        <v>86</v>
      </c>
      <c r="CM3653" s="2"/>
    </row>
    <row r="3654" spans="1:91">
      <c r="A3654" s="2" t="s">
        <v>71</v>
      </c>
      <c r="B3654" s="2" t="s">
        <v>72</v>
      </c>
      <c r="C3654" s="2" t="s">
        <v>73</v>
      </c>
      <c r="D3654" s="2"/>
      <c r="E3654" s="2" t="str">
        <f>"FES1162545945"</f>
        <v>FES1162545945</v>
      </c>
      <c r="F3654" s="3">
        <v>42853</v>
      </c>
      <c r="G3654" s="2">
        <v>201710</v>
      </c>
      <c r="H3654" s="2" t="s">
        <v>74</v>
      </c>
      <c r="I3654" s="2" t="s">
        <v>75</v>
      </c>
      <c r="J3654" s="2" t="s">
        <v>76</v>
      </c>
      <c r="K3654" s="2" t="s">
        <v>77</v>
      </c>
      <c r="L3654" s="2" t="s">
        <v>74</v>
      </c>
      <c r="M3654" s="2" t="s">
        <v>75</v>
      </c>
      <c r="N3654" s="2" t="s">
        <v>1486</v>
      </c>
      <c r="O3654" s="2" t="s">
        <v>115</v>
      </c>
      <c r="P3654" s="2" t="str">
        <f>"2170562127                    "</f>
        <v xml:space="preserve">2170562127                    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3.35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1</v>
      </c>
      <c r="BI3654" s="2">
        <v>1</v>
      </c>
      <c r="BJ3654" s="2">
        <v>0.2</v>
      </c>
      <c r="BK3654" s="2">
        <v>1</v>
      </c>
      <c r="BL3654" s="2">
        <v>32.6</v>
      </c>
      <c r="BM3654" s="2">
        <v>4.5599999999999996</v>
      </c>
      <c r="BN3654" s="2">
        <v>37.159999999999997</v>
      </c>
      <c r="BO3654" s="2">
        <v>37.159999999999997</v>
      </c>
      <c r="BP3654" s="2"/>
      <c r="BQ3654" s="2" t="s">
        <v>2156</v>
      </c>
      <c r="BR3654" s="2" t="s">
        <v>84</v>
      </c>
      <c r="BS3654" s="1" t="s">
        <v>1744</v>
      </c>
      <c r="BT3654" s="2"/>
      <c r="BU3654" s="2"/>
      <c r="BV3654" s="2"/>
      <c r="BW3654" s="2"/>
      <c r="BX3654" s="2"/>
      <c r="BY3654" s="2">
        <v>1200</v>
      </c>
      <c r="BZ3654" s="2" t="s">
        <v>27</v>
      </c>
      <c r="CA3654" s="2"/>
      <c r="CB3654" s="2"/>
      <c r="CC3654" s="2" t="s">
        <v>75</v>
      </c>
      <c r="CD3654" s="2">
        <v>1666</v>
      </c>
      <c r="CE3654" s="2" t="s">
        <v>118</v>
      </c>
      <c r="CF3654" s="2"/>
      <c r="CG3654" s="2"/>
      <c r="CH3654" s="2"/>
      <c r="CI3654" s="2">
        <v>1</v>
      </c>
      <c r="CJ3654" s="2" t="s">
        <v>1744</v>
      </c>
      <c r="CK3654" s="2">
        <v>22</v>
      </c>
      <c r="CL3654" s="2" t="s">
        <v>86</v>
      </c>
      <c r="CM3654" s="2"/>
    </row>
    <row r="3655" spans="1:91">
      <c r="A3655" s="2" t="s">
        <v>71</v>
      </c>
      <c r="B3655" s="2" t="s">
        <v>72</v>
      </c>
      <c r="C3655" s="2" t="s">
        <v>73</v>
      </c>
      <c r="D3655" s="2"/>
      <c r="E3655" s="2" t="str">
        <f>"FES1162545985"</f>
        <v>FES1162545985</v>
      </c>
      <c r="F3655" s="3">
        <v>42853</v>
      </c>
      <c r="G3655" s="2">
        <v>201710</v>
      </c>
      <c r="H3655" s="2" t="s">
        <v>74</v>
      </c>
      <c r="I3655" s="2" t="s">
        <v>75</v>
      </c>
      <c r="J3655" s="2" t="s">
        <v>76</v>
      </c>
      <c r="K3655" s="2" t="s">
        <v>77</v>
      </c>
      <c r="L3655" s="2" t="s">
        <v>99</v>
      </c>
      <c r="M3655" s="2" t="s">
        <v>100</v>
      </c>
      <c r="N3655" s="2" t="s">
        <v>1471</v>
      </c>
      <c r="O3655" s="2" t="s">
        <v>115</v>
      </c>
      <c r="P3655" s="2" t="str">
        <f>"2170562305                    "</f>
        <v xml:space="preserve">2170562305                    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4.29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1</v>
      </c>
      <c r="BI3655" s="2">
        <v>0.5</v>
      </c>
      <c r="BJ3655" s="2">
        <v>0.2</v>
      </c>
      <c r="BK3655" s="2">
        <v>0.5</v>
      </c>
      <c r="BL3655" s="2">
        <v>41.73</v>
      </c>
      <c r="BM3655" s="2">
        <v>5.84</v>
      </c>
      <c r="BN3655" s="2">
        <v>47.57</v>
      </c>
      <c r="BO3655" s="2">
        <v>47.57</v>
      </c>
      <c r="BP3655" s="2"/>
      <c r="BQ3655" s="2" t="s">
        <v>1472</v>
      </c>
      <c r="BR3655" s="2" t="s">
        <v>84</v>
      </c>
      <c r="BS3655" s="1" t="s">
        <v>1744</v>
      </c>
      <c r="BT3655" s="2"/>
      <c r="BU3655" s="2"/>
      <c r="BV3655" s="2"/>
      <c r="BW3655" s="2"/>
      <c r="BX3655" s="2"/>
      <c r="BY3655" s="2">
        <v>1200</v>
      </c>
      <c r="BZ3655" s="2" t="s">
        <v>27</v>
      </c>
      <c r="CA3655" s="2"/>
      <c r="CB3655" s="2"/>
      <c r="CC3655" s="2" t="s">
        <v>100</v>
      </c>
      <c r="CD3655" s="2">
        <v>6001</v>
      </c>
      <c r="CE3655" s="2" t="s">
        <v>118</v>
      </c>
      <c r="CF3655" s="2"/>
      <c r="CG3655" s="2"/>
      <c r="CH3655" s="2"/>
      <c r="CI3655" s="2">
        <v>1</v>
      </c>
      <c r="CJ3655" s="2" t="s">
        <v>1744</v>
      </c>
      <c r="CK3655" s="2">
        <v>21</v>
      </c>
      <c r="CL3655" s="2" t="s">
        <v>86</v>
      </c>
      <c r="CM3655" s="2"/>
    </row>
    <row r="3656" spans="1:91">
      <c r="A3656" s="2" t="s">
        <v>71</v>
      </c>
      <c r="B3656" s="2" t="s">
        <v>72</v>
      </c>
      <c r="C3656" s="2" t="s">
        <v>73</v>
      </c>
      <c r="D3656" s="2"/>
      <c r="E3656" s="2" t="str">
        <f>"FES1162546035"</f>
        <v>FES1162546035</v>
      </c>
      <c r="F3656" s="3">
        <v>42853</v>
      </c>
      <c r="G3656" s="2">
        <v>201710</v>
      </c>
      <c r="H3656" s="2" t="s">
        <v>74</v>
      </c>
      <c r="I3656" s="2" t="s">
        <v>75</v>
      </c>
      <c r="J3656" s="2" t="s">
        <v>76</v>
      </c>
      <c r="K3656" s="2" t="s">
        <v>77</v>
      </c>
      <c r="L3656" s="2" t="s">
        <v>99</v>
      </c>
      <c r="M3656" s="2" t="s">
        <v>100</v>
      </c>
      <c r="N3656" s="2" t="s">
        <v>3499</v>
      </c>
      <c r="O3656" s="2" t="s">
        <v>115</v>
      </c>
      <c r="P3656" s="2" t="str">
        <f>"2170564440                    "</f>
        <v xml:space="preserve">2170564440                    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4.29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1</v>
      </c>
      <c r="BI3656" s="2">
        <v>0.5</v>
      </c>
      <c r="BJ3656" s="2">
        <v>0.2</v>
      </c>
      <c r="BK3656" s="2">
        <v>0.5</v>
      </c>
      <c r="BL3656" s="2">
        <v>41.73</v>
      </c>
      <c r="BM3656" s="2">
        <v>5.84</v>
      </c>
      <c r="BN3656" s="2">
        <v>47.57</v>
      </c>
      <c r="BO3656" s="2">
        <v>47.57</v>
      </c>
      <c r="BP3656" s="2"/>
      <c r="BQ3656" s="2" t="s">
        <v>3500</v>
      </c>
      <c r="BR3656" s="2" t="s">
        <v>84</v>
      </c>
      <c r="BS3656" s="1" t="s">
        <v>1744</v>
      </c>
      <c r="BT3656" s="2"/>
      <c r="BU3656" s="2"/>
      <c r="BV3656" s="2"/>
      <c r="BW3656" s="2"/>
      <c r="BX3656" s="2"/>
      <c r="BY3656" s="2">
        <v>1200</v>
      </c>
      <c r="BZ3656" s="2" t="s">
        <v>27</v>
      </c>
      <c r="CA3656" s="2"/>
      <c r="CB3656" s="2"/>
      <c r="CC3656" s="2" t="s">
        <v>100</v>
      </c>
      <c r="CD3656" s="2">
        <v>6001</v>
      </c>
      <c r="CE3656" s="2" t="s">
        <v>118</v>
      </c>
      <c r="CF3656" s="2"/>
      <c r="CG3656" s="2"/>
      <c r="CH3656" s="2"/>
      <c r="CI3656" s="2">
        <v>1</v>
      </c>
      <c r="CJ3656" s="2" t="s">
        <v>1744</v>
      </c>
      <c r="CK3656" s="2">
        <v>21</v>
      </c>
      <c r="CL3656" s="2" t="s">
        <v>86</v>
      </c>
      <c r="CM3656" s="2"/>
    </row>
    <row r="3657" spans="1:91">
      <c r="A3657" s="2" t="s">
        <v>71</v>
      </c>
      <c r="B3657" s="2" t="s">
        <v>72</v>
      </c>
      <c r="C3657" s="2" t="s">
        <v>73</v>
      </c>
      <c r="D3657" s="2"/>
      <c r="E3657" s="2" t="str">
        <f>"FES1162545980"</f>
        <v>FES1162545980</v>
      </c>
      <c r="F3657" s="3">
        <v>42853</v>
      </c>
      <c r="G3657" s="2">
        <v>201710</v>
      </c>
      <c r="H3657" s="2" t="s">
        <v>74</v>
      </c>
      <c r="I3657" s="2" t="s">
        <v>75</v>
      </c>
      <c r="J3657" s="2" t="s">
        <v>76</v>
      </c>
      <c r="K3657" s="2" t="s">
        <v>77</v>
      </c>
      <c r="L3657" s="2" t="s">
        <v>74</v>
      </c>
      <c r="M3657" s="2" t="s">
        <v>75</v>
      </c>
      <c r="N3657" s="2" t="s">
        <v>976</v>
      </c>
      <c r="O3657" s="2" t="s">
        <v>115</v>
      </c>
      <c r="P3657" s="2" t="str">
        <f>"2170561770                    "</f>
        <v xml:space="preserve">2170561770                    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3.35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1</v>
      </c>
      <c r="BI3657" s="2">
        <v>0.5</v>
      </c>
      <c r="BJ3657" s="2">
        <v>0.2</v>
      </c>
      <c r="BK3657" s="2">
        <v>1</v>
      </c>
      <c r="BL3657" s="2">
        <v>32.6</v>
      </c>
      <c r="BM3657" s="2">
        <v>4.5599999999999996</v>
      </c>
      <c r="BN3657" s="2">
        <v>37.159999999999997</v>
      </c>
      <c r="BO3657" s="2">
        <v>37.159999999999997</v>
      </c>
      <c r="BP3657" s="2"/>
      <c r="BQ3657" s="2" t="s">
        <v>122</v>
      </c>
      <c r="BR3657" s="2" t="s">
        <v>84</v>
      </c>
      <c r="BS3657" s="1" t="s">
        <v>1744</v>
      </c>
      <c r="BT3657" s="2"/>
      <c r="BU3657" s="2"/>
      <c r="BV3657" s="2"/>
      <c r="BW3657" s="2"/>
      <c r="BX3657" s="2"/>
      <c r="BY3657" s="2">
        <v>1200</v>
      </c>
      <c r="BZ3657" s="2" t="s">
        <v>27</v>
      </c>
      <c r="CA3657" s="2"/>
      <c r="CB3657" s="2"/>
      <c r="CC3657" s="2" t="s">
        <v>75</v>
      </c>
      <c r="CD3657" s="2">
        <v>1666</v>
      </c>
      <c r="CE3657" s="2" t="s">
        <v>118</v>
      </c>
      <c r="CF3657" s="2"/>
      <c r="CG3657" s="2"/>
      <c r="CH3657" s="2"/>
      <c r="CI3657" s="2">
        <v>1</v>
      </c>
      <c r="CJ3657" s="2" t="s">
        <v>1744</v>
      </c>
      <c r="CK3657" s="2">
        <v>22</v>
      </c>
      <c r="CL3657" s="2" t="s">
        <v>86</v>
      </c>
      <c r="CM3657" s="2"/>
    </row>
    <row r="3658" spans="1:91">
      <c r="A3658" s="2" t="s">
        <v>71</v>
      </c>
      <c r="B3658" s="2" t="s">
        <v>72</v>
      </c>
      <c r="C3658" s="2" t="s">
        <v>73</v>
      </c>
      <c r="D3658" s="2"/>
      <c r="E3658" s="2" t="str">
        <f>"FES1162545951"</f>
        <v>FES1162545951</v>
      </c>
      <c r="F3658" s="3">
        <v>42853</v>
      </c>
      <c r="G3658" s="2">
        <v>201710</v>
      </c>
      <c r="H3658" s="2" t="s">
        <v>74</v>
      </c>
      <c r="I3658" s="2" t="s">
        <v>75</v>
      </c>
      <c r="J3658" s="2" t="s">
        <v>76</v>
      </c>
      <c r="K3658" s="2" t="s">
        <v>77</v>
      </c>
      <c r="L3658" s="2" t="s">
        <v>496</v>
      </c>
      <c r="M3658" s="2" t="s">
        <v>497</v>
      </c>
      <c r="N3658" s="2" t="s">
        <v>498</v>
      </c>
      <c r="O3658" s="2" t="s">
        <v>115</v>
      </c>
      <c r="P3658" s="2" t="str">
        <f>"2170562805                    "</f>
        <v xml:space="preserve">2170562805                    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3.35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1</v>
      </c>
      <c r="BI3658" s="2">
        <v>0.5</v>
      </c>
      <c r="BJ3658" s="2">
        <v>0.2</v>
      </c>
      <c r="BK3658" s="2">
        <v>1</v>
      </c>
      <c r="BL3658" s="2">
        <v>32.6</v>
      </c>
      <c r="BM3658" s="2">
        <v>4.5599999999999996</v>
      </c>
      <c r="BN3658" s="2">
        <v>37.159999999999997</v>
      </c>
      <c r="BO3658" s="2">
        <v>37.159999999999997</v>
      </c>
      <c r="BP3658" s="2"/>
      <c r="BQ3658" s="2" t="s">
        <v>122</v>
      </c>
      <c r="BR3658" s="2" t="s">
        <v>84</v>
      </c>
      <c r="BS3658" s="1" t="s">
        <v>1744</v>
      </c>
      <c r="BT3658" s="2"/>
      <c r="BU3658" s="2"/>
      <c r="BV3658" s="2"/>
      <c r="BW3658" s="2"/>
      <c r="BX3658" s="2"/>
      <c r="BY3658" s="2">
        <v>1200</v>
      </c>
      <c r="BZ3658" s="2" t="s">
        <v>27</v>
      </c>
      <c r="CA3658" s="2"/>
      <c r="CB3658" s="2"/>
      <c r="CC3658" s="2" t="s">
        <v>497</v>
      </c>
      <c r="CD3658" s="2">
        <v>1559</v>
      </c>
      <c r="CE3658" s="2" t="s">
        <v>118</v>
      </c>
      <c r="CF3658" s="2"/>
      <c r="CG3658" s="2"/>
      <c r="CH3658" s="2"/>
      <c r="CI3658" s="2">
        <v>1</v>
      </c>
      <c r="CJ3658" s="2" t="s">
        <v>1744</v>
      </c>
      <c r="CK3658" s="2">
        <v>22</v>
      </c>
      <c r="CL3658" s="2" t="s">
        <v>86</v>
      </c>
      <c r="CM3658" s="2"/>
    </row>
    <row r="3659" spans="1:91">
      <c r="A3659" s="2" t="s">
        <v>71</v>
      </c>
      <c r="B3659" s="2" t="s">
        <v>72</v>
      </c>
      <c r="C3659" s="2" t="s">
        <v>73</v>
      </c>
      <c r="D3659" s="2"/>
      <c r="E3659" s="2" t="str">
        <f>"FES1162545939"</f>
        <v>FES1162545939</v>
      </c>
      <c r="F3659" s="3">
        <v>42853</v>
      </c>
      <c r="G3659" s="2">
        <v>201710</v>
      </c>
      <c r="H3659" s="2" t="s">
        <v>74</v>
      </c>
      <c r="I3659" s="2" t="s">
        <v>75</v>
      </c>
      <c r="J3659" s="2" t="s">
        <v>76</v>
      </c>
      <c r="K3659" s="2" t="s">
        <v>77</v>
      </c>
      <c r="L3659" s="2" t="s">
        <v>260</v>
      </c>
      <c r="M3659" s="2" t="s">
        <v>261</v>
      </c>
      <c r="N3659" s="2" t="s">
        <v>470</v>
      </c>
      <c r="O3659" s="2" t="s">
        <v>115</v>
      </c>
      <c r="P3659" s="2" t="str">
        <f>"210562000                     "</f>
        <v xml:space="preserve">210562000                     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3.35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1</v>
      </c>
      <c r="BI3659" s="2">
        <v>0.5</v>
      </c>
      <c r="BJ3659" s="2">
        <v>0.2</v>
      </c>
      <c r="BK3659" s="2">
        <v>1</v>
      </c>
      <c r="BL3659" s="2">
        <v>32.6</v>
      </c>
      <c r="BM3659" s="2">
        <v>4.5599999999999996</v>
      </c>
      <c r="BN3659" s="2">
        <v>37.159999999999997</v>
      </c>
      <c r="BO3659" s="2">
        <v>37.159999999999997</v>
      </c>
      <c r="BP3659" s="2"/>
      <c r="BQ3659" s="2" t="s">
        <v>471</v>
      </c>
      <c r="BR3659" s="2" t="s">
        <v>84</v>
      </c>
      <c r="BS3659" s="1" t="s">
        <v>1744</v>
      </c>
      <c r="BT3659" s="2"/>
      <c r="BU3659" s="2"/>
      <c r="BV3659" s="2"/>
      <c r="BW3659" s="2"/>
      <c r="BX3659" s="2"/>
      <c r="BY3659" s="2">
        <v>1200</v>
      </c>
      <c r="BZ3659" s="2" t="s">
        <v>27</v>
      </c>
      <c r="CA3659" s="2"/>
      <c r="CB3659" s="2"/>
      <c r="CC3659" s="2" t="s">
        <v>261</v>
      </c>
      <c r="CD3659" s="2">
        <v>1449</v>
      </c>
      <c r="CE3659" s="2" t="s">
        <v>118</v>
      </c>
      <c r="CF3659" s="2"/>
      <c r="CG3659" s="2"/>
      <c r="CH3659" s="2"/>
      <c r="CI3659" s="2">
        <v>1</v>
      </c>
      <c r="CJ3659" s="2" t="s">
        <v>1744</v>
      </c>
      <c r="CK3659" s="2">
        <v>22</v>
      </c>
      <c r="CL3659" s="2" t="s">
        <v>86</v>
      </c>
      <c r="CM3659" s="2"/>
    </row>
    <row r="3660" spans="1:91">
      <c r="A3660" s="2" t="s">
        <v>71</v>
      </c>
      <c r="B3660" s="2" t="s">
        <v>72</v>
      </c>
      <c r="C3660" s="2" t="s">
        <v>73</v>
      </c>
      <c r="D3660" s="2"/>
      <c r="E3660" s="2" t="str">
        <f>"FES1162545979"</f>
        <v>FES1162545979</v>
      </c>
      <c r="F3660" s="3">
        <v>42853</v>
      </c>
      <c r="G3660" s="2">
        <v>201710</v>
      </c>
      <c r="H3660" s="2" t="s">
        <v>74</v>
      </c>
      <c r="I3660" s="2" t="s">
        <v>75</v>
      </c>
      <c r="J3660" s="2" t="s">
        <v>76</v>
      </c>
      <c r="K3660" s="2" t="s">
        <v>77</v>
      </c>
      <c r="L3660" s="2" t="s">
        <v>74</v>
      </c>
      <c r="M3660" s="2" t="s">
        <v>75</v>
      </c>
      <c r="N3660" s="2" t="s">
        <v>976</v>
      </c>
      <c r="O3660" s="2" t="s">
        <v>115</v>
      </c>
      <c r="P3660" s="2" t="str">
        <f>"2170561682                    "</f>
        <v xml:space="preserve">2170561682                    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3.35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1</v>
      </c>
      <c r="BI3660" s="2">
        <v>0.5</v>
      </c>
      <c r="BJ3660" s="2">
        <v>0.2</v>
      </c>
      <c r="BK3660" s="2">
        <v>1</v>
      </c>
      <c r="BL3660" s="2">
        <v>32.6</v>
      </c>
      <c r="BM3660" s="2">
        <v>4.5599999999999996</v>
      </c>
      <c r="BN3660" s="2">
        <v>37.159999999999997</v>
      </c>
      <c r="BO3660" s="2">
        <v>37.159999999999997</v>
      </c>
      <c r="BP3660" s="2"/>
      <c r="BQ3660" s="2" t="s">
        <v>122</v>
      </c>
      <c r="BR3660" s="2" t="s">
        <v>84</v>
      </c>
      <c r="BS3660" s="1" t="s">
        <v>1744</v>
      </c>
      <c r="BT3660" s="2"/>
      <c r="BU3660" s="2"/>
      <c r="BV3660" s="2"/>
      <c r="BW3660" s="2"/>
      <c r="BX3660" s="2"/>
      <c r="BY3660" s="2">
        <v>1200</v>
      </c>
      <c r="BZ3660" s="2" t="s">
        <v>27</v>
      </c>
      <c r="CA3660" s="2"/>
      <c r="CB3660" s="2"/>
      <c r="CC3660" s="2" t="s">
        <v>75</v>
      </c>
      <c r="CD3660" s="2">
        <v>1666</v>
      </c>
      <c r="CE3660" s="2" t="s">
        <v>118</v>
      </c>
      <c r="CF3660" s="2"/>
      <c r="CG3660" s="2"/>
      <c r="CH3660" s="2"/>
      <c r="CI3660" s="2">
        <v>1</v>
      </c>
      <c r="CJ3660" s="2" t="s">
        <v>1744</v>
      </c>
      <c r="CK3660" s="2">
        <v>22</v>
      </c>
      <c r="CL3660" s="2" t="s">
        <v>86</v>
      </c>
      <c r="CM3660" s="2"/>
    </row>
    <row r="3661" spans="1:91">
      <c r="A3661" s="2" t="s">
        <v>71</v>
      </c>
      <c r="B3661" s="2" t="s">
        <v>72</v>
      </c>
      <c r="C3661" s="2" t="s">
        <v>73</v>
      </c>
      <c r="D3661" s="2"/>
      <c r="E3661" s="2" t="str">
        <f>"FES1162545993"</f>
        <v>FES1162545993</v>
      </c>
      <c r="F3661" s="3">
        <v>42853</v>
      </c>
      <c r="G3661" s="2">
        <v>201710</v>
      </c>
      <c r="H3661" s="2" t="s">
        <v>74</v>
      </c>
      <c r="I3661" s="2" t="s">
        <v>75</v>
      </c>
      <c r="J3661" s="2" t="s">
        <v>76</v>
      </c>
      <c r="K3661" s="2" t="s">
        <v>77</v>
      </c>
      <c r="L3661" s="2" t="s">
        <v>187</v>
      </c>
      <c r="M3661" s="2" t="s">
        <v>146</v>
      </c>
      <c r="N3661" s="2" t="s">
        <v>2095</v>
      </c>
      <c r="O3661" s="2" t="s">
        <v>115</v>
      </c>
      <c r="P3661" s="2" t="str">
        <f>"2170562372                    "</f>
        <v xml:space="preserve">2170562372                    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4.29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1</v>
      </c>
      <c r="BI3661" s="2">
        <v>1</v>
      </c>
      <c r="BJ3661" s="2">
        <v>0.2</v>
      </c>
      <c r="BK3661" s="2">
        <v>1</v>
      </c>
      <c r="BL3661" s="2">
        <v>41.73</v>
      </c>
      <c r="BM3661" s="2">
        <v>5.84</v>
      </c>
      <c r="BN3661" s="2">
        <v>47.57</v>
      </c>
      <c r="BO3661" s="2">
        <v>47.57</v>
      </c>
      <c r="BP3661" s="2"/>
      <c r="BQ3661" s="2" t="s">
        <v>2096</v>
      </c>
      <c r="BR3661" s="2" t="s">
        <v>84</v>
      </c>
      <c r="BS3661" s="1" t="s">
        <v>1744</v>
      </c>
      <c r="BT3661" s="2"/>
      <c r="BU3661" s="2"/>
      <c r="BV3661" s="2"/>
      <c r="BW3661" s="2"/>
      <c r="BX3661" s="2"/>
      <c r="BY3661" s="2">
        <v>1200</v>
      </c>
      <c r="BZ3661" s="2" t="s">
        <v>27</v>
      </c>
      <c r="CA3661" s="2"/>
      <c r="CB3661" s="2"/>
      <c r="CC3661" s="2" t="s">
        <v>146</v>
      </c>
      <c r="CD3661" s="2">
        <v>157</v>
      </c>
      <c r="CE3661" s="2" t="s">
        <v>118</v>
      </c>
      <c r="CF3661" s="2"/>
      <c r="CG3661" s="2"/>
      <c r="CH3661" s="2"/>
      <c r="CI3661" s="2">
        <v>1</v>
      </c>
      <c r="CJ3661" s="2" t="s">
        <v>1744</v>
      </c>
      <c r="CK3661" s="2">
        <v>21</v>
      </c>
      <c r="CL3661" s="2" t="s">
        <v>86</v>
      </c>
      <c r="CM3661" s="2"/>
    </row>
    <row r="3662" spans="1:91">
      <c r="A3662" s="2" t="s">
        <v>71</v>
      </c>
      <c r="B3662" s="2" t="s">
        <v>72</v>
      </c>
      <c r="C3662" s="2" t="s">
        <v>73</v>
      </c>
      <c r="D3662" s="2"/>
      <c r="E3662" s="2" t="str">
        <f>"FES1162545978"</f>
        <v>FES1162545978</v>
      </c>
      <c r="F3662" s="3">
        <v>42853</v>
      </c>
      <c r="G3662" s="2">
        <v>201710</v>
      </c>
      <c r="H3662" s="2" t="s">
        <v>74</v>
      </c>
      <c r="I3662" s="2" t="s">
        <v>75</v>
      </c>
      <c r="J3662" s="2" t="s">
        <v>76</v>
      </c>
      <c r="K3662" s="2" t="s">
        <v>77</v>
      </c>
      <c r="L3662" s="2" t="s">
        <v>99</v>
      </c>
      <c r="M3662" s="2" t="s">
        <v>100</v>
      </c>
      <c r="N3662" s="2" t="s">
        <v>108</v>
      </c>
      <c r="O3662" s="2" t="s">
        <v>115</v>
      </c>
      <c r="P3662" s="2" t="str">
        <f>"2170561043                    "</f>
        <v xml:space="preserve">2170561043                    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4.29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1</v>
      </c>
      <c r="BI3662" s="2">
        <v>1</v>
      </c>
      <c r="BJ3662" s="2">
        <v>0.2</v>
      </c>
      <c r="BK3662" s="2">
        <v>1</v>
      </c>
      <c r="BL3662" s="2">
        <v>41.73</v>
      </c>
      <c r="BM3662" s="2">
        <v>5.84</v>
      </c>
      <c r="BN3662" s="2">
        <v>47.57</v>
      </c>
      <c r="BO3662" s="2">
        <v>47.57</v>
      </c>
      <c r="BP3662" s="2"/>
      <c r="BQ3662" s="2" t="s">
        <v>109</v>
      </c>
      <c r="BR3662" s="2" t="s">
        <v>84</v>
      </c>
      <c r="BS3662" s="3">
        <v>42857</v>
      </c>
      <c r="BT3662" s="4">
        <v>0.35555555555555557</v>
      </c>
      <c r="BU3662" s="2" t="s">
        <v>3501</v>
      </c>
      <c r="BV3662" s="2" t="s">
        <v>86</v>
      </c>
      <c r="BW3662" s="2"/>
      <c r="BX3662" s="2"/>
      <c r="BY3662" s="2">
        <v>1200</v>
      </c>
      <c r="BZ3662" s="2" t="s">
        <v>27</v>
      </c>
      <c r="CA3662" s="2" t="s">
        <v>106</v>
      </c>
      <c r="CB3662" s="2"/>
      <c r="CC3662" s="2" t="s">
        <v>100</v>
      </c>
      <c r="CD3662" s="2">
        <v>6001</v>
      </c>
      <c r="CE3662" s="2" t="s">
        <v>118</v>
      </c>
      <c r="CF3662" s="2"/>
      <c r="CG3662" s="2"/>
      <c r="CH3662" s="2"/>
      <c r="CI3662" s="2">
        <v>1</v>
      </c>
      <c r="CJ3662" s="2">
        <v>2</v>
      </c>
      <c r="CK3662" s="2">
        <v>21</v>
      </c>
      <c r="CL3662" s="2" t="s">
        <v>86</v>
      </c>
      <c r="CM3662" s="2"/>
    </row>
    <row r="3663" spans="1:91">
      <c r="A3663" s="2" t="s">
        <v>71</v>
      </c>
      <c r="B3663" s="2" t="s">
        <v>72</v>
      </c>
      <c r="C3663" s="2" t="s">
        <v>73</v>
      </c>
      <c r="D3663" s="2"/>
      <c r="E3663" s="2" t="str">
        <f>"FES1162546024"</f>
        <v>FES1162546024</v>
      </c>
      <c r="F3663" s="3">
        <v>42853</v>
      </c>
      <c r="G3663" s="2">
        <v>201710</v>
      </c>
      <c r="H3663" s="2" t="s">
        <v>74</v>
      </c>
      <c r="I3663" s="2" t="s">
        <v>75</v>
      </c>
      <c r="J3663" s="2" t="s">
        <v>76</v>
      </c>
      <c r="K3663" s="2" t="s">
        <v>77</v>
      </c>
      <c r="L3663" s="2" t="s">
        <v>99</v>
      </c>
      <c r="M3663" s="2" t="s">
        <v>100</v>
      </c>
      <c r="N3663" s="2" t="s">
        <v>671</v>
      </c>
      <c r="O3663" s="2" t="s">
        <v>115</v>
      </c>
      <c r="P3663" s="2" t="str">
        <f>"2170564427                    "</f>
        <v xml:space="preserve">2170564427                    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20.36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1</v>
      </c>
      <c r="BI3663" s="2">
        <v>8.3000000000000007</v>
      </c>
      <c r="BJ3663" s="2">
        <v>9.3000000000000007</v>
      </c>
      <c r="BK3663" s="2">
        <v>9.5</v>
      </c>
      <c r="BL3663" s="2">
        <v>198.2</v>
      </c>
      <c r="BM3663" s="2">
        <v>27.75</v>
      </c>
      <c r="BN3663" s="2">
        <v>225.95</v>
      </c>
      <c r="BO3663" s="2">
        <v>225.95</v>
      </c>
      <c r="BP3663" s="2"/>
      <c r="BQ3663" s="2" t="s">
        <v>672</v>
      </c>
      <c r="BR3663" s="2" t="s">
        <v>84</v>
      </c>
      <c r="BS3663" s="1" t="s">
        <v>1744</v>
      </c>
      <c r="BT3663" s="2"/>
      <c r="BU3663" s="2"/>
      <c r="BV3663" s="2"/>
      <c r="BW3663" s="2"/>
      <c r="BX3663" s="2"/>
      <c r="BY3663" s="2">
        <v>46337.35</v>
      </c>
      <c r="BZ3663" s="2" t="s">
        <v>27</v>
      </c>
      <c r="CA3663" s="2"/>
      <c r="CB3663" s="2"/>
      <c r="CC3663" s="2" t="s">
        <v>100</v>
      </c>
      <c r="CD3663" s="2">
        <v>6001</v>
      </c>
      <c r="CE3663" s="2" t="s">
        <v>89</v>
      </c>
      <c r="CF3663" s="2"/>
      <c r="CG3663" s="2"/>
      <c r="CH3663" s="2"/>
      <c r="CI3663" s="2">
        <v>1</v>
      </c>
      <c r="CJ3663" s="2" t="s">
        <v>1744</v>
      </c>
      <c r="CK3663" s="2">
        <v>21</v>
      </c>
      <c r="CL3663" s="2" t="s">
        <v>86</v>
      </c>
      <c r="CM3663" s="2"/>
    </row>
    <row r="3664" spans="1:91">
      <c r="A3664" s="2" t="s">
        <v>71</v>
      </c>
      <c r="B3664" s="2" t="s">
        <v>72</v>
      </c>
      <c r="C3664" s="2" t="s">
        <v>73</v>
      </c>
      <c r="D3664" s="2"/>
      <c r="E3664" s="2" t="str">
        <f>"FES1162545619"</f>
        <v>FES1162545619</v>
      </c>
      <c r="F3664" s="3">
        <v>42853</v>
      </c>
      <c r="G3664" s="2">
        <v>201710</v>
      </c>
      <c r="H3664" s="2" t="s">
        <v>74</v>
      </c>
      <c r="I3664" s="2" t="s">
        <v>75</v>
      </c>
      <c r="J3664" s="2" t="s">
        <v>76</v>
      </c>
      <c r="K3664" s="2" t="s">
        <v>77</v>
      </c>
      <c r="L3664" s="2" t="s">
        <v>112</v>
      </c>
      <c r="M3664" s="2" t="s">
        <v>113</v>
      </c>
      <c r="N3664" s="2" t="s">
        <v>3522</v>
      </c>
      <c r="O3664" s="2" t="s">
        <v>115</v>
      </c>
      <c r="P3664" s="2" t="str">
        <f>"2170560723                    "</f>
        <v xml:space="preserve">2170560723                    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4.29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1</v>
      </c>
      <c r="BI3664" s="2">
        <v>1.4</v>
      </c>
      <c r="BJ3664" s="2">
        <v>0.2</v>
      </c>
      <c r="BK3664" s="2">
        <v>1.5</v>
      </c>
      <c r="BL3664" s="2">
        <v>41.73</v>
      </c>
      <c r="BM3664" s="2">
        <v>5.84</v>
      </c>
      <c r="BN3664" s="2">
        <v>47.57</v>
      </c>
      <c r="BO3664" s="2">
        <v>47.57</v>
      </c>
      <c r="BP3664" s="2"/>
      <c r="BQ3664" s="2" t="s">
        <v>116</v>
      </c>
      <c r="BR3664" s="2" t="s">
        <v>84</v>
      </c>
      <c r="BS3664" s="1" t="s">
        <v>1744</v>
      </c>
      <c r="BT3664" s="2"/>
      <c r="BU3664" s="2"/>
      <c r="BV3664" s="2"/>
      <c r="BW3664" s="2"/>
      <c r="BX3664" s="2"/>
      <c r="BY3664" s="2">
        <v>1200</v>
      </c>
      <c r="BZ3664" s="2" t="s">
        <v>27</v>
      </c>
      <c r="CA3664" s="2"/>
      <c r="CB3664" s="2"/>
      <c r="CC3664" s="2" t="s">
        <v>113</v>
      </c>
      <c r="CD3664" s="2">
        <v>3201</v>
      </c>
      <c r="CE3664" s="2" t="s">
        <v>118</v>
      </c>
      <c r="CF3664" s="2"/>
      <c r="CG3664" s="2"/>
      <c r="CH3664" s="2"/>
      <c r="CI3664" s="2">
        <v>1</v>
      </c>
      <c r="CJ3664" s="2" t="s">
        <v>1744</v>
      </c>
      <c r="CK3664" s="2">
        <v>21</v>
      </c>
      <c r="CL3664" s="2" t="s">
        <v>86</v>
      </c>
      <c r="CM3664" s="2"/>
    </row>
    <row r="3665" spans="1:91">
      <c r="A3665" s="2" t="s">
        <v>71</v>
      </c>
      <c r="B3665" s="2" t="s">
        <v>72</v>
      </c>
      <c r="C3665" s="2" t="s">
        <v>73</v>
      </c>
      <c r="D3665" s="2"/>
      <c r="E3665" s="2" t="str">
        <f>"FES1162546056"</f>
        <v>FES1162546056</v>
      </c>
      <c r="F3665" s="3">
        <v>42853</v>
      </c>
      <c r="G3665" s="2">
        <v>201710</v>
      </c>
      <c r="H3665" s="2" t="s">
        <v>74</v>
      </c>
      <c r="I3665" s="2" t="s">
        <v>75</v>
      </c>
      <c r="J3665" s="2" t="s">
        <v>76</v>
      </c>
      <c r="K3665" s="2" t="s">
        <v>77</v>
      </c>
      <c r="L3665" s="2" t="s">
        <v>2658</v>
      </c>
      <c r="M3665" s="2" t="s">
        <v>2659</v>
      </c>
      <c r="N3665" s="2" t="s">
        <v>2833</v>
      </c>
      <c r="O3665" s="2" t="s">
        <v>115</v>
      </c>
      <c r="P3665" s="2" t="str">
        <f>"2170564459                    "</f>
        <v xml:space="preserve">2170564459                    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8.31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1</v>
      </c>
      <c r="BI3665" s="2">
        <v>1</v>
      </c>
      <c r="BJ3665" s="2">
        <v>0.2</v>
      </c>
      <c r="BK3665" s="2">
        <v>1</v>
      </c>
      <c r="BL3665" s="2">
        <v>80.849999999999994</v>
      </c>
      <c r="BM3665" s="2">
        <v>11.32</v>
      </c>
      <c r="BN3665" s="2">
        <v>92.17</v>
      </c>
      <c r="BO3665" s="2">
        <v>92.17</v>
      </c>
      <c r="BP3665" s="2"/>
      <c r="BQ3665" s="2"/>
      <c r="BR3665" s="2" t="s">
        <v>84</v>
      </c>
      <c r="BS3665" s="1" t="s">
        <v>1744</v>
      </c>
      <c r="BT3665" s="2"/>
      <c r="BU3665" s="2"/>
      <c r="BV3665" s="2"/>
      <c r="BW3665" s="2"/>
      <c r="BX3665" s="2"/>
      <c r="BY3665" s="2">
        <v>1200</v>
      </c>
      <c r="BZ3665" s="2" t="s">
        <v>27</v>
      </c>
      <c r="CA3665" s="2"/>
      <c r="CB3665" s="2"/>
      <c r="CC3665" s="2" t="s">
        <v>2659</v>
      </c>
      <c r="CD3665" s="2">
        <v>9750</v>
      </c>
      <c r="CE3665" s="2" t="s">
        <v>118</v>
      </c>
      <c r="CF3665" s="2"/>
      <c r="CG3665" s="2"/>
      <c r="CH3665" s="2"/>
      <c r="CI3665" s="2">
        <v>3</v>
      </c>
      <c r="CJ3665" s="2" t="s">
        <v>1744</v>
      </c>
      <c r="CK3665" s="2">
        <v>23</v>
      </c>
      <c r="CL3665" s="2" t="s">
        <v>86</v>
      </c>
      <c r="CM3665" s="2"/>
    </row>
    <row r="3666" spans="1:91">
      <c r="A3666" s="2" t="s">
        <v>71</v>
      </c>
      <c r="B3666" s="2" t="s">
        <v>72</v>
      </c>
      <c r="C3666" s="2" t="s">
        <v>73</v>
      </c>
      <c r="D3666" s="2"/>
      <c r="E3666" s="2" t="str">
        <f>"FES1162545933"</f>
        <v>FES1162545933</v>
      </c>
      <c r="F3666" s="3">
        <v>42853</v>
      </c>
      <c r="G3666" s="2">
        <v>201710</v>
      </c>
      <c r="H3666" s="2" t="s">
        <v>74</v>
      </c>
      <c r="I3666" s="2" t="s">
        <v>75</v>
      </c>
      <c r="J3666" s="2" t="s">
        <v>76</v>
      </c>
      <c r="K3666" s="2" t="s">
        <v>77</v>
      </c>
      <c r="L3666" s="2" t="s">
        <v>99</v>
      </c>
      <c r="M3666" s="2" t="s">
        <v>100</v>
      </c>
      <c r="N3666" s="2" t="s">
        <v>108</v>
      </c>
      <c r="O3666" s="2" t="s">
        <v>115</v>
      </c>
      <c r="P3666" s="2" t="str">
        <f>"2170560304                    "</f>
        <v xml:space="preserve">2170560304                    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4.29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1</v>
      </c>
      <c r="BI3666" s="2">
        <v>0.5</v>
      </c>
      <c r="BJ3666" s="2">
        <v>0.2</v>
      </c>
      <c r="BK3666" s="2">
        <v>0.5</v>
      </c>
      <c r="BL3666" s="2">
        <v>41.73</v>
      </c>
      <c r="BM3666" s="2">
        <v>5.84</v>
      </c>
      <c r="BN3666" s="2">
        <v>47.57</v>
      </c>
      <c r="BO3666" s="2">
        <v>47.57</v>
      </c>
      <c r="BP3666" s="2"/>
      <c r="BQ3666" s="2" t="s">
        <v>109</v>
      </c>
      <c r="BR3666" s="2" t="s">
        <v>84</v>
      </c>
      <c r="BS3666" s="3">
        <v>42857</v>
      </c>
      <c r="BT3666" s="4">
        <v>0.35625000000000001</v>
      </c>
      <c r="BU3666" s="2" t="s">
        <v>3501</v>
      </c>
      <c r="BV3666" s="2" t="s">
        <v>86</v>
      </c>
      <c r="BW3666" s="2"/>
      <c r="BX3666" s="2"/>
      <c r="BY3666" s="2">
        <v>1200</v>
      </c>
      <c r="BZ3666" s="2" t="s">
        <v>27</v>
      </c>
      <c r="CA3666" s="2" t="s">
        <v>106</v>
      </c>
      <c r="CB3666" s="2"/>
      <c r="CC3666" s="2" t="s">
        <v>100</v>
      </c>
      <c r="CD3666" s="2">
        <v>6001</v>
      </c>
      <c r="CE3666" s="2" t="s">
        <v>118</v>
      </c>
      <c r="CF3666" s="2"/>
      <c r="CG3666" s="2"/>
      <c r="CH3666" s="2"/>
      <c r="CI3666" s="2">
        <v>1</v>
      </c>
      <c r="CJ3666" s="2">
        <v>2</v>
      </c>
      <c r="CK3666" s="2">
        <v>21</v>
      </c>
      <c r="CL3666" s="2" t="s">
        <v>86</v>
      </c>
      <c r="CM3666" s="2"/>
    </row>
    <row r="3667" spans="1:91">
      <c r="A3667" s="2" t="s">
        <v>71</v>
      </c>
      <c r="B3667" s="2" t="s">
        <v>72</v>
      </c>
      <c r="C3667" s="2" t="s">
        <v>73</v>
      </c>
      <c r="D3667" s="2"/>
      <c r="E3667" s="2" t="str">
        <f>"FES1162545977"</f>
        <v>FES1162545977</v>
      </c>
      <c r="F3667" s="3">
        <v>42853</v>
      </c>
      <c r="G3667" s="2">
        <v>201710</v>
      </c>
      <c r="H3667" s="2" t="s">
        <v>74</v>
      </c>
      <c r="I3667" s="2" t="s">
        <v>75</v>
      </c>
      <c r="J3667" s="2" t="s">
        <v>76</v>
      </c>
      <c r="K3667" s="2" t="s">
        <v>77</v>
      </c>
      <c r="L3667" s="2" t="s">
        <v>358</v>
      </c>
      <c r="M3667" s="2" t="s">
        <v>359</v>
      </c>
      <c r="N3667" s="2" t="s">
        <v>360</v>
      </c>
      <c r="O3667" s="2" t="s">
        <v>115</v>
      </c>
      <c r="P3667" s="2" t="str">
        <f>"2170564414                    "</f>
        <v xml:space="preserve">2170564414                    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4.29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1</v>
      </c>
      <c r="BI3667" s="2">
        <v>0.7</v>
      </c>
      <c r="BJ3667" s="2">
        <v>0.9</v>
      </c>
      <c r="BK3667" s="2">
        <v>1</v>
      </c>
      <c r="BL3667" s="2">
        <v>41.73</v>
      </c>
      <c r="BM3667" s="2">
        <v>5.84</v>
      </c>
      <c r="BN3667" s="2">
        <v>47.57</v>
      </c>
      <c r="BO3667" s="2">
        <v>47.57</v>
      </c>
      <c r="BP3667" s="2"/>
      <c r="BQ3667" s="2" t="s">
        <v>361</v>
      </c>
      <c r="BR3667" s="2" t="s">
        <v>84</v>
      </c>
      <c r="BS3667" s="1" t="s">
        <v>1744</v>
      </c>
      <c r="BT3667" s="2"/>
      <c r="BU3667" s="2"/>
      <c r="BV3667" s="2"/>
      <c r="BW3667" s="2"/>
      <c r="BX3667" s="2"/>
      <c r="BY3667" s="2">
        <v>4592.67</v>
      </c>
      <c r="BZ3667" s="2" t="s">
        <v>27</v>
      </c>
      <c r="CA3667" s="2"/>
      <c r="CB3667" s="2"/>
      <c r="CC3667" s="2" t="s">
        <v>359</v>
      </c>
      <c r="CD3667" s="2">
        <v>6229</v>
      </c>
      <c r="CE3667" s="2" t="s">
        <v>172</v>
      </c>
      <c r="CF3667" s="2"/>
      <c r="CG3667" s="2"/>
      <c r="CH3667" s="2"/>
      <c r="CI3667" s="2">
        <v>1</v>
      </c>
      <c r="CJ3667" s="2" t="s">
        <v>1744</v>
      </c>
      <c r="CK3667" s="2">
        <v>21</v>
      </c>
      <c r="CL3667" s="2" t="s">
        <v>86</v>
      </c>
      <c r="CM3667" s="2"/>
    </row>
    <row r="3668" spans="1:91">
      <c r="A3668" s="2" t="s">
        <v>71</v>
      </c>
      <c r="B3668" s="2" t="s">
        <v>72</v>
      </c>
      <c r="C3668" s="2" t="s">
        <v>73</v>
      </c>
      <c r="D3668" s="2"/>
      <c r="E3668" s="2" t="str">
        <f>"FES1162545973"</f>
        <v>FES1162545973</v>
      </c>
      <c r="F3668" s="3">
        <v>42853</v>
      </c>
      <c r="G3668" s="2">
        <v>201710</v>
      </c>
      <c r="H3668" s="2" t="s">
        <v>74</v>
      </c>
      <c r="I3668" s="2" t="s">
        <v>75</v>
      </c>
      <c r="J3668" s="2" t="s">
        <v>76</v>
      </c>
      <c r="K3668" s="2" t="s">
        <v>77</v>
      </c>
      <c r="L3668" s="2" t="s">
        <v>126</v>
      </c>
      <c r="M3668" s="2" t="s">
        <v>127</v>
      </c>
      <c r="N3668" s="2" t="s">
        <v>718</v>
      </c>
      <c r="O3668" s="2" t="s">
        <v>115</v>
      </c>
      <c r="P3668" s="2" t="str">
        <f>"2170564404                    "</f>
        <v xml:space="preserve">2170564404                    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12.86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1</v>
      </c>
      <c r="BI3668" s="2">
        <v>5.9</v>
      </c>
      <c r="BJ3668" s="2">
        <v>1.9</v>
      </c>
      <c r="BK3668" s="2">
        <v>6</v>
      </c>
      <c r="BL3668" s="2">
        <v>125.18</v>
      </c>
      <c r="BM3668" s="2">
        <v>17.53</v>
      </c>
      <c r="BN3668" s="2">
        <v>142.71</v>
      </c>
      <c r="BO3668" s="2">
        <v>142.71</v>
      </c>
      <c r="BP3668" s="2"/>
      <c r="BQ3668" s="2" t="s">
        <v>719</v>
      </c>
      <c r="BR3668" s="2" t="s">
        <v>84</v>
      </c>
      <c r="BS3668" s="1" t="s">
        <v>1744</v>
      </c>
      <c r="BT3668" s="2"/>
      <c r="BU3668" s="2"/>
      <c r="BV3668" s="2"/>
      <c r="BW3668" s="2"/>
      <c r="BX3668" s="2"/>
      <c r="BY3668" s="2">
        <v>9654.6299999999992</v>
      </c>
      <c r="BZ3668" s="2" t="s">
        <v>27</v>
      </c>
      <c r="CA3668" s="2"/>
      <c r="CB3668" s="2"/>
      <c r="CC3668" s="2" t="s">
        <v>127</v>
      </c>
      <c r="CD3668" s="2">
        <v>6850</v>
      </c>
      <c r="CE3668" s="2" t="s">
        <v>172</v>
      </c>
      <c r="CF3668" s="2"/>
      <c r="CG3668" s="2"/>
      <c r="CH3668" s="2"/>
      <c r="CI3668" s="2">
        <v>3</v>
      </c>
      <c r="CJ3668" s="2" t="s">
        <v>1744</v>
      </c>
      <c r="CK3668" s="2">
        <v>21</v>
      </c>
      <c r="CL3668" s="2" t="s">
        <v>86</v>
      </c>
      <c r="CM3668" s="2"/>
    </row>
    <row r="3669" spans="1:91">
      <c r="A3669" s="2" t="s">
        <v>71</v>
      </c>
      <c r="B3669" s="2" t="s">
        <v>72</v>
      </c>
      <c r="C3669" s="2" t="s">
        <v>73</v>
      </c>
      <c r="D3669" s="2"/>
      <c r="E3669" s="2" t="str">
        <f>"FES1162545893"</f>
        <v>FES1162545893</v>
      </c>
      <c r="F3669" s="3">
        <v>42853</v>
      </c>
      <c r="G3669" s="2">
        <v>201710</v>
      </c>
      <c r="H3669" s="2" t="s">
        <v>74</v>
      </c>
      <c r="I3669" s="2" t="s">
        <v>75</v>
      </c>
      <c r="J3669" s="2" t="s">
        <v>76</v>
      </c>
      <c r="K3669" s="2" t="s">
        <v>77</v>
      </c>
      <c r="L3669" s="2" t="s">
        <v>443</v>
      </c>
      <c r="M3669" s="2" t="s">
        <v>444</v>
      </c>
      <c r="N3669" s="2" t="s">
        <v>627</v>
      </c>
      <c r="O3669" s="2" t="s">
        <v>115</v>
      </c>
      <c r="P3669" s="2" t="str">
        <f>"2170563991                    "</f>
        <v xml:space="preserve">2170563991                    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16.079999999999998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1</v>
      </c>
      <c r="BI3669" s="2">
        <v>7.3</v>
      </c>
      <c r="BJ3669" s="2">
        <v>3.8</v>
      </c>
      <c r="BK3669" s="2">
        <v>7.5</v>
      </c>
      <c r="BL3669" s="2">
        <v>156.47999999999999</v>
      </c>
      <c r="BM3669" s="2">
        <v>21.91</v>
      </c>
      <c r="BN3669" s="2">
        <v>178.39</v>
      </c>
      <c r="BO3669" s="2">
        <v>178.39</v>
      </c>
      <c r="BP3669" s="2"/>
      <c r="BQ3669" s="2" t="s">
        <v>628</v>
      </c>
      <c r="BR3669" s="2" t="s">
        <v>84</v>
      </c>
      <c r="BS3669" s="1" t="s">
        <v>1744</v>
      </c>
      <c r="BT3669" s="2"/>
      <c r="BU3669" s="2"/>
      <c r="BV3669" s="2"/>
      <c r="BW3669" s="2"/>
      <c r="BX3669" s="2"/>
      <c r="BY3669" s="2">
        <v>19217.259999999998</v>
      </c>
      <c r="BZ3669" s="2" t="s">
        <v>27</v>
      </c>
      <c r="CA3669" s="2"/>
      <c r="CB3669" s="2"/>
      <c r="CC3669" s="2" t="s">
        <v>444</v>
      </c>
      <c r="CD3669" s="2">
        <v>7130</v>
      </c>
      <c r="CE3669" s="2" t="s">
        <v>172</v>
      </c>
      <c r="CF3669" s="2"/>
      <c r="CG3669" s="2"/>
      <c r="CH3669" s="2"/>
      <c r="CI3669" s="2">
        <v>1</v>
      </c>
      <c r="CJ3669" s="2" t="s">
        <v>1744</v>
      </c>
      <c r="CK3669" s="2">
        <v>21</v>
      </c>
      <c r="CL3669" s="2" t="s">
        <v>86</v>
      </c>
      <c r="CM3669" s="2"/>
    </row>
    <row r="3670" spans="1:91">
      <c r="A3670" s="2" t="s">
        <v>71</v>
      </c>
      <c r="B3670" s="2" t="s">
        <v>72</v>
      </c>
      <c r="C3670" s="2" t="s">
        <v>73</v>
      </c>
      <c r="D3670" s="2"/>
      <c r="E3670" s="2" t="str">
        <f>"FES1162545942"</f>
        <v>FES1162545942</v>
      </c>
      <c r="F3670" s="3">
        <v>42853</v>
      </c>
      <c r="G3670" s="2">
        <v>201710</v>
      </c>
      <c r="H3670" s="2" t="s">
        <v>74</v>
      </c>
      <c r="I3670" s="2" t="s">
        <v>75</v>
      </c>
      <c r="J3670" s="2" t="s">
        <v>76</v>
      </c>
      <c r="K3670" s="2" t="s">
        <v>77</v>
      </c>
      <c r="L3670" s="2" t="s">
        <v>99</v>
      </c>
      <c r="M3670" s="2" t="s">
        <v>100</v>
      </c>
      <c r="N3670" s="2" t="s">
        <v>583</v>
      </c>
      <c r="O3670" s="2" t="s">
        <v>115</v>
      </c>
      <c r="P3670" s="2" t="str">
        <f>"2170562059                    "</f>
        <v xml:space="preserve">2170562059                    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8.57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1</v>
      </c>
      <c r="BI3670" s="2">
        <v>3.7</v>
      </c>
      <c r="BJ3670" s="2">
        <v>1.8</v>
      </c>
      <c r="BK3670" s="2">
        <v>4</v>
      </c>
      <c r="BL3670" s="2">
        <v>83.45</v>
      </c>
      <c r="BM3670" s="2">
        <v>11.68</v>
      </c>
      <c r="BN3670" s="2">
        <v>95.13</v>
      </c>
      <c r="BO3670" s="2">
        <v>95.13</v>
      </c>
      <c r="BP3670" s="2"/>
      <c r="BQ3670" s="2" t="s">
        <v>584</v>
      </c>
      <c r="BR3670" s="2" t="s">
        <v>84</v>
      </c>
      <c r="BS3670" s="3">
        <v>42857</v>
      </c>
      <c r="BT3670" s="4">
        <v>0.36388888888888887</v>
      </c>
      <c r="BU3670" s="2" t="s">
        <v>3502</v>
      </c>
      <c r="BV3670" s="2" t="s">
        <v>86</v>
      </c>
      <c r="BW3670" s="2"/>
      <c r="BX3670" s="2"/>
      <c r="BY3670" s="2">
        <v>9010.93</v>
      </c>
      <c r="BZ3670" s="2" t="s">
        <v>27</v>
      </c>
      <c r="CA3670" s="2" t="s">
        <v>3503</v>
      </c>
      <c r="CB3670" s="2"/>
      <c r="CC3670" s="2" t="s">
        <v>100</v>
      </c>
      <c r="CD3670" s="2">
        <v>6001</v>
      </c>
      <c r="CE3670" s="2" t="s">
        <v>172</v>
      </c>
      <c r="CF3670" s="2"/>
      <c r="CG3670" s="2"/>
      <c r="CH3670" s="2"/>
      <c r="CI3670" s="2">
        <v>1</v>
      </c>
      <c r="CJ3670" s="2">
        <v>2</v>
      </c>
      <c r="CK3670" s="2">
        <v>21</v>
      </c>
      <c r="CL3670" s="2" t="s">
        <v>86</v>
      </c>
      <c r="CM3670" s="2"/>
    </row>
    <row r="3671" spans="1:91">
      <c r="A3671" s="2" t="s">
        <v>71</v>
      </c>
      <c r="B3671" s="2" t="s">
        <v>72</v>
      </c>
      <c r="C3671" s="2" t="s">
        <v>73</v>
      </c>
      <c r="D3671" s="2"/>
      <c r="E3671" s="2" t="str">
        <f>"FES1162545957"</f>
        <v>FES1162545957</v>
      </c>
      <c r="F3671" s="3">
        <v>42853</v>
      </c>
      <c r="G3671" s="2">
        <v>201710</v>
      </c>
      <c r="H3671" s="2" t="s">
        <v>74</v>
      </c>
      <c r="I3671" s="2" t="s">
        <v>75</v>
      </c>
      <c r="J3671" s="2" t="s">
        <v>76</v>
      </c>
      <c r="K3671" s="2" t="s">
        <v>77</v>
      </c>
      <c r="L3671" s="2" t="s">
        <v>131</v>
      </c>
      <c r="M3671" s="2" t="s">
        <v>132</v>
      </c>
      <c r="N3671" s="2" t="s">
        <v>363</v>
      </c>
      <c r="O3671" s="2" t="s">
        <v>115</v>
      </c>
      <c r="P3671" s="2" t="str">
        <f>"2170563949                    "</f>
        <v xml:space="preserve">2170563949                    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6.43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1</v>
      </c>
      <c r="BI3671" s="2">
        <v>2.8</v>
      </c>
      <c r="BJ3671" s="2">
        <v>1.6</v>
      </c>
      <c r="BK3671" s="2">
        <v>3</v>
      </c>
      <c r="BL3671" s="2">
        <v>62.59</v>
      </c>
      <c r="BM3671" s="2">
        <v>8.76</v>
      </c>
      <c r="BN3671" s="2">
        <v>71.349999999999994</v>
      </c>
      <c r="BO3671" s="2">
        <v>71.349999999999994</v>
      </c>
      <c r="BP3671" s="2"/>
      <c r="BQ3671" s="2" t="s">
        <v>170</v>
      </c>
      <c r="BR3671" s="2" t="s">
        <v>84</v>
      </c>
      <c r="BS3671" s="1" t="s">
        <v>1744</v>
      </c>
      <c r="BT3671" s="2"/>
      <c r="BU3671" s="2"/>
      <c r="BV3671" s="2"/>
      <c r="BW3671" s="2"/>
      <c r="BX3671" s="2"/>
      <c r="BY3671" s="2">
        <v>8234.4599999999991</v>
      </c>
      <c r="BZ3671" s="2" t="s">
        <v>27</v>
      </c>
      <c r="CA3671" s="2"/>
      <c r="CB3671" s="2"/>
      <c r="CC3671" s="2" t="s">
        <v>132</v>
      </c>
      <c r="CD3671" s="2">
        <v>7441</v>
      </c>
      <c r="CE3671" s="2" t="s">
        <v>89</v>
      </c>
      <c r="CF3671" s="2"/>
      <c r="CG3671" s="2"/>
      <c r="CH3671" s="2"/>
      <c r="CI3671" s="2">
        <v>1</v>
      </c>
      <c r="CJ3671" s="2" t="s">
        <v>1744</v>
      </c>
      <c r="CK3671" s="2">
        <v>21</v>
      </c>
      <c r="CL3671" s="2" t="s">
        <v>86</v>
      </c>
      <c r="CM3671" s="2"/>
    </row>
    <row r="3672" spans="1:91">
      <c r="A3672" s="2" t="s">
        <v>71</v>
      </c>
      <c r="B3672" s="2" t="s">
        <v>72</v>
      </c>
      <c r="C3672" s="2" t="s">
        <v>73</v>
      </c>
      <c r="D3672" s="2"/>
      <c r="E3672" s="2" t="str">
        <f>"FES1162546057"</f>
        <v>FES1162546057</v>
      </c>
      <c r="F3672" s="3">
        <v>42853</v>
      </c>
      <c r="G3672" s="2">
        <v>201710</v>
      </c>
      <c r="H3672" s="2" t="s">
        <v>74</v>
      </c>
      <c r="I3672" s="2" t="s">
        <v>75</v>
      </c>
      <c r="J3672" s="2" t="s">
        <v>76</v>
      </c>
      <c r="K3672" s="2" t="s">
        <v>77</v>
      </c>
      <c r="L3672" s="2" t="s">
        <v>99</v>
      </c>
      <c r="M3672" s="2" t="s">
        <v>100</v>
      </c>
      <c r="N3672" s="2" t="s">
        <v>1009</v>
      </c>
      <c r="O3672" s="2" t="s">
        <v>115</v>
      </c>
      <c r="P3672" s="2" t="str">
        <f>"2170564462                    "</f>
        <v xml:space="preserve">2170564462                    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7.5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1</v>
      </c>
      <c r="BI3672" s="2">
        <v>3.3</v>
      </c>
      <c r="BJ3672" s="2">
        <v>1.7</v>
      </c>
      <c r="BK3672" s="2">
        <v>3.5</v>
      </c>
      <c r="BL3672" s="2">
        <v>73.02</v>
      </c>
      <c r="BM3672" s="2">
        <v>10.220000000000001</v>
      </c>
      <c r="BN3672" s="2">
        <v>83.24</v>
      </c>
      <c r="BO3672" s="2">
        <v>83.24</v>
      </c>
      <c r="BP3672" s="2"/>
      <c r="BQ3672" s="2" t="s">
        <v>1010</v>
      </c>
      <c r="BR3672" s="2" t="s">
        <v>84</v>
      </c>
      <c r="BS3672" s="3">
        <v>42857</v>
      </c>
      <c r="BT3672" s="4">
        <v>0.38263888888888892</v>
      </c>
      <c r="BU3672" s="2" t="s">
        <v>2517</v>
      </c>
      <c r="BV3672" s="2" t="s">
        <v>86</v>
      </c>
      <c r="BW3672" s="2"/>
      <c r="BX3672" s="2"/>
      <c r="BY3672" s="2">
        <v>8609.89</v>
      </c>
      <c r="BZ3672" s="2" t="s">
        <v>27</v>
      </c>
      <c r="CA3672" s="2" t="s">
        <v>3390</v>
      </c>
      <c r="CB3672" s="2"/>
      <c r="CC3672" s="2" t="s">
        <v>100</v>
      </c>
      <c r="CD3672" s="2">
        <v>6001</v>
      </c>
      <c r="CE3672" s="2" t="s">
        <v>89</v>
      </c>
      <c r="CF3672" s="2"/>
      <c r="CG3672" s="2"/>
      <c r="CH3672" s="2"/>
      <c r="CI3672" s="2">
        <v>1</v>
      </c>
      <c r="CJ3672" s="2">
        <v>2</v>
      </c>
      <c r="CK3672" s="2">
        <v>21</v>
      </c>
      <c r="CL3672" s="2" t="s">
        <v>86</v>
      </c>
      <c r="CM3672" s="2"/>
    </row>
    <row r="3673" spans="1:91">
      <c r="A3673" s="2" t="s">
        <v>71</v>
      </c>
      <c r="B3673" s="2" t="s">
        <v>72</v>
      </c>
      <c r="C3673" s="2" t="s">
        <v>73</v>
      </c>
      <c r="D3673" s="2"/>
      <c r="E3673" s="2" t="str">
        <f>"FES1162545956"</f>
        <v>FES1162545956</v>
      </c>
      <c r="F3673" s="3">
        <v>42853</v>
      </c>
      <c r="G3673" s="2">
        <v>201710</v>
      </c>
      <c r="H3673" s="2" t="s">
        <v>74</v>
      </c>
      <c r="I3673" s="2" t="s">
        <v>75</v>
      </c>
      <c r="J3673" s="2" t="s">
        <v>76</v>
      </c>
      <c r="K3673" s="2" t="s">
        <v>77</v>
      </c>
      <c r="L3673" s="2" t="s">
        <v>516</v>
      </c>
      <c r="M3673" s="2" t="s">
        <v>517</v>
      </c>
      <c r="N3673" s="2" t="s">
        <v>1017</v>
      </c>
      <c r="O3673" s="2" t="s">
        <v>115</v>
      </c>
      <c r="P3673" s="2" t="str">
        <f>"2170563925                    "</f>
        <v xml:space="preserve">2170563925                    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3.35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1</v>
      </c>
      <c r="BI3673" s="2">
        <v>6.2</v>
      </c>
      <c r="BJ3673" s="2">
        <v>3.2</v>
      </c>
      <c r="BK3673" s="2">
        <v>7</v>
      </c>
      <c r="BL3673" s="2">
        <v>32.6</v>
      </c>
      <c r="BM3673" s="2">
        <v>4.5599999999999996</v>
      </c>
      <c r="BN3673" s="2">
        <v>37.159999999999997</v>
      </c>
      <c r="BO3673" s="2">
        <v>37.159999999999997</v>
      </c>
      <c r="BP3673" s="2"/>
      <c r="BQ3673" s="2" t="s">
        <v>1018</v>
      </c>
      <c r="BR3673" s="2" t="s">
        <v>84</v>
      </c>
      <c r="BS3673" s="1" t="s">
        <v>1744</v>
      </c>
      <c r="BT3673" s="2"/>
      <c r="BU3673" s="2"/>
      <c r="BV3673" s="2"/>
      <c r="BW3673" s="2"/>
      <c r="BX3673" s="2"/>
      <c r="BY3673" s="2">
        <v>15978.24</v>
      </c>
      <c r="BZ3673" s="2" t="s">
        <v>27</v>
      </c>
      <c r="CA3673" s="2"/>
      <c r="CB3673" s="2"/>
      <c r="CC3673" s="2" t="s">
        <v>517</v>
      </c>
      <c r="CD3673" s="2">
        <v>1459</v>
      </c>
      <c r="CE3673" s="2" t="s">
        <v>89</v>
      </c>
      <c r="CF3673" s="2"/>
      <c r="CG3673" s="2"/>
      <c r="CH3673" s="2"/>
      <c r="CI3673" s="2">
        <v>1</v>
      </c>
      <c r="CJ3673" s="2" t="s">
        <v>1744</v>
      </c>
      <c r="CK3673" s="2">
        <v>22</v>
      </c>
      <c r="CL3673" s="2" t="s">
        <v>86</v>
      </c>
      <c r="CM3673" s="2"/>
    </row>
    <row r="3674" spans="1:91">
      <c r="A3674" s="2" t="s">
        <v>71</v>
      </c>
      <c r="B3674" s="2" t="s">
        <v>72</v>
      </c>
      <c r="C3674" s="2" t="s">
        <v>73</v>
      </c>
      <c r="D3674" s="2"/>
      <c r="E3674" s="2" t="str">
        <f>"FES1162546031"</f>
        <v>FES1162546031</v>
      </c>
      <c r="F3674" s="3">
        <v>42853</v>
      </c>
      <c r="G3674" s="2">
        <v>201710</v>
      </c>
      <c r="H3674" s="2" t="s">
        <v>74</v>
      </c>
      <c r="I3674" s="2" t="s">
        <v>75</v>
      </c>
      <c r="J3674" s="2" t="s">
        <v>76</v>
      </c>
      <c r="K3674" s="2" t="s">
        <v>77</v>
      </c>
      <c r="L3674" s="2" t="s">
        <v>131</v>
      </c>
      <c r="M3674" s="2" t="s">
        <v>132</v>
      </c>
      <c r="N3674" s="2" t="s">
        <v>3523</v>
      </c>
      <c r="O3674" s="2" t="s">
        <v>115</v>
      </c>
      <c r="P3674" s="2" t="str">
        <f>"2170564436                    "</f>
        <v xml:space="preserve">2170564436                    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5.36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1</v>
      </c>
      <c r="BI3674" s="2">
        <v>2.4</v>
      </c>
      <c r="BJ3674" s="2">
        <v>1.7</v>
      </c>
      <c r="BK3674" s="2">
        <v>2.5</v>
      </c>
      <c r="BL3674" s="2">
        <v>52.16</v>
      </c>
      <c r="BM3674" s="2">
        <v>7.3</v>
      </c>
      <c r="BN3674" s="2">
        <v>59.46</v>
      </c>
      <c r="BO3674" s="2">
        <v>59.46</v>
      </c>
      <c r="BP3674" s="2"/>
      <c r="BQ3674" s="2" t="s">
        <v>468</v>
      </c>
      <c r="BR3674" s="2" t="s">
        <v>84</v>
      </c>
      <c r="BS3674" s="1" t="s">
        <v>1744</v>
      </c>
      <c r="BT3674" s="2"/>
      <c r="BU3674" s="2"/>
      <c r="BV3674" s="2"/>
      <c r="BW3674" s="2"/>
      <c r="BX3674" s="2"/>
      <c r="BY3674" s="2">
        <v>8749.2000000000007</v>
      </c>
      <c r="BZ3674" s="2" t="s">
        <v>27</v>
      </c>
      <c r="CA3674" s="2"/>
      <c r="CB3674" s="2"/>
      <c r="CC3674" s="2" t="s">
        <v>132</v>
      </c>
      <c r="CD3674" s="2">
        <v>7405</v>
      </c>
      <c r="CE3674" s="2" t="s">
        <v>89</v>
      </c>
      <c r="CF3674" s="2"/>
      <c r="CG3674" s="2"/>
      <c r="CH3674" s="2"/>
      <c r="CI3674" s="2">
        <v>1</v>
      </c>
      <c r="CJ3674" s="2" t="s">
        <v>1744</v>
      </c>
      <c r="CK3674" s="2">
        <v>21</v>
      </c>
      <c r="CL3674" s="2" t="s">
        <v>86</v>
      </c>
      <c r="CM3674" s="2"/>
    </row>
    <row r="3675" spans="1:91">
      <c r="A3675" s="2" t="s">
        <v>71</v>
      </c>
      <c r="B3675" s="2" t="s">
        <v>72</v>
      </c>
      <c r="C3675" s="2" t="s">
        <v>73</v>
      </c>
      <c r="D3675" s="2"/>
      <c r="E3675" s="2" t="str">
        <f>"FES1162545903"</f>
        <v>FES1162545903</v>
      </c>
      <c r="F3675" s="3">
        <v>42853</v>
      </c>
      <c r="G3675" s="2">
        <v>201710</v>
      </c>
      <c r="H3675" s="2" t="s">
        <v>74</v>
      </c>
      <c r="I3675" s="2" t="s">
        <v>75</v>
      </c>
      <c r="J3675" s="2" t="s">
        <v>76</v>
      </c>
      <c r="K3675" s="2" t="s">
        <v>77</v>
      </c>
      <c r="L3675" s="2" t="s">
        <v>180</v>
      </c>
      <c r="M3675" s="2" t="s">
        <v>181</v>
      </c>
      <c r="N3675" s="2" t="s">
        <v>3210</v>
      </c>
      <c r="O3675" s="2" t="s">
        <v>115</v>
      </c>
      <c r="P3675" s="2" t="str">
        <f>"2170545903                    "</f>
        <v xml:space="preserve">2170545903                    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4.29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1</v>
      </c>
      <c r="BI3675" s="2">
        <v>0.5</v>
      </c>
      <c r="BJ3675" s="2">
        <v>0.2</v>
      </c>
      <c r="BK3675" s="2">
        <v>0.5</v>
      </c>
      <c r="BL3675" s="2">
        <v>41.73</v>
      </c>
      <c r="BM3675" s="2">
        <v>5.84</v>
      </c>
      <c r="BN3675" s="2">
        <v>47.57</v>
      </c>
      <c r="BO3675" s="2">
        <v>47.57</v>
      </c>
      <c r="BP3675" s="2"/>
      <c r="BQ3675" s="2" t="s">
        <v>3504</v>
      </c>
      <c r="BR3675" s="2" t="s">
        <v>84</v>
      </c>
      <c r="BS3675" s="1" t="s">
        <v>1744</v>
      </c>
      <c r="BT3675" s="2"/>
      <c r="BU3675" s="2"/>
      <c r="BV3675" s="2"/>
      <c r="BW3675" s="2"/>
      <c r="BX3675" s="2"/>
      <c r="BY3675" s="2">
        <v>1200</v>
      </c>
      <c r="BZ3675" s="2" t="s">
        <v>27</v>
      </c>
      <c r="CA3675" s="2"/>
      <c r="CB3675" s="2"/>
      <c r="CC3675" s="2" t="s">
        <v>181</v>
      </c>
      <c r="CD3675" s="2">
        <v>4051</v>
      </c>
      <c r="CE3675" s="2" t="s">
        <v>118</v>
      </c>
      <c r="CF3675" s="2"/>
      <c r="CG3675" s="2"/>
      <c r="CH3675" s="2"/>
      <c r="CI3675" s="2">
        <v>1</v>
      </c>
      <c r="CJ3675" s="2" t="s">
        <v>1744</v>
      </c>
      <c r="CK3675" s="2">
        <v>21</v>
      </c>
      <c r="CL3675" s="2" t="s">
        <v>86</v>
      </c>
      <c r="CM3675" s="2"/>
    </row>
    <row r="3676" spans="1:91">
      <c r="A3676" s="2" t="s">
        <v>71</v>
      </c>
      <c r="B3676" s="2" t="s">
        <v>72</v>
      </c>
      <c r="C3676" s="2" t="s">
        <v>73</v>
      </c>
      <c r="D3676" s="2"/>
      <c r="E3676" s="2" t="str">
        <f>"FES1162546029"</f>
        <v>FES1162546029</v>
      </c>
      <c r="F3676" s="3">
        <v>42853</v>
      </c>
      <c r="G3676" s="2">
        <v>201710</v>
      </c>
      <c r="H3676" s="2" t="s">
        <v>74</v>
      </c>
      <c r="I3676" s="2" t="s">
        <v>75</v>
      </c>
      <c r="J3676" s="2" t="s">
        <v>76</v>
      </c>
      <c r="K3676" s="2" t="s">
        <v>77</v>
      </c>
      <c r="L3676" s="2" t="s">
        <v>131</v>
      </c>
      <c r="M3676" s="2" t="s">
        <v>132</v>
      </c>
      <c r="N3676" s="2" t="s">
        <v>3524</v>
      </c>
      <c r="O3676" s="2" t="s">
        <v>115</v>
      </c>
      <c r="P3676" s="2" t="str">
        <f>"2170564433                    "</f>
        <v xml:space="preserve">2170564433                    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4.29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1</v>
      </c>
      <c r="BI3676" s="2">
        <v>1</v>
      </c>
      <c r="BJ3676" s="2">
        <v>0.2</v>
      </c>
      <c r="BK3676" s="2">
        <v>1</v>
      </c>
      <c r="BL3676" s="2">
        <v>41.73</v>
      </c>
      <c r="BM3676" s="2">
        <v>5.84</v>
      </c>
      <c r="BN3676" s="2">
        <v>47.57</v>
      </c>
      <c r="BO3676" s="2">
        <v>47.57</v>
      </c>
      <c r="BP3676" s="2"/>
      <c r="BQ3676" s="2" t="s">
        <v>468</v>
      </c>
      <c r="BR3676" s="2" t="s">
        <v>84</v>
      </c>
      <c r="BS3676" s="1" t="s">
        <v>1744</v>
      </c>
      <c r="BT3676" s="2"/>
      <c r="BU3676" s="2"/>
      <c r="BV3676" s="2"/>
      <c r="BW3676" s="2"/>
      <c r="BX3676" s="2"/>
      <c r="BY3676" s="2">
        <v>1200</v>
      </c>
      <c r="BZ3676" s="2" t="s">
        <v>27</v>
      </c>
      <c r="CA3676" s="2"/>
      <c r="CB3676" s="2"/>
      <c r="CC3676" s="2" t="s">
        <v>132</v>
      </c>
      <c r="CD3676" s="2">
        <v>7405</v>
      </c>
      <c r="CE3676" s="2" t="s">
        <v>118</v>
      </c>
      <c r="CF3676" s="2"/>
      <c r="CG3676" s="2"/>
      <c r="CH3676" s="2"/>
      <c r="CI3676" s="2">
        <v>1</v>
      </c>
      <c r="CJ3676" s="2" t="s">
        <v>1744</v>
      </c>
      <c r="CK3676" s="2">
        <v>21</v>
      </c>
      <c r="CL3676" s="2" t="s">
        <v>86</v>
      </c>
      <c r="CM3676" s="2"/>
    </row>
    <row r="3677" spans="1:91">
      <c r="A3677" s="2" t="s">
        <v>71</v>
      </c>
      <c r="B3677" s="2" t="s">
        <v>72</v>
      </c>
      <c r="C3677" s="2" t="s">
        <v>73</v>
      </c>
      <c r="D3677" s="2"/>
      <c r="E3677" s="2" t="str">
        <f>"FES1162545895"</f>
        <v>FES1162545895</v>
      </c>
      <c r="F3677" s="3">
        <v>42853</v>
      </c>
      <c r="G3677" s="2">
        <v>201710</v>
      </c>
      <c r="H3677" s="2" t="s">
        <v>74</v>
      </c>
      <c r="I3677" s="2" t="s">
        <v>75</v>
      </c>
      <c r="J3677" s="2" t="s">
        <v>76</v>
      </c>
      <c r="K3677" s="2" t="s">
        <v>77</v>
      </c>
      <c r="L3677" s="2" t="s">
        <v>294</v>
      </c>
      <c r="M3677" s="2" t="s">
        <v>295</v>
      </c>
      <c r="N3677" s="2" t="s">
        <v>1071</v>
      </c>
      <c r="O3677" s="2" t="s">
        <v>115</v>
      </c>
      <c r="P3677" s="2" t="str">
        <f>"2170564356                    "</f>
        <v xml:space="preserve">2170564356                    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4.29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1</v>
      </c>
      <c r="BI3677" s="2">
        <v>0.5</v>
      </c>
      <c r="BJ3677" s="2">
        <v>0.2</v>
      </c>
      <c r="BK3677" s="2">
        <v>0.5</v>
      </c>
      <c r="BL3677" s="2">
        <v>41.73</v>
      </c>
      <c r="BM3677" s="2">
        <v>5.84</v>
      </c>
      <c r="BN3677" s="2">
        <v>47.57</v>
      </c>
      <c r="BO3677" s="2">
        <v>47.57</v>
      </c>
      <c r="BP3677" s="2"/>
      <c r="BQ3677" s="2" t="s">
        <v>129</v>
      </c>
      <c r="BR3677" s="2" t="s">
        <v>84</v>
      </c>
      <c r="BS3677" s="1" t="s">
        <v>1744</v>
      </c>
      <c r="BT3677" s="2"/>
      <c r="BU3677" s="2"/>
      <c r="BV3677" s="2"/>
      <c r="BW3677" s="2"/>
      <c r="BX3677" s="2"/>
      <c r="BY3677" s="2">
        <v>1200</v>
      </c>
      <c r="BZ3677" s="2" t="s">
        <v>27</v>
      </c>
      <c r="CA3677" s="2"/>
      <c r="CB3677" s="2"/>
      <c r="CC3677" s="2" t="s">
        <v>295</v>
      </c>
      <c r="CD3677" s="2">
        <v>3610</v>
      </c>
      <c r="CE3677" s="2" t="s">
        <v>118</v>
      </c>
      <c r="CF3677" s="2"/>
      <c r="CG3677" s="2"/>
      <c r="CH3677" s="2"/>
      <c r="CI3677" s="2">
        <v>1</v>
      </c>
      <c r="CJ3677" s="2" t="s">
        <v>1744</v>
      </c>
      <c r="CK3677" s="2">
        <v>21</v>
      </c>
      <c r="CL3677" s="2" t="s">
        <v>86</v>
      </c>
      <c r="CM3677" s="2"/>
    </row>
    <row r="3678" spans="1:91">
      <c r="A3678" s="2" t="s">
        <v>71</v>
      </c>
      <c r="B3678" s="2" t="s">
        <v>72</v>
      </c>
      <c r="C3678" s="2" t="s">
        <v>73</v>
      </c>
      <c r="D3678" s="2"/>
      <c r="E3678" s="2" t="str">
        <f>"FES1162545954"</f>
        <v>FES1162545954</v>
      </c>
      <c r="F3678" s="3">
        <v>42853</v>
      </c>
      <c r="G3678" s="2">
        <v>201710</v>
      </c>
      <c r="H3678" s="2" t="s">
        <v>74</v>
      </c>
      <c r="I3678" s="2" t="s">
        <v>75</v>
      </c>
      <c r="J3678" s="2" t="s">
        <v>76</v>
      </c>
      <c r="K3678" s="2" t="s">
        <v>77</v>
      </c>
      <c r="L3678" s="2" t="s">
        <v>74</v>
      </c>
      <c r="M3678" s="2" t="s">
        <v>75</v>
      </c>
      <c r="N3678" s="2" t="s">
        <v>573</v>
      </c>
      <c r="O3678" s="2" t="s">
        <v>115</v>
      </c>
      <c r="P3678" s="2" t="str">
        <f>"2170563731                    "</f>
        <v xml:space="preserve">2170563731                    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3.35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1</v>
      </c>
      <c r="BI3678" s="2">
        <v>1</v>
      </c>
      <c r="BJ3678" s="2">
        <v>0.2</v>
      </c>
      <c r="BK3678" s="2">
        <v>1</v>
      </c>
      <c r="BL3678" s="2">
        <v>32.6</v>
      </c>
      <c r="BM3678" s="2">
        <v>4.5599999999999996</v>
      </c>
      <c r="BN3678" s="2">
        <v>37.159999999999997</v>
      </c>
      <c r="BO3678" s="2">
        <v>37.159999999999997</v>
      </c>
      <c r="BP3678" s="2"/>
      <c r="BQ3678" s="2" t="s">
        <v>574</v>
      </c>
      <c r="BR3678" s="2" t="s">
        <v>84</v>
      </c>
      <c r="BS3678" s="1" t="s">
        <v>1744</v>
      </c>
      <c r="BT3678" s="2"/>
      <c r="BU3678" s="2"/>
      <c r="BV3678" s="2"/>
      <c r="BW3678" s="2"/>
      <c r="BX3678" s="2"/>
      <c r="BY3678" s="2">
        <v>1200</v>
      </c>
      <c r="BZ3678" s="2" t="s">
        <v>27</v>
      </c>
      <c r="CA3678" s="2"/>
      <c r="CB3678" s="2"/>
      <c r="CC3678" s="2" t="s">
        <v>75</v>
      </c>
      <c r="CD3678" s="2">
        <v>1665</v>
      </c>
      <c r="CE3678" s="2" t="s">
        <v>118</v>
      </c>
      <c r="CF3678" s="2"/>
      <c r="CG3678" s="2"/>
      <c r="CH3678" s="2"/>
      <c r="CI3678" s="2">
        <v>1</v>
      </c>
      <c r="CJ3678" s="2" t="s">
        <v>1744</v>
      </c>
      <c r="CK3678" s="2">
        <v>22</v>
      </c>
      <c r="CL3678" s="2" t="s">
        <v>86</v>
      </c>
      <c r="CM3678" s="2"/>
    </row>
    <row r="3679" spans="1:91">
      <c r="A3679" s="2" t="s">
        <v>71</v>
      </c>
      <c r="B3679" s="2" t="s">
        <v>72</v>
      </c>
      <c r="C3679" s="2" t="s">
        <v>73</v>
      </c>
      <c r="D3679" s="2"/>
      <c r="E3679" s="2" t="str">
        <f>"FES1162545613"</f>
        <v>FES1162545613</v>
      </c>
      <c r="F3679" s="3">
        <v>42853</v>
      </c>
      <c r="G3679" s="2">
        <v>201710</v>
      </c>
      <c r="H3679" s="2" t="s">
        <v>74</v>
      </c>
      <c r="I3679" s="2" t="s">
        <v>75</v>
      </c>
      <c r="J3679" s="2" t="s">
        <v>76</v>
      </c>
      <c r="K3679" s="2" t="s">
        <v>77</v>
      </c>
      <c r="L3679" s="2" t="s">
        <v>112</v>
      </c>
      <c r="M3679" s="2" t="s">
        <v>113</v>
      </c>
      <c r="N3679" s="2" t="s">
        <v>3522</v>
      </c>
      <c r="O3679" s="2" t="s">
        <v>115</v>
      </c>
      <c r="P3679" s="2" t="str">
        <f>"2170560360                    "</f>
        <v xml:space="preserve">2170560360                    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4.29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1</v>
      </c>
      <c r="BI3679" s="2">
        <v>1</v>
      </c>
      <c r="BJ3679" s="2">
        <v>0.2</v>
      </c>
      <c r="BK3679" s="2">
        <v>1</v>
      </c>
      <c r="BL3679" s="2">
        <v>41.73</v>
      </c>
      <c r="BM3679" s="2">
        <v>5.84</v>
      </c>
      <c r="BN3679" s="2">
        <v>47.57</v>
      </c>
      <c r="BO3679" s="2">
        <v>47.57</v>
      </c>
      <c r="BP3679" s="2"/>
      <c r="BQ3679" s="2" t="s">
        <v>116</v>
      </c>
      <c r="BR3679" s="2" t="s">
        <v>84</v>
      </c>
      <c r="BS3679" s="1" t="s">
        <v>1744</v>
      </c>
      <c r="BT3679" s="2"/>
      <c r="BU3679" s="2"/>
      <c r="BV3679" s="2"/>
      <c r="BW3679" s="2"/>
      <c r="BX3679" s="2"/>
      <c r="BY3679" s="2">
        <v>1200</v>
      </c>
      <c r="BZ3679" s="2" t="s">
        <v>27</v>
      </c>
      <c r="CA3679" s="2"/>
      <c r="CB3679" s="2"/>
      <c r="CC3679" s="2" t="s">
        <v>113</v>
      </c>
      <c r="CD3679" s="2">
        <v>3201</v>
      </c>
      <c r="CE3679" s="2" t="s">
        <v>118</v>
      </c>
      <c r="CF3679" s="2"/>
      <c r="CG3679" s="2"/>
      <c r="CH3679" s="2"/>
      <c r="CI3679" s="2">
        <v>1</v>
      </c>
      <c r="CJ3679" s="2" t="s">
        <v>1744</v>
      </c>
      <c r="CK3679" s="2">
        <v>21</v>
      </c>
      <c r="CL3679" s="2" t="s">
        <v>86</v>
      </c>
      <c r="CM3679" s="2"/>
    </row>
    <row r="3680" spans="1:91">
      <c r="A3680" s="2" t="s">
        <v>71</v>
      </c>
      <c r="B3680" s="2" t="s">
        <v>72</v>
      </c>
      <c r="C3680" s="2" t="s">
        <v>73</v>
      </c>
      <c r="D3680" s="2"/>
      <c r="E3680" s="2" t="str">
        <f>"FES1162545940"</f>
        <v>FES1162545940</v>
      </c>
      <c r="F3680" s="3">
        <v>42853</v>
      </c>
      <c r="G3680" s="2">
        <v>201710</v>
      </c>
      <c r="H3680" s="2" t="s">
        <v>74</v>
      </c>
      <c r="I3680" s="2" t="s">
        <v>75</v>
      </c>
      <c r="J3680" s="2" t="s">
        <v>76</v>
      </c>
      <c r="K3680" s="2" t="s">
        <v>77</v>
      </c>
      <c r="L3680" s="2" t="s">
        <v>166</v>
      </c>
      <c r="M3680" s="2" t="s">
        <v>167</v>
      </c>
      <c r="N3680" s="2" t="s">
        <v>3525</v>
      </c>
      <c r="O3680" s="2" t="s">
        <v>115</v>
      </c>
      <c r="P3680" s="2" t="str">
        <f>"2170562014                    "</f>
        <v xml:space="preserve">2170562014                    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3.35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1</v>
      </c>
      <c r="BI3680" s="2">
        <v>1</v>
      </c>
      <c r="BJ3680" s="2">
        <v>0.2</v>
      </c>
      <c r="BK3680" s="2">
        <v>1</v>
      </c>
      <c r="BL3680" s="2">
        <v>32.6</v>
      </c>
      <c r="BM3680" s="2">
        <v>4.5599999999999996</v>
      </c>
      <c r="BN3680" s="2">
        <v>37.159999999999997</v>
      </c>
      <c r="BO3680" s="2">
        <v>37.159999999999997</v>
      </c>
      <c r="BP3680" s="2"/>
      <c r="BQ3680" s="2" t="s">
        <v>487</v>
      </c>
      <c r="BR3680" s="2" t="s">
        <v>84</v>
      </c>
      <c r="BS3680" s="1" t="s">
        <v>1744</v>
      </c>
      <c r="BT3680" s="2"/>
      <c r="BU3680" s="2"/>
      <c r="BV3680" s="2"/>
      <c r="BW3680" s="2"/>
      <c r="BX3680" s="2"/>
      <c r="BY3680" s="2">
        <v>1200</v>
      </c>
      <c r="BZ3680" s="2" t="s">
        <v>27</v>
      </c>
      <c r="CA3680" s="2"/>
      <c r="CB3680" s="2"/>
      <c r="CC3680" s="2" t="s">
        <v>167</v>
      </c>
      <c r="CD3680" s="2">
        <v>2013</v>
      </c>
      <c r="CE3680" s="2" t="s">
        <v>118</v>
      </c>
      <c r="CF3680" s="2"/>
      <c r="CG3680" s="2"/>
      <c r="CH3680" s="2"/>
      <c r="CI3680" s="2">
        <v>1</v>
      </c>
      <c r="CJ3680" s="2" t="s">
        <v>1744</v>
      </c>
      <c r="CK3680" s="2">
        <v>22</v>
      </c>
      <c r="CL3680" s="2" t="s">
        <v>86</v>
      </c>
      <c r="CM3680" s="2"/>
    </row>
    <row r="3681" spans="1:91">
      <c r="A3681" s="2" t="s">
        <v>71</v>
      </c>
      <c r="B3681" s="2" t="s">
        <v>72</v>
      </c>
      <c r="C3681" s="2" t="s">
        <v>73</v>
      </c>
      <c r="D3681" s="2"/>
      <c r="E3681" s="2" t="str">
        <f>"FES1162545968"</f>
        <v>FES1162545968</v>
      </c>
      <c r="F3681" s="3">
        <v>42853</v>
      </c>
      <c r="G3681" s="2">
        <v>201710</v>
      </c>
      <c r="H3681" s="2" t="s">
        <v>74</v>
      </c>
      <c r="I3681" s="2" t="s">
        <v>75</v>
      </c>
      <c r="J3681" s="2" t="s">
        <v>76</v>
      </c>
      <c r="K3681" s="2" t="s">
        <v>77</v>
      </c>
      <c r="L3681" s="2" t="s">
        <v>496</v>
      </c>
      <c r="M3681" s="2" t="s">
        <v>497</v>
      </c>
      <c r="N3681" s="2" t="s">
        <v>879</v>
      </c>
      <c r="O3681" s="2" t="s">
        <v>115</v>
      </c>
      <c r="P3681" s="2" t="str">
        <f>"2170564395                    "</f>
        <v xml:space="preserve">2170564395                    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3.35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1</v>
      </c>
      <c r="BI3681" s="2">
        <v>7.8</v>
      </c>
      <c r="BJ3681" s="2">
        <v>3.7</v>
      </c>
      <c r="BK3681" s="2">
        <v>8</v>
      </c>
      <c r="BL3681" s="2">
        <v>32.6</v>
      </c>
      <c r="BM3681" s="2">
        <v>4.5599999999999996</v>
      </c>
      <c r="BN3681" s="2">
        <v>37.159999999999997</v>
      </c>
      <c r="BO3681" s="2">
        <v>37.159999999999997</v>
      </c>
      <c r="BP3681" s="2"/>
      <c r="BQ3681" s="2" t="s">
        <v>880</v>
      </c>
      <c r="BR3681" s="2" t="s">
        <v>84</v>
      </c>
      <c r="BS3681" s="1" t="s">
        <v>1744</v>
      </c>
      <c r="BT3681" s="2"/>
      <c r="BU3681" s="2"/>
      <c r="BV3681" s="2"/>
      <c r="BW3681" s="2"/>
      <c r="BX3681" s="2"/>
      <c r="BY3681" s="2">
        <v>18432.52</v>
      </c>
      <c r="BZ3681" s="2" t="s">
        <v>27</v>
      </c>
      <c r="CA3681" s="2"/>
      <c r="CB3681" s="2"/>
      <c r="CC3681" s="2" t="s">
        <v>497</v>
      </c>
      <c r="CD3681" s="2">
        <v>1559</v>
      </c>
      <c r="CE3681" s="2" t="s">
        <v>89</v>
      </c>
      <c r="CF3681" s="2"/>
      <c r="CG3681" s="2"/>
      <c r="CH3681" s="2"/>
      <c r="CI3681" s="2">
        <v>1</v>
      </c>
      <c r="CJ3681" s="2" t="s">
        <v>1744</v>
      </c>
      <c r="CK3681" s="2">
        <v>22</v>
      </c>
      <c r="CL3681" s="2" t="s">
        <v>86</v>
      </c>
      <c r="CM3681" s="2"/>
    </row>
    <row r="3682" spans="1:91">
      <c r="A3682" s="2" t="s">
        <v>71</v>
      </c>
      <c r="B3682" s="2" t="s">
        <v>72</v>
      </c>
      <c r="C3682" s="2" t="s">
        <v>73</v>
      </c>
      <c r="D3682" s="2"/>
      <c r="E3682" s="2" t="str">
        <f>"FES1162545868"</f>
        <v>FES1162545868</v>
      </c>
      <c r="F3682" s="3">
        <v>42853</v>
      </c>
      <c r="G3682" s="2">
        <v>201710</v>
      </c>
      <c r="H3682" s="2" t="s">
        <v>74</v>
      </c>
      <c r="I3682" s="2" t="s">
        <v>75</v>
      </c>
      <c r="J3682" s="2" t="s">
        <v>76</v>
      </c>
      <c r="K3682" s="2" t="s">
        <v>77</v>
      </c>
      <c r="L3682" s="2" t="s">
        <v>176</v>
      </c>
      <c r="M3682" s="2" t="s">
        <v>176</v>
      </c>
      <c r="N3682" s="2" t="s">
        <v>3526</v>
      </c>
      <c r="O3682" s="2" t="s">
        <v>115</v>
      </c>
      <c r="P3682" s="2" t="str">
        <f>"2170564324                    "</f>
        <v xml:space="preserve">2170564324                    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6.43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1</v>
      </c>
      <c r="BI3682" s="2">
        <v>2.6</v>
      </c>
      <c r="BJ3682" s="2">
        <v>1.7</v>
      </c>
      <c r="BK3682" s="2">
        <v>3</v>
      </c>
      <c r="BL3682" s="2">
        <v>62.59</v>
      </c>
      <c r="BM3682" s="2">
        <v>8.76</v>
      </c>
      <c r="BN3682" s="2">
        <v>71.349999999999994</v>
      </c>
      <c r="BO3682" s="2">
        <v>71.349999999999994</v>
      </c>
      <c r="BP3682" s="2"/>
      <c r="BQ3682" s="2" t="s">
        <v>178</v>
      </c>
      <c r="BR3682" s="2" t="s">
        <v>84</v>
      </c>
      <c r="BS3682" s="1" t="s">
        <v>1744</v>
      </c>
      <c r="BT3682" s="2"/>
      <c r="BU3682" s="2"/>
      <c r="BV3682" s="2"/>
      <c r="BW3682" s="2"/>
      <c r="BX3682" s="2"/>
      <c r="BY3682" s="2">
        <v>8405.65</v>
      </c>
      <c r="BZ3682" s="2" t="s">
        <v>27</v>
      </c>
      <c r="CA3682" s="2"/>
      <c r="CB3682" s="2"/>
      <c r="CC3682" s="2" t="s">
        <v>176</v>
      </c>
      <c r="CD3682" s="2">
        <v>7646</v>
      </c>
      <c r="CE3682" s="2" t="s">
        <v>89</v>
      </c>
      <c r="CF3682" s="2"/>
      <c r="CG3682" s="2"/>
      <c r="CH3682" s="2"/>
      <c r="CI3682" s="2">
        <v>1</v>
      </c>
      <c r="CJ3682" s="2" t="s">
        <v>1744</v>
      </c>
      <c r="CK3682" s="2">
        <v>21</v>
      </c>
      <c r="CL3682" s="2" t="s">
        <v>86</v>
      </c>
      <c r="CM3682" s="2"/>
    </row>
    <row r="3683" spans="1:91">
      <c r="A3683" s="2" t="s">
        <v>71</v>
      </c>
      <c r="B3683" s="2" t="s">
        <v>72</v>
      </c>
      <c r="C3683" s="2" t="s">
        <v>73</v>
      </c>
      <c r="D3683" s="2"/>
      <c r="E3683" s="2" t="str">
        <f>"FES1162545948"</f>
        <v>FES1162545948</v>
      </c>
      <c r="F3683" s="3">
        <v>42853</v>
      </c>
      <c r="G3683" s="2">
        <v>201710</v>
      </c>
      <c r="H3683" s="2" t="s">
        <v>74</v>
      </c>
      <c r="I3683" s="2" t="s">
        <v>75</v>
      </c>
      <c r="J3683" s="2" t="s">
        <v>76</v>
      </c>
      <c r="K3683" s="2" t="s">
        <v>77</v>
      </c>
      <c r="L3683" s="2" t="s">
        <v>299</v>
      </c>
      <c r="M3683" s="2" t="s">
        <v>300</v>
      </c>
      <c r="N3683" s="2" t="s">
        <v>301</v>
      </c>
      <c r="O3683" s="2" t="s">
        <v>115</v>
      </c>
      <c r="P3683" s="2" t="str">
        <f>"2170562218                    "</f>
        <v xml:space="preserve">2170562218                    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6.03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1.1000000000000001</v>
      </c>
      <c r="BJ3683" s="2">
        <v>1</v>
      </c>
      <c r="BK3683" s="2">
        <v>1.5</v>
      </c>
      <c r="BL3683" s="2">
        <v>58.68</v>
      </c>
      <c r="BM3683" s="2">
        <v>8.2200000000000006</v>
      </c>
      <c r="BN3683" s="2">
        <v>66.900000000000006</v>
      </c>
      <c r="BO3683" s="2">
        <v>66.900000000000006</v>
      </c>
      <c r="BP3683" s="2"/>
      <c r="BQ3683" s="2" t="s">
        <v>302</v>
      </c>
      <c r="BR3683" s="2" t="s">
        <v>84</v>
      </c>
      <c r="BS3683" s="1" t="s">
        <v>1744</v>
      </c>
      <c r="BT3683" s="2"/>
      <c r="BU3683" s="2"/>
      <c r="BV3683" s="2"/>
      <c r="BW3683" s="2"/>
      <c r="BX3683" s="2"/>
      <c r="BY3683" s="2">
        <v>4953.3100000000004</v>
      </c>
      <c r="BZ3683" s="2" t="s">
        <v>27</v>
      </c>
      <c r="CA3683" s="2"/>
      <c r="CB3683" s="2"/>
      <c r="CC3683" s="2" t="s">
        <v>300</v>
      </c>
      <c r="CD3683" s="2">
        <v>208</v>
      </c>
      <c r="CE3683" s="2" t="s">
        <v>89</v>
      </c>
      <c r="CF3683" s="2"/>
      <c r="CG3683" s="2"/>
      <c r="CH3683" s="2"/>
      <c r="CI3683" s="2">
        <v>1</v>
      </c>
      <c r="CJ3683" s="2" t="s">
        <v>1744</v>
      </c>
      <c r="CK3683" s="2">
        <v>24</v>
      </c>
      <c r="CL3683" s="2" t="s">
        <v>86</v>
      </c>
      <c r="CM3683" s="2"/>
    </row>
    <row r="3684" spans="1:91">
      <c r="A3684" s="2" t="s">
        <v>71</v>
      </c>
      <c r="B3684" s="2" t="s">
        <v>72</v>
      </c>
      <c r="C3684" s="2" t="s">
        <v>73</v>
      </c>
      <c r="D3684" s="2"/>
      <c r="E3684" s="2" t="str">
        <f>"FES1162546005"</f>
        <v>FES1162546005</v>
      </c>
      <c r="F3684" s="3">
        <v>42853</v>
      </c>
      <c r="G3684" s="2">
        <v>201710</v>
      </c>
      <c r="H3684" s="2" t="s">
        <v>74</v>
      </c>
      <c r="I3684" s="2" t="s">
        <v>75</v>
      </c>
      <c r="J3684" s="2" t="s">
        <v>76</v>
      </c>
      <c r="K3684" s="2" t="s">
        <v>77</v>
      </c>
      <c r="L3684" s="2" t="s">
        <v>187</v>
      </c>
      <c r="M3684" s="2" t="s">
        <v>146</v>
      </c>
      <c r="N3684" s="2" t="s">
        <v>1396</v>
      </c>
      <c r="O3684" s="2" t="s">
        <v>115</v>
      </c>
      <c r="P3684" s="2" t="str">
        <f>"2170564165                    "</f>
        <v xml:space="preserve">2170564165                    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4.29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1</v>
      </c>
      <c r="BI3684" s="2">
        <v>0.7</v>
      </c>
      <c r="BJ3684" s="2">
        <v>0.7</v>
      </c>
      <c r="BK3684" s="2">
        <v>1</v>
      </c>
      <c r="BL3684" s="2">
        <v>41.73</v>
      </c>
      <c r="BM3684" s="2">
        <v>5.84</v>
      </c>
      <c r="BN3684" s="2">
        <v>47.57</v>
      </c>
      <c r="BO3684" s="2">
        <v>47.57</v>
      </c>
      <c r="BP3684" s="2"/>
      <c r="BQ3684" s="2" t="s">
        <v>1397</v>
      </c>
      <c r="BR3684" s="2" t="s">
        <v>84</v>
      </c>
      <c r="BS3684" s="1" t="s">
        <v>1744</v>
      </c>
      <c r="BT3684" s="2"/>
      <c r="BU3684" s="2"/>
      <c r="BV3684" s="2"/>
      <c r="BW3684" s="2"/>
      <c r="BX3684" s="2"/>
      <c r="BY3684" s="2">
        <v>3506.88</v>
      </c>
      <c r="BZ3684" s="2" t="s">
        <v>27</v>
      </c>
      <c r="CA3684" s="2"/>
      <c r="CB3684" s="2"/>
      <c r="CC3684" s="2" t="s">
        <v>146</v>
      </c>
      <c r="CD3684" s="2">
        <v>140</v>
      </c>
      <c r="CE3684" s="2" t="s">
        <v>89</v>
      </c>
      <c r="CF3684" s="2"/>
      <c r="CG3684" s="2"/>
      <c r="CH3684" s="2"/>
      <c r="CI3684" s="2">
        <v>1</v>
      </c>
      <c r="CJ3684" s="2" t="s">
        <v>1744</v>
      </c>
      <c r="CK3684" s="2">
        <v>21</v>
      </c>
      <c r="CL3684" s="2" t="s">
        <v>86</v>
      </c>
      <c r="CM3684" s="2"/>
    </row>
    <row r="3685" spans="1:91">
      <c r="A3685" s="2" t="s">
        <v>71</v>
      </c>
      <c r="B3685" s="2" t="s">
        <v>72</v>
      </c>
      <c r="C3685" s="2" t="s">
        <v>73</v>
      </c>
      <c r="D3685" s="2"/>
      <c r="E3685" s="2" t="str">
        <f>"FES1162545546"</f>
        <v>FES1162545546</v>
      </c>
      <c r="F3685" s="3">
        <v>42853</v>
      </c>
      <c r="G3685" s="2">
        <v>201710</v>
      </c>
      <c r="H3685" s="2" t="s">
        <v>74</v>
      </c>
      <c r="I3685" s="2" t="s">
        <v>75</v>
      </c>
      <c r="J3685" s="2" t="s">
        <v>76</v>
      </c>
      <c r="K3685" s="2" t="s">
        <v>77</v>
      </c>
      <c r="L3685" s="2" t="s">
        <v>131</v>
      </c>
      <c r="M3685" s="2" t="s">
        <v>132</v>
      </c>
      <c r="N3685" s="2" t="s">
        <v>744</v>
      </c>
      <c r="O3685" s="2" t="s">
        <v>115</v>
      </c>
      <c r="P3685" s="2" t="str">
        <f>"2170563840                    "</f>
        <v xml:space="preserve">2170563840                    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4.29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1</v>
      </c>
      <c r="BI3685" s="2">
        <v>0.5</v>
      </c>
      <c r="BJ3685" s="2">
        <v>0.2</v>
      </c>
      <c r="BK3685" s="2">
        <v>0.5</v>
      </c>
      <c r="BL3685" s="2">
        <v>41.73</v>
      </c>
      <c r="BM3685" s="2">
        <v>5.84</v>
      </c>
      <c r="BN3685" s="2">
        <v>47.57</v>
      </c>
      <c r="BO3685" s="2">
        <v>47.57</v>
      </c>
      <c r="BP3685" s="2"/>
      <c r="BQ3685" s="2" t="s">
        <v>138</v>
      </c>
      <c r="BR3685" s="2" t="s">
        <v>84</v>
      </c>
      <c r="BS3685" s="1" t="s">
        <v>1744</v>
      </c>
      <c r="BT3685" s="2"/>
      <c r="BU3685" s="2"/>
      <c r="BV3685" s="2"/>
      <c r="BW3685" s="2"/>
      <c r="BX3685" s="2"/>
      <c r="BY3685" s="2">
        <v>1200</v>
      </c>
      <c r="BZ3685" s="2" t="s">
        <v>27</v>
      </c>
      <c r="CA3685" s="2"/>
      <c r="CB3685" s="2"/>
      <c r="CC3685" s="2" t="s">
        <v>132</v>
      </c>
      <c r="CD3685" s="2">
        <v>7405</v>
      </c>
      <c r="CE3685" s="2" t="s">
        <v>118</v>
      </c>
      <c r="CF3685" s="2"/>
      <c r="CG3685" s="2"/>
      <c r="CH3685" s="2"/>
      <c r="CI3685" s="2">
        <v>1</v>
      </c>
      <c r="CJ3685" s="2" t="s">
        <v>1744</v>
      </c>
      <c r="CK3685" s="2">
        <v>21</v>
      </c>
      <c r="CL3685" s="2" t="s">
        <v>86</v>
      </c>
      <c r="CM3685" s="2"/>
    </row>
    <row r="3686" spans="1:91">
      <c r="A3686" s="2" t="s">
        <v>71</v>
      </c>
      <c r="B3686" s="2" t="s">
        <v>72</v>
      </c>
      <c r="C3686" s="2" t="s">
        <v>73</v>
      </c>
      <c r="D3686" s="2"/>
      <c r="E3686" s="2" t="str">
        <f>"FES1162545692"</f>
        <v>FES1162545692</v>
      </c>
      <c r="F3686" s="3">
        <v>42851</v>
      </c>
      <c r="G3686" s="2">
        <v>201710</v>
      </c>
      <c r="H3686" s="2" t="s">
        <v>74</v>
      </c>
      <c r="I3686" s="2" t="s">
        <v>75</v>
      </c>
      <c r="J3686" s="2" t="s">
        <v>200</v>
      </c>
      <c r="K3686" s="2" t="s">
        <v>77</v>
      </c>
      <c r="L3686" s="2" t="s">
        <v>145</v>
      </c>
      <c r="M3686" s="2" t="s">
        <v>146</v>
      </c>
      <c r="N3686" s="2" t="s">
        <v>2529</v>
      </c>
      <c r="O3686" s="2" t="s">
        <v>81</v>
      </c>
      <c r="P3686" s="2" t="str">
        <f>"2170564154                    "</f>
        <v xml:space="preserve">2170564154                    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7.37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0</v>
      </c>
      <c r="BE3686" s="2">
        <v>0</v>
      </c>
      <c r="BF3686" s="2">
        <v>0</v>
      </c>
      <c r="BG3686" s="2">
        <v>0</v>
      </c>
      <c r="BH3686" s="2">
        <v>1</v>
      </c>
      <c r="BI3686" s="2">
        <v>6.5</v>
      </c>
      <c r="BJ3686" s="2">
        <v>3.4</v>
      </c>
      <c r="BK3686" s="2">
        <v>7</v>
      </c>
      <c r="BL3686" s="2">
        <v>76.72</v>
      </c>
      <c r="BM3686" s="2">
        <v>10.74</v>
      </c>
      <c r="BN3686" s="2">
        <v>87.46</v>
      </c>
      <c r="BO3686" s="2">
        <v>87.46</v>
      </c>
      <c r="BP3686" s="2"/>
      <c r="BQ3686" s="2" t="s">
        <v>2530</v>
      </c>
      <c r="BR3686" s="2" t="s">
        <v>2287</v>
      </c>
      <c r="BS3686" s="1" t="s">
        <v>1744</v>
      </c>
      <c r="BT3686" s="2"/>
      <c r="BU3686" s="2"/>
      <c r="BV3686" s="2"/>
      <c r="BW3686" s="2"/>
      <c r="BX3686" s="2"/>
      <c r="BY3686" s="2">
        <v>16774</v>
      </c>
      <c r="BZ3686" s="2"/>
      <c r="CA3686" s="2"/>
      <c r="CB3686" s="2"/>
      <c r="CC3686" s="2" t="s">
        <v>146</v>
      </c>
      <c r="CD3686" s="2">
        <v>8</v>
      </c>
      <c r="CE3686" s="2" t="s">
        <v>89</v>
      </c>
      <c r="CF3686" s="2"/>
      <c r="CG3686" s="2"/>
      <c r="CH3686" s="2"/>
      <c r="CI3686" s="2">
        <v>0</v>
      </c>
      <c r="CJ3686" s="2">
        <v>0</v>
      </c>
      <c r="CK3686" s="2" t="s">
        <v>150</v>
      </c>
      <c r="CL3686" s="2" t="s">
        <v>86</v>
      </c>
      <c r="CM3686" s="2"/>
    </row>
    <row r="3687" spans="1:91">
      <c r="A3687" s="2" t="s">
        <v>71</v>
      </c>
      <c r="B3687" s="2" t="s">
        <v>72</v>
      </c>
      <c r="C3687" s="2" t="s">
        <v>73</v>
      </c>
      <c r="D3687" s="2"/>
      <c r="E3687" s="2" t="str">
        <f>"FES1162545044"</f>
        <v>FES1162545044</v>
      </c>
      <c r="F3687" s="3">
        <v>42849</v>
      </c>
      <c r="G3687" s="2">
        <v>201710</v>
      </c>
      <c r="H3687" s="2" t="s">
        <v>74</v>
      </c>
      <c r="I3687" s="2" t="s">
        <v>75</v>
      </c>
      <c r="J3687" s="2" t="s">
        <v>200</v>
      </c>
      <c r="K3687" s="2" t="s">
        <v>77</v>
      </c>
      <c r="L3687" s="2" t="s">
        <v>145</v>
      </c>
      <c r="M3687" s="2" t="s">
        <v>146</v>
      </c>
      <c r="N3687" s="2" t="s">
        <v>1306</v>
      </c>
      <c r="O3687" s="2" t="s">
        <v>81</v>
      </c>
      <c r="P3687" s="2" t="str">
        <f>"2170562916                    "</f>
        <v xml:space="preserve">2170562916                    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7.37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1</v>
      </c>
      <c r="BI3687" s="2">
        <v>4.4000000000000004</v>
      </c>
      <c r="BJ3687" s="2">
        <v>1.9</v>
      </c>
      <c r="BK3687" s="2">
        <v>5</v>
      </c>
      <c r="BL3687" s="2">
        <v>76.72</v>
      </c>
      <c r="BM3687" s="2">
        <v>10.74</v>
      </c>
      <c r="BN3687" s="2">
        <v>87.46</v>
      </c>
      <c r="BO3687" s="2">
        <v>87.46</v>
      </c>
      <c r="BP3687" s="2"/>
      <c r="BQ3687" s="2" t="s">
        <v>1307</v>
      </c>
      <c r="BR3687" s="2" t="s">
        <v>2287</v>
      </c>
      <c r="BS3687" s="3">
        <v>42850</v>
      </c>
      <c r="BT3687" s="4">
        <v>0.43402777777777773</v>
      </c>
      <c r="BU3687" s="2" t="s">
        <v>1308</v>
      </c>
      <c r="BV3687" s="2"/>
      <c r="BW3687" s="2"/>
      <c r="BX3687" s="2"/>
      <c r="BY3687" s="2">
        <v>9687.5499999999993</v>
      </c>
      <c r="BZ3687" s="2"/>
      <c r="CA3687" s="2"/>
      <c r="CB3687" s="2"/>
      <c r="CC3687" s="2" t="s">
        <v>146</v>
      </c>
      <c r="CD3687" s="2">
        <v>117</v>
      </c>
      <c r="CE3687" s="2" t="s">
        <v>89</v>
      </c>
      <c r="CF3687" s="5">
        <v>42853</v>
      </c>
      <c r="CG3687" s="2"/>
      <c r="CH3687" s="2"/>
      <c r="CI3687" s="2">
        <v>0</v>
      </c>
      <c r="CJ3687" s="2">
        <v>0</v>
      </c>
      <c r="CK3687" s="2" t="s">
        <v>150</v>
      </c>
      <c r="CL3687" s="2" t="s">
        <v>86</v>
      </c>
      <c r="CM3687" s="2"/>
    </row>
    <row r="3688" spans="1:91">
      <c r="A3688" s="2" t="s">
        <v>71</v>
      </c>
      <c r="B3688" s="2" t="s">
        <v>72</v>
      </c>
      <c r="C3688" s="2" t="s">
        <v>73</v>
      </c>
      <c r="D3688" s="2"/>
      <c r="E3688" s="2" t="str">
        <f>"FES1162545532"</f>
        <v>FES1162545532</v>
      </c>
      <c r="F3688" s="3">
        <v>42850</v>
      </c>
      <c r="G3688" s="2">
        <v>201710</v>
      </c>
      <c r="H3688" s="2" t="s">
        <v>74</v>
      </c>
      <c r="I3688" s="2" t="s">
        <v>75</v>
      </c>
      <c r="J3688" s="2" t="s">
        <v>200</v>
      </c>
      <c r="K3688" s="2" t="s">
        <v>77</v>
      </c>
      <c r="L3688" s="2" t="s">
        <v>609</v>
      </c>
      <c r="M3688" s="2" t="s">
        <v>610</v>
      </c>
      <c r="N3688" s="2" t="s">
        <v>1263</v>
      </c>
      <c r="O3688" s="2" t="s">
        <v>81</v>
      </c>
      <c r="P3688" s="2" t="str">
        <f>"2170555042                    "</f>
        <v xml:space="preserve">2170555042                    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7.37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1</v>
      </c>
      <c r="BI3688" s="2">
        <v>7.9</v>
      </c>
      <c r="BJ3688" s="2">
        <v>3.2</v>
      </c>
      <c r="BK3688" s="2">
        <v>8</v>
      </c>
      <c r="BL3688" s="2">
        <v>76.72</v>
      </c>
      <c r="BM3688" s="2">
        <v>10.74</v>
      </c>
      <c r="BN3688" s="2">
        <v>87.46</v>
      </c>
      <c r="BO3688" s="2">
        <v>87.46</v>
      </c>
      <c r="BP3688" s="2"/>
      <c r="BQ3688" s="2" t="s">
        <v>3343</v>
      </c>
      <c r="BR3688" s="2" t="s">
        <v>2287</v>
      </c>
      <c r="BS3688" s="3">
        <v>42851</v>
      </c>
      <c r="BT3688" s="4">
        <v>0.41666666666666669</v>
      </c>
      <c r="BU3688" s="2" t="s">
        <v>3505</v>
      </c>
      <c r="BV3688" s="2" t="s">
        <v>111</v>
      </c>
      <c r="BW3688" s="2"/>
      <c r="BX3688" s="2"/>
      <c r="BY3688" s="2">
        <v>16245</v>
      </c>
      <c r="BZ3688" s="2"/>
      <c r="CA3688" s="2" t="s">
        <v>159</v>
      </c>
      <c r="CB3688" s="2"/>
      <c r="CC3688" s="2" t="s">
        <v>610</v>
      </c>
      <c r="CD3688" s="2">
        <v>1900</v>
      </c>
      <c r="CE3688" s="2" t="s">
        <v>89</v>
      </c>
      <c r="CF3688" s="5">
        <v>42853</v>
      </c>
      <c r="CG3688" s="2"/>
      <c r="CH3688" s="2"/>
      <c r="CI3688" s="2">
        <v>0</v>
      </c>
      <c r="CJ3688" s="2">
        <v>0</v>
      </c>
      <c r="CK3688" s="2" t="s">
        <v>150</v>
      </c>
      <c r="CL3688" s="2" t="s">
        <v>86</v>
      </c>
      <c r="CM3688" s="2"/>
    </row>
    <row r="3689" spans="1:91">
      <c r="A3689" s="2" t="s">
        <v>71</v>
      </c>
      <c r="B3689" s="2" t="s">
        <v>72</v>
      </c>
      <c r="C3689" s="2" t="s">
        <v>73</v>
      </c>
      <c r="D3689" s="2"/>
      <c r="E3689" s="2" t="str">
        <f>"FES1162544289"</f>
        <v>FES1162544289</v>
      </c>
      <c r="F3689" s="3">
        <v>42844</v>
      </c>
      <c r="G3689" s="2">
        <v>201710</v>
      </c>
      <c r="H3689" s="2" t="s">
        <v>74</v>
      </c>
      <c r="I3689" s="2" t="s">
        <v>75</v>
      </c>
      <c r="J3689" s="2" t="s">
        <v>200</v>
      </c>
      <c r="K3689" s="2" t="s">
        <v>77</v>
      </c>
      <c r="L3689" s="2" t="s">
        <v>516</v>
      </c>
      <c r="M3689" s="2" t="s">
        <v>517</v>
      </c>
      <c r="N3689" s="2" t="s">
        <v>1911</v>
      </c>
      <c r="O3689" s="2" t="s">
        <v>81</v>
      </c>
      <c r="P3689" s="2" t="str">
        <f>"2170562905                    "</f>
        <v xml:space="preserve">2170562905                    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8.65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1</v>
      </c>
      <c r="BI3689" s="2">
        <v>27.5</v>
      </c>
      <c r="BJ3689" s="2">
        <v>18.3</v>
      </c>
      <c r="BK3689" s="2">
        <v>28</v>
      </c>
      <c r="BL3689" s="2">
        <v>89.18</v>
      </c>
      <c r="BM3689" s="2">
        <v>12.49</v>
      </c>
      <c r="BN3689" s="2">
        <v>101.67</v>
      </c>
      <c r="BO3689" s="2">
        <v>101.67</v>
      </c>
      <c r="BP3689" s="2"/>
      <c r="BQ3689" s="2" t="s">
        <v>1912</v>
      </c>
      <c r="BR3689" s="2" t="s">
        <v>2287</v>
      </c>
      <c r="BS3689" s="3">
        <v>42851</v>
      </c>
      <c r="BT3689" s="4">
        <v>0.41666666666666669</v>
      </c>
      <c r="BU3689" s="2" t="s">
        <v>290</v>
      </c>
      <c r="BV3689" s="2" t="s">
        <v>86</v>
      </c>
      <c r="BW3689" s="2" t="s">
        <v>164</v>
      </c>
      <c r="BX3689" s="2" t="s">
        <v>309</v>
      </c>
      <c r="BY3689" s="2">
        <v>91368.55</v>
      </c>
      <c r="BZ3689" s="2"/>
      <c r="CA3689" s="2"/>
      <c r="CB3689" s="2"/>
      <c r="CC3689" s="2" t="s">
        <v>517</v>
      </c>
      <c r="CD3689" s="2">
        <v>1459</v>
      </c>
      <c r="CE3689" s="2" t="s">
        <v>89</v>
      </c>
      <c r="CF3689" s="5">
        <v>42853</v>
      </c>
      <c r="CG3689" s="2"/>
      <c r="CH3689" s="2"/>
      <c r="CI3689" s="2">
        <v>0</v>
      </c>
      <c r="CJ3689" s="2">
        <v>0</v>
      </c>
      <c r="CK3689" s="2" t="s">
        <v>98</v>
      </c>
      <c r="CL3689" s="2" t="s">
        <v>86</v>
      </c>
      <c r="CM3689" s="2"/>
    </row>
    <row r="3690" spans="1:91">
      <c r="A3690" s="2" t="s">
        <v>71</v>
      </c>
      <c r="B3690" s="2" t="s">
        <v>72</v>
      </c>
      <c r="C3690" s="2" t="s">
        <v>73</v>
      </c>
      <c r="D3690" s="2"/>
      <c r="E3690" s="2" t="str">
        <f>"FES1162544933"</f>
        <v>FES1162544933</v>
      </c>
      <c r="F3690" s="3">
        <v>42846</v>
      </c>
      <c r="G3690" s="2">
        <v>201710</v>
      </c>
      <c r="H3690" s="2" t="s">
        <v>74</v>
      </c>
      <c r="I3690" s="2" t="s">
        <v>75</v>
      </c>
      <c r="J3690" s="2" t="s">
        <v>200</v>
      </c>
      <c r="K3690" s="2" t="s">
        <v>77</v>
      </c>
      <c r="L3690" s="2" t="s">
        <v>145</v>
      </c>
      <c r="M3690" s="2" t="s">
        <v>146</v>
      </c>
      <c r="N3690" s="2" t="s">
        <v>427</v>
      </c>
      <c r="O3690" s="2" t="s">
        <v>81</v>
      </c>
      <c r="P3690" s="2" t="str">
        <f>"2170563423                    "</f>
        <v xml:space="preserve">2170563423                    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7.37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3.9</v>
      </c>
      <c r="BJ3690" s="2">
        <v>1.7</v>
      </c>
      <c r="BK3690" s="2">
        <v>4</v>
      </c>
      <c r="BL3690" s="2">
        <v>76.72</v>
      </c>
      <c r="BM3690" s="2">
        <v>10.74</v>
      </c>
      <c r="BN3690" s="2">
        <v>87.46</v>
      </c>
      <c r="BO3690" s="2">
        <v>87.46</v>
      </c>
      <c r="BP3690" s="2"/>
      <c r="BQ3690" s="2" t="s">
        <v>1208</v>
      </c>
      <c r="BR3690" s="2" t="s">
        <v>2287</v>
      </c>
      <c r="BS3690" s="3">
        <v>42849</v>
      </c>
      <c r="BT3690" s="4">
        <v>0.40902777777777777</v>
      </c>
      <c r="BU3690" s="2" t="s">
        <v>1875</v>
      </c>
      <c r="BV3690" s="2"/>
      <c r="BW3690" s="2"/>
      <c r="BX3690" s="2"/>
      <c r="BY3690" s="2">
        <v>8348.61</v>
      </c>
      <c r="BZ3690" s="2"/>
      <c r="CA3690" s="2"/>
      <c r="CB3690" s="2"/>
      <c r="CC3690" s="2" t="s">
        <v>146</v>
      </c>
      <c r="CD3690" s="2">
        <v>184</v>
      </c>
      <c r="CE3690" s="2" t="s">
        <v>89</v>
      </c>
      <c r="CF3690" s="5">
        <v>42851</v>
      </c>
      <c r="CG3690" s="2"/>
      <c r="CH3690" s="2"/>
      <c r="CI3690" s="2">
        <v>0</v>
      </c>
      <c r="CJ3690" s="2">
        <v>0</v>
      </c>
      <c r="CK3690" s="2" t="s">
        <v>150</v>
      </c>
      <c r="CL3690" s="2" t="s">
        <v>86</v>
      </c>
      <c r="CM3690" s="2"/>
    </row>
    <row r="3691" spans="1:91">
      <c r="A3691" s="2" t="s">
        <v>71</v>
      </c>
      <c r="B3691" s="2" t="s">
        <v>72</v>
      </c>
      <c r="C3691" s="2" t="s">
        <v>73</v>
      </c>
      <c r="D3691" s="2"/>
      <c r="E3691" s="2" t="str">
        <f>"FES1162544431"</f>
        <v>FES1162544431</v>
      </c>
      <c r="F3691" s="3">
        <v>42845</v>
      </c>
      <c r="G3691" s="2">
        <v>201710</v>
      </c>
      <c r="H3691" s="2" t="s">
        <v>74</v>
      </c>
      <c r="I3691" s="2" t="s">
        <v>75</v>
      </c>
      <c r="J3691" s="2" t="s">
        <v>200</v>
      </c>
      <c r="K3691" s="2" t="s">
        <v>77</v>
      </c>
      <c r="L3691" s="2" t="s">
        <v>91</v>
      </c>
      <c r="M3691" s="2" t="s">
        <v>92</v>
      </c>
      <c r="N3691" s="2" t="s">
        <v>2001</v>
      </c>
      <c r="O3691" s="2" t="s">
        <v>81</v>
      </c>
      <c r="P3691" s="2" t="str">
        <f>"2170562742                    "</f>
        <v xml:space="preserve">2170562742                    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6.83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2</v>
      </c>
      <c r="BI3691" s="2">
        <v>18.899999999999999</v>
      </c>
      <c r="BJ3691" s="2">
        <v>7.8</v>
      </c>
      <c r="BK3691" s="2">
        <v>19</v>
      </c>
      <c r="BL3691" s="2">
        <v>71.52</v>
      </c>
      <c r="BM3691" s="2">
        <v>10.01</v>
      </c>
      <c r="BN3691" s="2">
        <v>81.53</v>
      </c>
      <c r="BO3691" s="2">
        <v>81.53</v>
      </c>
      <c r="BP3691" s="2"/>
      <c r="BQ3691" s="2" t="s">
        <v>2002</v>
      </c>
      <c r="BR3691" s="2" t="s">
        <v>2287</v>
      </c>
      <c r="BS3691" s="3">
        <v>42846</v>
      </c>
      <c r="BT3691" s="4">
        <v>0.37083333333333335</v>
      </c>
      <c r="BU3691" s="2" t="s">
        <v>3506</v>
      </c>
      <c r="BV3691" s="2" t="s">
        <v>111</v>
      </c>
      <c r="BW3691" s="2"/>
      <c r="BX3691" s="2"/>
      <c r="BY3691" s="2">
        <v>39208.080000000002</v>
      </c>
      <c r="BZ3691" s="2"/>
      <c r="CA3691" s="2" t="s">
        <v>1687</v>
      </c>
      <c r="CB3691" s="2"/>
      <c r="CC3691" s="2" t="s">
        <v>92</v>
      </c>
      <c r="CD3691" s="2">
        <v>1406</v>
      </c>
      <c r="CE3691" s="2" t="s">
        <v>89</v>
      </c>
      <c r="CF3691" s="5">
        <v>42846</v>
      </c>
      <c r="CG3691" s="2"/>
      <c r="CH3691" s="2"/>
      <c r="CI3691" s="2">
        <v>0</v>
      </c>
      <c r="CJ3691" s="2">
        <v>0</v>
      </c>
      <c r="CK3691" s="2" t="s">
        <v>98</v>
      </c>
      <c r="CL3691" s="2" t="s">
        <v>86</v>
      </c>
      <c r="CM3691" s="2"/>
    </row>
    <row r="3692" spans="1:91">
      <c r="A3692" s="2" t="s">
        <v>71</v>
      </c>
      <c r="B3692" s="2" t="s">
        <v>72</v>
      </c>
      <c r="C3692" s="2" t="s">
        <v>73</v>
      </c>
      <c r="D3692" s="2"/>
      <c r="E3692" s="2" t="str">
        <f>"FES1162544692"</f>
        <v>FES1162544692</v>
      </c>
      <c r="F3692" s="3">
        <v>42846</v>
      </c>
      <c r="G3692" s="2">
        <v>201710</v>
      </c>
      <c r="H3692" s="2" t="s">
        <v>74</v>
      </c>
      <c r="I3692" s="2" t="s">
        <v>75</v>
      </c>
      <c r="J3692" s="2" t="s">
        <v>200</v>
      </c>
      <c r="K3692" s="2" t="s">
        <v>77</v>
      </c>
      <c r="L3692" s="2" t="s">
        <v>145</v>
      </c>
      <c r="M3692" s="2" t="s">
        <v>146</v>
      </c>
      <c r="N3692" s="2" t="s">
        <v>1602</v>
      </c>
      <c r="O3692" s="2" t="s">
        <v>81</v>
      </c>
      <c r="P3692" s="2" t="str">
        <f>"2170561144                    "</f>
        <v xml:space="preserve">2170561144                    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7.6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2</v>
      </c>
      <c r="BI3692" s="2">
        <v>16</v>
      </c>
      <c r="BJ3692" s="2">
        <v>8.6</v>
      </c>
      <c r="BK3692" s="2">
        <v>16</v>
      </c>
      <c r="BL3692" s="2">
        <v>78.94</v>
      </c>
      <c r="BM3692" s="2">
        <v>11.05</v>
      </c>
      <c r="BN3692" s="2">
        <v>89.99</v>
      </c>
      <c r="BO3692" s="2">
        <v>89.99</v>
      </c>
      <c r="BP3692" s="2"/>
      <c r="BQ3692" s="2" t="s">
        <v>1603</v>
      </c>
      <c r="BR3692" s="2" t="s">
        <v>2287</v>
      </c>
      <c r="BS3692" s="3">
        <v>42849</v>
      </c>
      <c r="BT3692" s="4">
        <v>0.39583333333333331</v>
      </c>
      <c r="BU3692" s="2" t="s">
        <v>3054</v>
      </c>
      <c r="BV3692" s="2"/>
      <c r="BW3692" s="2"/>
      <c r="BX3692" s="2"/>
      <c r="BY3692" s="2">
        <v>43200</v>
      </c>
      <c r="BZ3692" s="2"/>
      <c r="CA3692" s="2"/>
      <c r="CB3692" s="2"/>
      <c r="CC3692" s="2" t="s">
        <v>146</v>
      </c>
      <c r="CD3692" s="2">
        <v>117</v>
      </c>
      <c r="CE3692" s="2" t="s">
        <v>89</v>
      </c>
      <c r="CF3692" s="5">
        <v>42851</v>
      </c>
      <c r="CG3692" s="2"/>
      <c r="CH3692" s="2"/>
      <c r="CI3692" s="2">
        <v>0</v>
      </c>
      <c r="CJ3692" s="2">
        <v>0</v>
      </c>
      <c r="CK3692" s="2" t="s">
        <v>150</v>
      </c>
      <c r="CL3692" s="2" t="s">
        <v>86</v>
      </c>
      <c r="CM3692" s="2"/>
    </row>
    <row r="3693" spans="1:91">
      <c r="A3693" s="2" t="s">
        <v>71</v>
      </c>
      <c r="B3693" s="2" t="s">
        <v>72</v>
      </c>
      <c r="C3693" s="2" t="s">
        <v>73</v>
      </c>
      <c r="D3693" s="2"/>
      <c r="E3693" s="2" t="str">
        <f>"FES1162544699"</f>
        <v>FES1162544699</v>
      </c>
      <c r="F3693" s="3">
        <v>42846</v>
      </c>
      <c r="G3693" s="2">
        <v>201710</v>
      </c>
      <c r="H3693" s="2" t="s">
        <v>74</v>
      </c>
      <c r="I3693" s="2" t="s">
        <v>75</v>
      </c>
      <c r="J3693" s="2" t="s">
        <v>200</v>
      </c>
      <c r="K3693" s="2" t="s">
        <v>77</v>
      </c>
      <c r="L3693" s="2" t="s">
        <v>267</v>
      </c>
      <c r="M3693" s="2" t="s">
        <v>268</v>
      </c>
      <c r="N3693" s="2" t="s">
        <v>1283</v>
      </c>
      <c r="O3693" s="2" t="s">
        <v>81</v>
      </c>
      <c r="P3693" s="2" t="str">
        <f>"2170563259                    "</f>
        <v xml:space="preserve">2170563259                    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8.65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1</v>
      </c>
      <c r="BI3693" s="2">
        <v>11</v>
      </c>
      <c r="BJ3693" s="2">
        <v>27.5</v>
      </c>
      <c r="BK3693" s="2">
        <v>28</v>
      </c>
      <c r="BL3693" s="2">
        <v>89.18</v>
      </c>
      <c r="BM3693" s="2">
        <v>12.49</v>
      </c>
      <c r="BN3693" s="2">
        <v>101.67</v>
      </c>
      <c r="BO3693" s="2">
        <v>101.67</v>
      </c>
      <c r="BP3693" s="2"/>
      <c r="BQ3693" s="2" t="s">
        <v>122</v>
      </c>
      <c r="BR3693" s="2" t="s">
        <v>2287</v>
      </c>
      <c r="BS3693" s="3">
        <v>42849</v>
      </c>
      <c r="BT3693" s="4">
        <v>0.46875</v>
      </c>
      <c r="BU3693" s="2" t="s">
        <v>3507</v>
      </c>
      <c r="BV3693" s="2" t="s">
        <v>111</v>
      </c>
      <c r="BW3693" s="2"/>
      <c r="BX3693" s="2"/>
      <c r="BY3693" s="2">
        <v>137641</v>
      </c>
      <c r="BZ3693" s="2"/>
      <c r="CA3693" s="2"/>
      <c r="CB3693" s="2"/>
      <c r="CC3693" s="2" t="s">
        <v>268</v>
      </c>
      <c r="CD3693" s="2">
        <v>1724</v>
      </c>
      <c r="CE3693" s="2" t="s">
        <v>89</v>
      </c>
      <c r="CF3693" s="5">
        <v>42850</v>
      </c>
      <c r="CG3693" s="2"/>
      <c r="CH3693" s="2"/>
      <c r="CI3693" s="2">
        <v>0</v>
      </c>
      <c r="CJ3693" s="2">
        <v>0</v>
      </c>
      <c r="CK3693" s="2" t="s">
        <v>98</v>
      </c>
      <c r="CL3693" s="2" t="s">
        <v>86</v>
      </c>
      <c r="CM3693" s="2"/>
    </row>
    <row r="3694" spans="1:91">
      <c r="A3694" s="2" t="s">
        <v>71</v>
      </c>
      <c r="B3694" s="2" t="s">
        <v>72</v>
      </c>
      <c r="C3694" s="2" t="s">
        <v>73</v>
      </c>
      <c r="D3694" s="2"/>
      <c r="E3694" s="2" t="str">
        <f>"FES1162544936"</f>
        <v>FES1162544936</v>
      </c>
      <c r="F3694" s="3">
        <v>42846</v>
      </c>
      <c r="G3694" s="2">
        <v>201710</v>
      </c>
      <c r="H3694" s="2" t="s">
        <v>74</v>
      </c>
      <c r="I3694" s="2" t="s">
        <v>75</v>
      </c>
      <c r="J3694" s="2" t="s">
        <v>200</v>
      </c>
      <c r="K3694" s="2" t="s">
        <v>77</v>
      </c>
      <c r="L3694" s="2" t="s">
        <v>145</v>
      </c>
      <c r="M3694" s="2" t="s">
        <v>146</v>
      </c>
      <c r="N3694" s="2" t="s">
        <v>427</v>
      </c>
      <c r="O3694" s="2" t="s">
        <v>81</v>
      </c>
      <c r="P3694" s="2" t="str">
        <f>"2170563427                    "</f>
        <v xml:space="preserve">2170563427                    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7.37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1</v>
      </c>
      <c r="BI3694" s="2">
        <v>4.5</v>
      </c>
      <c r="BJ3694" s="2">
        <v>1.6</v>
      </c>
      <c r="BK3694" s="2">
        <v>5</v>
      </c>
      <c r="BL3694" s="2">
        <v>76.72</v>
      </c>
      <c r="BM3694" s="2">
        <v>10.74</v>
      </c>
      <c r="BN3694" s="2">
        <v>87.46</v>
      </c>
      <c r="BO3694" s="2">
        <v>87.46</v>
      </c>
      <c r="BP3694" s="2"/>
      <c r="BQ3694" s="2" t="s">
        <v>428</v>
      </c>
      <c r="BR3694" s="2" t="s">
        <v>2287</v>
      </c>
      <c r="BS3694" s="3">
        <v>42850</v>
      </c>
      <c r="BT3694" s="4">
        <v>0.36458333333333331</v>
      </c>
      <c r="BU3694" s="2" t="s">
        <v>3508</v>
      </c>
      <c r="BV3694" s="2"/>
      <c r="BW3694" s="2"/>
      <c r="BX3694" s="2"/>
      <c r="BY3694" s="2">
        <v>7982.01</v>
      </c>
      <c r="BZ3694" s="2"/>
      <c r="CA3694" s="2"/>
      <c r="CB3694" s="2"/>
      <c r="CC3694" s="2" t="s">
        <v>146</v>
      </c>
      <c r="CD3694" s="2">
        <v>184</v>
      </c>
      <c r="CE3694" s="2" t="s">
        <v>89</v>
      </c>
      <c r="CF3694" s="5">
        <v>42851</v>
      </c>
      <c r="CG3694" s="2"/>
      <c r="CH3694" s="2"/>
      <c r="CI3694" s="2">
        <v>0</v>
      </c>
      <c r="CJ3694" s="2">
        <v>0</v>
      </c>
      <c r="CK3694" s="2" t="s">
        <v>150</v>
      </c>
      <c r="CL3694" s="2" t="s">
        <v>86</v>
      </c>
      <c r="CM3694" s="2"/>
    </row>
    <row r="3695" spans="1:91">
      <c r="A3695" s="2" t="s">
        <v>71</v>
      </c>
      <c r="B3695" s="2" t="s">
        <v>72</v>
      </c>
      <c r="C3695" s="2" t="s">
        <v>73</v>
      </c>
      <c r="D3695" s="2"/>
      <c r="E3695" s="2" t="str">
        <f>"FES1162544934"</f>
        <v>FES1162544934</v>
      </c>
      <c r="F3695" s="3">
        <v>42846</v>
      </c>
      <c r="G3695" s="2">
        <v>201710</v>
      </c>
      <c r="H3695" s="2" t="s">
        <v>74</v>
      </c>
      <c r="I3695" s="2" t="s">
        <v>75</v>
      </c>
      <c r="J3695" s="2" t="s">
        <v>200</v>
      </c>
      <c r="K3695" s="2" t="s">
        <v>77</v>
      </c>
      <c r="L3695" s="2" t="s">
        <v>145</v>
      </c>
      <c r="M3695" s="2" t="s">
        <v>146</v>
      </c>
      <c r="N3695" s="2" t="s">
        <v>427</v>
      </c>
      <c r="O3695" s="2" t="s">
        <v>81</v>
      </c>
      <c r="P3695" s="2" t="str">
        <f>"2170563425                    "</f>
        <v xml:space="preserve">2170563425                    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7.37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1</v>
      </c>
      <c r="BI3695" s="2">
        <v>4</v>
      </c>
      <c r="BJ3695" s="2">
        <v>1.6</v>
      </c>
      <c r="BK3695" s="2">
        <v>4</v>
      </c>
      <c r="BL3695" s="2">
        <v>76.72</v>
      </c>
      <c r="BM3695" s="2">
        <v>10.74</v>
      </c>
      <c r="BN3695" s="2">
        <v>87.46</v>
      </c>
      <c r="BO3695" s="2">
        <v>87.46</v>
      </c>
      <c r="BP3695" s="2"/>
      <c r="BQ3695" s="2" t="s">
        <v>1208</v>
      </c>
      <c r="BR3695" s="2" t="s">
        <v>2287</v>
      </c>
      <c r="BS3695" s="3">
        <v>42850</v>
      </c>
      <c r="BT3695" s="4">
        <v>0.36458333333333331</v>
      </c>
      <c r="BU3695" s="2" t="s">
        <v>3508</v>
      </c>
      <c r="BV3695" s="2"/>
      <c r="BW3695" s="2"/>
      <c r="BX3695" s="2"/>
      <c r="BY3695" s="2">
        <v>8222.06</v>
      </c>
      <c r="BZ3695" s="2"/>
      <c r="CA3695" s="2"/>
      <c r="CB3695" s="2"/>
      <c r="CC3695" s="2" t="s">
        <v>146</v>
      </c>
      <c r="CD3695" s="2">
        <v>184</v>
      </c>
      <c r="CE3695" s="2" t="s">
        <v>89</v>
      </c>
      <c r="CF3695" s="5">
        <v>42851</v>
      </c>
      <c r="CG3695" s="2"/>
      <c r="CH3695" s="2"/>
      <c r="CI3695" s="2">
        <v>0</v>
      </c>
      <c r="CJ3695" s="2">
        <v>0</v>
      </c>
      <c r="CK3695" s="2" t="s">
        <v>150</v>
      </c>
      <c r="CL3695" s="2" t="s">
        <v>86</v>
      </c>
      <c r="CM3695" s="2"/>
    </row>
    <row r="3696" spans="1:91">
      <c r="A3696" s="2" t="s">
        <v>71</v>
      </c>
      <c r="B3696" s="2" t="s">
        <v>72</v>
      </c>
      <c r="C3696" s="2" t="s">
        <v>73</v>
      </c>
      <c r="D3696" s="2"/>
      <c r="E3696" s="2" t="str">
        <f>"FES1162545721"</f>
        <v>FES1162545721</v>
      </c>
      <c r="F3696" s="3">
        <v>42851</v>
      </c>
      <c r="G3696" s="2">
        <v>201710</v>
      </c>
      <c r="H3696" s="2" t="s">
        <v>74</v>
      </c>
      <c r="I3696" s="2" t="s">
        <v>75</v>
      </c>
      <c r="J3696" s="2" t="s">
        <v>76</v>
      </c>
      <c r="K3696" s="2" t="s">
        <v>77</v>
      </c>
      <c r="L3696" s="2" t="s">
        <v>74</v>
      </c>
      <c r="M3696" s="2" t="s">
        <v>75</v>
      </c>
      <c r="N3696" s="2" t="s">
        <v>436</v>
      </c>
      <c r="O3696" s="2" t="s">
        <v>115</v>
      </c>
      <c r="P3696" s="2" t="str">
        <f>"2170564203                    "</f>
        <v xml:space="preserve">2170564203                    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3.35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1</v>
      </c>
      <c r="BI3696" s="2">
        <v>1</v>
      </c>
      <c r="BJ3696" s="2">
        <v>0.2</v>
      </c>
      <c r="BK3696" s="2">
        <v>1</v>
      </c>
      <c r="BL3696" s="2">
        <v>32.6</v>
      </c>
      <c r="BM3696" s="2">
        <v>4.5599999999999996</v>
      </c>
      <c r="BN3696" s="2">
        <v>37.159999999999997</v>
      </c>
      <c r="BO3696" s="2">
        <v>37.159999999999997</v>
      </c>
      <c r="BP3696" s="2"/>
      <c r="BQ3696" s="2" t="s">
        <v>437</v>
      </c>
      <c r="BR3696" s="2" t="s">
        <v>84</v>
      </c>
      <c r="BS3696" s="1" t="s">
        <v>1744</v>
      </c>
      <c r="BT3696" s="2"/>
      <c r="BU3696" s="2"/>
      <c r="BV3696" s="2"/>
      <c r="BW3696" s="2"/>
      <c r="BX3696" s="2"/>
      <c r="BY3696" s="2">
        <v>1200</v>
      </c>
      <c r="BZ3696" s="2"/>
      <c r="CA3696" s="2"/>
      <c r="CB3696" s="2"/>
      <c r="CC3696" s="2" t="s">
        <v>75</v>
      </c>
      <c r="CD3696" s="2">
        <v>1600</v>
      </c>
      <c r="CE3696" s="2" t="s">
        <v>118</v>
      </c>
      <c r="CF3696" s="2"/>
      <c r="CG3696" s="2"/>
      <c r="CH3696" s="2"/>
      <c r="CI3696" s="2">
        <v>1</v>
      </c>
      <c r="CJ3696" s="2" t="s">
        <v>1744</v>
      </c>
      <c r="CK3696" s="2">
        <v>22</v>
      </c>
      <c r="CL3696" s="2" t="s">
        <v>86</v>
      </c>
      <c r="CM3696" s="2"/>
    </row>
    <row r="3697" spans="1:91">
      <c r="A3697" s="2" t="s">
        <v>71</v>
      </c>
      <c r="B3697" s="2" t="s">
        <v>72</v>
      </c>
      <c r="C3697" s="2" t="s">
        <v>73</v>
      </c>
      <c r="D3697" s="2"/>
      <c r="E3697" s="2" t="str">
        <f>"FES1162545810"</f>
        <v>FES1162545810</v>
      </c>
      <c r="F3697" s="3">
        <v>42853</v>
      </c>
      <c r="G3697" s="2">
        <v>201710</v>
      </c>
      <c r="H3697" s="2" t="s">
        <v>74</v>
      </c>
      <c r="I3697" s="2" t="s">
        <v>75</v>
      </c>
      <c r="J3697" s="2" t="s">
        <v>76</v>
      </c>
      <c r="K3697" s="2" t="s">
        <v>77</v>
      </c>
      <c r="L3697" s="2" t="s">
        <v>294</v>
      </c>
      <c r="M3697" s="2" t="s">
        <v>295</v>
      </c>
      <c r="N3697" s="2" t="s">
        <v>416</v>
      </c>
      <c r="O3697" s="2" t="s">
        <v>115</v>
      </c>
      <c r="P3697" s="2" t="str">
        <f>"2170564257                    "</f>
        <v xml:space="preserve">2170564257                    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7.5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1</v>
      </c>
      <c r="BI3697" s="2">
        <v>3.2</v>
      </c>
      <c r="BJ3697" s="2">
        <v>2.2999999999999998</v>
      </c>
      <c r="BK3697" s="2">
        <v>3.5</v>
      </c>
      <c r="BL3697" s="2">
        <v>73.02</v>
      </c>
      <c r="BM3697" s="2">
        <v>10.220000000000001</v>
      </c>
      <c r="BN3697" s="2">
        <v>83.24</v>
      </c>
      <c r="BO3697" s="2">
        <v>83.24</v>
      </c>
      <c r="BP3697" s="2"/>
      <c r="BQ3697" s="2" t="s">
        <v>417</v>
      </c>
      <c r="BR3697" s="2" t="s">
        <v>84</v>
      </c>
      <c r="BS3697" s="1" t="s">
        <v>1744</v>
      </c>
      <c r="BT3697" s="2"/>
      <c r="BU3697" s="2"/>
      <c r="BV3697" s="2"/>
      <c r="BW3697" s="2"/>
      <c r="BX3697" s="2"/>
      <c r="BY3697" s="2">
        <v>11523.87</v>
      </c>
      <c r="BZ3697" s="2"/>
      <c r="CA3697" s="2"/>
      <c r="CB3697" s="2"/>
      <c r="CC3697" s="2" t="s">
        <v>295</v>
      </c>
      <c r="CD3697" s="2">
        <v>3610</v>
      </c>
      <c r="CE3697" s="2" t="s">
        <v>118</v>
      </c>
      <c r="CF3697" s="2"/>
      <c r="CG3697" s="2"/>
      <c r="CH3697" s="2"/>
      <c r="CI3697" s="2">
        <v>1</v>
      </c>
      <c r="CJ3697" s="2" t="s">
        <v>1744</v>
      </c>
      <c r="CK3697" s="2">
        <v>21</v>
      </c>
      <c r="CL3697" s="2" t="s">
        <v>86</v>
      </c>
      <c r="CM3697" s="2"/>
    </row>
    <row r="3698" spans="1:91">
      <c r="A3698" s="2" t="s">
        <v>71</v>
      </c>
      <c r="B3698" s="2" t="s">
        <v>72</v>
      </c>
      <c r="C3698" s="2" t="s">
        <v>73</v>
      </c>
      <c r="D3698" s="2"/>
      <c r="E3698" s="2" t="str">
        <f>"FES1162545156"</f>
        <v>FES1162545156</v>
      </c>
      <c r="F3698" s="3">
        <v>42851</v>
      </c>
      <c r="G3698" s="2">
        <v>201710</v>
      </c>
      <c r="H3698" s="2" t="s">
        <v>74</v>
      </c>
      <c r="I3698" s="2" t="s">
        <v>75</v>
      </c>
      <c r="J3698" s="2" t="s">
        <v>76</v>
      </c>
      <c r="K3698" s="2" t="s">
        <v>77</v>
      </c>
      <c r="L3698" s="2" t="s">
        <v>190</v>
      </c>
      <c r="M3698" s="2" t="s">
        <v>191</v>
      </c>
      <c r="N3698" s="2" t="s">
        <v>923</v>
      </c>
      <c r="O3698" s="2" t="s">
        <v>115</v>
      </c>
      <c r="P3698" s="2" t="str">
        <f>"2170563613                    "</f>
        <v xml:space="preserve">2170563613                    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6.03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1</v>
      </c>
      <c r="BI3698" s="2">
        <v>1</v>
      </c>
      <c r="BJ3698" s="2">
        <v>0.2</v>
      </c>
      <c r="BK3698" s="2">
        <v>1</v>
      </c>
      <c r="BL3698" s="2">
        <v>58.68</v>
      </c>
      <c r="BM3698" s="2">
        <v>8.2200000000000006</v>
      </c>
      <c r="BN3698" s="2">
        <v>66.900000000000006</v>
      </c>
      <c r="BO3698" s="2">
        <v>66.900000000000006</v>
      </c>
      <c r="BP3698" s="2"/>
      <c r="BQ3698" s="2" t="s">
        <v>3509</v>
      </c>
      <c r="BR3698" s="2" t="s">
        <v>84</v>
      </c>
      <c r="BS3698" s="1" t="s">
        <v>1744</v>
      </c>
      <c r="BT3698" s="2"/>
      <c r="BU3698" s="2"/>
      <c r="BV3698" s="2"/>
      <c r="BW3698" s="2"/>
      <c r="BX3698" s="2"/>
      <c r="BY3698" s="2">
        <v>1200</v>
      </c>
      <c r="BZ3698" s="2"/>
      <c r="CA3698" s="2"/>
      <c r="CB3698" s="2"/>
      <c r="CC3698" s="2" t="s">
        <v>191</v>
      </c>
      <c r="CD3698" s="2">
        <v>1739</v>
      </c>
      <c r="CE3698" s="2" t="s">
        <v>118</v>
      </c>
      <c r="CF3698" s="2"/>
      <c r="CG3698" s="2"/>
      <c r="CH3698" s="2"/>
      <c r="CI3698" s="2">
        <v>1</v>
      </c>
      <c r="CJ3698" s="2" t="s">
        <v>1744</v>
      </c>
      <c r="CK3698" s="2">
        <v>24</v>
      </c>
      <c r="CL3698" s="2" t="s">
        <v>86</v>
      </c>
      <c r="CM3698" s="2"/>
    </row>
    <row r="3699" spans="1:91">
      <c r="A3699" s="2" t="s">
        <v>71</v>
      </c>
      <c r="B3699" s="2" t="s">
        <v>72</v>
      </c>
      <c r="C3699" s="2" t="s">
        <v>73</v>
      </c>
      <c r="D3699" s="2"/>
      <c r="E3699" s="2" t="str">
        <f>"FES1162546027"</f>
        <v>FES1162546027</v>
      </c>
      <c r="F3699" s="3">
        <v>42853</v>
      </c>
      <c r="G3699" s="2">
        <v>201710</v>
      </c>
      <c r="H3699" s="2" t="s">
        <v>74</v>
      </c>
      <c r="I3699" s="2" t="s">
        <v>75</v>
      </c>
      <c r="J3699" s="2" t="s">
        <v>76</v>
      </c>
      <c r="K3699" s="2" t="s">
        <v>77</v>
      </c>
      <c r="L3699" s="2" t="s">
        <v>234</v>
      </c>
      <c r="M3699" s="2" t="s">
        <v>235</v>
      </c>
      <c r="N3699" s="2" t="s">
        <v>236</v>
      </c>
      <c r="O3699" s="2" t="s">
        <v>115</v>
      </c>
      <c r="P3699" s="2" t="str">
        <f>"2170564432                    "</f>
        <v xml:space="preserve">2170564432                    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4.29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1</v>
      </c>
      <c r="BI3699" s="2">
        <v>1.4</v>
      </c>
      <c r="BJ3699" s="2">
        <v>1.6</v>
      </c>
      <c r="BK3699" s="2">
        <v>2</v>
      </c>
      <c r="BL3699" s="2">
        <v>41.73</v>
      </c>
      <c r="BM3699" s="2">
        <v>5.84</v>
      </c>
      <c r="BN3699" s="2">
        <v>47.57</v>
      </c>
      <c r="BO3699" s="2">
        <v>47.57</v>
      </c>
      <c r="BP3699" s="2"/>
      <c r="BQ3699" s="2" t="s">
        <v>285</v>
      </c>
      <c r="BR3699" s="2" t="s">
        <v>84</v>
      </c>
      <c r="BS3699" s="1" t="s">
        <v>1744</v>
      </c>
      <c r="BT3699" s="2"/>
      <c r="BU3699" s="2"/>
      <c r="BV3699" s="2"/>
      <c r="BW3699" s="2"/>
      <c r="BX3699" s="2"/>
      <c r="BY3699" s="2">
        <v>8241.34</v>
      </c>
      <c r="BZ3699" s="2"/>
      <c r="CA3699" s="2"/>
      <c r="CB3699" s="2"/>
      <c r="CC3699" s="2" t="s">
        <v>235</v>
      </c>
      <c r="CD3699" s="2">
        <v>6220</v>
      </c>
      <c r="CE3699" s="2" t="s">
        <v>118</v>
      </c>
      <c r="CF3699" s="2"/>
      <c r="CG3699" s="2"/>
      <c r="CH3699" s="2"/>
      <c r="CI3699" s="2">
        <v>1</v>
      </c>
      <c r="CJ3699" s="2" t="s">
        <v>1744</v>
      </c>
      <c r="CK3699" s="2">
        <v>21</v>
      </c>
      <c r="CL3699" s="2" t="s">
        <v>86</v>
      </c>
      <c r="CM3699" s="2"/>
    </row>
    <row r="3700" spans="1:91">
      <c r="A3700" s="2" t="s">
        <v>71</v>
      </c>
      <c r="B3700" s="2" t="s">
        <v>72</v>
      </c>
      <c r="C3700" s="2" t="s">
        <v>73</v>
      </c>
      <c r="D3700" s="2"/>
      <c r="E3700" s="2" t="str">
        <f>"FES1162546010"</f>
        <v>FES1162546010</v>
      </c>
      <c r="F3700" s="3">
        <v>42853</v>
      </c>
      <c r="G3700" s="2">
        <v>201710</v>
      </c>
      <c r="H3700" s="2" t="s">
        <v>74</v>
      </c>
      <c r="I3700" s="2" t="s">
        <v>75</v>
      </c>
      <c r="J3700" s="2" t="s">
        <v>76</v>
      </c>
      <c r="K3700" s="2" t="s">
        <v>77</v>
      </c>
      <c r="L3700" s="2" t="s">
        <v>99</v>
      </c>
      <c r="M3700" s="2" t="s">
        <v>100</v>
      </c>
      <c r="N3700" s="2" t="s">
        <v>671</v>
      </c>
      <c r="O3700" s="2" t="s">
        <v>115</v>
      </c>
      <c r="P3700" s="2" t="str">
        <f>"2170564416                    "</f>
        <v xml:space="preserve">2170564416                    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7.5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1</v>
      </c>
      <c r="BI3700" s="2">
        <v>1.2</v>
      </c>
      <c r="BJ3700" s="2">
        <v>3.4</v>
      </c>
      <c r="BK3700" s="2">
        <v>3.5</v>
      </c>
      <c r="BL3700" s="2">
        <v>73.02</v>
      </c>
      <c r="BM3700" s="2">
        <v>10.220000000000001</v>
      </c>
      <c r="BN3700" s="2">
        <v>83.24</v>
      </c>
      <c r="BO3700" s="2">
        <v>83.24</v>
      </c>
      <c r="BP3700" s="2"/>
      <c r="BQ3700" s="2" t="s">
        <v>672</v>
      </c>
      <c r="BR3700" s="2" t="s">
        <v>84</v>
      </c>
      <c r="BS3700" s="1" t="s">
        <v>1744</v>
      </c>
      <c r="BT3700" s="2"/>
      <c r="BU3700" s="2"/>
      <c r="BV3700" s="2"/>
      <c r="BW3700" s="2"/>
      <c r="BX3700" s="2"/>
      <c r="BY3700" s="2">
        <v>17239.099999999999</v>
      </c>
      <c r="BZ3700" s="2"/>
      <c r="CA3700" s="2"/>
      <c r="CB3700" s="2"/>
      <c r="CC3700" s="2" t="s">
        <v>100</v>
      </c>
      <c r="CD3700" s="2">
        <v>6001</v>
      </c>
      <c r="CE3700" s="2" t="s">
        <v>118</v>
      </c>
      <c r="CF3700" s="2"/>
      <c r="CG3700" s="2"/>
      <c r="CH3700" s="2"/>
      <c r="CI3700" s="2">
        <v>1</v>
      </c>
      <c r="CJ3700" s="2" t="s">
        <v>1744</v>
      </c>
      <c r="CK3700" s="2">
        <v>21</v>
      </c>
      <c r="CL3700" s="2" t="s">
        <v>86</v>
      </c>
      <c r="CM3700" s="2"/>
    </row>
    <row r="3701" spans="1:91">
      <c r="A3701" s="2" t="s">
        <v>71</v>
      </c>
      <c r="B3701" s="2" t="s">
        <v>72</v>
      </c>
      <c r="C3701" s="2" t="s">
        <v>73</v>
      </c>
      <c r="D3701" s="2"/>
      <c r="E3701" s="2" t="str">
        <f>"FES1162546006"</f>
        <v>FES1162546006</v>
      </c>
      <c r="F3701" s="3">
        <v>42853</v>
      </c>
      <c r="G3701" s="2">
        <v>201710</v>
      </c>
      <c r="H3701" s="2" t="s">
        <v>74</v>
      </c>
      <c r="I3701" s="2" t="s">
        <v>75</v>
      </c>
      <c r="J3701" s="2" t="s">
        <v>76</v>
      </c>
      <c r="K3701" s="2" t="s">
        <v>77</v>
      </c>
      <c r="L3701" s="2" t="s">
        <v>2196</v>
      </c>
      <c r="M3701" s="2" t="s">
        <v>2196</v>
      </c>
      <c r="N3701" s="2" t="s">
        <v>3510</v>
      </c>
      <c r="O3701" s="2" t="s">
        <v>115</v>
      </c>
      <c r="P3701" s="2" t="str">
        <f>"2170564174                    "</f>
        <v xml:space="preserve">2170564174                    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6.03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1</v>
      </c>
      <c r="BI3701" s="2">
        <v>1.2</v>
      </c>
      <c r="BJ3701" s="2">
        <v>1.5</v>
      </c>
      <c r="BK3701" s="2">
        <v>1.5</v>
      </c>
      <c r="BL3701" s="2">
        <v>58.68</v>
      </c>
      <c r="BM3701" s="2">
        <v>8.2200000000000006</v>
      </c>
      <c r="BN3701" s="2">
        <v>66.900000000000006</v>
      </c>
      <c r="BO3701" s="2">
        <v>66.900000000000006</v>
      </c>
      <c r="BP3701" s="2"/>
      <c r="BQ3701" s="2" t="s">
        <v>3511</v>
      </c>
      <c r="BR3701" s="2" t="s">
        <v>84</v>
      </c>
      <c r="BS3701" s="1" t="s">
        <v>1744</v>
      </c>
      <c r="BT3701" s="2"/>
      <c r="BU3701" s="2"/>
      <c r="BV3701" s="2"/>
      <c r="BW3701" s="2"/>
      <c r="BX3701" s="2"/>
      <c r="BY3701" s="2">
        <v>7510.97</v>
      </c>
      <c r="BZ3701" s="2"/>
      <c r="CA3701" s="2"/>
      <c r="CB3701" s="2"/>
      <c r="CC3701" s="2" t="s">
        <v>2196</v>
      </c>
      <c r="CD3701" s="2">
        <v>1491</v>
      </c>
      <c r="CE3701" s="2" t="s">
        <v>118</v>
      </c>
      <c r="CF3701" s="2"/>
      <c r="CG3701" s="2"/>
      <c r="CH3701" s="2"/>
      <c r="CI3701" s="2">
        <v>1</v>
      </c>
      <c r="CJ3701" s="2" t="s">
        <v>1744</v>
      </c>
      <c r="CK3701" s="2">
        <v>24</v>
      </c>
      <c r="CL3701" s="2" t="s">
        <v>86</v>
      </c>
      <c r="CM3701" s="2"/>
    </row>
    <row r="3702" spans="1:91">
      <c r="A3702" s="2" t="s">
        <v>71</v>
      </c>
      <c r="B3702" s="2" t="s">
        <v>72</v>
      </c>
      <c r="C3702" s="2" t="s">
        <v>73</v>
      </c>
      <c r="D3702" s="2"/>
      <c r="E3702" s="2" t="str">
        <f>"FES1162545944"</f>
        <v>FES1162545944</v>
      </c>
      <c r="F3702" s="3">
        <v>42853</v>
      </c>
      <c r="G3702" s="2">
        <v>201710</v>
      </c>
      <c r="H3702" s="2" t="s">
        <v>74</v>
      </c>
      <c r="I3702" s="2" t="s">
        <v>75</v>
      </c>
      <c r="J3702" s="2" t="s">
        <v>76</v>
      </c>
      <c r="K3702" s="2" t="s">
        <v>77</v>
      </c>
      <c r="L3702" s="2" t="s">
        <v>190</v>
      </c>
      <c r="M3702" s="2" t="s">
        <v>191</v>
      </c>
      <c r="N3702" s="2" t="s">
        <v>311</v>
      </c>
      <c r="O3702" s="2" t="s">
        <v>115</v>
      </c>
      <c r="P3702" s="2" t="str">
        <f>"2170562102                    "</f>
        <v xml:space="preserve">2170562102                    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13.37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1</v>
      </c>
      <c r="BI3702" s="2">
        <v>0.6</v>
      </c>
      <c r="BJ3702" s="2">
        <v>4.5</v>
      </c>
      <c r="BK3702" s="2">
        <v>4.5</v>
      </c>
      <c r="BL3702" s="2">
        <v>130.12</v>
      </c>
      <c r="BM3702" s="2">
        <v>18.22</v>
      </c>
      <c r="BN3702" s="2">
        <v>148.34</v>
      </c>
      <c r="BO3702" s="2">
        <v>148.34</v>
      </c>
      <c r="BP3702" s="2"/>
      <c r="BQ3702" s="2" t="s">
        <v>312</v>
      </c>
      <c r="BR3702" s="2" t="s">
        <v>84</v>
      </c>
      <c r="BS3702" s="1" t="s">
        <v>1744</v>
      </c>
      <c r="BT3702" s="2"/>
      <c r="BU3702" s="2"/>
      <c r="BV3702" s="2"/>
      <c r="BW3702" s="2"/>
      <c r="BX3702" s="2"/>
      <c r="BY3702" s="2">
        <v>22350.44</v>
      </c>
      <c r="BZ3702" s="2"/>
      <c r="CA3702" s="2"/>
      <c r="CB3702" s="2"/>
      <c r="CC3702" s="2" t="s">
        <v>191</v>
      </c>
      <c r="CD3702" s="2">
        <v>1754</v>
      </c>
      <c r="CE3702" s="2" t="s">
        <v>118</v>
      </c>
      <c r="CF3702" s="2"/>
      <c r="CG3702" s="2"/>
      <c r="CH3702" s="2"/>
      <c r="CI3702" s="2">
        <v>1</v>
      </c>
      <c r="CJ3702" s="2" t="s">
        <v>1744</v>
      </c>
      <c r="CK3702" s="2">
        <v>24</v>
      </c>
      <c r="CL3702" s="2" t="s">
        <v>86</v>
      </c>
      <c r="CM3702" s="2"/>
    </row>
    <row r="3703" spans="1:91">
      <c r="A3703" s="2" t="s">
        <v>71</v>
      </c>
      <c r="B3703" s="2" t="s">
        <v>72</v>
      </c>
      <c r="C3703" s="2" t="s">
        <v>73</v>
      </c>
      <c r="D3703" s="2"/>
      <c r="E3703" s="2" t="str">
        <f>"FES1162545873"</f>
        <v>FES1162545873</v>
      </c>
      <c r="F3703" s="3">
        <v>42853</v>
      </c>
      <c r="G3703" s="2">
        <v>201710</v>
      </c>
      <c r="H3703" s="2" t="s">
        <v>74</v>
      </c>
      <c r="I3703" s="2" t="s">
        <v>75</v>
      </c>
      <c r="J3703" s="2" t="s">
        <v>76</v>
      </c>
      <c r="K3703" s="2" t="s">
        <v>77</v>
      </c>
      <c r="L3703" s="2" t="s">
        <v>900</v>
      </c>
      <c r="M3703" s="2" t="s">
        <v>901</v>
      </c>
      <c r="N3703" s="2" t="s">
        <v>2340</v>
      </c>
      <c r="O3703" s="2" t="s">
        <v>115</v>
      </c>
      <c r="P3703" s="2" t="str">
        <f>"2170564337                    "</f>
        <v xml:space="preserve">2170564337                    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5.36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234</v>
      </c>
      <c r="BF3703" s="2">
        <v>0</v>
      </c>
      <c r="BG3703" s="2">
        <v>0</v>
      </c>
      <c r="BH3703" s="2">
        <v>1</v>
      </c>
      <c r="BI3703" s="2">
        <v>1.1000000000000001</v>
      </c>
      <c r="BJ3703" s="2">
        <v>2.1</v>
      </c>
      <c r="BK3703" s="2">
        <v>2.5</v>
      </c>
      <c r="BL3703" s="2">
        <v>286.16000000000003</v>
      </c>
      <c r="BM3703" s="2">
        <v>40.06</v>
      </c>
      <c r="BN3703" s="2">
        <v>326.22000000000003</v>
      </c>
      <c r="BO3703" s="2">
        <v>326.22000000000003</v>
      </c>
      <c r="BP3703" s="2" t="s">
        <v>3512</v>
      </c>
      <c r="BQ3703" s="2" t="s">
        <v>932</v>
      </c>
      <c r="BR3703" s="2" t="s">
        <v>84</v>
      </c>
      <c r="BS3703" s="1" t="s">
        <v>1744</v>
      </c>
      <c r="BT3703" s="2"/>
      <c r="BU3703" s="2"/>
      <c r="BV3703" s="2"/>
      <c r="BW3703" s="2"/>
      <c r="BX3703" s="2"/>
      <c r="BY3703" s="2">
        <v>10256.870000000001</v>
      </c>
      <c r="BZ3703" s="2" t="s">
        <v>2426</v>
      </c>
      <c r="CA3703" s="2"/>
      <c r="CB3703" s="2"/>
      <c r="CC3703" s="2" t="s">
        <v>901</v>
      </c>
      <c r="CD3703" s="2">
        <v>4026</v>
      </c>
      <c r="CE3703" s="2" t="s">
        <v>118</v>
      </c>
      <c r="CF3703" s="2"/>
      <c r="CG3703" s="2"/>
      <c r="CH3703" s="2"/>
      <c r="CI3703" s="2">
        <v>1</v>
      </c>
      <c r="CJ3703" s="2" t="s">
        <v>1744</v>
      </c>
      <c r="CK3703" s="2">
        <v>21</v>
      </c>
      <c r="CL3703" s="2" t="s">
        <v>86</v>
      </c>
      <c r="CM3703" s="2"/>
    </row>
    <row r="3704" spans="1:91">
      <c r="A3704" s="2" t="s">
        <v>71</v>
      </c>
      <c r="B3704" s="2" t="s">
        <v>72</v>
      </c>
      <c r="C3704" s="2" t="s">
        <v>73</v>
      </c>
      <c r="D3704" s="2"/>
      <c r="E3704" s="2" t="str">
        <f>"FES1162545595"</f>
        <v>FES1162545595</v>
      </c>
      <c r="F3704" s="3">
        <v>42853</v>
      </c>
      <c r="G3704" s="2">
        <v>201710</v>
      </c>
      <c r="H3704" s="2" t="s">
        <v>74</v>
      </c>
      <c r="I3704" s="2" t="s">
        <v>75</v>
      </c>
      <c r="J3704" s="2" t="s">
        <v>76</v>
      </c>
      <c r="K3704" s="2" t="s">
        <v>77</v>
      </c>
      <c r="L3704" s="2" t="s">
        <v>474</v>
      </c>
      <c r="M3704" s="2" t="s">
        <v>475</v>
      </c>
      <c r="N3704" s="2" t="s">
        <v>1996</v>
      </c>
      <c r="O3704" s="2" t="s">
        <v>255</v>
      </c>
      <c r="P3704" s="2" t="str">
        <f>"2170564114                    "</f>
        <v xml:space="preserve">2170564114                    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351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44.48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1</v>
      </c>
      <c r="BI3704" s="2">
        <v>1</v>
      </c>
      <c r="BJ3704" s="2">
        <v>0.2</v>
      </c>
      <c r="BK3704" s="2">
        <v>1</v>
      </c>
      <c r="BL3704" s="2">
        <v>432.92</v>
      </c>
      <c r="BM3704" s="2">
        <v>60.61</v>
      </c>
      <c r="BN3704" s="2">
        <v>493.53</v>
      </c>
      <c r="BO3704" s="2">
        <v>493.53</v>
      </c>
      <c r="BP3704" s="2" t="s">
        <v>1318</v>
      </c>
      <c r="BQ3704" s="2" t="s">
        <v>3513</v>
      </c>
      <c r="BR3704" s="2" t="s">
        <v>84</v>
      </c>
      <c r="BS3704" s="1" t="s">
        <v>1744</v>
      </c>
      <c r="BT3704" s="2"/>
      <c r="BU3704" s="2"/>
      <c r="BV3704" s="2"/>
      <c r="BW3704" s="2"/>
      <c r="BX3704" s="2"/>
      <c r="BY3704" s="2">
        <v>1200</v>
      </c>
      <c r="BZ3704" s="2" t="s">
        <v>24</v>
      </c>
      <c r="CA3704" s="2"/>
      <c r="CB3704" s="2"/>
      <c r="CC3704" s="2" t="s">
        <v>475</v>
      </c>
      <c r="CD3704" s="2">
        <v>3291</v>
      </c>
      <c r="CE3704" s="2" t="s">
        <v>118</v>
      </c>
      <c r="CF3704" s="2"/>
      <c r="CG3704" s="2"/>
      <c r="CH3704" s="2"/>
      <c r="CI3704" s="2">
        <v>0</v>
      </c>
      <c r="CJ3704" s="2" t="s">
        <v>1744</v>
      </c>
      <c r="CK3704" s="2">
        <v>21</v>
      </c>
      <c r="CL3704" s="2" t="s">
        <v>86</v>
      </c>
      <c r="CM3704" s="2"/>
    </row>
    <row r="3705" spans="1:91">
      <c r="A3705" s="2" t="s">
        <v>71</v>
      </c>
      <c r="B3705" s="2" t="s">
        <v>72</v>
      </c>
      <c r="C3705" s="2" t="s">
        <v>73</v>
      </c>
      <c r="D3705" s="2"/>
      <c r="E3705" s="2" t="str">
        <f>"FES1162545914"</f>
        <v>FES1162545914</v>
      </c>
      <c r="F3705" s="3">
        <v>42853</v>
      </c>
      <c r="G3705" s="2">
        <v>201710</v>
      </c>
      <c r="H3705" s="2" t="s">
        <v>74</v>
      </c>
      <c r="I3705" s="2" t="s">
        <v>75</v>
      </c>
      <c r="J3705" s="2" t="s">
        <v>76</v>
      </c>
      <c r="K3705" s="2" t="s">
        <v>77</v>
      </c>
      <c r="L3705" s="2" t="s">
        <v>1692</v>
      </c>
      <c r="M3705" s="2" t="s">
        <v>1693</v>
      </c>
      <c r="N3705" s="2" t="s">
        <v>2845</v>
      </c>
      <c r="O3705" s="2" t="s">
        <v>115</v>
      </c>
      <c r="P3705" s="2" t="str">
        <f>"2170564369                    "</f>
        <v xml:space="preserve">2170564369                    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4.29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1</v>
      </c>
      <c r="BI3705" s="2">
        <v>0.7</v>
      </c>
      <c r="BJ3705" s="2">
        <v>0.8</v>
      </c>
      <c r="BK3705" s="2">
        <v>1</v>
      </c>
      <c r="BL3705" s="2">
        <v>41.73</v>
      </c>
      <c r="BM3705" s="2">
        <v>5.84</v>
      </c>
      <c r="BN3705" s="2">
        <v>47.57</v>
      </c>
      <c r="BO3705" s="2">
        <v>47.57</v>
      </c>
      <c r="BP3705" s="2"/>
      <c r="BQ3705" s="2" t="s">
        <v>2846</v>
      </c>
      <c r="BR3705" s="2" t="s">
        <v>84</v>
      </c>
      <c r="BS3705" s="1" t="s">
        <v>1744</v>
      </c>
      <c r="BT3705" s="2"/>
      <c r="BU3705" s="2"/>
      <c r="BV3705" s="2"/>
      <c r="BW3705" s="2"/>
      <c r="BX3705" s="2"/>
      <c r="BY3705" s="2">
        <v>3819.76</v>
      </c>
      <c r="BZ3705" s="2"/>
      <c r="CA3705" s="2"/>
      <c r="CB3705" s="2"/>
      <c r="CC3705" s="2" t="s">
        <v>1693</v>
      </c>
      <c r="CD3705" s="2">
        <v>4120</v>
      </c>
      <c r="CE3705" s="2" t="s">
        <v>118</v>
      </c>
      <c r="CF3705" s="2"/>
      <c r="CG3705" s="2"/>
      <c r="CH3705" s="2"/>
      <c r="CI3705" s="2">
        <v>1</v>
      </c>
      <c r="CJ3705" s="2" t="s">
        <v>1744</v>
      </c>
      <c r="CK3705" s="2">
        <v>21</v>
      </c>
      <c r="CL3705" s="2" t="s">
        <v>86</v>
      </c>
      <c r="CM3705" s="2"/>
    </row>
    <row r="3706" spans="1:91">
      <c r="A3706" s="2" t="s">
        <v>71</v>
      </c>
      <c r="B3706" s="2" t="s">
        <v>72</v>
      </c>
      <c r="C3706" s="2" t="s">
        <v>73</v>
      </c>
      <c r="D3706" s="2"/>
      <c r="E3706" s="2" t="str">
        <f>"FES1162545669"</f>
        <v>FES1162545669</v>
      </c>
      <c r="F3706" s="3">
        <v>42853</v>
      </c>
      <c r="G3706" s="2">
        <v>201710</v>
      </c>
      <c r="H3706" s="2" t="s">
        <v>74</v>
      </c>
      <c r="I3706" s="2" t="s">
        <v>75</v>
      </c>
      <c r="J3706" s="2" t="s">
        <v>76</v>
      </c>
      <c r="K3706" s="2" t="s">
        <v>77</v>
      </c>
      <c r="L3706" s="2" t="s">
        <v>112</v>
      </c>
      <c r="M3706" s="2" t="s">
        <v>113</v>
      </c>
      <c r="N3706" s="2" t="s">
        <v>1697</v>
      </c>
      <c r="O3706" s="2" t="s">
        <v>115</v>
      </c>
      <c r="P3706" s="2" t="str">
        <f>"2170564119                    "</f>
        <v xml:space="preserve">2170564119                    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11.79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2</v>
      </c>
      <c r="BI3706" s="2">
        <v>5.2</v>
      </c>
      <c r="BJ3706" s="2">
        <v>2.7</v>
      </c>
      <c r="BK3706" s="2">
        <v>5.5</v>
      </c>
      <c r="BL3706" s="2">
        <v>114.75</v>
      </c>
      <c r="BM3706" s="2">
        <v>16.07</v>
      </c>
      <c r="BN3706" s="2">
        <v>130.82</v>
      </c>
      <c r="BO3706" s="2">
        <v>130.82</v>
      </c>
      <c r="BP3706" s="2"/>
      <c r="BQ3706" s="2" t="s">
        <v>1698</v>
      </c>
      <c r="BR3706" s="2" t="s">
        <v>84</v>
      </c>
      <c r="BS3706" s="1" t="s">
        <v>1744</v>
      </c>
      <c r="BT3706" s="2"/>
      <c r="BU3706" s="2"/>
      <c r="BV3706" s="2"/>
      <c r="BW3706" s="2"/>
      <c r="BX3706" s="2"/>
      <c r="BY3706" s="2">
        <v>13592.18</v>
      </c>
      <c r="BZ3706" s="2"/>
      <c r="CA3706" s="2"/>
      <c r="CB3706" s="2"/>
      <c r="CC3706" s="2" t="s">
        <v>113</v>
      </c>
      <c r="CD3706" s="2">
        <v>3201</v>
      </c>
      <c r="CE3706" s="2" t="s">
        <v>118</v>
      </c>
      <c r="CF3706" s="2"/>
      <c r="CG3706" s="2"/>
      <c r="CH3706" s="2"/>
      <c r="CI3706" s="2">
        <v>1</v>
      </c>
      <c r="CJ3706" s="2" t="s">
        <v>1744</v>
      </c>
      <c r="CK3706" s="2">
        <v>21</v>
      </c>
      <c r="CL3706" s="2" t="s">
        <v>86</v>
      </c>
      <c r="CM3706" s="2"/>
    </row>
    <row r="3707" spans="1:91">
      <c r="A3707" s="2" t="s">
        <v>71</v>
      </c>
      <c r="B3707" s="2" t="s">
        <v>72</v>
      </c>
      <c r="C3707" s="2" t="s">
        <v>73</v>
      </c>
      <c r="D3707" s="2"/>
      <c r="E3707" s="2" t="str">
        <f>"FES1162546033"</f>
        <v>FES1162546033</v>
      </c>
      <c r="F3707" s="3">
        <v>42853</v>
      </c>
      <c r="G3707" s="2">
        <v>201710</v>
      </c>
      <c r="H3707" s="2" t="s">
        <v>74</v>
      </c>
      <c r="I3707" s="2" t="s">
        <v>75</v>
      </c>
      <c r="J3707" s="2" t="s">
        <v>76</v>
      </c>
      <c r="K3707" s="2" t="s">
        <v>77</v>
      </c>
      <c r="L3707" s="2" t="s">
        <v>187</v>
      </c>
      <c r="M3707" s="2" t="s">
        <v>146</v>
      </c>
      <c r="N3707" s="2" t="s">
        <v>1306</v>
      </c>
      <c r="O3707" s="2" t="s">
        <v>115</v>
      </c>
      <c r="P3707" s="2" t="str">
        <f>"2170564437                    "</f>
        <v xml:space="preserve">2170564437                    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4.29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1</v>
      </c>
      <c r="BI3707" s="2">
        <v>0.8</v>
      </c>
      <c r="BJ3707" s="2">
        <v>1.4</v>
      </c>
      <c r="BK3707" s="2">
        <v>1.5</v>
      </c>
      <c r="BL3707" s="2">
        <v>41.73</v>
      </c>
      <c r="BM3707" s="2">
        <v>5.84</v>
      </c>
      <c r="BN3707" s="2">
        <v>47.57</v>
      </c>
      <c r="BO3707" s="2">
        <v>47.57</v>
      </c>
      <c r="BP3707" s="2"/>
      <c r="BQ3707" s="2" t="s">
        <v>1307</v>
      </c>
      <c r="BR3707" s="2" t="s">
        <v>84</v>
      </c>
      <c r="BS3707" s="1" t="s">
        <v>1744</v>
      </c>
      <c r="BT3707" s="2"/>
      <c r="BU3707" s="2"/>
      <c r="BV3707" s="2"/>
      <c r="BW3707" s="2"/>
      <c r="BX3707" s="2"/>
      <c r="BY3707" s="2">
        <v>6979.16</v>
      </c>
      <c r="BZ3707" s="2"/>
      <c r="CA3707" s="2"/>
      <c r="CB3707" s="2"/>
      <c r="CC3707" s="2" t="s">
        <v>146</v>
      </c>
      <c r="CD3707" s="2">
        <v>117</v>
      </c>
      <c r="CE3707" s="2" t="s">
        <v>118</v>
      </c>
      <c r="CF3707" s="2"/>
      <c r="CG3707" s="2"/>
      <c r="CH3707" s="2"/>
      <c r="CI3707" s="2">
        <v>1</v>
      </c>
      <c r="CJ3707" s="2" t="s">
        <v>1744</v>
      </c>
      <c r="CK3707" s="2">
        <v>21</v>
      </c>
      <c r="CL3707" s="2" t="s">
        <v>86</v>
      </c>
      <c r="CM3707" s="2"/>
    </row>
    <row r="3708" spans="1:91">
      <c r="A3708" s="2" t="s">
        <v>71</v>
      </c>
      <c r="B3708" s="2" t="s">
        <v>72</v>
      </c>
      <c r="C3708" s="2" t="s">
        <v>73</v>
      </c>
      <c r="D3708" s="2"/>
      <c r="E3708" s="2" t="str">
        <f>"FES1162546072"</f>
        <v>FES1162546072</v>
      </c>
      <c r="F3708" s="3">
        <v>42853</v>
      </c>
      <c r="G3708" s="2">
        <v>201710</v>
      </c>
      <c r="H3708" s="2" t="s">
        <v>74</v>
      </c>
      <c r="I3708" s="2" t="s">
        <v>75</v>
      </c>
      <c r="J3708" s="2" t="s">
        <v>76</v>
      </c>
      <c r="K3708" s="2" t="s">
        <v>77</v>
      </c>
      <c r="L3708" s="2" t="s">
        <v>516</v>
      </c>
      <c r="M3708" s="2" t="s">
        <v>517</v>
      </c>
      <c r="N3708" s="2" t="s">
        <v>1911</v>
      </c>
      <c r="O3708" s="2" t="s">
        <v>115</v>
      </c>
      <c r="P3708" s="2" t="str">
        <f>"2170564475                    "</f>
        <v xml:space="preserve">2170564475                    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3.35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1</v>
      </c>
      <c r="BI3708" s="2">
        <v>0.9</v>
      </c>
      <c r="BJ3708" s="2">
        <v>1.5</v>
      </c>
      <c r="BK3708" s="2">
        <v>2</v>
      </c>
      <c r="BL3708" s="2">
        <v>32.6</v>
      </c>
      <c r="BM3708" s="2">
        <v>4.5599999999999996</v>
      </c>
      <c r="BN3708" s="2">
        <v>37.159999999999997</v>
      </c>
      <c r="BO3708" s="2">
        <v>37.159999999999997</v>
      </c>
      <c r="BP3708" s="2"/>
      <c r="BQ3708" s="2" t="s">
        <v>1912</v>
      </c>
      <c r="BR3708" s="2" t="s">
        <v>84</v>
      </c>
      <c r="BS3708" s="1" t="s">
        <v>1744</v>
      </c>
      <c r="BT3708" s="2"/>
      <c r="BU3708" s="2"/>
      <c r="BV3708" s="2"/>
      <c r="BW3708" s="2"/>
      <c r="BX3708" s="2"/>
      <c r="BY3708" s="2">
        <v>7304.99</v>
      </c>
      <c r="BZ3708" s="2"/>
      <c r="CA3708" s="2"/>
      <c r="CB3708" s="2"/>
      <c r="CC3708" s="2" t="s">
        <v>517</v>
      </c>
      <c r="CD3708" s="2">
        <v>1459</v>
      </c>
      <c r="CE3708" s="2" t="s">
        <v>118</v>
      </c>
      <c r="CF3708" s="2"/>
      <c r="CG3708" s="2"/>
      <c r="CH3708" s="2"/>
      <c r="CI3708" s="2">
        <v>1</v>
      </c>
      <c r="CJ3708" s="2" t="s">
        <v>1744</v>
      </c>
      <c r="CK3708" s="2">
        <v>22</v>
      </c>
      <c r="CL3708" s="2" t="s">
        <v>86</v>
      </c>
      <c r="CM3708" s="2"/>
    </row>
    <row r="3709" spans="1:91">
      <c r="A3709" s="2" t="s">
        <v>71</v>
      </c>
      <c r="B3709" s="2" t="s">
        <v>72</v>
      </c>
      <c r="C3709" s="2" t="s">
        <v>73</v>
      </c>
      <c r="D3709" s="2"/>
      <c r="E3709" s="2" t="str">
        <f>"FES1162546100"</f>
        <v>FES1162546100</v>
      </c>
      <c r="F3709" s="3">
        <v>42853</v>
      </c>
      <c r="G3709" s="2">
        <v>201710</v>
      </c>
      <c r="H3709" s="2" t="s">
        <v>74</v>
      </c>
      <c r="I3709" s="2" t="s">
        <v>75</v>
      </c>
      <c r="J3709" s="2" t="s">
        <v>76</v>
      </c>
      <c r="K3709" s="2" t="s">
        <v>77</v>
      </c>
      <c r="L3709" s="2" t="s">
        <v>322</v>
      </c>
      <c r="M3709" s="2" t="s">
        <v>323</v>
      </c>
      <c r="N3709" s="2" t="s">
        <v>947</v>
      </c>
      <c r="O3709" s="2" t="s">
        <v>115</v>
      </c>
      <c r="P3709" s="2" t="str">
        <f>"210564504                     "</f>
        <v xml:space="preserve">210564504                     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3.35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1</v>
      </c>
      <c r="BI3709" s="2">
        <v>0.7</v>
      </c>
      <c r="BJ3709" s="2">
        <v>1.7</v>
      </c>
      <c r="BK3709" s="2">
        <v>2</v>
      </c>
      <c r="BL3709" s="2">
        <v>32.6</v>
      </c>
      <c r="BM3709" s="2">
        <v>4.5599999999999996</v>
      </c>
      <c r="BN3709" s="2">
        <v>37.159999999999997</v>
      </c>
      <c r="BO3709" s="2">
        <v>37.159999999999997</v>
      </c>
      <c r="BP3709" s="2"/>
      <c r="BQ3709" s="2" t="s">
        <v>948</v>
      </c>
      <c r="BR3709" s="2" t="s">
        <v>84</v>
      </c>
      <c r="BS3709" s="1" t="s">
        <v>1744</v>
      </c>
      <c r="BT3709" s="2"/>
      <c r="BU3709" s="2"/>
      <c r="BV3709" s="2"/>
      <c r="BW3709" s="2"/>
      <c r="BX3709" s="2"/>
      <c r="BY3709" s="2">
        <v>8642.1200000000008</v>
      </c>
      <c r="BZ3709" s="2"/>
      <c r="CA3709" s="2"/>
      <c r="CB3709" s="2"/>
      <c r="CC3709" s="2" t="s">
        <v>323</v>
      </c>
      <c r="CD3709" s="2">
        <v>1682</v>
      </c>
      <c r="CE3709" s="2" t="s">
        <v>118</v>
      </c>
      <c r="CF3709" s="2"/>
      <c r="CG3709" s="2"/>
      <c r="CH3709" s="2"/>
      <c r="CI3709" s="2">
        <v>1</v>
      </c>
      <c r="CJ3709" s="2" t="s">
        <v>1744</v>
      </c>
      <c r="CK3709" s="2">
        <v>22</v>
      </c>
      <c r="CL3709" s="2" t="s">
        <v>86</v>
      </c>
      <c r="CM3709" s="2"/>
    </row>
    <row r="3710" spans="1:91">
      <c r="A3710" s="2" t="s">
        <v>71</v>
      </c>
      <c r="B3710" s="2" t="s">
        <v>72</v>
      </c>
      <c r="C3710" s="2" t="s">
        <v>73</v>
      </c>
      <c r="D3710" s="2"/>
      <c r="E3710" s="2" t="str">
        <f>"FES1162546094"</f>
        <v>FES1162546094</v>
      </c>
      <c r="F3710" s="3">
        <v>42853</v>
      </c>
      <c r="G3710" s="2">
        <v>201710</v>
      </c>
      <c r="H3710" s="2" t="s">
        <v>74</v>
      </c>
      <c r="I3710" s="2" t="s">
        <v>75</v>
      </c>
      <c r="J3710" s="2" t="s">
        <v>76</v>
      </c>
      <c r="K3710" s="2" t="s">
        <v>77</v>
      </c>
      <c r="L3710" s="2" t="s">
        <v>358</v>
      </c>
      <c r="M3710" s="2" t="s">
        <v>359</v>
      </c>
      <c r="N3710" s="2" t="s">
        <v>3521</v>
      </c>
      <c r="O3710" s="2" t="s">
        <v>115</v>
      </c>
      <c r="P3710" s="2" t="str">
        <f>"2170564498                    "</f>
        <v xml:space="preserve">2170564498                    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4.29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1</v>
      </c>
      <c r="BI3710" s="2">
        <v>0.7</v>
      </c>
      <c r="BJ3710" s="2">
        <v>0.8</v>
      </c>
      <c r="BK3710" s="2">
        <v>1</v>
      </c>
      <c r="BL3710" s="2">
        <v>41.73</v>
      </c>
      <c r="BM3710" s="2">
        <v>5.84</v>
      </c>
      <c r="BN3710" s="2">
        <v>47.57</v>
      </c>
      <c r="BO3710" s="2">
        <v>47.57</v>
      </c>
      <c r="BP3710" s="2"/>
      <c r="BQ3710" s="2" t="s">
        <v>801</v>
      </c>
      <c r="BR3710" s="2" t="s">
        <v>84</v>
      </c>
      <c r="BS3710" s="1" t="s">
        <v>1744</v>
      </c>
      <c r="BT3710" s="2"/>
      <c r="BU3710" s="2"/>
      <c r="BV3710" s="2"/>
      <c r="BW3710" s="2"/>
      <c r="BX3710" s="2"/>
      <c r="BY3710" s="2">
        <v>4032</v>
      </c>
      <c r="BZ3710" s="2"/>
      <c r="CA3710" s="2"/>
      <c r="CB3710" s="2"/>
      <c r="CC3710" s="2" t="s">
        <v>359</v>
      </c>
      <c r="CD3710" s="2">
        <v>6230</v>
      </c>
      <c r="CE3710" s="2" t="s">
        <v>118</v>
      </c>
      <c r="CF3710" s="2"/>
      <c r="CG3710" s="2"/>
      <c r="CH3710" s="2"/>
      <c r="CI3710" s="2">
        <v>1</v>
      </c>
      <c r="CJ3710" s="2" t="s">
        <v>1744</v>
      </c>
      <c r="CK3710" s="2">
        <v>21</v>
      </c>
      <c r="CL3710" s="2" t="s">
        <v>86</v>
      </c>
      <c r="CM3710" s="2"/>
    </row>
    <row r="3711" spans="1:91">
      <c r="A3711" s="2" t="s">
        <v>71</v>
      </c>
      <c r="B3711" s="2" t="s">
        <v>72</v>
      </c>
      <c r="C3711" s="2" t="s">
        <v>73</v>
      </c>
      <c r="D3711" s="2"/>
      <c r="E3711" s="2" t="str">
        <f>"FES1162545880"</f>
        <v>FES1162545880</v>
      </c>
      <c r="F3711" s="3">
        <v>42853</v>
      </c>
      <c r="G3711" s="2">
        <v>201710</v>
      </c>
      <c r="H3711" s="2" t="s">
        <v>74</v>
      </c>
      <c r="I3711" s="2" t="s">
        <v>75</v>
      </c>
      <c r="J3711" s="2" t="s">
        <v>76</v>
      </c>
      <c r="K3711" s="2" t="s">
        <v>77</v>
      </c>
      <c r="L3711" s="2" t="s">
        <v>294</v>
      </c>
      <c r="M3711" s="2" t="s">
        <v>295</v>
      </c>
      <c r="N3711" s="2" t="s">
        <v>1015</v>
      </c>
      <c r="O3711" s="2" t="s">
        <v>115</v>
      </c>
      <c r="P3711" s="2" t="str">
        <f>"2170564342                    "</f>
        <v xml:space="preserve">2170564342                    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4.29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1</v>
      </c>
      <c r="BI3711" s="2">
        <v>1</v>
      </c>
      <c r="BJ3711" s="2">
        <v>1.7</v>
      </c>
      <c r="BK3711" s="2">
        <v>2</v>
      </c>
      <c r="BL3711" s="2">
        <v>41.73</v>
      </c>
      <c r="BM3711" s="2">
        <v>5.84</v>
      </c>
      <c r="BN3711" s="2">
        <v>47.57</v>
      </c>
      <c r="BO3711" s="2">
        <v>47.57</v>
      </c>
      <c r="BP3711" s="2"/>
      <c r="BQ3711" s="2" t="s">
        <v>129</v>
      </c>
      <c r="BR3711" s="2" t="s">
        <v>84</v>
      </c>
      <c r="BS3711" s="1" t="s">
        <v>1744</v>
      </c>
      <c r="BT3711" s="2"/>
      <c r="BU3711" s="2"/>
      <c r="BV3711" s="2"/>
      <c r="BW3711" s="2"/>
      <c r="BX3711" s="2"/>
      <c r="BY3711" s="2">
        <v>8722.43</v>
      </c>
      <c r="BZ3711" s="2"/>
      <c r="CA3711" s="2"/>
      <c r="CB3711" s="2"/>
      <c r="CC3711" s="2" t="s">
        <v>295</v>
      </c>
      <c r="CD3711" s="2">
        <v>3610</v>
      </c>
      <c r="CE3711" s="2" t="s">
        <v>118</v>
      </c>
      <c r="CF3711" s="2"/>
      <c r="CG3711" s="2"/>
      <c r="CH3711" s="2"/>
      <c r="CI3711" s="2">
        <v>1</v>
      </c>
      <c r="CJ3711" s="2" t="s">
        <v>1744</v>
      </c>
      <c r="CK3711" s="2">
        <v>21</v>
      </c>
      <c r="CL3711" s="2" t="s">
        <v>86</v>
      </c>
      <c r="CM3711" s="2"/>
    </row>
    <row r="3712" spans="1:91">
      <c r="A3712" s="2" t="s">
        <v>71</v>
      </c>
      <c r="B3712" s="2" t="s">
        <v>72</v>
      </c>
      <c r="C3712" s="2" t="s">
        <v>73</v>
      </c>
      <c r="D3712" s="2"/>
      <c r="E3712" s="2" t="str">
        <f>"FES1162545941"</f>
        <v>FES1162545941</v>
      </c>
      <c r="F3712" s="3">
        <v>42853</v>
      </c>
      <c r="G3712" s="2">
        <v>201710</v>
      </c>
      <c r="H3712" s="2" t="s">
        <v>74</v>
      </c>
      <c r="I3712" s="2" t="s">
        <v>75</v>
      </c>
      <c r="J3712" s="2" t="s">
        <v>76</v>
      </c>
      <c r="K3712" s="2" t="s">
        <v>77</v>
      </c>
      <c r="L3712" s="2" t="s">
        <v>74</v>
      </c>
      <c r="M3712" s="2" t="s">
        <v>75</v>
      </c>
      <c r="N3712" s="2" t="s">
        <v>711</v>
      </c>
      <c r="O3712" s="2" t="s">
        <v>115</v>
      </c>
      <c r="P3712" s="2" t="str">
        <f>"2170562034                    "</f>
        <v xml:space="preserve">2170562034                    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3.35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1</v>
      </c>
      <c r="BI3712" s="2">
        <v>1.4</v>
      </c>
      <c r="BJ3712" s="2">
        <v>2.2999999999999998</v>
      </c>
      <c r="BK3712" s="2">
        <v>3</v>
      </c>
      <c r="BL3712" s="2">
        <v>32.6</v>
      </c>
      <c r="BM3712" s="2">
        <v>4.5599999999999996</v>
      </c>
      <c r="BN3712" s="2">
        <v>37.159999999999997</v>
      </c>
      <c r="BO3712" s="2">
        <v>37.159999999999997</v>
      </c>
      <c r="BP3712" s="2"/>
      <c r="BQ3712" s="2"/>
      <c r="BR3712" s="2" t="s">
        <v>84</v>
      </c>
      <c r="BS3712" s="3">
        <v>42857</v>
      </c>
      <c r="BT3712" s="4">
        <v>0.33680555555555558</v>
      </c>
      <c r="BU3712" s="2" t="s">
        <v>3039</v>
      </c>
      <c r="BV3712" s="2" t="s">
        <v>86</v>
      </c>
      <c r="BW3712" s="2"/>
      <c r="BX3712" s="2"/>
      <c r="BY3712" s="2">
        <v>11662.56</v>
      </c>
      <c r="BZ3712" s="2"/>
      <c r="CA3712" s="2" t="s">
        <v>383</v>
      </c>
      <c r="CB3712" s="2"/>
      <c r="CC3712" s="2" t="s">
        <v>75</v>
      </c>
      <c r="CD3712" s="2">
        <v>1600</v>
      </c>
      <c r="CE3712" s="2" t="s">
        <v>118</v>
      </c>
      <c r="CF3712" s="2"/>
      <c r="CG3712" s="2"/>
      <c r="CH3712" s="2"/>
      <c r="CI3712" s="2">
        <v>1</v>
      </c>
      <c r="CJ3712" s="2">
        <v>2</v>
      </c>
      <c r="CK3712" s="2">
        <v>22</v>
      </c>
      <c r="CL3712" s="2" t="s">
        <v>86</v>
      </c>
      <c r="CM3712" s="2"/>
    </row>
    <row r="3713" spans="1:91">
      <c r="A3713" s="2" t="s">
        <v>71</v>
      </c>
      <c r="B3713" s="2" t="s">
        <v>72</v>
      </c>
      <c r="C3713" s="2" t="s">
        <v>73</v>
      </c>
      <c r="D3713" s="2"/>
      <c r="E3713" s="2" t="str">
        <f>"FES1162545835"</f>
        <v>FES1162545835</v>
      </c>
      <c r="F3713" s="3">
        <v>42853</v>
      </c>
      <c r="G3713" s="2">
        <v>201710</v>
      </c>
      <c r="H3713" s="2" t="s">
        <v>74</v>
      </c>
      <c r="I3713" s="2" t="s">
        <v>75</v>
      </c>
      <c r="J3713" s="2" t="s">
        <v>76</v>
      </c>
      <c r="K3713" s="2" t="s">
        <v>77</v>
      </c>
      <c r="L3713" s="2" t="s">
        <v>112</v>
      </c>
      <c r="M3713" s="2" t="s">
        <v>113</v>
      </c>
      <c r="N3713" s="2" t="s">
        <v>3514</v>
      </c>
      <c r="O3713" s="2" t="s">
        <v>115</v>
      </c>
      <c r="P3713" s="2" t="str">
        <f>"2170563990                    "</f>
        <v xml:space="preserve">2170563990                    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7.5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1</v>
      </c>
      <c r="BI3713" s="2">
        <v>0.5</v>
      </c>
      <c r="BJ3713" s="2">
        <v>3.2</v>
      </c>
      <c r="BK3713" s="2">
        <v>3.5</v>
      </c>
      <c r="BL3713" s="2">
        <v>73.02</v>
      </c>
      <c r="BM3713" s="2">
        <v>10.220000000000001</v>
      </c>
      <c r="BN3713" s="2">
        <v>83.24</v>
      </c>
      <c r="BO3713" s="2">
        <v>83.24</v>
      </c>
      <c r="BP3713" s="2"/>
      <c r="BQ3713" s="2" t="s">
        <v>83</v>
      </c>
      <c r="BR3713" s="2" t="s">
        <v>84</v>
      </c>
      <c r="BS3713" s="1" t="s">
        <v>1744</v>
      </c>
      <c r="BT3713" s="2"/>
      <c r="BU3713" s="2"/>
      <c r="BV3713" s="2"/>
      <c r="BW3713" s="2"/>
      <c r="BX3713" s="2"/>
      <c r="BY3713" s="2">
        <v>15878.11</v>
      </c>
      <c r="BZ3713" s="2"/>
      <c r="CA3713" s="2"/>
      <c r="CB3713" s="2"/>
      <c r="CC3713" s="2" t="s">
        <v>113</v>
      </c>
      <c r="CD3713" s="2">
        <v>3680</v>
      </c>
      <c r="CE3713" s="2" t="s">
        <v>118</v>
      </c>
      <c r="CF3713" s="2"/>
      <c r="CG3713" s="2"/>
      <c r="CH3713" s="2"/>
      <c r="CI3713" s="2">
        <v>1</v>
      </c>
      <c r="CJ3713" s="2" t="s">
        <v>1744</v>
      </c>
      <c r="CK3713" s="2">
        <v>21</v>
      </c>
      <c r="CL3713" s="2" t="s">
        <v>86</v>
      </c>
      <c r="CM3713" s="2"/>
    </row>
    <row r="3714" spans="1:91">
      <c r="A3714" s="2" t="s">
        <v>71</v>
      </c>
      <c r="B3714" s="2" t="s">
        <v>72</v>
      </c>
      <c r="C3714" s="2" t="s">
        <v>73</v>
      </c>
      <c r="D3714" s="2"/>
      <c r="E3714" s="2" t="str">
        <f>"FES1162545786"</f>
        <v>FES1162545786</v>
      </c>
      <c r="F3714" s="3">
        <v>42853</v>
      </c>
      <c r="G3714" s="2">
        <v>201710</v>
      </c>
      <c r="H3714" s="2" t="s">
        <v>74</v>
      </c>
      <c r="I3714" s="2" t="s">
        <v>75</v>
      </c>
      <c r="J3714" s="2" t="s">
        <v>76</v>
      </c>
      <c r="K3714" s="2" t="s">
        <v>77</v>
      </c>
      <c r="L3714" s="2" t="s">
        <v>3515</v>
      </c>
      <c r="M3714" s="2" t="s">
        <v>3516</v>
      </c>
      <c r="N3714" s="2" t="s">
        <v>3517</v>
      </c>
      <c r="O3714" s="2" t="s">
        <v>115</v>
      </c>
      <c r="P3714" s="2" t="str">
        <f>"2170563797                    "</f>
        <v xml:space="preserve">2170563797                    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10.18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1</v>
      </c>
      <c r="BI3714" s="2">
        <v>2.2999999999999998</v>
      </c>
      <c r="BJ3714" s="2">
        <v>1.4</v>
      </c>
      <c r="BK3714" s="2">
        <v>2.5</v>
      </c>
      <c r="BL3714" s="2">
        <v>99.1</v>
      </c>
      <c r="BM3714" s="2">
        <v>13.87</v>
      </c>
      <c r="BN3714" s="2">
        <v>112.97</v>
      </c>
      <c r="BO3714" s="2">
        <v>112.97</v>
      </c>
      <c r="BP3714" s="2"/>
      <c r="BQ3714" s="2" t="s">
        <v>3518</v>
      </c>
      <c r="BR3714" s="2" t="s">
        <v>84</v>
      </c>
      <c r="BS3714" s="1" t="s">
        <v>1744</v>
      </c>
      <c r="BT3714" s="2"/>
      <c r="BU3714" s="2"/>
      <c r="BV3714" s="2"/>
      <c r="BW3714" s="2"/>
      <c r="BX3714" s="2"/>
      <c r="BY3714" s="2">
        <v>6906.9</v>
      </c>
      <c r="BZ3714" s="2"/>
      <c r="CA3714" s="2"/>
      <c r="CB3714" s="2"/>
      <c r="CC3714" s="2" t="s">
        <v>3516</v>
      </c>
      <c r="CD3714" s="2">
        <v>2940</v>
      </c>
      <c r="CE3714" s="2" t="s">
        <v>118</v>
      </c>
      <c r="CF3714" s="2"/>
      <c r="CG3714" s="2"/>
      <c r="CH3714" s="2"/>
      <c r="CI3714" s="2">
        <v>1</v>
      </c>
      <c r="CJ3714" s="2" t="s">
        <v>1744</v>
      </c>
      <c r="CK3714" s="2">
        <v>23</v>
      </c>
      <c r="CL3714" s="2" t="s">
        <v>86</v>
      </c>
      <c r="CM3714" s="2"/>
    </row>
    <row r="3715" spans="1:91">
      <c r="A3715" s="2" t="s">
        <v>71</v>
      </c>
      <c r="B3715" s="2" t="s">
        <v>72</v>
      </c>
      <c r="C3715" s="2" t="s">
        <v>73</v>
      </c>
      <c r="D3715" s="2"/>
      <c r="E3715" s="2" t="str">
        <f>"FES1162545617"</f>
        <v>FES1162545617</v>
      </c>
      <c r="F3715" s="3">
        <v>42853</v>
      </c>
      <c r="G3715" s="2">
        <v>201710</v>
      </c>
      <c r="H3715" s="2" t="s">
        <v>74</v>
      </c>
      <c r="I3715" s="2" t="s">
        <v>75</v>
      </c>
      <c r="J3715" s="2" t="s">
        <v>76</v>
      </c>
      <c r="K3715" s="2" t="s">
        <v>77</v>
      </c>
      <c r="L3715" s="2" t="s">
        <v>112</v>
      </c>
      <c r="M3715" s="2" t="s">
        <v>113</v>
      </c>
      <c r="N3715" s="2" t="s">
        <v>3522</v>
      </c>
      <c r="O3715" s="2" t="s">
        <v>115</v>
      </c>
      <c r="P3715" s="2" t="str">
        <f>"2170560714                    "</f>
        <v xml:space="preserve">2170560714                    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9.65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1</v>
      </c>
      <c r="BI3715" s="2">
        <v>2</v>
      </c>
      <c r="BJ3715" s="2">
        <v>4.3</v>
      </c>
      <c r="BK3715" s="2">
        <v>4.5</v>
      </c>
      <c r="BL3715" s="2">
        <v>93.89</v>
      </c>
      <c r="BM3715" s="2">
        <v>13.14</v>
      </c>
      <c r="BN3715" s="2">
        <v>107.03</v>
      </c>
      <c r="BO3715" s="2">
        <v>107.03</v>
      </c>
      <c r="BP3715" s="2"/>
      <c r="BQ3715" s="2" t="s">
        <v>116</v>
      </c>
      <c r="BR3715" s="2" t="s">
        <v>84</v>
      </c>
      <c r="BS3715" s="1" t="s">
        <v>1744</v>
      </c>
      <c r="BT3715" s="2"/>
      <c r="BU3715" s="2"/>
      <c r="BV3715" s="2"/>
      <c r="BW3715" s="2"/>
      <c r="BX3715" s="2"/>
      <c r="BY3715" s="2">
        <v>21434.16</v>
      </c>
      <c r="BZ3715" s="2"/>
      <c r="CA3715" s="2"/>
      <c r="CB3715" s="2"/>
      <c r="CC3715" s="2" t="s">
        <v>113</v>
      </c>
      <c r="CD3715" s="2">
        <v>3201</v>
      </c>
      <c r="CE3715" s="2" t="s">
        <v>118</v>
      </c>
      <c r="CF3715" s="2"/>
      <c r="CG3715" s="2"/>
      <c r="CH3715" s="2"/>
      <c r="CI3715" s="2">
        <v>1</v>
      </c>
      <c r="CJ3715" s="2" t="s">
        <v>1744</v>
      </c>
      <c r="CK3715" s="2">
        <v>21</v>
      </c>
      <c r="CL3715" s="2" t="s">
        <v>86</v>
      </c>
      <c r="CM3715" s="2"/>
    </row>
    <row r="3716" spans="1:91">
      <c r="A3716" s="2" t="s">
        <v>71</v>
      </c>
      <c r="B3716" s="2" t="s">
        <v>72</v>
      </c>
      <c r="C3716" s="2" t="s">
        <v>73</v>
      </c>
      <c r="D3716" s="2"/>
      <c r="E3716" s="2" t="str">
        <f>"FES1162545989"</f>
        <v>FES1162545989</v>
      </c>
      <c r="F3716" s="3">
        <v>42853</v>
      </c>
      <c r="G3716" s="2">
        <v>201710</v>
      </c>
      <c r="H3716" s="2" t="s">
        <v>74</v>
      </c>
      <c r="I3716" s="2" t="s">
        <v>75</v>
      </c>
      <c r="J3716" s="2" t="s">
        <v>76</v>
      </c>
      <c r="K3716" s="2" t="s">
        <v>77</v>
      </c>
      <c r="L3716" s="2" t="s">
        <v>633</v>
      </c>
      <c r="M3716" s="2" t="s">
        <v>634</v>
      </c>
      <c r="N3716" s="2" t="s">
        <v>635</v>
      </c>
      <c r="O3716" s="2" t="s">
        <v>115</v>
      </c>
      <c r="P3716" s="2" t="str">
        <f>"2170562336                    "</f>
        <v xml:space="preserve">2170562336                    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6.03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0</v>
      </c>
      <c r="BE3716" s="2">
        <v>0</v>
      </c>
      <c r="BF3716" s="2">
        <v>0</v>
      </c>
      <c r="BG3716" s="2">
        <v>0</v>
      </c>
      <c r="BH3716" s="2">
        <v>1</v>
      </c>
      <c r="BI3716" s="2">
        <v>0.7</v>
      </c>
      <c r="BJ3716" s="2">
        <v>1.4</v>
      </c>
      <c r="BK3716" s="2">
        <v>1.5</v>
      </c>
      <c r="BL3716" s="2">
        <v>58.68</v>
      </c>
      <c r="BM3716" s="2">
        <v>8.2200000000000006</v>
      </c>
      <c r="BN3716" s="2">
        <v>66.900000000000006</v>
      </c>
      <c r="BO3716" s="2">
        <v>66.900000000000006</v>
      </c>
      <c r="BP3716" s="2"/>
      <c r="BQ3716" s="2" t="s">
        <v>636</v>
      </c>
      <c r="BR3716" s="2" t="s">
        <v>84</v>
      </c>
      <c r="BS3716" s="1" t="s">
        <v>1744</v>
      </c>
      <c r="BT3716" s="2"/>
      <c r="BU3716" s="2"/>
      <c r="BV3716" s="2"/>
      <c r="BW3716" s="2"/>
      <c r="BX3716" s="2"/>
      <c r="BY3716" s="2">
        <v>6772.54</v>
      </c>
      <c r="BZ3716" s="2"/>
      <c r="CA3716" s="2"/>
      <c r="CB3716" s="2"/>
      <c r="CC3716" s="2" t="s">
        <v>634</v>
      </c>
      <c r="CD3716" s="2">
        <v>1759</v>
      </c>
      <c r="CE3716" s="2" t="s">
        <v>118</v>
      </c>
      <c r="CF3716" s="2"/>
      <c r="CG3716" s="2"/>
      <c r="CH3716" s="2"/>
      <c r="CI3716" s="2">
        <v>1</v>
      </c>
      <c r="CJ3716" s="2" t="s">
        <v>1744</v>
      </c>
      <c r="CK3716" s="2">
        <v>24</v>
      </c>
      <c r="CL3716" s="2" t="s">
        <v>86</v>
      </c>
      <c r="CM3716" s="2"/>
    </row>
    <row r="3717" spans="1:91">
      <c r="A3717" s="2" t="s">
        <v>71</v>
      </c>
      <c r="B3717" s="2" t="s">
        <v>72</v>
      </c>
      <c r="C3717" s="2" t="s">
        <v>73</v>
      </c>
      <c r="D3717" s="2"/>
      <c r="E3717" s="2" t="str">
        <f>"FES1162545777"</f>
        <v>FES1162545777</v>
      </c>
      <c r="F3717" s="3">
        <v>42853</v>
      </c>
      <c r="G3717" s="2">
        <v>201710</v>
      </c>
      <c r="H3717" s="2" t="s">
        <v>74</v>
      </c>
      <c r="I3717" s="2" t="s">
        <v>75</v>
      </c>
      <c r="J3717" s="2" t="s">
        <v>76</v>
      </c>
      <c r="K3717" s="2" t="s">
        <v>77</v>
      </c>
      <c r="L3717" s="2" t="s">
        <v>598</v>
      </c>
      <c r="M3717" s="2" t="s">
        <v>599</v>
      </c>
      <c r="N3717" s="2" t="s">
        <v>600</v>
      </c>
      <c r="O3717" s="2" t="s">
        <v>115</v>
      </c>
      <c r="P3717" s="2" t="str">
        <f>"2170564213                    "</f>
        <v xml:space="preserve">2170564213                    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21.43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1</v>
      </c>
      <c r="BI3717" s="2">
        <v>5.2</v>
      </c>
      <c r="BJ3717" s="2">
        <v>2.7</v>
      </c>
      <c r="BK3717" s="2">
        <v>5.5</v>
      </c>
      <c r="BL3717" s="2">
        <v>208.63</v>
      </c>
      <c r="BM3717" s="2">
        <v>29.21</v>
      </c>
      <c r="BN3717" s="2">
        <v>237.84</v>
      </c>
      <c r="BO3717" s="2">
        <v>237.84</v>
      </c>
      <c r="BP3717" s="2"/>
      <c r="BQ3717" s="2" t="s">
        <v>601</v>
      </c>
      <c r="BR3717" s="2" t="s">
        <v>84</v>
      </c>
      <c r="BS3717" s="1" t="s">
        <v>1744</v>
      </c>
      <c r="BT3717" s="2"/>
      <c r="BU3717" s="2"/>
      <c r="BV3717" s="2"/>
      <c r="BW3717" s="2"/>
      <c r="BX3717" s="2"/>
      <c r="BY3717" s="2">
        <v>13659.52</v>
      </c>
      <c r="BZ3717" s="2"/>
      <c r="CA3717" s="2"/>
      <c r="CB3717" s="2"/>
      <c r="CC3717" s="2" t="s">
        <v>599</v>
      </c>
      <c r="CD3717" s="2">
        <v>3370</v>
      </c>
      <c r="CE3717" s="2" t="s">
        <v>118</v>
      </c>
      <c r="CF3717" s="2"/>
      <c r="CG3717" s="2"/>
      <c r="CH3717" s="2"/>
      <c r="CI3717" s="2">
        <v>3</v>
      </c>
      <c r="CJ3717" s="2" t="s">
        <v>1744</v>
      </c>
      <c r="CK3717" s="2">
        <v>23</v>
      </c>
      <c r="CL3717" s="2" t="s">
        <v>86</v>
      </c>
      <c r="CM3717" s="2"/>
    </row>
    <row r="3718" spans="1:91">
      <c r="A3718" s="2" t="s">
        <v>71</v>
      </c>
      <c r="B3718" s="2" t="s">
        <v>72</v>
      </c>
      <c r="C3718" s="2" t="s">
        <v>73</v>
      </c>
      <c r="D3718" s="2"/>
      <c r="E3718" s="2" t="str">
        <f>"FES1162545815"</f>
        <v>FES1162545815</v>
      </c>
      <c r="F3718" s="3">
        <v>42851</v>
      </c>
      <c r="G3718" s="2">
        <v>201710</v>
      </c>
      <c r="H3718" s="2" t="s">
        <v>74</v>
      </c>
      <c r="I3718" s="2" t="s">
        <v>75</v>
      </c>
      <c r="J3718" s="2" t="s">
        <v>76</v>
      </c>
      <c r="K3718" s="2" t="s">
        <v>77</v>
      </c>
      <c r="L3718" s="2" t="s">
        <v>74</v>
      </c>
      <c r="M3718" s="2" t="s">
        <v>75</v>
      </c>
      <c r="N3718" s="2" t="s">
        <v>488</v>
      </c>
      <c r="O3718" s="2" t="s">
        <v>115</v>
      </c>
      <c r="P3718" s="2" t="str">
        <f>"2170564265                    "</f>
        <v xml:space="preserve">2170564265                    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3.35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0</v>
      </c>
      <c r="BE3718" s="2">
        <v>0</v>
      </c>
      <c r="BF3718" s="2">
        <v>0</v>
      </c>
      <c r="BG3718" s="2">
        <v>0</v>
      </c>
      <c r="BH3718" s="2">
        <v>1</v>
      </c>
      <c r="BI3718" s="2">
        <v>4</v>
      </c>
      <c r="BJ3718" s="2">
        <v>1.9</v>
      </c>
      <c r="BK3718" s="2">
        <v>4</v>
      </c>
      <c r="BL3718" s="2">
        <v>32.6</v>
      </c>
      <c r="BM3718" s="2">
        <v>4.5599999999999996</v>
      </c>
      <c r="BN3718" s="2">
        <v>37.159999999999997</v>
      </c>
      <c r="BO3718" s="2">
        <v>37.159999999999997</v>
      </c>
      <c r="BP3718" s="2"/>
      <c r="BQ3718" s="2" t="s">
        <v>489</v>
      </c>
      <c r="BR3718" s="2" t="s">
        <v>84</v>
      </c>
      <c r="BS3718" s="1" t="s">
        <v>1744</v>
      </c>
      <c r="BT3718" s="2"/>
      <c r="BU3718" s="2"/>
      <c r="BV3718" s="2"/>
      <c r="BW3718" s="2"/>
      <c r="BX3718" s="2"/>
      <c r="BY3718" s="2">
        <v>9583</v>
      </c>
      <c r="BZ3718" s="2"/>
      <c r="CA3718" s="2"/>
      <c r="CB3718" s="2"/>
      <c r="CC3718" s="2" t="s">
        <v>75</v>
      </c>
      <c r="CD3718" s="2">
        <v>1645</v>
      </c>
      <c r="CE3718" s="2" t="s">
        <v>89</v>
      </c>
      <c r="CF3718" s="2"/>
      <c r="CG3718" s="2"/>
      <c r="CH3718" s="2"/>
      <c r="CI3718" s="2">
        <v>1</v>
      </c>
      <c r="CJ3718" s="2" t="s">
        <v>1744</v>
      </c>
      <c r="CK3718" s="2">
        <v>22</v>
      </c>
      <c r="CL3718" s="2" t="s">
        <v>86</v>
      </c>
      <c r="CM3718" s="2"/>
    </row>
    <row r="3719" spans="1:91">
      <c r="A3719" s="2" t="s">
        <v>71</v>
      </c>
      <c r="B3719" s="2" t="s">
        <v>72</v>
      </c>
      <c r="C3719" s="2" t="s">
        <v>73</v>
      </c>
      <c r="D3719" s="2"/>
      <c r="E3719" s="2" t="str">
        <f>"FES1162545911"</f>
        <v>FES1162545911</v>
      </c>
      <c r="F3719" s="3">
        <v>42853</v>
      </c>
      <c r="G3719" s="2">
        <v>201710</v>
      </c>
      <c r="H3719" s="2" t="s">
        <v>74</v>
      </c>
      <c r="I3719" s="2" t="s">
        <v>75</v>
      </c>
      <c r="J3719" s="2" t="s">
        <v>76</v>
      </c>
      <c r="K3719" s="2" t="s">
        <v>77</v>
      </c>
      <c r="L3719" s="2" t="s">
        <v>126</v>
      </c>
      <c r="M3719" s="2" t="s">
        <v>127</v>
      </c>
      <c r="N3719" s="2" t="s">
        <v>3284</v>
      </c>
      <c r="O3719" s="2" t="s">
        <v>115</v>
      </c>
      <c r="P3719" s="2" t="str">
        <f>"2170564037                    "</f>
        <v xml:space="preserve">2170564037                    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4.29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1</v>
      </c>
      <c r="BI3719" s="2">
        <v>1</v>
      </c>
      <c r="BJ3719" s="2">
        <v>0.9</v>
      </c>
      <c r="BK3719" s="2">
        <v>1</v>
      </c>
      <c r="BL3719" s="2">
        <v>41.73</v>
      </c>
      <c r="BM3719" s="2">
        <v>5.84</v>
      </c>
      <c r="BN3719" s="2">
        <v>47.57</v>
      </c>
      <c r="BO3719" s="2">
        <v>47.57</v>
      </c>
      <c r="BP3719" s="2"/>
      <c r="BQ3719" s="2" t="s">
        <v>129</v>
      </c>
      <c r="BR3719" s="2" t="s">
        <v>84</v>
      </c>
      <c r="BS3719" s="1" t="s">
        <v>1744</v>
      </c>
      <c r="BT3719" s="2"/>
      <c r="BU3719" s="2"/>
      <c r="BV3719" s="2"/>
      <c r="BW3719" s="2"/>
      <c r="BX3719" s="2"/>
      <c r="BY3719" s="2">
        <v>4680</v>
      </c>
      <c r="BZ3719" s="2"/>
      <c r="CA3719" s="2"/>
      <c r="CB3719" s="2"/>
      <c r="CC3719" s="2" t="s">
        <v>127</v>
      </c>
      <c r="CD3719" s="2">
        <v>6850</v>
      </c>
      <c r="CE3719" s="2" t="s">
        <v>89</v>
      </c>
      <c r="CF3719" s="2"/>
      <c r="CG3719" s="2"/>
      <c r="CH3719" s="2"/>
      <c r="CI3719" s="2">
        <v>3</v>
      </c>
      <c r="CJ3719" s="2" t="s">
        <v>1744</v>
      </c>
      <c r="CK3719" s="2">
        <v>21</v>
      </c>
      <c r="CL3719" s="2" t="s">
        <v>86</v>
      </c>
      <c r="CM3719" s="2"/>
    </row>
    <row r="3720" spans="1:91">
      <c r="A3720" s="2"/>
      <c r="B3720" s="2"/>
      <c r="C3720" s="2"/>
      <c r="D3720" s="2"/>
      <c r="E3720" s="2"/>
      <c r="F3720" s="1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1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  <c r="CF3720" s="2"/>
      <c r="CG3720" s="2"/>
      <c r="CH3720" s="2"/>
      <c r="CI3720" s="2"/>
      <c r="CJ3720" s="2"/>
      <c r="CK3720" s="2"/>
      <c r="CL3720" s="2"/>
      <c r="CM3720" s="2"/>
    </row>
    <row r="3721" spans="1:91">
      <c r="A3721" s="1"/>
      <c r="B3721" s="1"/>
      <c r="C3721" s="1"/>
      <c r="D3721" s="1"/>
      <c r="E3721" s="1" t="s">
        <v>3519</v>
      </c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>
        <v>0</v>
      </c>
      <c r="R3721" s="1">
        <v>0</v>
      </c>
      <c r="S3721" s="1">
        <v>0</v>
      </c>
      <c r="T3721" s="1">
        <v>0</v>
      </c>
      <c r="U3721" s="1">
        <v>0</v>
      </c>
      <c r="V3721" s="1">
        <v>0</v>
      </c>
      <c r="W3721" s="1">
        <v>0</v>
      </c>
      <c r="X3721" s="1">
        <v>0</v>
      </c>
      <c r="Y3721" s="1">
        <v>0</v>
      </c>
      <c r="Z3721" s="1">
        <v>0</v>
      </c>
      <c r="AA3721" s="1">
        <v>0</v>
      </c>
      <c r="AB3721" s="1">
        <v>0</v>
      </c>
      <c r="AC3721" s="1">
        <v>0</v>
      </c>
      <c r="AD3721" s="1">
        <v>0</v>
      </c>
      <c r="AE3721" s="1">
        <v>3159</v>
      </c>
      <c r="AF3721" s="1">
        <v>0</v>
      </c>
      <c r="AG3721" s="1">
        <v>468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27052.11</v>
      </c>
      <c r="AN3721" s="1">
        <v>0</v>
      </c>
      <c r="AO3721" s="1">
        <v>0</v>
      </c>
      <c r="AP3721" s="1">
        <v>0</v>
      </c>
      <c r="AQ3721" s="1">
        <v>0</v>
      </c>
      <c r="AR3721" s="1">
        <v>0</v>
      </c>
      <c r="AS3721" s="1">
        <v>0</v>
      </c>
      <c r="AT3721" s="1">
        <v>0</v>
      </c>
      <c r="AU3721" s="1">
        <v>0</v>
      </c>
      <c r="AV3721" s="1">
        <v>0</v>
      </c>
      <c r="AW3721" s="1">
        <v>0</v>
      </c>
      <c r="AX3721" s="1">
        <v>0</v>
      </c>
      <c r="AY3721" s="1">
        <v>0</v>
      </c>
      <c r="AZ3721" s="1">
        <v>0</v>
      </c>
      <c r="BA3721" s="1">
        <v>0</v>
      </c>
      <c r="BB3721" s="1">
        <v>0</v>
      </c>
      <c r="BC3721" s="1">
        <v>0</v>
      </c>
      <c r="BD3721" s="1">
        <v>0</v>
      </c>
      <c r="BE3721" s="1">
        <v>1170</v>
      </c>
      <c r="BF3721" s="1">
        <v>0</v>
      </c>
      <c r="BG3721" s="1">
        <v>0</v>
      </c>
      <c r="BH3721" s="1"/>
      <c r="BI3721" s="1">
        <v>11836.1</v>
      </c>
      <c r="BJ3721" s="1">
        <v>8434.2000000000007</v>
      </c>
      <c r="BK3721" s="1">
        <v>13860</v>
      </c>
      <c r="BL3721" s="1">
        <v>267480.44</v>
      </c>
      <c r="BM3721" s="1">
        <v>37441.629999999997</v>
      </c>
      <c r="BN3721" s="1">
        <v>304922.07</v>
      </c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</row>
    <row r="3722" spans="1:91">
      <c r="A3722" s="2"/>
      <c r="B3722" s="2"/>
      <c r="C3722" s="2"/>
      <c r="D3722" s="2"/>
      <c r="E3722" s="2"/>
      <c r="F3722" s="1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1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  <c r="CI3722" s="2"/>
      <c r="CJ3722" s="2"/>
      <c r="CK3722" s="2"/>
      <c r="CL3722" s="2"/>
      <c r="CM3722" s="2"/>
    </row>
    <row r="3723" spans="1:91">
      <c r="A3723" s="2"/>
      <c r="B3723" s="2"/>
      <c r="C3723" s="2"/>
      <c r="D3723" s="2"/>
      <c r="E3723" s="2"/>
      <c r="F3723" s="1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1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  <c r="CF3723" s="2"/>
      <c r="CG3723" s="2"/>
      <c r="CH3723" s="2"/>
      <c r="CI3723" s="2"/>
      <c r="CJ3723" s="2"/>
      <c r="CK3723" s="2"/>
      <c r="CL3723" s="2"/>
      <c r="CM372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2017-05-02T07:57:59Z</dcterms:created>
  <dcterms:modified xsi:type="dcterms:W3CDTF">2017-05-02T08:57:37Z</dcterms:modified>
</cp:coreProperties>
</file>